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51\source\repos\test\test\bin\Debug\"/>
    </mc:Choice>
  </mc:AlternateContent>
  <xr:revisionPtr revIDLastSave="0" documentId="8_{9DB8C2F3-F707-4124-96B4-726ED0B47558}" xr6:coauthVersionLast="47" xr6:coauthVersionMax="47" xr10:uidLastSave="{00000000-0000-0000-0000-000000000000}"/>
  <bookViews>
    <workbookView xWindow="28275" yWindow="30" windowWidth="28770" windowHeight="15450" firstSheet="98" activeTab="104" xr2:uid="{DC173AB2-FCF3-480B-875D-3613223B9123}"/>
  </bookViews>
  <sheets>
    <sheet name="Summary" sheetId="1" r:id="rId1"/>
    <sheet name="Wallet_CNudZYFg" sheetId="2" r:id="rId2"/>
    <sheet name="Wallet_BGGhSLga" sheetId="3" r:id="rId3"/>
    <sheet name="Wallet_BrPgVDyi" sheetId="4" r:id="rId4"/>
    <sheet name="Wallet_CtKi39VF" sheetId="5" r:id="rId5"/>
    <sheet name="Wallet_7MXBbfNg" sheetId="6" r:id="rId6"/>
    <sheet name="Wallet_AMv3pP1R" sheetId="7" r:id="rId7"/>
    <sheet name="Wallet_DkRs21gi" sheetId="8" r:id="rId8"/>
    <sheet name="Wallet_8vys1QHh" sheetId="9" r:id="rId9"/>
    <sheet name="Wallet_6ryJGyrR" sheetId="10" r:id="rId10"/>
    <sheet name="Wallet_Ds4SNt8t" sheetId="11" r:id="rId11"/>
    <sheet name="Wallet_FpMt3dFh" sheetId="12" r:id="rId12"/>
    <sheet name="Wallet_2qd2jvuz" sheetId="13" r:id="rId13"/>
    <sheet name="Wallet_CDby5yqd" sheetId="14" r:id="rId14"/>
    <sheet name="Wallet_C4Gad31E" sheetId="15" r:id="rId15"/>
    <sheet name="Wallet_EwmkKJ3e" sheetId="16" r:id="rId16"/>
    <sheet name="Wallet_H9AcEk9z" sheetId="17" r:id="rId17"/>
    <sheet name="Wallet_HNoTHms1" sheetId="18" r:id="rId18"/>
    <sheet name="Wallet_FB17KCgF" sheetId="19" r:id="rId19"/>
    <sheet name="Wallet_BA2Y866o" sheetId="20" r:id="rId20"/>
    <sheet name="Wallet_2QNiKmv1" sheetId="21" r:id="rId21"/>
    <sheet name="Wallet_6xuMV6W6" sheetId="22" r:id="rId22"/>
    <sheet name="Wallet_FejWrUC2" sheetId="23" r:id="rId23"/>
    <sheet name="Wallet_5Z5nDhre" sheetId="24" r:id="rId24"/>
    <sheet name="Wallet_8Bcagz4n" sheetId="25" r:id="rId25"/>
    <sheet name="Wallet_51jpGPfj" sheetId="26" r:id="rId26"/>
    <sheet name="Wallet_FD5t6ogA" sheetId="27" r:id="rId27"/>
    <sheet name="Wallet_5XSSvhmY" sheetId="28" r:id="rId28"/>
    <sheet name="Wallet_3rZTHyQB" sheetId="29" r:id="rId29"/>
    <sheet name="Wallet_JB6yZEJq" sheetId="30" r:id="rId30"/>
    <sheet name="Wallet_E2DpJoKu" sheetId="31" r:id="rId31"/>
    <sheet name="Wallet_AiY7b8nU" sheetId="32" r:id="rId32"/>
    <sheet name="Wallet_AgzBBqaY" sheetId="33" r:id="rId33"/>
    <sheet name="Wallet_4zbQaWrH" sheetId="34" r:id="rId34"/>
    <sheet name="Wallet_FaLrBGyP" sheetId="35" r:id="rId35"/>
    <sheet name="Wallet_7ZxY2EbT" sheetId="36" r:id="rId36"/>
    <sheet name="Wallet_8321eKJ6" sheetId="37" r:id="rId37"/>
    <sheet name="Wallet_5uVSrj7G" sheetId="38" r:id="rId38"/>
    <sheet name="Wallet_CjWGTaxJ" sheetId="39" r:id="rId39"/>
    <sheet name="Wallet_CdTBh3kn" sheetId="40" r:id="rId40"/>
    <sheet name="Wallet_DyzM5wEN" sheetId="41" r:id="rId41"/>
    <sheet name="Wallet_3rAXtQcR" sheetId="42" r:id="rId42"/>
    <sheet name="Wallet_7t7WLyaP" sheetId="43" r:id="rId43"/>
    <sheet name="Wallet_66VRzczw" sheetId="44" r:id="rId44"/>
    <sheet name="Wallet_E35DHmjC" sheetId="45" r:id="rId45"/>
    <sheet name="Wallet_A1HrPYkc" sheetId="46" r:id="rId46"/>
    <sheet name="Wallet_49SH2SQV" sheetId="47" r:id="rId47"/>
    <sheet name="Wallet_BSiEYXb9" sheetId="48" r:id="rId48"/>
    <sheet name="Wallet_49Y67vr5" sheetId="49" r:id="rId49"/>
    <sheet name="Wallet_2rC2M2j5" sheetId="50" r:id="rId50"/>
    <sheet name="Wallet_ZG9ZAFLX" sheetId="51" r:id="rId51"/>
    <sheet name="Wallet_7SRzu42N" sheetId="52" r:id="rId52"/>
    <sheet name="Wallet_6veEYFho" sheetId="53" r:id="rId53"/>
    <sheet name="Wallet_DAy1KPX8" sheetId="54" r:id="rId54"/>
    <sheet name="Wallet_3bw7vPnu" sheetId="55" r:id="rId55"/>
    <sheet name="Wallet_2ybKtC2B" sheetId="56" r:id="rId56"/>
    <sheet name="Wallet_F3CPySBR" sheetId="57" r:id="rId57"/>
    <sheet name="Wallet_Dp9oCL6J" sheetId="58" r:id="rId58"/>
    <sheet name="Wallet_BuHYNH8s" sheetId="59" r:id="rId59"/>
    <sheet name="Wallet_6wjPBKoZ" sheetId="60" r:id="rId60"/>
    <sheet name="Wallet_5GUuk4Yc" sheetId="61" r:id="rId61"/>
    <sheet name="Wallet_4EEzqYB1" sheetId="62" r:id="rId62"/>
    <sheet name="Wallet_E4aSNyoB" sheetId="63" r:id="rId63"/>
    <sheet name="Wallet_2XRQxY5r" sheetId="64" r:id="rId64"/>
    <sheet name="Wallet_J8CFQP3H" sheetId="65" r:id="rId65"/>
    <sheet name="Wallet_67XYw3Wn" sheetId="66" r:id="rId66"/>
    <sheet name="Wallet_GBUvKJp5" sheetId="67" r:id="rId67"/>
    <sheet name="Wallet_9QZ5gwre" sheetId="68" r:id="rId68"/>
    <sheet name="Wallet_GbZsEfC5" sheetId="69" r:id="rId69"/>
    <sheet name="Wallet_55V4hMbP" sheetId="70" r:id="rId70"/>
    <sheet name="Wallet_7DAMCyYS" sheetId="71" r:id="rId71"/>
    <sheet name="Wallet_E7Vpwi8y" sheetId="72" r:id="rId72"/>
    <sheet name="Wallet_5L2VdnbQ" sheetId="73" r:id="rId73"/>
    <sheet name="Wallet_DSsSCWgC" sheetId="74" r:id="rId74"/>
    <sheet name="Wallet_3p2CpeP8" sheetId="75" r:id="rId75"/>
    <sheet name="Wallet_EwMT7ygv" sheetId="76" r:id="rId76"/>
    <sheet name="Wallet_2FaNRoiX" sheetId="77" r:id="rId77"/>
    <sheet name="Wallet_9r7b8dnj" sheetId="78" r:id="rId78"/>
    <sheet name="Wallet_47KdXtjk" sheetId="79" r:id="rId79"/>
    <sheet name="Wallet_AP3oxFV3" sheetId="80" r:id="rId80"/>
    <sheet name="Wallet_8vQjS83m" sheetId="81" r:id="rId81"/>
    <sheet name="Wallet_dikyzV9B" sheetId="82" r:id="rId82"/>
    <sheet name="Wallet_D9hsi4iA" sheetId="83" r:id="rId83"/>
    <sheet name="Wallet_5FA9hUrw" sheetId="84" r:id="rId84"/>
    <sheet name="Wallet_BbS7e412" sheetId="85" r:id="rId85"/>
    <sheet name="Wallet_7ApjVzSa" sheetId="86" r:id="rId86"/>
    <sheet name="Wallet_77AeyLRL" sheetId="87" r:id="rId87"/>
    <sheet name="Wallet_7BJk376W" sheetId="88" r:id="rId88"/>
    <sheet name="Wallet_BcViwxDP" sheetId="89" r:id="rId89"/>
    <sheet name="Wallet_6X1jSkx7" sheetId="90" r:id="rId90"/>
    <sheet name="Wallet_9UHGG5A7" sheetId="91" r:id="rId91"/>
    <sheet name="Wallet_5Y5gmTQe" sheetId="92" r:id="rId92"/>
    <sheet name="Wallet_8H3xT8L4" sheetId="93" r:id="rId93"/>
    <sheet name="Wallet_8GC8KU7b" sheetId="94" r:id="rId94"/>
    <sheet name="Wallet_DAvFwQya" sheetId="95" r:id="rId95"/>
    <sheet name="Wallet_4DzbUe9R" sheetId="96" r:id="rId96"/>
    <sheet name="Wallet_4ANWddp8" sheetId="97" r:id="rId97"/>
    <sheet name="Wallet_D5ZZVQCL" sheetId="98" r:id="rId98"/>
    <sheet name="Wallet_D1QSf63d" sheetId="99" r:id="rId99"/>
    <sheet name="Wallet_7794TDb3" sheetId="100" r:id="rId100"/>
    <sheet name="Wallet_BuaCKVPQ" sheetId="101" r:id="rId101"/>
    <sheet name="Wallet_5mcVquZq" sheetId="102" r:id="rId102"/>
    <sheet name="Wallet_6WPK59Qr" sheetId="103" r:id="rId103"/>
    <sheet name="Wallet_2q6vC6eF" sheetId="104" r:id="rId104"/>
    <sheet name="Wallet_639xVN39" sheetId="105" r:id="rId10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05" l="1"/>
  <c r="P37" i="105"/>
  <c r="P36" i="105"/>
  <c r="P35" i="105"/>
  <c r="P34" i="105"/>
  <c r="P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N4" i="105"/>
  <c r="N3" i="105"/>
  <c r="N2" i="105"/>
  <c r="N1" i="105"/>
  <c r="P26" i="104"/>
  <c r="P25" i="104"/>
  <c r="P24" i="104"/>
  <c r="P23" i="104"/>
  <c r="P22" i="104"/>
  <c r="P21" i="104"/>
  <c r="P20" i="104"/>
  <c r="N4" i="104"/>
  <c r="N3" i="104"/>
  <c r="N2" i="104"/>
  <c r="N1" i="104"/>
  <c r="P49" i="103"/>
  <c r="P48" i="103"/>
  <c r="P47" i="103"/>
  <c r="P46" i="103"/>
  <c r="P45" i="103"/>
  <c r="P44" i="103"/>
  <c r="P43" i="103"/>
  <c r="P42" i="103"/>
  <c r="P41" i="103"/>
  <c r="P40" i="103"/>
  <c r="P39" i="103"/>
  <c r="P38" i="103"/>
  <c r="P37" i="103"/>
  <c r="P36" i="103"/>
  <c r="P35" i="103"/>
  <c r="P34" i="103"/>
  <c r="P33" i="103"/>
  <c r="P32" i="103"/>
  <c r="P31" i="103"/>
  <c r="P30" i="103"/>
  <c r="P29" i="103"/>
  <c r="P28" i="103"/>
  <c r="P27" i="103"/>
  <c r="P26" i="103"/>
  <c r="P25" i="103"/>
  <c r="P24" i="103"/>
  <c r="P23" i="103"/>
  <c r="P22" i="103"/>
  <c r="P21" i="103"/>
  <c r="P20" i="103"/>
  <c r="N4" i="103"/>
  <c r="N3" i="103"/>
  <c r="N2" i="103"/>
  <c r="N1" i="103"/>
  <c r="P33" i="102"/>
  <c r="P32" i="102"/>
  <c r="P31" i="102"/>
  <c r="P30" i="102"/>
  <c r="P29" i="102"/>
  <c r="P28" i="102"/>
  <c r="P27" i="102"/>
  <c r="P26" i="102"/>
  <c r="P25" i="102"/>
  <c r="P24" i="102"/>
  <c r="P23" i="102"/>
  <c r="P22" i="102"/>
  <c r="P21" i="102"/>
  <c r="P20" i="102"/>
  <c r="N4" i="102"/>
  <c r="N3" i="102"/>
  <c r="N2" i="102"/>
  <c r="N1" i="102"/>
  <c r="P27" i="101"/>
  <c r="P26" i="101"/>
  <c r="P25" i="101"/>
  <c r="P24" i="101"/>
  <c r="P23" i="101"/>
  <c r="P22" i="101"/>
  <c r="P21" i="101"/>
  <c r="P20" i="101"/>
  <c r="N4" i="101"/>
  <c r="N3" i="101"/>
  <c r="N2" i="101"/>
  <c r="N1" i="101"/>
  <c r="P51" i="100"/>
  <c r="P50" i="100"/>
  <c r="P49" i="100"/>
  <c r="P48" i="100"/>
  <c r="P47" i="100"/>
  <c r="P46" i="100"/>
  <c r="P45" i="100"/>
  <c r="P44" i="100"/>
  <c r="P43" i="100"/>
  <c r="P42" i="100"/>
  <c r="P41" i="100"/>
  <c r="P40" i="100"/>
  <c r="P39" i="100"/>
  <c r="P38" i="100"/>
  <c r="P37" i="100"/>
  <c r="P36" i="100"/>
  <c r="P35" i="100"/>
  <c r="P34" i="100"/>
  <c r="P33" i="100"/>
  <c r="P32" i="100"/>
  <c r="P31" i="100"/>
  <c r="P30" i="100"/>
  <c r="P29" i="100"/>
  <c r="P28" i="100"/>
  <c r="P27" i="100"/>
  <c r="P26" i="100"/>
  <c r="P25" i="100"/>
  <c r="P24" i="100"/>
  <c r="P23" i="100"/>
  <c r="P22" i="100"/>
  <c r="P21" i="100"/>
  <c r="P20" i="100"/>
  <c r="N4" i="100"/>
  <c r="N3" i="100"/>
  <c r="N2" i="100"/>
  <c r="N1" i="100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N4" i="99"/>
  <c r="N3" i="99"/>
  <c r="N2" i="99"/>
  <c r="N1" i="99"/>
  <c r="P195" i="98"/>
  <c r="P194" i="98"/>
  <c r="P193" i="98"/>
  <c r="P192" i="98"/>
  <c r="P191" i="98"/>
  <c r="P190" i="98"/>
  <c r="P189" i="98"/>
  <c r="P188" i="98"/>
  <c r="P187" i="98"/>
  <c r="P186" i="98"/>
  <c r="P185" i="98"/>
  <c r="P184" i="98"/>
  <c r="P183" i="98"/>
  <c r="P182" i="98"/>
  <c r="P181" i="98"/>
  <c r="P180" i="98"/>
  <c r="P179" i="98"/>
  <c r="P178" i="98"/>
  <c r="P177" i="98"/>
  <c r="P176" i="98"/>
  <c r="P175" i="98"/>
  <c r="P174" i="98"/>
  <c r="P173" i="98"/>
  <c r="P172" i="98"/>
  <c r="P171" i="98"/>
  <c r="P170" i="98"/>
  <c r="P169" i="98"/>
  <c r="P168" i="98"/>
  <c r="P167" i="98"/>
  <c r="P166" i="98"/>
  <c r="P165" i="98"/>
  <c r="P164" i="98"/>
  <c r="P163" i="98"/>
  <c r="P162" i="98"/>
  <c r="P161" i="98"/>
  <c r="P160" i="98"/>
  <c r="P159" i="98"/>
  <c r="P158" i="98"/>
  <c r="P157" i="98"/>
  <c r="P156" i="98"/>
  <c r="P155" i="98"/>
  <c r="P154" i="98"/>
  <c r="P153" i="98"/>
  <c r="P152" i="98"/>
  <c r="P151" i="98"/>
  <c r="P150" i="98"/>
  <c r="P149" i="98"/>
  <c r="P148" i="98"/>
  <c r="P147" i="98"/>
  <c r="P146" i="98"/>
  <c r="P145" i="98"/>
  <c r="P144" i="98"/>
  <c r="P143" i="98"/>
  <c r="P142" i="98"/>
  <c r="P141" i="98"/>
  <c r="P140" i="98"/>
  <c r="P139" i="98"/>
  <c r="P138" i="98"/>
  <c r="P137" i="98"/>
  <c r="P136" i="98"/>
  <c r="P135" i="98"/>
  <c r="P134" i="98"/>
  <c r="P133" i="98"/>
  <c r="P132" i="98"/>
  <c r="P131" i="98"/>
  <c r="P130" i="98"/>
  <c r="P129" i="98"/>
  <c r="P128" i="98"/>
  <c r="P127" i="98"/>
  <c r="P126" i="98"/>
  <c r="P125" i="98"/>
  <c r="P124" i="98"/>
  <c r="P123" i="98"/>
  <c r="P122" i="98"/>
  <c r="P121" i="98"/>
  <c r="P120" i="98"/>
  <c r="P119" i="98"/>
  <c r="P118" i="98"/>
  <c r="P117" i="98"/>
  <c r="P116" i="98"/>
  <c r="P115" i="98"/>
  <c r="P114" i="98"/>
  <c r="P113" i="98"/>
  <c r="P112" i="98"/>
  <c r="P111" i="98"/>
  <c r="P110" i="98"/>
  <c r="P109" i="98"/>
  <c r="P108" i="98"/>
  <c r="P107" i="98"/>
  <c r="P106" i="98"/>
  <c r="P105" i="98"/>
  <c r="P104" i="98"/>
  <c r="P103" i="98"/>
  <c r="P102" i="98"/>
  <c r="P101" i="98"/>
  <c r="P100" i="98"/>
  <c r="P99" i="98"/>
  <c r="P98" i="98"/>
  <c r="P97" i="98"/>
  <c r="P96" i="98"/>
  <c r="P95" i="98"/>
  <c r="P94" i="98"/>
  <c r="P93" i="98"/>
  <c r="P92" i="98"/>
  <c r="P91" i="98"/>
  <c r="P90" i="98"/>
  <c r="P89" i="98"/>
  <c r="P88" i="98"/>
  <c r="P87" i="98"/>
  <c r="P86" i="98"/>
  <c r="P85" i="98"/>
  <c r="P84" i="98"/>
  <c r="P83" i="98"/>
  <c r="P82" i="98"/>
  <c r="P81" i="98"/>
  <c r="P80" i="98"/>
  <c r="P79" i="98"/>
  <c r="P78" i="98"/>
  <c r="P77" i="98"/>
  <c r="P76" i="98"/>
  <c r="P75" i="98"/>
  <c r="P74" i="98"/>
  <c r="P73" i="98"/>
  <c r="P72" i="98"/>
  <c r="P71" i="98"/>
  <c r="P70" i="98"/>
  <c r="P69" i="98"/>
  <c r="P68" i="98"/>
  <c r="P67" i="98"/>
  <c r="P66" i="98"/>
  <c r="P65" i="98"/>
  <c r="P64" i="98"/>
  <c r="P63" i="98"/>
  <c r="P62" i="98"/>
  <c r="P61" i="98"/>
  <c r="P60" i="98"/>
  <c r="P59" i="98"/>
  <c r="P58" i="98"/>
  <c r="P57" i="98"/>
  <c r="P56" i="98"/>
  <c r="P55" i="98"/>
  <c r="P54" i="98"/>
  <c r="P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N4" i="98"/>
  <c r="N3" i="98"/>
  <c r="N2" i="98"/>
  <c r="N1" i="98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N4" i="97"/>
  <c r="N3" i="97"/>
  <c r="N2" i="97"/>
  <c r="N1" i="97"/>
  <c r="P181" i="96"/>
  <c r="P180" i="96"/>
  <c r="P179" i="96"/>
  <c r="P178" i="96"/>
  <c r="P177" i="96"/>
  <c r="P176" i="96"/>
  <c r="P175" i="96"/>
  <c r="P174" i="96"/>
  <c r="P173" i="96"/>
  <c r="P172" i="96"/>
  <c r="P171" i="96"/>
  <c r="P170" i="96"/>
  <c r="P169" i="96"/>
  <c r="P168" i="96"/>
  <c r="P167" i="96"/>
  <c r="P166" i="96"/>
  <c r="P165" i="96"/>
  <c r="P164" i="96"/>
  <c r="P163" i="96"/>
  <c r="P162" i="96"/>
  <c r="P161" i="96"/>
  <c r="P160" i="96"/>
  <c r="P159" i="96"/>
  <c r="P158" i="96"/>
  <c r="P157" i="96"/>
  <c r="P156" i="96"/>
  <c r="P155" i="96"/>
  <c r="P154" i="96"/>
  <c r="P153" i="96"/>
  <c r="P152" i="96"/>
  <c r="P151" i="96"/>
  <c r="P150" i="96"/>
  <c r="P149" i="96"/>
  <c r="P148" i="96"/>
  <c r="P147" i="96"/>
  <c r="P146" i="96"/>
  <c r="P145" i="96"/>
  <c r="P144" i="96"/>
  <c r="P143" i="96"/>
  <c r="P142" i="96"/>
  <c r="P141" i="96"/>
  <c r="P140" i="96"/>
  <c r="P139" i="96"/>
  <c r="P138" i="96"/>
  <c r="P137" i="96"/>
  <c r="P136" i="96"/>
  <c r="P135" i="96"/>
  <c r="P134" i="96"/>
  <c r="P133" i="96"/>
  <c r="P132" i="96"/>
  <c r="P131" i="96"/>
  <c r="P130" i="96"/>
  <c r="P129" i="96"/>
  <c r="P128" i="96"/>
  <c r="P127" i="96"/>
  <c r="P126" i="96"/>
  <c r="P125" i="96"/>
  <c r="P124" i="96"/>
  <c r="P123" i="96"/>
  <c r="P122" i="96"/>
  <c r="P121" i="96"/>
  <c r="P120" i="96"/>
  <c r="P119" i="96"/>
  <c r="P118" i="96"/>
  <c r="P117" i="96"/>
  <c r="P116" i="96"/>
  <c r="P115" i="96"/>
  <c r="P114" i="96"/>
  <c r="P113" i="96"/>
  <c r="P112" i="96"/>
  <c r="P111" i="96"/>
  <c r="P110" i="96"/>
  <c r="P109" i="96"/>
  <c r="P108" i="96"/>
  <c r="P107" i="96"/>
  <c r="P106" i="96"/>
  <c r="P105" i="96"/>
  <c r="P104" i="96"/>
  <c r="P103" i="96"/>
  <c r="P102" i="96"/>
  <c r="P101" i="96"/>
  <c r="P100" i="96"/>
  <c r="P99" i="96"/>
  <c r="P98" i="96"/>
  <c r="P97" i="96"/>
  <c r="P96" i="96"/>
  <c r="P95" i="96"/>
  <c r="P94" i="96"/>
  <c r="P93" i="96"/>
  <c r="P92" i="96"/>
  <c r="P91" i="96"/>
  <c r="P90" i="96"/>
  <c r="P89" i="96"/>
  <c r="P88" i="96"/>
  <c r="P87" i="96"/>
  <c r="P86" i="96"/>
  <c r="P85" i="96"/>
  <c r="P84" i="96"/>
  <c r="P83" i="96"/>
  <c r="P82" i="96"/>
  <c r="P81" i="96"/>
  <c r="P80" i="96"/>
  <c r="P79" i="96"/>
  <c r="P78" i="96"/>
  <c r="P77" i="96"/>
  <c r="P76" i="96"/>
  <c r="P75" i="96"/>
  <c r="P74" i="96"/>
  <c r="P73" i="96"/>
  <c r="P72" i="96"/>
  <c r="P71" i="96"/>
  <c r="P70" i="96"/>
  <c r="P69" i="96"/>
  <c r="P68" i="96"/>
  <c r="P67" i="96"/>
  <c r="P66" i="96"/>
  <c r="P65" i="96"/>
  <c r="P64" i="96"/>
  <c r="P63" i="96"/>
  <c r="P62" i="96"/>
  <c r="P61" i="96"/>
  <c r="P60" i="96"/>
  <c r="P59" i="96"/>
  <c r="P58" i="96"/>
  <c r="P57" i="96"/>
  <c r="P56" i="96"/>
  <c r="P55" i="96"/>
  <c r="P54" i="96"/>
  <c r="P53" i="96"/>
  <c r="P52" i="96"/>
  <c r="P51" i="96"/>
  <c r="P50" i="96"/>
  <c r="P49" i="96"/>
  <c r="P48" i="96"/>
  <c r="P47" i="96"/>
  <c r="P46" i="96"/>
  <c r="P45" i="96"/>
  <c r="P44" i="96"/>
  <c r="P43" i="96"/>
  <c r="P42" i="96"/>
  <c r="P41" i="96"/>
  <c r="P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N4" i="96"/>
  <c r="N3" i="96"/>
  <c r="N2" i="96"/>
  <c r="N1" i="96"/>
  <c r="P24" i="95"/>
  <c r="P23" i="95"/>
  <c r="P22" i="95"/>
  <c r="P21" i="95"/>
  <c r="P20" i="95"/>
  <c r="N4" i="95"/>
  <c r="N3" i="95"/>
  <c r="N2" i="95"/>
  <c r="N1" i="95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N4" i="94"/>
  <c r="N3" i="94"/>
  <c r="N2" i="94"/>
  <c r="N1" i="94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N4" i="93"/>
  <c r="N3" i="93"/>
  <c r="N2" i="93"/>
  <c r="N1" i="93"/>
  <c r="P26" i="92"/>
  <c r="P25" i="92"/>
  <c r="P24" i="92"/>
  <c r="P23" i="92"/>
  <c r="P22" i="92"/>
  <c r="P21" i="92"/>
  <c r="P20" i="92"/>
  <c r="N4" i="92"/>
  <c r="N3" i="92"/>
  <c r="N2" i="92"/>
  <c r="N1" i="92"/>
  <c r="P28" i="91"/>
  <c r="P27" i="91"/>
  <c r="P26" i="91"/>
  <c r="P25" i="91"/>
  <c r="P24" i="91"/>
  <c r="P23" i="91"/>
  <c r="P22" i="91"/>
  <c r="P21" i="91"/>
  <c r="P20" i="91"/>
  <c r="N4" i="91"/>
  <c r="N3" i="91"/>
  <c r="N2" i="91"/>
  <c r="N1" i="91"/>
  <c r="P27" i="90"/>
  <c r="P26" i="90"/>
  <c r="P25" i="90"/>
  <c r="P24" i="90"/>
  <c r="P23" i="90"/>
  <c r="P22" i="90"/>
  <c r="P21" i="90"/>
  <c r="P20" i="90"/>
  <c r="N4" i="90"/>
  <c r="N3" i="90"/>
  <c r="N2" i="90"/>
  <c r="N1" i="90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N4" i="89"/>
  <c r="N3" i="89"/>
  <c r="N2" i="89"/>
  <c r="N1" i="89"/>
  <c r="P27" i="88"/>
  <c r="P26" i="88"/>
  <c r="P25" i="88"/>
  <c r="P24" i="88"/>
  <c r="P23" i="88"/>
  <c r="P22" i="88"/>
  <c r="P21" i="88"/>
  <c r="P20" i="88"/>
  <c r="N4" i="88"/>
  <c r="N3" i="88"/>
  <c r="N2" i="88"/>
  <c r="N1" i="88"/>
  <c r="P28" i="87"/>
  <c r="P27" i="87"/>
  <c r="P26" i="87"/>
  <c r="P25" i="87"/>
  <c r="P24" i="87"/>
  <c r="P23" i="87"/>
  <c r="P22" i="87"/>
  <c r="P21" i="87"/>
  <c r="P20" i="87"/>
  <c r="N4" i="87"/>
  <c r="N3" i="87"/>
  <c r="N2" i="87"/>
  <c r="N1" i="87"/>
  <c r="P28" i="86"/>
  <c r="P27" i="86"/>
  <c r="P26" i="86"/>
  <c r="P25" i="86"/>
  <c r="P24" i="86"/>
  <c r="P23" i="86"/>
  <c r="P22" i="86"/>
  <c r="P21" i="86"/>
  <c r="P20" i="86"/>
  <c r="N4" i="86"/>
  <c r="N3" i="86"/>
  <c r="N2" i="86"/>
  <c r="N1" i="86"/>
  <c r="P30" i="85"/>
  <c r="P29" i="85"/>
  <c r="P28" i="85"/>
  <c r="P27" i="85"/>
  <c r="P26" i="85"/>
  <c r="P25" i="85"/>
  <c r="P24" i="85"/>
  <c r="P23" i="85"/>
  <c r="P22" i="85"/>
  <c r="P21" i="85"/>
  <c r="P20" i="85"/>
  <c r="N4" i="85"/>
  <c r="N3" i="85"/>
  <c r="N2" i="85"/>
  <c r="N1" i="85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N4" i="84"/>
  <c r="N3" i="84"/>
  <c r="N2" i="84"/>
  <c r="N1" i="84"/>
  <c r="P96" i="83"/>
  <c r="P95" i="83"/>
  <c r="P94" i="83"/>
  <c r="P93" i="83"/>
  <c r="P92" i="83"/>
  <c r="P91" i="83"/>
  <c r="P90" i="83"/>
  <c r="P89" i="83"/>
  <c r="P88" i="83"/>
  <c r="P87" i="83"/>
  <c r="P86" i="83"/>
  <c r="P85" i="83"/>
  <c r="P84" i="83"/>
  <c r="P83" i="83"/>
  <c r="P82" i="83"/>
  <c r="P81" i="83"/>
  <c r="P80" i="83"/>
  <c r="P79" i="83"/>
  <c r="P78" i="83"/>
  <c r="P77" i="83"/>
  <c r="P76" i="83"/>
  <c r="P75" i="83"/>
  <c r="P74" i="83"/>
  <c r="P73" i="83"/>
  <c r="P72" i="83"/>
  <c r="P71" i="83"/>
  <c r="P70" i="83"/>
  <c r="P69" i="83"/>
  <c r="P68" i="83"/>
  <c r="P67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N4" i="83"/>
  <c r="N3" i="83"/>
  <c r="N2" i="83"/>
  <c r="N1" i="83"/>
  <c r="P113" i="82"/>
  <c r="P112" i="82"/>
  <c r="P111" i="82"/>
  <c r="P110" i="82"/>
  <c r="P109" i="82"/>
  <c r="P108" i="82"/>
  <c r="P107" i="82"/>
  <c r="P106" i="82"/>
  <c r="P105" i="82"/>
  <c r="P104" i="82"/>
  <c r="P103" i="82"/>
  <c r="P102" i="82"/>
  <c r="P101" i="82"/>
  <c r="P100" i="82"/>
  <c r="P99" i="82"/>
  <c r="P98" i="82"/>
  <c r="P97" i="82"/>
  <c r="P96" i="82"/>
  <c r="P95" i="82"/>
  <c r="P94" i="82"/>
  <c r="P93" i="82"/>
  <c r="P92" i="82"/>
  <c r="P91" i="82"/>
  <c r="P90" i="82"/>
  <c r="P89" i="82"/>
  <c r="P88" i="82"/>
  <c r="P87" i="82"/>
  <c r="P86" i="82"/>
  <c r="P85" i="82"/>
  <c r="P84" i="82"/>
  <c r="P83" i="82"/>
  <c r="P82" i="82"/>
  <c r="P81" i="82"/>
  <c r="P80" i="82"/>
  <c r="P79" i="82"/>
  <c r="P78" i="82"/>
  <c r="P77" i="82"/>
  <c r="P76" i="82"/>
  <c r="P75" i="82"/>
  <c r="P74" i="82"/>
  <c r="P73" i="82"/>
  <c r="P72" i="82"/>
  <c r="P71" i="82"/>
  <c r="P70" i="82"/>
  <c r="P69" i="82"/>
  <c r="P68" i="82"/>
  <c r="P67" i="82"/>
  <c r="P66" i="82"/>
  <c r="P65" i="82"/>
  <c r="P64" i="82"/>
  <c r="P63" i="82"/>
  <c r="P62" i="82"/>
  <c r="P61" i="82"/>
  <c r="P60" i="82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N4" i="82"/>
  <c r="N3" i="82"/>
  <c r="N2" i="82"/>
  <c r="N1" i="82"/>
  <c r="P151" i="81"/>
  <c r="P150" i="81"/>
  <c r="P149" i="81"/>
  <c r="P148" i="81"/>
  <c r="P147" i="81"/>
  <c r="P146" i="81"/>
  <c r="P145" i="81"/>
  <c r="P144" i="81"/>
  <c r="P143" i="81"/>
  <c r="P142" i="81"/>
  <c r="P141" i="81"/>
  <c r="P140" i="81"/>
  <c r="P139" i="81"/>
  <c r="P138" i="81"/>
  <c r="P137" i="81"/>
  <c r="P136" i="81"/>
  <c r="P135" i="81"/>
  <c r="P134" i="81"/>
  <c r="P133" i="81"/>
  <c r="P132" i="81"/>
  <c r="P131" i="81"/>
  <c r="P130" i="81"/>
  <c r="P129" i="81"/>
  <c r="P128" i="81"/>
  <c r="P127" i="81"/>
  <c r="P126" i="81"/>
  <c r="P125" i="81"/>
  <c r="P124" i="81"/>
  <c r="P123" i="81"/>
  <c r="P122" i="81"/>
  <c r="P121" i="81"/>
  <c r="P120" i="81"/>
  <c r="P119" i="81"/>
  <c r="P118" i="81"/>
  <c r="P117" i="81"/>
  <c r="P116" i="81"/>
  <c r="P115" i="81"/>
  <c r="P114" i="81"/>
  <c r="P113" i="81"/>
  <c r="P112" i="81"/>
  <c r="P111" i="81"/>
  <c r="P110" i="81"/>
  <c r="P109" i="81"/>
  <c r="P108" i="81"/>
  <c r="P107" i="81"/>
  <c r="P106" i="81"/>
  <c r="P105" i="81"/>
  <c r="P104" i="81"/>
  <c r="P103" i="81"/>
  <c r="P102" i="81"/>
  <c r="P101" i="81"/>
  <c r="P100" i="81"/>
  <c r="P99" i="81"/>
  <c r="P98" i="81"/>
  <c r="P97" i="81"/>
  <c r="P96" i="81"/>
  <c r="P95" i="81"/>
  <c r="P94" i="81"/>
  <c r="P93" i="81"/>
  <c r="P92" i="81"/>
  <c r="P91" i="81"/>
  <c r="P90" i="81"/>
  <c r="P89" i="81"/>
  <c r="P88" i="81"/>
  <c r="P87" i="81"/>
  <c r="P86" i="81"/>
  <c r="P85" i="81"/>
  <c r="P84" i="81"/>
  <c r="P83" i="81"/>
  <c r="P82" i="81"/>
  <c r="P81" i="81"/>
  <c r="P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N4" i="81"/>
  <c r="N3" i="81"/>
  <c r="N2" i="81"/>
  <c r="N1" i="81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N4" i="80"/>
  <c r="N3" i="80"/>
  <c r="N2" i="80"/>
  <c r="N1" i="80"/>
  <c r="P26" i="79"/>
  <c r="P25" i="79"/>
  <c r="P24" i="79"/>
  <c r="P23" i="79"/>
  <c r="P22" i="79"/>
  <c r="P21" i="79"/>
  <c r="P20" i="79"/>
  <c r="N4" i="79"/>
  <c r="N3" i="79"/>
  <c r="N2" i="79"/>
  <c r="N1" i="79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N4" i="78"/>
  <c r="N3" i="78"/>
  <c r="N2" i="78"/>
  <c r="N1" i="78"/>
  <c r="P27" i="77"/>
  <c r="P26" i="77"/>
  <c r="P25" i="77"/>
  <c r="P24" i="77"/>
  <c r="P23" i="77"/>
  <c r="P22" i="77"/>
  <c r="P21" i="77"/>
  <c r="P20" i="77"/>
  <c r="N4" i="77"/>
  <c r="N3" i="77"/>
  <c r="N2" i="77"/>
  <c r="N1" i="77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N4" i="76"/>
  <c r="N3" i="76"/>
  <c r="N2" i="76"/>
  <c r="N1" i="76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N4" i="75"/>
  <c r="N3" i="75"/>
  <c r="N2" i="75"/>
  <c r="N1" i="75"/>
  <c r="P27" i="74"/>
  <c r="P26" i="74"/>
  <c r="P25" i="74"/>
  <c r="P24" i="74"/>
  <c r="P23" i="74"/>
  <c r="P22" i="74"/>
  <c r="P21" i="74"/>
  <c r="P20" i="74"/>
  <c r="N4" i="74"/>
  <c r="N3" i="74"/>
  <c r="N2" i="74"/>
  <c r="N1" i="74"/>
  <c r="P28" i="73"/>
  <c r="P27" i="73"/>
  <c r="P26" i="73"/>
  <c r="P25" i="73"/>
  <c r="P24" i="73"/>
  <c r="P23" i="73"/>
  <c r="P22" i="73"/>
  <c r="P21" i="73"/>
  <c r="P20" i="73"/>
  <c r="N4" i="73"/>
  <c r="N3" i="73"/>
  <c r="N2" i="73"/>
  <c r="N1" i="73"/>
  <c r="P31" i="72"/>
  <c r="P30" i="72"/>
  <c r="P29" i="72"/>
  <c r="P28" i="72"/>
  <c r="P27" i="72"/>
  <c r="P26" i="72"/>
  <c r="P25" i="72"/>
  <c r="P24" i="72"/>
  <c r="P23" i="72"/>
  <c r="P22" i="72"/>
  <c r="P21" i="72"/>
  <c r="P20" i="72"/>
  <c r="N4" i="72"/>
  <c r="N3" i="72"/>
  <c r="N2" i="72"/>
  <c r="N1" i="72"/>
  <c r="P28" i="71"/>
  <c r="P27" i="71"/>
  <c r="P26" i="71"/>
  <c r="P25" i="71"/>
  <c r="P24" i="71"/>
  <c r="P23" i="71"/>
  <c r="P22" i="71"/>
  <c r="P21" i="71"/>
  <c r="P20" i="71"/>
  <c r="N4" i="71"/>
  <c r="N3" i="71"/>
  <c r="N2" i="71"/>
  <c r="N1" i="71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N4" i="70"/>
  <c r="N3" i="70"/>
  <c r="N2" i="70"/>
  <c r="N1" i="70"/>
  <c r="P24" i="69"/>
  <c r="P23" i="69"/>
  <c r="P22" i="69"/>
  <c r="P21" i="69"/>
  <c r="P20" i="69"/>
  <c r="N4" i="69"/>
  <c r="N3" i="69"/>
  <c r="N2" i="69"/>
  <c r="N1" i="69"/>
  <c r="P74" i="68"/>
  <c r="P73" i="68"/>
  <c r="P72" i="68"/>
  <c r="P71" i="68"/>
  <c r="P70" i="68"/>
  <c r="P69" i="68"/>
  <c r="P68" i="68"/>
  <c r="P67" i="68"/>
  <c r="P66" i="68"/>
  <c r="P65" i="68"/>
  <c r="P64" i="68"/>
  <c r="P63" i="68"/>
  <c r="P62" i="68"/>
  <c r="P61" i="68"/>
  <c r="P60" i="68"/>
  <c r="P59" i="68"/>
  <c r="P58" i="68"/>
  <c r="P57" i="68"/>
  <c r="P56" i="68"/>
  <c r="P55" i="68"/>
  <c r="P54" i="68"/>
  <c r="P53" i="68"/>
  <c r="P52" i="68"/>
  <c r="P51" i="68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N4" i="68"/>
  <c r="N3" i="68"/>
  <c r="N2" i="68"/>
  <c r="N1" i="68"/>
  <c r="P28" i="67"/>
  <c r="P27" i="67"/>
  <c r="P26" i="67"/>
  <c r="P25" i="67"/>
  <c r="P24" i="67"/>
  <c r="P23" i="67"/>
  <c r="P22" i="67"/>
  <c r="P21" i="67"/>
  <c r="P20" i="67"/>
  <c r="N4" i="67"/>
  <c r="N3" i="67"/>
  <c r="N2" i="67"/>
  <c r="N1" i="67"/>
  <c r="P27" i="66"/>
  <c r="P26" i="66"/>
  <c r="P25" i="66"/>
  <c r="P24" i="66"/>
  <c r="P23" i="66"/>
  <c r="P22" i="66"/>
  <c r="P21" i="66"/>
  <c r="P20" i="66"/>
  <c r="N4" i="66"/>
  <c r="N3" i="66"/>
  <c r="N2" i="66"/>
  <c r="N1" i="66"/>
  <c r="P75" i="65"/>
  <c r="P74" i="65"/>
  <c r="P73" i="65"/>
  <c r="P72" i="65"/>
  <c r="P71" i="65"/>
  <c r="P70" i="65"/>
  <c r="P69" i="65"/>
  <c r="P68" i="65"/>
  <c r="P67" i="65"/>
  <c r="P66" i="65"/>
  <c r="P65" i="65"/>
  <c r="P64" i="65"/>
  <c r="P63" i="65"/>
  <c r="P62" i="65"/>
  <c r="P61" i="65"/>
  <c r="P60" i="65"/>
  <c r="P59" i="65"/>
  <c r="P58" i="65"/>
  <c r="P57" i="65"/>
  <c r="P56" i="65"/>
  <c r="P55" i="65"/>
  <c r="P54" i="65"/>
  <c r="P53" i="65"/>
  <c r="P52" i="65"/>
  <c r="P51" i="65"/>
  <c r="P50" i="65"/>
  <c r="P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N4" i="65"/>
  <c r="N3" i="65"/>
  <c r="N2" i="65"/>
  <c r="N1" i="65"/>
  <c r="P136" i="64"/>
  <c r="P135" i="64"/>
  <c r="P134" i="64"/>
  <c r="P133" i="64"/>
  <c r="P132" i="64"/>
  <c r="P131" i="64"/>
  <c r="P130" i="64"/>
  <c r="P129" i="64"/>
  <c r="P128" i="64"/>
  <c r="P127" i="64"/>
  <c r="P126" i="64"/>
  <c r="P125" i="64"/>
  <c r="P124" i="64"/>
  <c r="P123" i="64"/>
  <c r="P122" i="64"/>
  <c r="P121" i="64"/>
  <c r="P120" i="64"/>
  <c r="P119" i="64"/>
  <c r="P118" i="64"/>
  <c r="P117" i="64"/>
  <c r="P116" i="64"/>
  <c r="P115" i="64"/>
  <c r="P114" i="64"/>
  <c r="P113" i="64"/>
  <c r="P112" i="64"/>
  <c r="P111" i="64"/>
  <c r="P110" i="64"/>
  <c r="P109" i="64"/>
  <c r="P108" i="64"/>
  <c r="P107" i="64"/>
  <c r="P106" i="64"/>
  <c r="P105" i="64"/>
  <c r="P104" i="64"/>
  <c r="P103" i="64"/>
  <c r="P102" i="64"/>
  <c r="P101" i="64"/>
  <c r="P100" i="64"/>
  <c r="P99" i="64"/>
  <c r="P98" i="64"/>
  <c r="P97" i="64"/>
  <c r="P96" i="64"/>
  <c r="P95" i="64"/>
  <c r="P94" i="64"/>
  <c r="P93" i="64"/>
  <c r="P92" i="64"/>
  <c r="P91" i="64"/>
  <c r="P90" i="64"/>
  <c r="P89" i="64"/>
  <c r="P88" i="64"/>
  <c r="P87" i="64"/>
  <c r="P86" i="64"/>
  <c r="P85" i="64"/>
  <c r="P84" i="64"/>
  <c r="P83" i="64"/>
  <c r="P82" i="64"/>
  <c r="P81" i="64"/>
  <c r="P80" i="64"/>
  <c r="P79" i="64"/>
  <c r="P78" i="64"/>
  <c r="P77" i="64"/>
  <c r="P76" i="64"/>
  <c r="P75" i="64"/>
  <c r="P74" i="64"/>
  <c r="P73" i="64"/>
  <c r="P72" i="64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N4" i="64"/>
  <c r="N3" i="64"/>
  <c r="N2" i="64"/>
  <c r="N1" i="64"/>
  <c r="P256" i="63"/>
  <c r="P255" i="63"/>
  <c r="P254" i="63"/>
  <c r="P253" i="63"/>
  <c r="P252" i="63"/>
  <c r="P251" i="63"/>
  <c r="P250" i="63"/>
  <c r="P249" i="63"/>
  <c r="P248" i="63"/>
  <c r="P247" i="63"/>
  <c r="P246" i="63"/>
  <c r="P245" i="63"/>
  <c r="P244" i="63"/>
  <c r="P243" i="63"/>
  <c r="P242" i="63"/>
  <c r="P241" i="63"/>
  <c r="P240" i="63"/>
  <c r="P239" i="63"/>
  <c r="P238" i="63"/>
  <c r="P237" i="63"/>
  <c r="P236" i="63"/>
  <c r="P235" i="63"/>
  <c r="P234" i="63"/>
  <c r="P233" i="63"/>
  <c r="P232" i="63"/>
  <c r="P231" i="63"/>
  <c r="P230" i="63"/>
  <c r="P229" i="63"/>
  <c r="P228" i="63"/>
  <c r="P227" i="63"/>
  <c r="P226" i="63"/>
  <c r="P225" i="63"/>
  <c r="P224" i="63"/>
  <c r="P223" i="63"/>
  <c r="P222" i="63"/>
  <c r="P221" i="63"/>
  <c r="P220" i="63"/>
  <c r="P219" i="63"/>
  <c r="P218" i="63"/>
  <c r="P217" i="63"/>
  <c r="P216" i="63"/>
  <c r="P215" i="63"/>
  <c r="P214" i="63"/>
  <c r="P213" i="63"/>
  <c r="P212" i="63"/>
  <c r="P211" i="63"/>
  <c r="P210" i="63"/>
  <c r="P209" i="63"/>
  <c r="P208" i="63"/>
  <c r="P207" i="63"/>
  <c r="P206" i="63"/>
  <c r="P205" i="63"/>
  <c r="P204" i="63"/>
  <c r="P203" i="63"/>
  <c r="P202" i="63"/>
  <c r="P201" i="63"/>
  <c r="P200" i="63"/>
  <c r="P199" i="63"/>
  <c r="P198" i="63"/>
  <c r="P197" i="63"/>
  <c r="P196" i="63"/>
  <c r="P195" i="63"/>
  <c r="P194" i="63"/>
  <c r="P193" i="63"/>
  <c r="P192" i="63"/>
  <c r="P191" i="63"/>
  <c r="P190" i="63"/>
  <c r="P189" i="63"/>
  <c r="P188" i="63"/>
  <c r="P187" i="63"/>
  <c r="P186" i="63"/>
  <c r="P185" i="63"/>
  <c r="P184" i="63"/>
  <c r="P183" i="63"/>
  <c r="P182" i="63"/>
  <c r="P181" i="63"/>
  <c r="P180" i="63"/>
  <c r="P179" i="63"/>
  <c r="P178" i="63"/>
  <c r="P177" i="63"/>
  <c r="P176" i="63"/>
  <c r="P175" i="63"/>
  <c r="P174" i="63"/>
  <c r="P173" i="63"/>
  <c r="P172" i="63"/>
  <c r="P171" i="63"/>
  <c r="P170" i="63"/>
  <c r="P169" i="63"/>
  <c r="P168" i="63"/>
  <c r="P167" i="63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N4" i="63"/>
  <c r="N3" i="63"/>
  <c r="N2" i="63"/>
  <c r="N1" i="63"/>
  <c r="P126" i="62"/>
  <c r="P125" i="62"/>
  <c r="P124" i="62"/>
  <c r="P123" i="62"/>
  <c r="P122" i="62"/>
  <c r="P121" i="62"/>
  <c r="P120" i="62"/>
  <c r="P119" i="62"/>
  <c r="P118" i="62"/>
  <c r="P117" i="62"/>
  <c r="P116" i="62"/>
  <c r="P115" i="62"/>
  <c r="P114" i="62"/>
  <c r="P113" i="62"/>
  <c r="P112" i="62"/>
  <c r="P111" i="62"/>
  <c r="P110" i="62"/>
  <c r="P109" i="62"/>
  <c r="P108" i="62"/>
  <c r="P107" i="62"/>
  <c r="P106" i="62"/>
  <c r="P105" i="62"/>
  <c r="P104" i="62"/>
  <c r="P103" i="62"/>
  <c r="P102" i="62"/>
  <c r="P101" i="62"/>
  <c r="P100" i="62"/>
  <c r="P99" i="62"/>
  <c r="P98" i="62"/>
  <c r="P97" i="62"/>
  <c r="P96" i="62"/>
  <c r="P95" i="62"/>
  <c r="P94" i="62"/>
  <c r="P93" i="62"/>
  <c r="P92" i="62"/>
  <c r="P91" i="62"/>
  <c r="P89" i="62"/>
  <c r="P88" i="62"/>
  <c r="P87" i="62"/>
  <c r="P86" i="62"/>
  <c r="P85" i="62"/>
  <c r="P84" i="62"/>
  <c r="P83" i="62"/>
  <c r="P82" i="62"/>
  <c r="P81" i="62"/>
  <c r="P80" i="62"/>
  <c r="P79" i="62"/>
  <c r="P78" i="62"/>
  <c r="P77" i="62"/>
  <c r="P76" i="62"/>
  <c r="P75" i="62"/>
  <c r="P74" i="62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N4" i="62"/>
  <c r="N3" i="62"/>
  <c r="N2" i="62"/>
  <c r="N1" i="62"/>
  <c r="P78" i="61"/>
  <c r="P77" i="61"/>
  <c r="P76" i="61"/>
  <c r="P75" i="61"/>
  <c r="P74" i="61"/>
  <c r="P73" i="61"/>
  <c r="P72" i="61"/>
  <c r="P71" i="61"/>
  <c r="P70" i="61"/>
  <c r="P69" i="61"/>
  <c r="P68" i="61"/>
  <c r="P67" i="61"/>
  <c r="P66" i="61"/>
  <c r="P65" i="61"/>
  <c r="P64" i="61"/>
  <c r="P63" i="61"/>
  <c r="P62" i="61"/>
  <c r="P61" i="61"/>
  <c r="P60" i="61"/>
  <c r="P59" i="61"/>
  <c r="P58" i="61"/>
  <c r="P57" i="61"/>
  <c r="P56" i="61"/>
  <c r="P55" i="61"/>
  <c r="P54" i="6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N4" i="61"/>
  <c r="N3" i="61"/>
  <c r="N2" i="61"/>
  <c r="N1" i="61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N4" i="60"/>
  <c r="N3" i="60"/>
  <c r="N2" i="60"/>
  <c r="N1" i="60"/>
  <c r="P35" i="59"/>
  <c r="P34" i="59"/>
  <c r="P33" i="59"/>
  <c r="P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N4" i="59"/>
  <c r="N3" i="59"/>
  <c r="N2" i="59"/>
  <c r="N1" i="59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N4" i="58"/>
  <c r="N3" i="58"/>
  <c r="N2" i="58"/>
  <c r="N1" i="58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N4" i="57"/>
  <c r="N3" i="57"/>
  <c r="N2" i="57"/>
  <c r="N1" i="57"/>
  <c r="P25" i="56"/>
  <c r="P24" i="56"/>
  <c r="P23" i="56"/>
  <c r="P22" i="56"/>
  <c r="P21" i="56"/>
  <c r="P20" i="56"/>
  <c r="N4" i="56"/>
  <c r="N3" i="56"/>
  <c r="N2" i="56"/>
  <c r="N1" i="56"/>
  <c r="P86" i="55"/>
  <c r="P85" i="55"/>
  <c r="P84" i="55"/>
  <c r="P83" i="55"/>
  <c r="P82" i="55"/>
  <c r="P81" i="55"/>
  <c r="P80" i="55"/>
  <c r="P79" i="55"/>
  <c r="P78" i="55"/>
  <c r="P77" i="55"/>
  <c r="P76" i="55"/>
  <c r="P75" i="55"/>
  <c r="P74" i="55"/>
  <c r="P73" i="55"/>
  <c r="P72" i="55"/>
  <c r="P71" i="55"/>
  <c r="P70" i="55"/>
  <c r="P69" i="55"/>
  <c r="P68" i="55"/>
  <c r="P67" i="55"/>
  <c r="P66" i="55"/>
  <c r="P65" i="55"/>
  <c r="P64" i="55"/>
  <c r="P63" i="55"/>
  <c r="P62" i="55"/>
  <c r="P61" i="55"/>
  <c r="P60" i="55"/>
  <c r="P59" i="55"/>
  <c r="P58" i="55"/>
  <c r="P57" i="55"/>
  <c r="P56" i="55"/>
  <c r="P55" i="55"/>
  <c r="P54" i="55"/>
  <c r="P53" i="55"/>
  <c r="P52" i="55"/>
  <c r="P51" i="55"/>
  <c r="P50" i="55"/>
  <c r="P49" i="55"/>
  <c r="P48" i="55"/>
  <c r="P47" i="55"/>
  <c r="P46" i="55"/>
  <c r="P45" i="55"/>
  <c r="P44" i="55"/>
  <c r="P43" i="55"/>
  <c r="P42" i="55"/>
  <c r="P41" i="55"/>
  <c r="P40" i="55"/>
  <c r="P39" i="55"/>
  <c r="P38" i="55"/>
  <c r="P37" i="55"/>
  <c r="P36" i="55"/>
  <c r="P35" i="55"/>
  <c r="P34" i="55"/>
  <c r="P33" i="55"/>
  <c r="P32" i="55"/>
  <c r="P31" i="55"/>
  <c r="P30" i="55"/>
  <c r="P29" i="55"/>
  <c r="P28" i="55"/>
  <c r="P27" i="55"/>
  <c r="P26" i="55"/>
  <c r="P25" i="55"/>
  <c r="P24" i="55"/>
  <c r="P23" i="55"/>
  <c r="P22" i="55"/>
  <c r="P21" i="55"/>
  <c r="P20" i="55"/>
  <c r="N4" i="55"/>
  <c r="N3" i="55"/>
  <c r="N2" i="55"/>
  <c r="N1" i="55"/>
  <c r="P81" i="54"/>
  <c r="P80" i="54"/>
  <c r="P79" i="54"/>
  <c r="P78" i="54"/>
  <c r="P77" i="54"/>
  <c r="P76" i="54"/>
  <c r="P75" i="54"/>
  <c r="P74" i="54"/>
  <c r="P73" i="54"/>
  <c r="P72" i="54"/>
  <c r="P71" i="54"/>
  <c r="P70" i="54"/>
  <c r="P69" i="54"/>
  <c r="P68" i="54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N4" i="54"/>
  <c r="N3" i="54"/>
  <c r="N2" i="54"/>
  <c r="N1" i="54"/>
  <c r="P96" i="53"/>
  <c r="P95" i="53"/>
  <c r="P94" i="53"/>
  <c r="P93" i="53"/>
  <c r="P92" i="53"/>
  <c r="P91" i="53"/>
  <c r="P90" i="53"/>
  <c r="P89" i="53"/>
  <c r="P88" i="53"/>
  <c r="P87" i="53"/>
  <c r="P86" i="53"/>
  <c r="P85" i="53"/>
  <c r="P84" i="53"/>
  <c r="P83" i="53"/>
  <c r="P82" i="53"/>
  <c r="P81" i="53"/>
  <c r="P80" i="53"/>
  <c r="P79" i="53"/>
  <c r="P78" i="53"/>
  <c r="P77" i="53"/>
  <c r="P76" i="53"/>
  <c r="P75" i="53"/>
  <c r="P74" i="53"/>
  <c r="P73" i="53"/>
  <c r="P72" i="53"/>
  <c r="P71" i="53"/>
  <c r="P70" i="53"/>
  <c r="P69" i="53"/>
  <c r="P68" i="53"/>
  <c r="P67" i="53"/>
  <c r="P66" i="53"/>
  <c r="P65" i="53"/>
  <c r="P64" i="53"/>
  <c r="P63" i="53"/>
  <c r="P62" i="53"/>
  <c r="P61" i="53"/>
  <c r="P60" i="53"/>
  <c r="P59" i="53"/>
  <c r="P58" i="53"/>
  <c r="P57" i="53"/>
  <c r="P56" i="53"/>
  <c r="P55" i="53"/>
  <c r="P54" i="53"/>
  <c r="P53" i="53"/>
  <c r="P52" i="53"/>
  <c r="P51" i="53"/>
  <c r="P50" i="53"/>
  <c r="P49" i="53"/>
  <c r="P48" i="53"/>
  <c r="P47" i="53"/>
  <c r="P46" i="53"/>
  <c r="P45" i="53"/>
  <c r="P44" i="53"/>
  <c r="P43" i="53"/>
  <c r="P42" i="53"/>
  <c r="P41" i="53"/>
  <c r="P40" i="53"/>
  <c r="P39" i="53"/>
  <c r="P38" i="53"/>
  <c r="P37" i="53"/>
  <c r="P36" i="53"/>
  <c r="P35" i="53"/>
  <c r="P34" i="53"/>
  <c r="P33" i="53"/>
  <c r="P32" i="53"/>
  <c r="P31" i="53"/>
  <c r="P30" i="53"/>
  <c r="P29" i="53"/>
  <c r="P28" i="53"/>
  <c r="P27" i="53"/>
  <c r="P26" i="53"/>
  <c r="P25" i="53"/>
  <c r="P24" i="53"/>
  <c r="P23" i="53"/>
  <c r="P22" i="53"/>
  <c r="P21" i="53"/>
  <c r="P20" i="53"/>
  <c r="N4" i="53"/>
  <c r="N3" i="53"/>
  <c r="N2" i="53"/>
  <c r="N1" i="53"/>
  <c r="P25" i="52"/>
  <c r="P24" i="52"/>
  <c r="P23" i="52"/>
  <c r="P22" i="52"/>
  <c r="P21" i="52"/>
  <c r="P20" i="52"/>
  <c r="N4" i="52"/>
  <c r="N3" i="52"/>
  <c r="N2" i="52"/>
  <c r="N1" i="52"/>
  <c r="P32" i="51"/>
  <c r="P31" i="51"/>
  <c r="P30" i="51"/>
  <c r="P29" i="51"/>
  <c r="P28" i="51"/>
  <c r="P27" i="51"/>
  <c r="P26" i="51"/>
  <c r="P25" i="51"/>
  <c r="P24" i="51"/>
  <c r="P23" i="51"/>
  <c r="P22" i="51"/>
  <c r="P21" i="51"/>
  <c r="P20" i="51"/>
  <c r="N4" i="51"/>
  <c r="N3" i="51"/>
  <c r="N2" i="51"/>
  <c r="N1" i="51"/>
  <c r="P106" i="50"/>
  <c r="P105" i="50"/>
  <c r="P104" i="50"/>
  <c r="P103" i="50"/>
  <c r="P102" i="50"/>
  <c r="P101" i="50"/>
  <c r="P100" i="50"/>
  <c r="P99" i="50"/>
  <c r="P98" i="50"/>
  <c r="P97" i="50"/>
  <c r="P96" i="50"/>
  <c r="P95" i="50"/>
  <c r="P94" i="50"/>
  <c r="P93" i="50"/>
  <c r="P92" i="50"/>
  <c r="P91" i="50"/>
  <c r="P90" i="50"/>
  <c r="P89" i="50"/>
  <c r="P88" i="50"/>
  <c r="P87" i="50"/>
  <c r="P86" i="50"/>
  <c r="P85" i="50"/>
  <c r="P84" i="50"/>
  <c r="P83" i="50"/>
  <c r="P82" i="50"/>
  <c r="P81" i="50"/>
  <c r="P80" i="50"/>
  <c r="P79" i="50"/>
  <c r="P78" i="50"/>
  <c r="P77" i="50"/>
  <c r="P76" i="50"/>
  <c r="P75" i="50"/>
  <c r="P74" i="50"/>
  <c r="P73" i="50"/>
  <c r="P72" i="50"/>
  <c r="P71" i="50"/>
  <c r="P70" i="50"/>
  <c r="P69" i="50"/>
  <c r="P68" i="50"/>
  <c r="P67" i="50"/>
  <c r="P66" i="50"/>
  <c r="P65" i="50"/>
  <c r="P64" i="50"/>
  <c r="P63" i="50"/>
  <c r="P62" i="50"/>
  <c r="P61" i="50"/>
  <c r="P60" i="50"/>
  <c r="P59" i="50"/>
  <c r="P58" i="50"/>
  <c r="P57" i="50"/>
  <c r="P56" i="50"/>
  <c r="P55" i="50"/>
  <c r="P54" i="50"/>
  <c r="P53" i="50"/>
  <c r="P52" i="50"/>
  <c r="P51" i="50"/>
  <c r="P50" i="50"/>
  <c r="P49" i="50"/>
  <c r="P48" i="50"/>
  <c r="P47" i="50"/>
  <c r="P46" i="50"/>
  <c r="P45" i="50"/>
  <c r="P44" i="50"/>
  <c r="P43" i="50"/>
  <c r="P42" i="50"/>
  <c r="P41" i="50"/>
  <c r="P40" i="50"/>
  <c r="P39" i="50"/>
  <c r="P38" i="50"/>
  <c r="P37" i="50"/>
  <c r="P36" i="50"/>
  <c r="P35" i="50"/>
  <c r="P34" i="50"/>
  <c r="P33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N4" i="50"/>
  <c r="N3" i="50"/>
  <c r="N2" i="50"/>
  <c r="N1" i="50"/>
  <c r="P85" i="49"/>
  <c r="P84" i="49"/>
  <c r="P83" i="49"/>
  <c r="P82" i="49"/>
  <c r="P81" i="49"/>
  <c r="P80" i="49"/>
  <c r="P79" i="49"/>
  <c r="P78" i="49"/>
  <c r="P77" i="49"/>
  <c r="P76" i="49"/>
  <c r="P75" i="49"/>
  <c r="P74" i="49"/>
  <c r="P73" i="49"/>
  <c r="P72" i="49"/>
  <c r="P71" i="49"/>
  <c r="P70" i="49"/>
  <c r="P69" i="49"/>
  <c r="P68" i="49"/>
  <c r="P67" i="49"/>
  <c r="P66" i="49"/>
  <c r="P65" i="49"/>
  <c r="P64" i="49"/>
  <c r="P63" i="49"/>
  <c r="P62" i="49"/>
  <c r="P61" i="49"/>
  <c r="P60" i="49"/>
  <c r="P59" i="49"/>
  <c r="P58" i="49"/>
  <c r="P57" i="49"/>
  <c r="P56" i="49"/>
  <c r="P55" i="49"/>
  <c r="P54" i="49"/>
  <c r="P53" i="49"/>
  <c r="P52" i="49"/>
  <c r="P51" i="49"/>
  <c r="P50" i="49"/>
  <c r="P49" i="49"/>
  <c r="P48" i="49"/>
  <c r="P47" i="49"/>
  <c r="P46" i="49"/>
  <c r="P45" i="49"/>
  <c r="P44" i="49"/>
  <c r="P43" i="49"/>
  <c r="P42" i="49"/>
  <c r="P41" i="49"/>
  <c r="P40" i="49"/>
  <c r="P39" i="49"/>
  <c r="P38" i="49"/>
  <c r="P37" i="49"/>
  <c r="P36" i="49"/>
  <c r="P35" i="49"/>
  <c r="P34" i="49"/>
  <c r="P33" i="49"/>
  <c r="P32" i="49"/>
  <c r="P31" i="49"/>
  <c r="P30" i="49"/>
  <c r="P29" i="49"/>
  <c r="P28" i="49"/>
  <c r="P27" i="49"/>
  <c r="P26" i="49"/>
  <c r="P25" i="49"/>
  <c r="P24" i="49"/>
  <c r="P23" i="49"/>
  <c r="P22" i="49"/>
  <c r="P21" i="49"/>
  <c r="P20" i="49"/>
  <c r="N4" i="49"/>
  <c r="N3" i="49"/>
  <c r="N2" i="49"/>
  <c r="N1" i="49"/>
  <c r="P31" i="48"/>
  <c r="P30" i="48"/>
  <c r="P29" i="48"/>
  <c r="P28" i="48"/>
  <c r="P27" i="48"/>
  <c r="P26" i="48"/>
  <c r="P25" i="48"/>
  <c r="P24" i="48"/>
  <c r="P23" i="48"/>
  <c r="P22" i="48"/>
  <c r="P21" i="48"/>
  <c r="P20" i="48"/>
  <c r="N4" i="48"/>
  <c r="N3" i="48"/>
  <c r="N2" i="48"/>
  <c r="N1" i="48"/>
  <c r="P27" i="47"/>
  <c r="P26" i="47"/>
  <c r="P25" i="47"/>
  <c r="P24" i="47"/>
  <c r="P23" i="47"/>
  <c r="P22" i="47"/>
  <c r="P21" i="47"/>
  <c r="P20" i="47"/>
  <c r="N4" i="47"/>
  <c r="N3" i="47"/>
  <c r="N2" i="47"/>
  <c r="N1" i="47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N4" i="46"/>
  <c r="N3" i="46"/>
  <c r="N2" i="46"/>
  <c r="N1" i="46"/>
  <c r="P20" i="45"/>
  <c r="N4" i="45"/>
  <c r="N3" i="45"/>
  <c r="N2" i="45"/>
  <c r="N1" i="45"/>
  <c r="P77" i="44"/>
  <c r="P76" i="44"/>
  <c r="P75" i="44"/>
  <c r="P74" i="44"/>
  <c r="P73" i="44"/>
  <c r="P72" i="44"/>
  <c r="P71" i="44"/>
  <c r="P70" i="44"/>
  <c r="P69" i="44"/>
  <c r="P68" i="44"/>
  <c r="P67" i="44"/>
  <c r="P66" i="44"/>
  <c r="P65" i="44"/>
  <c r="P64" i="44"/>
  <c r="P63" i="44"/>
  <c r="P62" i="44"/>
  <c r="P61" i="44"/>
  <c r="P60" i="44"/>
  <c r="P59" i="44"/>
  <c r="P58" i="44"/>
  <c r="P57" i="44"/>
  <c r="P56" i="44"/>
  <c r="P55" i="44"/>
  <c r="P54" i="44"/>
  <c r="P53" i="44"/>
  <c r="P52" i="44"/>
  <c r="P51" i="44"/>
  <c r="P50" i="44"/>
  <c r="P49" i="44"/>
  <c r="P48" i="44"/>
  <c r="P47" i="44"/>
  <c r="P46" i="44"/>
  <c r="P45" i="44"/>
  <c r="P44" i="44"/>
  <c r="P43" i="44"/>
  <c r="P42" i="44"/>
  <c r="P41" i="44"/>
  <c r="P40" i="44"/>
  <c r="P39" i="44"/>
  <c r="P38" i="44"/>
  <c r="P37" i="44"/>
  <c r="P36" i="44"/>
  <c r="P35" i="44"/>
  <c r="P34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N4" i="44"/>
  <c r="N3" i="44"/>
  <c r="N2" i="44"/>
  <c r="N1" i="44"/>
  <c r="P72" i="43"/>
  <c r="P71" i="43"/>
  <c r="P70" i="43"/>
  <c r="P69" i="43"/>
  <c r="P68" i="43"/>
  <c r="P67" i="43"/>
  <c r="P66" i="43"/>
  <c r="P65" i="43"/>
  <c r="P64" i="43"/>
  <c r="P63" i="43"/>
  <c r="P62" i="43"/>
  <c r="P61" i="43"/>
  <c r="P60" i="43"/>
  <c r="P59" i="43"/>
  <c r="P58" i="43"/>
  <c r="P57" i="43"/>
  <c r="P56" i="43"/>
  <c r="P55" i="43"/>
  <c r="P54" i="43"/>
  <c r="P53" i="43"/>
  <c r="P52" i="43"/>
  <c r="P51" i="43"/>
  <c r="P50" i="43"/>
  <c r="P49" i="43"/>
  <c r="P48" i="43"/>
  <c r="P47" i="43"/>
  <c r="P46" i="43"/>
  <c r="P45" i="43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N4" i="43"/>
  <c r="N3" i="43"/>
  <c r="N2" i="43"/>
  <c r="N1" i="43"/>
  <c r="P28" i="42"/>
  <c r="P27" i="42"/>
  <c r="P26" i="42"/>
  <c r="P25" i="42"/>
  <c r="P24" i="42"/>
  <c r="P23" i="42"/>
  <c r="P22" i="42"/>
  <c r="P21" i="42"/>
  <c r="P20" i="42"/>
  <c r="N4" i="42"/>
  <c r="N3" i="42"/>
  <c r="N2" i="42"/>
  <c r="N1" i="42"/>
  <c r="P34" i="41"/>
  <c r="P33" i="41"/>
  <c r="P32" i="41"/>
  <c r="P31" i="41"/>
  <c r="P30" i="41"/>
  <c r="P29" i="41"/>
  <c r="P28" i="41"/>
  <c r="P27" i="41"/>
  <c r="P26" i="41"/>
  <c r="P25" i="41"/>
  <c r="P24" i="41"/>
  <c r="P23" i="41"/>
  <c r="P22" i="41"/>
  <c r="P21" i="41"/>
  <c r="P20" i="41"/>
  <c r="N4" i="41"/>
  <c r="N3" i="41"/>
  <c r="N2" i="41"/>
  <c r="N1" i="41"/>
  <c r="P33" i="40"/>
  <c r="P32" i="40"/>
  <c r="P31" i="40"/>
  <c r="P30" i="40"/>
  <c r="P29" i="40"/>
  <c r="P28" i="40"/>
  <c r="P27" i="40"/>
  <c r="P26" i="40"/>
  <c r="P25" i="40"/>
  <c r="P24" i="40"/>
  <c r="P23" i="40"/>
  <c r="P22" i="40"/>
  <c r="P21" i="40"/>
  <c r="P20" i="40"/>
  <c r="N4" i="40"/>
  <c r="N3" i="40"/>
  <c r="N2" i="40"/>
  <c r="N1" i="40"/>
  <c r="P47" i="39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N4" i="39"/>
  <c r="N3" i="39"/>
  <c r="N2" i="39"/>
  <c r="N1" i="39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N4" i="38"/>
  <c r="N3" i="38"/>
  <c r="N2" i="38"/>
  <c r="N1" i="38"/>
  <c r="P99" i="37"/>
  <c r="P98" i="37"/>
  <c r="P97" i="37"/>
  <c r="P96" i="37"/>
  <c r="P95" i="37"/>
  <c r="P94" i="37"/>
  <c r="P93" i="37"/>
  <c r="P92" i="37"/>
  <c r="P91" i="37"/>
  <c r="P90" i="37"/>
  <c r="P89" i="37"/>
  <c r="P88" i="37"/>
  <c r="P87" i="37"/>
  <c r="P86" i="37"/>
  <c r="P85" i="37"/>
  <c r="P84" i="37"/>
  <c r="P83" i="37"/>
  <c r="P82" i="37"/>
  <c r="P81" i="37"/>
  <c r="P80" i="37"/>
  <c r="P79" i="37"/>
  <c r="P78" i="37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N4" i="37"/>
  <c r="N3" i="37"/>
  <c r="N2" i="37"/>
  <c r="N1" i="37"/>
  <c r="P52" i="36"/>
  <c r="P51" i="36"/>
  <c r="P50" i="36"/>
  <c r="P49" i="36"/>
  <c r="P48" i="36"/>
  <c r="P47" i="36"/>
  <c r="P46" i="36"/>
  <c r="P45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N4" i="36"/>
  <c r="N3" i="36"/>
  <c r="N2" i="36"/>
  <c r="N1" i="36"/>
  <c r="P36" i="35"/>
  <c r="P35" i="35"/>
  <c r="P34" i="35"/>
  <c r="P33" i="35"/>
  <c r="P32" i="35"/>
  <c r="P31" i="35"/>
  <c r="P30" i="35"/>
  <c r="P29" i="35"/>
  <c r="P28" i="35"/>
  <c r="P27" i="35"/>
  <c r="P26" i="35"/>
  <c r="P25" i="35"/>
  <c r="P24" i="35"/>
  <c r="P23" i="35"/>
  <c r="P22" i="35"/>
  <c r="P21" i="35"/>
  <c r="P20" i="35"/>
  <c r="N4" i="35"/>
  <c r="N3" i="35"/>
  <c r="N2" i="35"/>
  <c r="N1" i="35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N4" i="34"/>
  <c r="N3" i="34"/>
  <c r="N2" i="34"/>
  <c r="N1" i="34"/>
  <c r="P64" i="33"/>
  <c r="P63" i="33"/>
  <c r="P62" i="33"/>
  <c r="P61" i="33"/>
  <c r="P60" i="33"/>
  <c r="P59" i="33"/>
  <c r="P58" i="33"/>
  <c r="P57" i="33"/>
  <c r="P56" i="33"/>
  <c r="P55" i="33"/>
  <c r="P54" i="33"/>
  <c r="P53" i="33"/>
  <c r="P52" i="33"/>
  <c r="P51" i="33"/>
  <c r="P50" i="33"/>
  <c r="P49" i="33"/>
  <c r="P48" i="33"/>
  <c r="P47" i="33"/>
  <c r="P46" i="33"/>
  <c r="P45" i="33"/>
  <c r="P44" i="33"/>
  <c r="P43" i="33"/>
  <c r="P42" i="33"/>
  <c r="P41" i="33"/>
  <c r="P40" i="33"/>
  <c r="P39" i="33"/>
  <c r="P38" i="33"/>
  <c r="P37" i="33"/>
  <c r="P36" i="33"/>
  <c r="P35" i="33"/>
  <c r="P34" i="33"/>
  <c r="P33" i="33"/>
  <c r="P3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N4" i="33"/>
  <c r="N3" i="33"/>
  <c r="N2" i="33"/>
  <c r="N1" i="33"/>
  <c r="P52" i="32"/>
  <c r="P51" i="32"/>
  <c r="P50" i="32"/>
  <c r="P49" i="32"/>
  <c r="P48" i="32"/>
  <c r="P47" i="32"/>
  <c r="P46" i="32"/>
  <c r="P45" i="32"/>
  <c r="P44" i="32"/>
  <c r="P43" i="32"/>
  <c r="P42" i="32"/>
  <c r="P41" i="32"/>
  <c r="P40" i="32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N4" i="32"/>
  <c r="N3" i="32"/>
  <c r="N2" i="32"/>
  <c r="N1" i="32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6" i="31"/>
  <c r="P65" i="31"/>
  <c r="P64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N4" i="31"/>
  <c r="N3" i="31"/>
  <c r="N2" i="31"/>
  <c r="N1" i="31"/>
  <c r="P140" i="30"/>
  <c r="P139" i="30"/>
  <c r="P138" i="30"/>
  <c r="P137" i="30"/>
  <c r="P136" i="30"/>
  <c r="P135" i="30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P114" i="30"/>
  <c r="P113" i="30"/>
  <c r="P112" i="30"/>
  <c r="P111" i="30"/>
  <c r="P110" i="30"/>
  <c r="P109" i="30"/>
  <c r="P108" i="30"/>
  <c r="P107" i="30"/>
  <c r="P106" i="30"/>
  <c r="P105" i="30"/>
  <c r="P104" i="30"/>
  <c r="P103" i="30"/>
  <c r="P102" i="30"/>
  <c r="P101" i="30"/>
  <c r="P100" i="30"/>
  <c r="P99" i="30"/>
  <c r="P98" i="30"/>
  <c r="P97" i="30"/>
  <c r="P96" i="30"/>
  <c r="P95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N4" i="30"/>
  <c r="N3" i="30"/>
  <c r="N2" i="30"/>
  <c r="N1" i="30"/>
  <c r="P206" i="29"/>
  <c r="P205" i="29"/>
  <c r="P204" i="29"/>
  <c r="P203" i="29"/>
  <c r="P202" i="29"/>
  <c r="P201" i="29"/>
  <c r="P200" i="29"/>
  <c r="P199" i="29"/>
  <c r="P198" i="29"/>
  <c r="P197" i="29"/>
  <c r="P196" i="29"/>
  <c r="P195" i="29"/>
  <c r="P194" i="29"/>
  <c r="P193" i="29"/>
  <c r="P192" i="29"/>
  <c r="P191" i="29"/>
  <c r="P190" i="29"/>
  <c r="P189" i="29"/>
  <c r="P188" i="29"/>
  <c r="P187" i="29"/>
  <c r="P186" i="29"/>
  <c r="P185" i="29"/>
  <c r="P184" i="29"/>
  <c r="P183" i="29"/>
  <c r="P182" i="29"/>
  <c r="P181" i="29"/>
  <c r="P180" i="29"/>
  <c r="P179" i="29"/>
  <c r="P178" i="29"/>
  <c r="P177" i="29"/>
  <c r="P176" i="29"/>
  <c r="P175" i="29"/>
  <c r="P174" i="29"/>
  <c r="P173" i="29"/>
  <c r="P172" i="29"/>
  <c r="P171" i="29"/>
  <c r="P170" i="29"/>
  <c r="P169" i="29"/>
  <c r="P168" i="29"/>
  <c r="P167" i="29"/>
  <c r="P166" i="29"/>
  <c r="P165" i="29"/>
  <c r="P164" i="29"/>
  <c r="P163" i="29"/>
  <c r="P162" i="29"/>
  <c r="P161" i="29"/>
  <c r="P160" i="29"/>
  <c r="P159" i="29"/>
  <c r="P158" i="29"/>
  <c r="P157" i="29"/>
  <c r="P156" i="29"/>
  <c r="P155" i="29"/>
  <c r="P154" i="29"/>
  <c r="P153" i="29"/>
  <c r="P152" i="29"/>
  <c r="P151" i="29"/>
  <c r="P150" i="29"/>
  <c r="P149" i="29"/>
  <c r="P148" i="29"/>
  <c r="P147" i="29"/>
  <c r="P146" i="29"/>
  <c r="P145" i="29"/>
  <c r="P144" i="29"/>
  <c r="P143" i="29"/>
  <c r="P142" i="29"/>
  <c r="P141" i="29"/>
  <c r="P140" i="29"/>
  <c r="P139" i="29"/>
  <c r="P138" i="29"/>
  <c r="P137" i="29"/>
  <c r="P136" i="29"/>
  <c r="P135" i="29"/>
  <c r="P134" i="29"/>
  <c r="P133" i="29"/>
  <c r="P132" i="29"/>
  <c r="P131" i="29"/>
  <c r="P130" i="29"/>
  <c r="P129" i="29"/>
  <c r="P128" i="29"/>
  <c r="P127" i="29"/>
  <c r="P126" i="29"/>
  <c r="P125" i="29"/>
  <c r="P124" i="29"/>
  <c r="P123" i="29"/>
  <c r="P122" i="29"/>
  <c r="P121" i="29"/>
  <c r="P120" i="29"/>
  <c r="P119" i="29"/>
  <c r="P118" i="29"/>
  <c r="P117" i="29"/>
  <c r="P116" i="29"/>
  <c r="P115" i="29"/>
  <c r="P114" i="29"/>
  <c r="P113" i="29"/>
  <c r="P112" i="29"/>
  <c r="P111" i="29"/>
  <c r="P110" i="29"/>
  <c r="P109" i="29"/>
  <c r="P108" i="29"/>
  <c r="P107" i="29"/>
  <c r="P106" i="29"/>
  <c r="P105" i="29"/>
  <c r="P104" i="29"/>
  <c r="P103" i="29"/>
  <c r="P102" i="29"/>
  <c r="P101" i="29"/>
  <c r="P100" i="29"/>
  <c r="P99" i="29"/>
  <c r="P98" i="29"/>
  <c r="P97" i="29"/>
  <c r="P96" i="29"/>
  <c r="P95" i="29"/>
  <c r="P94" i="29"/>
  <c r="P93" i="29"/>
  <c r="P92" i="29"/>
  <c r="P91" i="29"/>
  <c r="P90" i="29"/>
  <c r="P89" i="29"/>
  <c r="P88" i="29"/>
  <c r="P87" i="29"/>
  <c r="P86" i="29"/>
  <c r="P85" i="29"/>
  <c r="P84" i="29"/>
  <c r="P83" i="29"/>
  <c r="P82" i="29"/>
  <c r="P81" i="29"/>
  <c r="P80" i="29"/>
  <c r="P79" i="29"/>
  <c r="P78" i="29"/>
  <c r="P77" i="29"/>
  <c r="P76" i="29"/>
  <c r="P75" i="29"/>
  <c r="P74" i="29"/>
  <c r="P73" i="29"/>
  <c r="P72" i="29"/>
  <c r="P71" i="29"/>
  <c r="P70" i="29"/>
  <c r="P69" i="29"/>
  <c r="P68" i="29"/>
  <c r="P67" i="29"/>
  <c r="P66" i="29"/>
  <c r="P65" i="29"/>
  <c r="P64" i="29"/>
  <c r="P63" i="29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7" i="29"/>
  <c r="P26" i="29"/>
  <c r="P25" i="29"/>
  <c r="P24" i="29"/>
  <c r="P23" i="29"/>
  <c r="P22" i="29"/>
  <c r="P21" i="29"/>
  <c r="P20" i="29"/>
  <c r="N4" i="29"/>
  <c r="N3" i="29"/>
  <c r="N2" i="29"/>
  <c r="N1" i="29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N4" i="28"/>
  <c r="N3" i="28"/>
  <c r="N2" i="28"/>
  <c r="N1" i="28"/>
  <c r="P43" i="27"/>
  <c r="P42" i="27"/>
  <c r="P41" i="27"/>
  <c r="P40" i="27"/>
  <c r="P39" i="27"/>
  <c r="P38" i="27"/>
  <c r="P37" i="27"/>
  <c r="P36" i="27"/>
  <c r="P35" i="27"/>
  <c r="P34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N4" i="27"/>
  <c r="N3" i="27"/>
  <c r="N2" i="27"/>
  <c r="N1" i="27"/>
  <c r="P288" i="26"/>
  <c r="P287" i="26"/>
  <c r="P286" i="26"/>
  <c r="P285" i="26"/>
  <c r="P284" i="26"/>
  <c r="P283" i="26"/>
  <c r="P282" i="26"/>
  <c r="P281" i="26"/>
  <c r="P280" i="26"/>
  <c r="P279" i="26"/>
  <c r="P278" i="26"/>
  <c r="P277" i="26"/>
  <c r="P276" i="26"/>
  <c r="P275" i="26"/>
  <c r="P274" i="26"/>
  <c r="P273" i="26"/>
  <c r="P272" i="26"/>
  <c r="P271" i="26"/>
  <c r="P270" i="26"/>
  <c r="P269" i="26"/>
  <c r="P268" i="26"/>
  <c r="P267" i="26"/>
  <c r="P266" i="26"/>
  <c r="P265" i="26"/>
  <c r="P264" i="26"/>
  <c r="P263" i="26"/>
  <c r="P262" i="26"/>
  <c r="P261" i="26"/>
  <c r="P260" i="26"/>
  <c r="P259" i="26"/>
  <c r="P258" i="26"/>
  <c r="P257" i="26"/>
  <c r="P256" i="26"/>
  <c r="P255" i="26"/>
  <c r="P254" i="26"/>
  <c r="P253" i="26"/>
  <c r="P252" i="26"/>
  <c r="P251" i="26"/>
  <c r="P250" i="26"/>
  <c r="P249" i="26"/>
  <c r="P248" i="26"/>
  <c r="P247" i="26"/>
  <c r="P246" i="26"/>
  <c r="P245" i="26"/>
  <c r="P244" i="26"/>
  <c r="P243" i="26"/>
  <c r="P242" i="26"/>
  <c r="P241" i="26"/>
  <c r="P240" i="26"/>
  <c r="P239" i="26"/>
  <c r="P238" i="26"/>
  <c r="P237" i="26"/>
  <c r="P236" i="26"/>
  <c r="P235" i="26"/>
  <c r="P234" i="26"/>
  <c r="P233" i="26"/>
  <c r="P232" i="26"/>
  <c r="P231" i="26"/>
  <c r="P230" i="26"/>
  <c r="P229" i="26"/>
  <c r="P228" i="26"/>
  <c r="P227" i="26"/>
  <c r="P226" i="26"/>
  <c r="P225" i="26"/>
  <c r="P224" i="26"/>
  <c r="P223" i="26"/>
  <c r="P222" i="26"/>
  <c r="P221" i="26"/>
  <c r="P220" i="26"/>
  <c r="P219" i="26"/>
  <c r="P218" i="26"/>
  <c r="P217" i="26"/>
  <c r="P216" i="26"/>
  <c r="P215" i="26"/>
  <c r="P214" i="26"/>
  <c r="P213" i="26"/>
  <c r="P212" i="26"/>
  <c r="P211" i="26"/>
  <c r="P210" i="26"/>
  <c r="P209" i="26"/>
  <c r="P208" i="26"/>
  <c r="P207" i="26"/>
  <c r="P206" i="26"/>
  <c r="P205" i="26"/>
  <c r="P204" i="26"/>
  <c r="P203" i="26"/>
  <c r="P202" i="26"/>
  <c r="P201" i="26"/>
  <c r="P200" i="26"/>
  <c r="P199" i="26"/>
  <c r="P198" i="26"/>
  <c r="P197" i="26"/>
  <c r="P196" i="26"/>
  <c r="P195" i="26"/>
  <c r="P194" i="26"/>
  <c r="P193" i="26"/>
  <c r="P192" i="26"/>
  <c r="P191" i="26"/>
  <c r="P190" i="26"/>
  <c r="P189" i="26"/>
  <c r="P188" i="26"/>
  <c r="P187" i="26"/>
  <c r="P186" i="26"/>
  <c r="P185" i="26"/>
  <c r="P184" i="26"/>
  <c r="P183" i="26"/>
  <c r="P182" i="26"/>
  <c r="P181" i="26"/>
  <c r="P180" i="26"/>
  <c r="P179" i="26"/>
  <c r="P178" i="26"/>
  <c r="P177" i="26"/>
  <c r="P176" i="26"/>
  <c r="P175" i="26"/>
  <c r="P174" i="26"/>
  <c r="P173" i="26"/>
  <c r="P172" i="26"/>
  <c r="P171" i="26"/>
  <c r="P170" i="26"/>
  <c r="P169" i="26"/>
  <c r="P168" i="26"/>
  <c r="P167" i="26"/>
  <c r="P166" i="26"/>
  <c r="P165" i="26"/>
  <c r="P164" i="26"/>
  <c r="P163" i="26"/>
  <c r="P162" i="26"/>
  <c r="P161" i="26"/>
  <c r="P160" i="26"/>
  <c r="P159" i="26"/>
  <c r="P158" i="26"/>
  <c r="P157" i="26"/>
  <c r="P156" i="26"/>
  <c r="P155" i="26"/>
  <c r="P154" i="26"/>
  <c r="P153" i="26"/>
  <c r="P152" i="26"/>
  <c r="P151" i="26"/>
  <c r="P150" i="26"/>
  <c r="P149" i="26"/>
  <c r="P148" i="26"/>
  <c r="P147" i="26"/>
  <c r="P146" i="26"/>
  <c r="P145" i="26"/>
  <c r="P144" i="26"/>
  <c r="P143" i="26"/>
  <c r="P142" i="26"/>
  <c r="P141" i="26"/>
  <c r="P140" i="26"/>
  <c r="P139" i="26"/>
  <c r="P138" i="26"/>
  <c r="P137" i="26"/>
  <c r="P136" i="26"/>
  <c r="P135" i="26"/>
  <c r="P134" i="26"/>
  <c r="P133" i="26"/>
  <c r="P132" i="26"/>
  <c r="P131" i="26"/>
  <c r="P130" i="26"/>
  <c r="P129" i="26"/>
  <c r="P128" i="26"/>
  <c r="P127" i="26"/>
  <c r="P126" i="26"/>
  <c r="P125" i="26"/>
  <c r="P124" i="26"/>
  <c r="P123" i="26"/>
  <c r="P122" i="26"/>
  <c r="P121" i="26"/>
  <c r="P120" i="26"/>
  <c r="P119" i="26"/>
  <c r="P118" i="26"/>
  <c r="P117" i="26"/>
  <c r="P116" i="26"/>
  <c r="P115" i="26"/>
  <c r="P114" i="26"/>
  <c r="P113" i="26"/>
  <c r="P112" i="26"/>
  <c r="P111" i="26"/>
  <c r="P110" i="26"/>
  <c r="P109" i="26"/>
  <c r="P108" i="26"/>
  <c r="P107" i="26"/>
  <c r="P106" i="26"/>
  <c r="P105" i="26"/>
  <c r="P104" i="26"/>
  <c r="P103" i="26"/>
  <c r="P102" i="26"/>
  <c r="P101" i="26"/>
  <c r="P100" i="26"/>
  <c r="P99" i="26"/>
  <c r="P98" i="26"/>
  <c r="P97" i="26"/>
  <c r="P96" i="26"/>
  <c r="P95" i="26"/>
  <c r="P94" i="26"/>
  <c r="P93" i="26"/>
  <c r="P92" i="26"/>
  <c r="P91" i="26"/>
  <c r="P90" i="26"/>
  <c r="P89" i="26"/>
  <c r="P88" i="26"/>
  <c r="P87" i="26"/>
  <c r="P86" i="26"/>
  <c r="P85" i="26"/>
  <c r="P84" i="26"/>
  <c r="P83" i="26"/>
  <c r="P82" i="26"/>
  <c r="P81" i="26"/>
  <c r="P80" i="26"/>
  <c r="P79" i="26"/>
  <c r="P78" i="26"/>
  <c r="P77" i="26"/>
  <c r="P76" i="26"/>
  <c r="P75" i="26"/>
  <c r="P74" i="26"/>
  <c r="P73" i="26"/>
  <c r="P72" i="26"/>
  <c r="P71" i="26"/>
  <c r="P70" i="26"/>
  <c r="P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N4" i="26"/>
  <c r="N3" i="26"/>
  <c r="N2" i="26"/>
  <c r="N1" i="26"/>
  <c r="P112" i="25"/>
  <c r="P111" i="25"/>
  <c r="P110" i="25"/>
  <c r="P109" i="25"/>
  <c r="P108" i="25"/>
  <c r="P107" i="25"/>
  <c r="P106" i="25"/>
  <c r="P105" i="25"/>
  <c r="P104" i="25"/>
  <c r="P103" i="25"/>
  <c r="P102" i="25"/>
  <c r="P101" i="25"/>
  <c r="P100" i="25"/>
  <c r="P99" i="25"/>
  <c r="P98" i="25"/>
  <c r="P97" i="25"/>
  <c r="P96" i="25"/>
  <c r="P95" i="25"/>
  <c r="P94" i="25"/>
  <c r="P93" i="25"/>
  <c r="P92" i="25"/>
  <c r="P91" i="25"/>
  <c r="P90" i="25"/>
  <c r="P89" i="25"/>
  <c r="P88" i="25"/>
  <c r="P87" i="25"/>
  <c r="P86" i="25"/>
  <c r="P85" i="25"/>
  <c r="P84" i="25"/>
  <c r="P83" i="25"/>
  <c r="P82" i="25"/>
  <c r="P81" i="25"/>
  <c r="P80" i="25"/>
  <c r="P79" i="25"/>
  <c r="P78" i="25"/>
  <c r="P77" i="25"/>
  <c r="P76" i="25"/>
  <c r="P75" i="25"/>
  <c r="P74" i="25"/>
  <c r="P73" i="25"/>
  <c r="P72" i="25"/>
  <c r="P71" i="25"/>
  <c r="P70" i="25"/>
  <c r="P69" i="25"/>
  <c r="P68" i="25"/>
  <c r="P67" i="25"/>
  <c r="P66" i="25"/>
  <c r="P65" i="25"/>
  <c r="P64" i="25"/>
  <c r="P63" i="25"/>
  <c r="P62" i="25"/>
  <c r="P61" i="25"/>
  <c r="P60" i="25"/>
  <c r="P59" i="25"/>
  <c r="P58" i="25"/>
  <c r="P57" i="25"/>
  <c r="P56" i="25"/>
  <c r="P55" i="25"/>
  <c r="P54" i="25"/>
  <c r="P53" i="25"/>
  <c r="P52" i="25"/>
  <c r="P51" i="25"/>
  <c r="P50" i="25"/>
  <c r="P49" i="25"/>
  <c r="P48" i="25"/>
  <c r="P47" i="25"/>
  <c r="P46" i="25"/>
  <c r="P45" i="25"/>
  <c r="P44" i="25"/>
  <c r="P43" i="25"/>
  <c r="P42" i="25"/>
  <c r="P41" i="25"/>
  <c r="P40" i="25"/>
  <c r="P39" i="25"/>
  <c r="P38" i="25"/>
  <c r="P37" i="25"/>
  <c r="P36" i="25"/>
  <c r="P35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2" i="25"/>
  <c r="P21" i="25"/>
  <c r="P20" i="25"/>
  <c r="N4" i="25"/>
  <c r="N3" i="25"/>
  <c r="N2" i="25"/>
  <c r="N1" i="25"/>
  <c r="P130" i="24"/>
  <c r="P129" i="24"/>
  <c r="P128" i="24"/>
  <c r="P127" i="24"/>
  <c r="P126" i="24"/>
  <c r="P125" i="24"/>
  <c r="P124" i="24"/>
  <c r="P123" i="24"/>
  <c r="P122" i="24"/>
  <c r="P121" i="24"/>
  <c r="P120" i="24"/>
  <c r="P119" i="24"/>
  <c r="P118" i="24"/>
  <c r="P117" i="24"/>
  <c r="P116" i="24"/>
  <c r="P115" i="24"/>
  <c r="P114" i="24"/>
  <c r="P113" i="24"/>
  <c r="P112" i="24"/>
  <c r="P111" i="24"/>
  <c r="P110" i="24"/>
  <c r="P109" i="24"/>
  <c r="P108" i="24"/>
  <c r="P107" i="24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N4" i="24"/>
  <c r="N3" i="24"/>
  <c r="N2" i="24"/>
  <c r="N1" i="24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N4" i="23"/>
  <c r="N3" i="23"/>
  <c r="N2" i="23"/>
  <c r="N1" i="23"/>
  <c r="P168" i="22"/>
  <c r="P167" i="22"/>
  <c r="P166" i="22"/>
  <c r="P165" i="22"/>
  <c r="P164" i="22"/>
  <c r="P163" i="22"/>
  <c r="P162" i="22"/>
  <c r="P161" i="22"/>
  <c r="P160" i="22"/>
  <c r="P159" i="22"/>
  <c r="P158" i="22"/>
  <c r="P157" i="22"/>
  <c r="P156" i="22"/>
  <c r="P155" i="22"/>
  <c r="P154" i="22"/>
  <c r="P153" i="22"/>
  <c r="P152" i="22"/>
  <c r="P151" i="22"/>
  <c r="P150" i="22"/>
  <c r="P149" i="22"/>
  <c r="P148" i="22"/>
  <c r="P147" i="22"/>
  <c r="P146" i="22"/>
  <c r="P145" i="22"/>
  <c r="P144" i="22"/>
  <c r="P143" i="22"/>
  <c r="P142" i="22"/>
  <c r="P141" i="22"/>
  <c r="P140" i="22"/>
  <c r="P139" i="22"/>
  <c r="P138" i="22"/>
  <c r="P137" i="22"/>
  <c r="P136" i="22"/>
  <c r="P135" i="22"/>
  <c r="P134" i="22"/>
  <c r="P133" i="22"/>
  <c r="P132" i="22"/>
  <c r="P131" i="22"/>
  <c r="P130" i="22"/>
  <c r="P129" i="22"/>
  <c r="P128" i="22"/>
  <c r="P127" i="22"/>
  <c r="P126" i="22"/>
  <c r="P125" i="22"/>
  <c r="P124" i="22"/>
  <c r="P123" i="22"/>
  <c r="P122" i="22"/>
  <c r="P121" i="22"/>
  <c r="P120" i="22"/>
  <c r="P119" i="22"/>
  <c r="P118" i="22"/>
  <c r="P117" i="22"/>
  <c r="P116" i="22"/>
  <c r="P115" i="22"/>
  <c r="P114" i="22"/>
  <c r="P113" i="22"/>
  <c r="P112" i="22"/>
  <c r="P111" i="22"/>
  <c r="P110" i="22"/>
  <c r="P109" i="22"/>
  <c r="P108" i="22"/>
  <c r="P107" i="22"/>
  <c r="P106" i="22"/>
  <c r="P105" i="22"/>
  <c r="P104" i="22"/>
  <c r="P103" i="22"/>
  <c r="P102" i="22"/>
  <c r="P101" i="22"/>
  <c r="P100" i="22"/>
  <c r="P99" i="22"/>
  <c r="P98" i="22"/>
  <c r="P97" i="22"/>
  <c r="P96" i="22"/>
  <c r="P95" i="22"/>
  <c r="P94" i="22"/>
  <c r="P93" i="22"/>
  <c r="P92" i="22"/>
  <c r="P91" i="22"/>
  <c r="P90" i="22"/>
  <c r="P89" i="22"/>
  <c r="P88" i="22"/>
  <c r="P87" i="22"/>
  <c r="P86" i="22"/>
  <c r="P85" i="22"/>
  <c r="P84" i="22"/>
  <c r="P83" i="22"/>
  <c r="P82" i="22"/>
  <c r="P81" i="22"/>
  <c r="P80" i="22"/>
  <c r="P79" i="22"/>
  <c r="P78" i="22"/>
  <c r="P77" i="22"/>
  <c r="P76" i="22"/>
  <c r="P75" i="22"/>
  <c r="P74" i="22"/>
  <c r="P73" i="22"/>
  <c r="P72" i="22"/>
  <c r="P71" i="22"/>
  <c r="P70" i="22"/>
  <c r="P69" i="22"/>
  <c r="P68" i="22"/>
  <c r="P67" i="22"/>
  <c r="P66" i="22"/>
  <c r="P65" i="22"/>
  <c r="P64" i="22"/>
  <c r="P63" i="22"/>
  <c r="P62" i="22"/>
  <c r="P61" i="22"/>
  <c r="P60" i="22"/>
  <c r="P59" i="22"/>
  <c r="P58" i="22"/>
  <c r="P57" i="22"/>
  <c r="P56" i="22"/>
  <c r="P55" i="22"/>
  <c r="P54" i="22"/>
  <c r="P53" i="22"/>
  <c r="P52" i="22"/>
  <c r="P51" i="22"/>
  <c r="P50" i="22"/>
  <c r="P49" i="22"/>
  <c r="P48" i="22"/>
  <c r="P47" i="22"/>
  <c r="P46" i="22"/>
  <c r="P45" i="22"/>
  <c r="P44" i="22"/>
  <c r="P43" i="22"/>
  <c r="P42" i="22"/>
  <c r="P41" i="22"/>
  <c r="P40" i="22"/>
  <c r="P39" i="22"/>
  <c r="P38" i="22"/>
  <c r="P37" i="22"/>
  <c r="P36" i="22"/>
  <c r="P35" i="22"/>
  <c r="P34" i="22"/>
  <c r="P33" i="22"/>
  <c r="P32" i="22"/>
  <c r="P31" i="22"/>
  <c r="P30" i="22"/>
  <c r="P29" i="22"/>
  <c r="P28" i="22"/>
  <c r="P27" i="22"/>
  <c r="P26" i="22"/>
  <c r="P25" i="22"/>
  <c r="P24" i="22"/>
  <c r="P23" i="22"/>
  <c r="P22" i="22"/>
  <c r="P21" i="22"/>
  <c r="P20" i="22"/>
  <c r="N4" i="22"/>
  <c r="N3" i="22"/>
  <c r="N2" i="22"/>
  <c r="N1" i="22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N4" i="21"/>
  <c r="N3" i="21"/>
  <c r="N2" i="21"/>
  <c r="N1" i="21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N4" i="20"/>
  <c r="N3" i="20"/>
  <c r="N2" i="20"/>
  <c r="N1" i="20"/>
  <c r="P316" i="19"/>
  <c r="P315" i="19"/>
  <c r="P314" i="19"/>
  <c r="P313" i="19"/>
  <c r="P312" i="19"/>
  <c r="P311" i="19"/>
  <c r="P310" i="19"/>
  <c r="P309" i="19"/>
  <c r="P308" i="19"/>
  <c r="P307" i="19"/>
  <c r="P306" i="19"/>
  <c r="P305" i="19"/>
  <c r="P304" i="19"/>
  <c r="P303" i="19"/>
  <c r="P302" i="19"/>
  <c r="P301" i="19"/>
  <c r="P300" i="19"/>
  <c r="P299" i="19"/>
  <c r="P298" i="19"/>
  <c r="P297" i="19"/>
  <c r="P296" i="19"/>
  <c r="P295" i="19"/>
  <c r="P294" i="19"/>
  <c r="P293" i="19"/>
  <c r="P292" i="19"/>
  <c r="P291" i="19"/>
  <c r="P290" i="19"/>
  <c r="P289" i="19"/>
  <c r="P288" i="19"/>
  <c r="P287" i="19"/>
  <c r="P286" i="19"/>
  <c r="P285" i="19"/>
  <c r="P284" i="19"/>
  <c r="P283" i="19"/>
  <c r="P282" i="19"/>
  <c r="P281" i="19"/>
  <c r="P280" i="19"/>
  <c r="P279" i="19"/>
  <c r="P278" i="19"/>
  <c r="P277" i="19"/>
  <c r="P276" i="19"/>
  <c r="P275" i="19"/>
  <c r="P274" i="19"/>
  <c r="P273" i="19"/>
  <c r="P272" i="19"/>
  <c r="P271" i="19"/>
  <c r="P270" i="19"/>
  <c r="P269" i="19"/>
  <c r="P268" i="19"/>
  <c r="P267" i="19"/>
  <c r="P266" i="19"/>
  <c r="P265" i="19"/>
  <c r="P264" i="19"/>
  <c r="P263" i="19"/>
  <c r="P262" i="19"/>
  <c r="P261" i="19"/>
  <c r="P260" i="19"/>
  <c r="P259" i="19"/>
  <c r="P258" i="19"/>
  <c r="P257" i="19"/>
  <c r="P256" i="19"/>
  <c r="P255" i="19"/>
  <c r="P254" i="19"/>
  <c r="P253" i="19"/>
  <c r="P252" i="19"/>
  <c r="P251" i="19"/>
  <c r="P250" i="19"/>
  <c r="P249" i="19"/>
  <c r="P248" i="19"/>
  <c r="P247" i="19"/>
  <c r="P246" i="19"/>
  <c r="P245" i="19"/>
  <c r="P244" i="19"/>
  <c r="P243" i="19"/>
  <c r="P242" i="19"/>
  <c r="P241" i="19"/>
  <c r="P240" i="19"/>
  <c r="P239" i="19"/>
  <c r="P238" i="19"/>
  <c r="P237" i="19"/>
  <c r="P236" i="19"/>
  <c r="P235" i="19"/>
  <c r="P234" i="19"/>
  <c r="P233" i="19"/>
  <c r="P232" i="19"/>
  <c r="P231" i="19"/>
  <c r="P230" i="19"/>
  <c r="P229" i="19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P214" i="19"/>
  <c r="P213" i="19"/>
  <c r="P212" i="19"/>
  <c r="P211" i="19"/>
  <c r="P210" i="19"/>
  <c r="P209" i="19"/>
  <c r="P208" i="19"/>
  <c r="P207" i="19"/>
  <c r="P206" i="19"/>
  <c r="P205" i="19"/>
  <c r="P204" i="19"/>
  <c r="P203" i="19"/>
  <c r="P202" i="19"/>
  <c r="P201" i="19"/>
  <c r="P200" i="19"/>
  <c r="P199" i="19"/>
  <c r="P198" i="19"/>
  <c r="P197" i="19"/>
  <c r="P196" i="19"/>
  <c r="P195" i="19"/>
  <c r="P194" i="19"/>
  <c r="P193" i="19"/>
  <c r="P192" i="19"/>
  <c r="P191" i="19"/>
  <c r="P190" i="19"/>
  <c r="P189" i="19"/>
  <c r="P188" i="19"/>
  <c r="P187" i="19"/>
  <c r="P186" i="19"/>
  <c r="P185" i="19"/>
  <c r="P184" i="19"/>
  <c r="P183" i="19"/>
  <c r="P182" i="19"/>
  <c r="P181" i="19"/>
  <c r="P180" i="19"/>
  <c r="P179" i="19"/>
  <c r="P178" i="19"/>
  <c r="P177" i="19"/>
  <c r="P176" i="19"/>
  <c r="P175" i="19"/>
  <c r="P174" i="19"/>
  <c r="P173" i="19"/>
  <c r="P172" i="19"/>
  <c r="P171" i="19"/>
  <c r="P170" i="19"/>
  <c r="P169" i="19"/>
  <c r="P168" i="19"/>
  <c r="P167" i="19"/>
  <c r="P166" i="19"/>
  <c r="P165" i="19"/>
  <c r="P164" i="19"/>
  <c r="P163" i="19"/>
  <c r="P162" i="19"/>
  <c r="P161" i="19"/>
  <c r="P160" i="19"/>
  <c r="P159" i="19"/>
  <c r="P158" i="19"/>
  <c r="P157" i="19"/>
  <c r="P156" i="19"/>
  <c r="P155" i="19"/>
  <c r="P154" i="19"/>
  <c r="P153" i="19"/>
  <c r="P152" i="19"/>
  <c r="P151" i="19"/>
  <c r="P150" i="19"/>
  <c r="P149" i="19"/>
  <c r="P148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5" i="19"/>
  <c r="P134" i="19"/>
  <c r="P133" i="19"/>
  <c r="P132" i="19"/>
  <c r="P131" i="19"/>
  <c r="P130" i="19"/>
  <c r="P129" i="19"/>
  <c r="P128" i="19"/>
  <c r="P127" i="19"/>
  <c r="P126" i="19"/>
  <c r="P125" i="19"/>
  <c r="P124" i="19"/>
  <c r="P123" i="19"/>
  <c r="P122" i="19"/>
  <c r="P121" i="19"/>
  <c r="P120" i="19"/>
  <c r="P119" i="19"/>
  <c r="P118" i="19"/>
  <c r="P117" i="19"/>
  <c r="P116" i="19"/>
  <c r="P115" i="19"/>
  <c r="P114" i="19"/>
  <c r="P113" i="19"/>
  <c r="P112" i="19"/>
  <c r="P111" i="19"/>
  <c r="P110" i="19"/>
  <c r="P109" i="19"/>
  <c r="P108" i="19"/>
  <c r="P107" i="19"/>
  <c r="P106" i="19"/>
  <c r="P105" i="19"/>
  <c r="P104" i="19"/>
  <c r="P103" i="19"/>
  <c r="P102" i="19"/>
  <c r="P101" i="19"/>
  <c r="P100" i="19"/>
  <c r="P99" i="19"/>
  <c r="P98" i="19"/>
  <c r="P97" i="19"/>
  <c r="P96" i="19"/>
  <c r="P95" i="19"/>
  <c r="P94" i="19"/>
  <c r="P93" i="19"/>
  <c r="P92" i="19"/>
  <c r="P91" i="19"/>
  <c r="P90" i="19"/>
  <c r="P89" i="19"/>
  <c r="P88" i="19"/>
  <c r="P87" i="19"/>
  <c r="P86" i="19"/>
  <c r="P85" i="19"/>
  <c r="P84" i="19"/>
  <c r="P83" i="19"/>
  <c r="P82" i="19"/>
  <c r="P81" i="19"/>
  <c r="P80" i="19"/>
  <c r="P79" i="19"/>
  <c r="P78" i="19"/>
  <c r="P77" i="19"/>
  <c r="P76" i="19"/>
  <c r="P75" i="19"/>
  <c r="P74" i="19"/>
  <c r="P73" i="19"/>
  <c r="P72" i="19"/>
  <c r="P71" i="19"/>
  <c r="P70" i="19"/>
  <c r="P69" i="19"/>
  <c r="P68" i="19"/>
  <c r="P67" i="19"/>
  <c r="P66" i="19"/>
  <c r="P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N4" i="19"/>
  <c r="N3" i="19"/>
  <c r="N2" i="19"/>
  <c r="N1" i="19"/>
  <c r="P256" i="18"/>
  <c r="P255" i="18"/>
  <c r="P254" i="18"/>
  <c r="P253" i="18"/>
  <c r="P252" i="18"/>
  <c r="P251" i="18"/>
  <c r="P250" i="18"/>
  <c r="P249" i="18"/>
  <c r="P248" i="18"/>
  <c r="P247" i="18"/>
  <c r="P246" i="18"/>
  <c r="P245" i="18"/>
  <c r="P244" i="18"/>
  <c r="P243" i="18"/>
  <c r="P242" i="18"/>
  <c r="P241" i="18"/>
  <c r="P240" i="18"/>
  <c r="P239" i="18"/>
  <c r="P238" i="18"/>
  <c r="P237" i="18"/>
  <c r="P236" i="18"/>
  <c r="P235" i="18"/>
  <c r="P234" i="18"/>
  <c r="P233" i="18"/>
  <c r="P232" i="18"/>
  <c r="P231" i="18"/>
  <c r="P230" i="18"/>
  <c r="P229" i="18"/>
  <c r="P228" i="18"/>
  <c r="P227" i="18"/>
  <c r="P226" i="18"/>
  <c r="P225" i="18"/>
  <c r="P224" i="18"/>
  <c r="P223" i="18"/>
  <c r="P222" i="18"/>
  <c r="P221" i="18"/>
  <c r="P220" i="18"/>
  <c r="P219" i="18"/>
  <c r="P218" i="18"/>
  <c r="P217" i="18"/>
  <c r="P216" i="18"/>
  <c r="P215" i="18"/>
  <c r="P214" i="18"/>
  <c r="P213" i="18"/>
  <c r="P212" i="18"/>
  <c r="P211" i="18"/>
  <c r="P210" i="18"/>
  <c r="P209" i="18"/>
  <c r="P208" i="18"/>
  <c r="P207" i="18"/>
  <c r="P206" i="18"/>
  <c r="P205" i="18"/>
  <c r="P204" i="18"/>
  <c r="P203" i="18"/>
  <c r="P202" i="18"/>
  <c r="P201" i="18"/>
  <c r="P200" i="18"/>
  <c r="P199" i="18"/>
  <c r="P198" i="18"/>
  <c r="P197" i="18"/>
  <c r="P196" i="18"/>
  <c r="P195" i="18"/>
  <c r="P194" i="18"/>
  <c r="P193" i="18"/>
  <c r="P192" i="18"/>
  <c r="P191" i="18"/>
  <c r="P190" i="18"/>
  <c r="P189" i="18"/>
  <c r="P188" i="18"/>
  <c r="P187" i="18"/>
  <c r="P186" i="18"/>
  <c r="P185" i="18"/>
  <c r="P184" i="18"/>
  <c r="P183" i="18"/>
  <c r="P182" i="18"/>
  <c r="P181" i="18"/>
  <c r="P180" i="18"/>
  <c r="P179" i="18"/>
  <c r="P178" i="18"/>
  <c r="P177" i="18"/>
  <c r="P176" i="18"/>
  <c r="P175" i="18"/>
  <c r="P174" i="18"/>
  <c r="P173" i="18"/>
  <c r="P172" i="18"/>
  <c r="P171" i="18"/>
  <c r="P170" i="18"/>
  <c r="P169" i="18"/>
  <c r="P168" i="18"/>
  <c r="P167" i="18"/>
  <c r="P166" i="18"/>
  <c r="P165" i="18"/>
  <c r="P164" i="18"/>
  <c r="P163" i="18"/>
  <c r="P162" i="18"/>
  <c r="P161" i="18"/>
  <c r="P160" i="18"/>
  <c r="P159" i="18"/>
  <c r="P158" i="18"/>
  <c r="P157" i="18"/>
  <c r="P156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N4" i="18"/>
  <c r="N3" i="18"/>
  <c r="N2" i="18"/>
  <c r="N1" i="18"/>
  <c r="P308" i="17"/>
  <c r="P307" i="17"/>
  <c r="P306" i="17"/>
  <c r="P305" i="17"/>
  <c r="P304" i="17"/>
  <c r="P303" i="17"/>
  <c r="P302" i="17"/>
  <c r="P301" i="17"/>
  <c r="P300" i="17"/>
  <c r="P299" i="17"/>
  <c r="P298" i="17"/>
  <c r="P297" i="17"/>
  <c r="P296" i="17"/>
  <c r="P295" i="17"/>
  <c r="P294" i="17"/>
  <c r="P293" i="17"/>
  <c r="P292" i="17"/>
  <c r="P291" i="17"/>
  <c r="P290" i="17"/>
  <c r="P289" i="17"/>
  <c r="P288" i="17"/>
  <c r="P287" i="17"/>
  <c r="P286" i="17"/>
  <c r="P285" i="17"/>
  <c r="P284" i="17"/>
  <c r="P283" i="17"/>
  <c r="P282" i="17"/>
  <c r="P281" i="17"/>
  <c r="P280" i="17"/>
  <c r="P279" i="17"/>
  <c r="P278" i="17"/>
  <c r="P277" i="17"/>
  <c r="P276" i="17"/>
  <c r="P275" i="17"/>
  <c r="P274" i="17"/>
  <c r="P273" i="17"/>
  <c r="P272" i="17"/>
  <c r="P271" i="17"/>
  <c r="P270" i="17"/>
  <c r="P269" i="17"/>
  <c r="P268" i="17"/>
  <c r="P267" i="17"/>
  <c r="P266" i="17"/>
  <c r="P265" i="17"/>
  <c r="P264" i="17"/>
  <c r="P263" i="17"/>
  <c r="P262" i="17"/>
  <c r="P261" i="17"/>
  <c r="P260" i="17"/>
  <c r="P259" i="17"/>
  <c r="P258" i="17"/>
  <c r="P257" i="17"/>
  <c r="P256" i="17"/>
  <c r="P255" i="17"/>
  <c r="P254" i="17"/>
  <c r="P253" i="17"/>
  <c r="P252" i="17"/>
  <c r="P251" i="17"/>
  <c r="P250" i="17"/>
  <c r="P249" i="17"/>
  <c r="P248" i="17"/>
  <c r="P247" i="17"/>
  <c r="P246" i="17"/>
  <c r="P245" i="17"/>
  <c r="P244" i="17"/>
  <c r="P243" i="17"/>
  <c r="P242" i="17"/>
  <c r="P241" i="17"/>
  <c r="P240" i="17"/>
  <c r="P239" i="17"/>
  <c r="P238" i="17"/>
  <c r="P237" i="17"/>
  <c r="P236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5" i="17"/>
  <c r="P194" i="17"/>
  <c r="P193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N4" i="17"/>
  <c r="N3" i="17"/>
  <c r="N2" i="17"/>
  <c r="N1" i="17"/>
  <c r="P25" i="16"/>
  <c r="P24" i="16"/>
  <c r="P23" i="16"/>
  <c r="P22" i="16"/>
  <c r="P21" i="16"/>
  <c r="P20" i="16"/>
  <c r="N4" i="16"/>
  <c r="N3" i="16"/>
  <c r="N2" i="16"/>
  <c r="N1" i="16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N4" i="15"/>
  <c r="N3" i="15"/>
  <c r="N2" i="15"/>
  <c r="N1" i="15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N4" i="14"/>
  <c r="N3" i="14"/>
  <c r="N2" i="14"/>
  <c r="N1" i="14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N4" i="13"/>
  <c r="N3" i="13"/>
  <c r="N2" i="13"/>
  <c r="N1" i="13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N4" i="12"/>
  <c r="N3" i="12"/>
  <c r="N2" i="12"/>
  <c r="N1" i="12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N4" i="11"/>
  <c r="N3" i="11"/>
  <c r="N2" i="11"/>
  <c r="N1" i="11"/>
  <c r="P180" i="10"/>
  <c r="P179" i="10"/>
  <c r="P178" i="10"/>
  <c r="P177" i="10"/>
  <c r="P176" i="10"/>
  <c r="P175" i="10"/>
  <c r="P174" i="10"/>
  <c r="P173" i="10"/>
  <c r="P172" i="10"/>
  <c r="P171" i="10"/>
  <c r="P170" i="10"/>
  <c r="P169" i="10"/>
  <c r="P168" i="10"/>
  <c r="P167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P154" i="10"/>
  <c r="P153" i="10"/>
  <c r="P152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P139" i="10"/>
  <c r="P138" i="10"/>
  <c r="P137" i="10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N4" i="10"/>
  <c r="N3" i="10"/>
  <c r="N2" i="10"/>
  <c r="N1" i="10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P266" i="9"/>
  <c r="P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N4" i="9"/>
  <c r="N3" i="9"/>
  <c r="N2" i="9"/>
  <c r="N1" i="9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N4" i="8"/>
  <c r="N3" i="8"/>
  <c r="N2" i="8"/>
  <c r="N1" i="8"/>
  <c r="P28" i="7"/>
  <c r="P27" i="7"/>
  <c r="P26" i="7"/>
  <c r="P25" i="7"/>
  <c r="P24" i="7"/>
  <c r="P23" i="7"/>
  <c r="P22" i="7"/>
  <c r="P21" i="7"/>
  <c r="P20" i="7"/>
  <c r="N4" i="7"/>
  <c r="N3" i="7"/>
  <c r="N2" i="7"/>
  <c r="N1" i="7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N4" i="6"/>
  <c r="N3" i="6"/>
  <c r="N2" i="6"/>
  <c r="N1" i="6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N4" i="5"/>
  <c r="N3" i="5"/>
  <c r="N2" i="5"/>
  <c r="N1" i="5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N4" i="4"/>
  <c r="N3" i="4"/>
  <c r="N2" i="4"/>
  <c r="N1" i="4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N4" i="3"/>
  <c r="N3" i="3"/>
  <c r="N2" i="3"/>
  <c r="N1" i="3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N4" i="2"/>
  <c r="N3" i="2"/>
  <c r="N2" i="2"/>
  <c r="N1" i="2"/>
</calcChain>
</file>

<file path=xl/sharedStrings.xml><?xml version="1.0" encoding="utf-8"?>
<sst xmlns="http://schemas.openxmlformats.org/spreadsheetml/2006/main" count="77566" uniqueCount="32223">
  <si>
    <t>Wallet</t>
  </si>
  <si>
    <t>Balance</t>
  </si>
  <si>
    <t>WinRate</t>
  </si>
  <si>
    <t>ROI</t>
  </si>
  <si>
    <t>PnL</t>
  </si>
  <si>
    <t>Fast Trades</t>
  </si>
  <si>
    <t>Sold More Than Bought</t>
  </si>
  <si>
    <t>Tokens Total</t>
  </si>
  <si>
    <t>Scam Tokens</t>
  </si>
  <si>
    <t>Trades Period</t>
  </si>
  <si>
    <t>Duration Avg</t>
  </si>
  <si>
    <t>PumpFun Tokens</t>
  </si>
  <si>
    <t>Not Swap Tx</t>
  </si>
  <si>
    <t>CNudZYFgpbT26fidsiNrWfHeGTBMMeVWqruZXsEkcUPc</t>
  </si>
  <si>
    <t>1103.37 SOL</t>
  </si>
  <si>
    <t>17%</t>
  </si>
  <si>
    <t>34%</t>
  </si>
  <si>
    <t>1276.94 SOL</t>
  </si>
  <si>
    <t>0 (0%)</t>
  </si>
  <si>
    <t>73 days</t>
  </si>
  <si>
    <t>7 h</t>
  </si>
  <si>
    <t>Median ROI</t>
  </si>
  <si>
    <t>-100.00%</t>
  </si>
  <si>
    <t>Unrealized ROI</t>
  </si>
  <si>
    <t>Unrealized PNL</t>
  </si>
  <si>
    <t>Rockets percent</t>
  </si>
  <si>
    <t>10%</t>
  </si>
  <si>
    <t>45%</t>
  </si>
  <si>
    <t>1683.41 SOL</t>
  </si>
  <si>
    <t>Wallet days creation:</t>
  </si>
  <si>
    <t>138</t>
  </si>
  <si>
    <t>AVG buy:</t>
  </si>
  <si>
    <t>1.1 SOL</t>
  </si>
  <si>
    <t>Profit / Distribution</t>
  </si>
  <si>
    <t>500%&gt;</t>
  </si>
  <si>
    <t>500%-100%</t>
  </si>
  <si>
    <t>100%-50%</t>
  </si>
  <si>
    <t>50%-0%</t>
  </si>
  <si>
    <t>0%--50%</t>
  </si>
  <si>
    <t>-50%--100%</t>
  </si>
  <si>
    <t>🧢 MCAP Distribution</t>
  </si>
  <si>
    <t>Count</t>
  </si>
  <si>
    <t>&lt;5k</t>
  </si>
  <si>
    <t>0</t>
  </si>
  <si>
    <t>Percent %</t>
  </si>
  <si>
    <t>5.7%</t>
  </si>
  <si>
    <t>4.3%</t>
  </si>
  <si>
    <t>3.0%</t>
  </si>
  <si>
    <t>10.0%</t>
  </si>
  <si>
    <t>72.6%</t>
  </si>
  <si>
    <t>5k-30k</t>
  </si>
  <si>
    <t>31</t>
  </si>
  <si>
    <t>PnL (SOL)</t>
  </si>
  <si>
    <t>2729.6 SOL</t>
  </si>
  <si>
    <t>518.5 SOL</t>
  </si>
  <si>
    <t>197.9 SOL</t>
  </si>
  <si>
    <t>47.1 SOL</t>
  </si>
  <si>
    <t>-125.3 SOL</t>
  </si>
  <si>
    <t>-2090.7 SOL</t>
  </si>
  <si>
    <t>30k-100k</t>
  </si>
  <si>
    <t>68</t>
  </si>
  <si>
    <t>100k-300k</t>
  </si>
  <si>
    <t>70</t>
  </si>
  <si>
    <t>300k+</t>
  </si>
  <si>
    <t>54</t>
  </si>
  <si>
    <t>AVG Entry MCAP:</t>
  </si>
  <si>
    <t>113.0K</t>
  </si>
  <si>
    <t>Token</t>
  </si>
  <si>
    <t>SPL Income</t>
  </si>
  <si>
    <t>SPL Outcome</t>
  </si>
  <si>
    <t>Fee</t>
  </si>
  <si>
    <t>Spent Sol</t>
  </si>
  <si>
    <t>Earned Sol</t>
  </si>
  <si>
    <t>Delta Sol</t>
  </si>
  <si>
    <t>Delta %</t>
  </si>
  <si>
    <t>Left Position</t>
  </si>
  <si>
    <t>Buys</t>
  </si>
  <si>
    <t>Sells</t>
  </si>
  <si>
    <t>Last Trade</t>
  </si>
  <si>
    <t>Duration</t>
  </si>
  <si>
    <t>MCAP 1st Buy / Last Tx / Now</t>
  </si>
  <si>
    <t>Contract</t>
  </si>
  <si>
    <t>XENO</t>
  </si>
  <si>
    <t>0.017520</t>
  </si>
  <si>
    <t>35.000 SOL</t>
  </si>
  <si>
    <t>11.887 SOL</t>
  </si>
  <si>
    <t>-23.131 SOL</t>
  </si>
  <si>
    <t>-66.05%</t>
  </si>
  <si>
    <t>N/A</t>
  </si>
  <si>
    <t>30.10.2024 17:27:32</t>
  </si>
  <si>
    <t>46 min</t>
  </si>
  <si>
    <t xml:space="preserve">          2M             2M             4M</t>
  </si>
  <si>
    <t>Db7ZUaWTThwZy7bVhjn5Dda8D3fbbAhihcxPV4m9pump</t>
  </si>
  <si>
    <t>floop</t>
  </si>
  <si>
    <t>0.000520</t>
  </si>
  <si>
    <t>50.000 SOL</t>
  </si>
  <si>
    <t>0.000 SOL</t>
  </si>
  <si>
    <t>-50.001 SOL</t>
  </si>
  <si>
    <t>0.00%</t>
  </si>
  <si>
    <t>9,612,739</t>
  </si>
  <si>
    <t>30.10.2024 17:26:10</t>
  </si>
  <si>
    <t>0 sec</t>
  </si>
  <si>
    <t xml:space="preserve">        891K           891K            35K</t>
  </si>
  <si>
    <t>BbQbAoML7FJTyk45N9hXdp883NzB8WvHFCesEeAppump</t>
  </si>
  <si>
    <t>DOLPHIN</t>
  </si>
  <si>
    <t>15.000 SOL</t>
  </si>
  <si>
    <t>-15.001 SOL</t>
  </si>
  <si>
    <t>14,452,484</t>
  </si>
  <si>
    <t>30.10.2024 16:45:01</t>
  </si>
  <si>
    <t xml:space="preserve">        183K           183K             9K</t>
  </si>
  <si>
    <t>8zuLGDdCMELwGjD9b3gtyqfCKwj5hbNUnCCw66eBpump</t>
  </si>
  <si>
    <t>MOKSHA</t>
  </si>
  <si>
    <t>0.021640</t>
  </si>
  <si>
    <t>21.580 SOL</t>
  </si>
  <si>
    <t>-13.441 SOL</t>
  </si>
  <si>
    <t>-38.38%</t>
  </si>
  <si>
    <t>30.10.2024 10:59:01</t>
  </si>
  <si>
    <t>2 hours</t>
  </si>
  <si>
    <t xml:space="preserve">        278K           371K           245K</t>
  </si>
  <si>
    <t>D5S1nXXaMnJui8rCnMbP1GZQnL9TxzbF92hXvgkVpump</t>
  </si>
  <si>
    <t>RISE</t>
  </si>
  <si>
    <t>10,993,419</t>
  </si>
  <si>
    <t>30.10.2024 10:43:09</t>
  </si>
  <si>
    <t xml:space="preserve">        239K           239K            12K</t>
  </si>
  <si>
    <t>5ZrVb3GpZ6c9ukqLYgLxFdg8zgy7ttY4mZy6ngx9pump</t>
  </si>
  <si>
    <t>LUCE</t>
  </si>
  <si>
    <t>0.093270</t>
  </si>
  <si>
    <t>30.000 SOL</t>
  </si>
  <si>
    <t>690.342 SOL</t>
  </si>
  <si>
    <t>660.249 SOL</t>
  </si>
  <si>
    <t>2194.01%</t>
  </si>
  <si>
    <t>30.10.2024 10:15:12</t>
  </si>
  <si>
    <t>1 days</t>
  </si>
  <si>
    <t xml:space="preserve">        727K           727K            62M</t>
  </si>
  <si>
    <t>CBdCxKo9QavR9hfShgpEBG3zekorAeD7W1jfq2o3pump</t>
  </si>
  <si>
    <t>BFLYZ</t>
  </si>
  <si>
    <t>0.020100</t>
  </si>
  <si>
    <t>62.172 SOL</t>
  </si>
  <si>
    <t>12.152 SOL</t>
  </si>
  <si>
    <t>24.29%</t>
  </si>
  <si>
    <t>30.10.2024 07:48:04</t>
  </si>
  <si>
    <t>57 min</t>
  </si>
  <si>
    <t xml:space="preserve">        880K             1M           144K</t>
  </si>
  <si>
    <t>DDxS3mzbFiwPgmpK7j573MDvD7EQj5stPHZ8K8Wppump</t>
  </si>
  <si>
    <t>YOUSIM</t>
  </si>
  <si>
    <t>0.004120</t>
  </si>
  <si>
    <t>152.765 SOL</t>
  </si>
  <si>
    <t>117.761 SOL</t>
  </si>
  <si>
    <t>336.42%</t>
  </si>
  <si>
    <t>30.10.2024 06:55:55</t>
  </si>
  <si>
    <t>5 days</t>
  </si>
  <si>
    <t xml:space="preserve">        975K             3M            10M</t>
  </si>
  <si>
    <t>66gsTs88mXJ5L4AtJnWqFW6H2L5YQDRy4W41y6zbpump</t>
  </si>
  <si>
    <t>TEE</t>
  </si>
  <si>
    <t>0.020610</t>
  </si>
  <si>
    <t>16.000 SOL</t>
  </si>
  <si>
    <t>32.413 SOL</t>
  </si>
  <si>
    <t>16.393 SOL</t>
  </si>
  <si>
    <t>102.32%</t>
  </si>
  <si>
    <t>30.10.2024 06:55:36</t>
  </si>
  <si>
    <t>4 hours</t>
  </si>
  <si>
    <t xml:space="preserve">        197K           197K            52K</t>
  </si>
  <si>
    <t>4sAPg3M6bEHrNinqfvfdSTAzCvmaG5Ao799bAt3Bpump</t>
  </si>
  <si>
    <t>FRIDGE</t>
  </si>
  <si>
    <t>0.023700</t>
  </si>
  <si>
    <t>10.000 SOL</t>
  </si>
  <si>
    <t>107.380 SOL</t>
  </si>
  <si>
    <t>97.356 SOL</t>
  </si>
  <si>
    <t>971.26%</t>
  </si>
  <si>
    <t>30.10.2024 06:55:20</t>
  </si>
  <si>
    <t xml:space="preserve">        104K           104K             2M</t>
  </si>
  <si>
    <t>EswvJvhPy8A8rWPdLJ5ATYW6cY5x483oS4QWWroZpump</t>
  </si>
  <si>
    <t>dogat</t>
  </si>
  <si>
    <t>0.019580</t>
  </si>
  <si>
    <t>25.000 SOL</t>
  </si>
  <si>
    <t>55.059 SOL</t>
  </si>
  <si>
    <t>30.040 SOL</t>
  </si>
  <si>
    <t>120.07%</t>
  </si>
  <si>
    <t>30.10.2024 06:52:29</t>
  </si>
  <si>
    <t>1 hours</t>
  </si>
  <si>
    <t xml:space="preserve">        324K           324K           273K</t>
  </si>
  <si>
    <t>5pQSTDfeUppb6tV415RWygL8n3ctyakBTV7QzBn5pump</t>
  </si>
  <si>
    <t>ACE</t>
  </si>
  <si>
    <t>20.000 SOL</t>
  </si>
  <si>
    <t>-20.001 SOL</t>
  </si>
  <si>
    <t>13,540,458</t>
  </si>
  <si>
    <t>30.10.2024 05:51:10</t>
  </si>
  <si>
    <t xml:space="preserve">        260K           260K            40K</t>
  </si>
  <si>
    <t>FofgVUkAzbffK3mw8ZEwMof8Lbpx59KkXRV4exhkpump</t>
  </si>
  <si>
    <t>Orina</t>
  </si>
  <si>
    <t>13,701,402</t>
  </si>
  <si>
    <t>30.10.2024 03:57:54</t>
  </si>
  <si>
    <t xml:space="preserve">        192K           192K             5K</t>
  </si>
  <si>
    <t>HnYqXefRFM2U5aUpSWEdxRG6DsPFM6gGZUUWFXgSpump</t>
  </si>
  <si>
    <t>DOGEMASCOT</t>
  </si>
  <si>
    <t>12,024,817</t>
  </si>
  <si>
    <t>30.10.2024 03:27:24</t>
  </si>
  <si>
    <t xml:space="preserve">        292K           292K            13K</t>
  </si>
  <si>
    <t>5ooyX53Dpoo6RMenMVS7TGb6JdgAqJjxJV1TFhpxpump</t>
  </si>
  <si>
    <t>EAGLE</t>
  </si>
  <si>
    <t>-30.001 SOL</t>
  </si>
  <si>
    <t>8,387,464</t>
  </si>
  <si>
    <t>30.10.2024 01:42:36</t>
  </si>
  <si>
    <t xml:space="preserve">        630K           630K            12K</t>
  </si>
  <si>
    <t>FLayaUPfFxmC1Vz3i4ebKT9uwEVv4ribyCqENnQ9pump</t>
  </si>
  <si>
    <t>Swipr</t>
  </si>
  <si>
    <t>-10.001 SOL</t>
  </si>
  <si>
    <t>17,817,000</t>
  </si>
  <si>
    <t>30.10.2024 01:33:34</t>
  </si>
  <si>
    <t xml:space="preserve">         99K            99K            79K</t>
  </si>
  <si>
    <t>ARty2wsKJ4QgFzTcCh4GJFaxLQycB5RSJEcbsU1ypump</t>
  </si>
  <si>
    <t>MK</t>
  </si>
  <si>
    <t>17.000 SOL</t>
  </si>
  <si>
    <t>-17.001 SOL</t>
  </si>
  <si>
    <t>12,428,975</t>
  </si>
  <si>
    <t>30.10.2024 00:06:21</t>
  </si>
  <si>
    <t xml:space="preserve">        241K           241K             8K</t>
  </si>
  <si>
    <t>36FN7NGmULKqSy4PoSRUBFQ7XBVxNMmWLhXohKmypump</t>
  </si>
  <si>
    <t>Inori-Tan</t>
  </si>
  <si>
    <t>5.000 SOL</t>
  </si>
  <si>
    <t>-5.001 SOL</t>
  </si>
  <si>
    <t>33,099,080</t>
  </si>
  <si>
    <t>29.10.2024 23:11:09</t>
  </si>
  <si>
    <t xml:space="preserve">         26K            26K             5K</t>
  </si>
  <si>
    <t>3vabXAGCdWWcudUKK7JM8TfVg6q5hRh6LcD8mN8Xpump</t>
  </si>
  <si>
    <t>NOGAMBLING</t>
  </si>
  <si>
    <t>0.001030</t>
  </si>
  <si>
    <t>8.820 SOL</t>
  </si>
  <si>
    <t>-6.181 SOL</t>
  </si>
  <si>
    <t>-41.21%</t>
  </si>
  <si>
    <t>29.10.2024 16:54:49</t>
  </si>
  <si>
    <t>11 hours</t>
  </si>
  <si>
    <t xml:space="preserve">        271K           271K           511K</t>
  </si>
  <si>
    <t>2odHeumkiJx46YyNHeZvDjMwsoNhpAgFQuipT96npump</t>
  </si>
  <si>
    <t>CATGF</t>
  </si>
  <si>
    <t>0.109770</t>
  </si>
  <si>
    <t>794.029 SOL</t>
  </si>
  <si>
    <t>788.919 SOL</t>
  </si>
  <si>
    <t>15439.44%</t>
  </si>
  <si>
    <t>29.10.2024 15:53:35</t>
  </si>
  <si>
    <t>10 days</t>
  </si>
  <si>
    <t xml:space="preserve">         33K             8M             5M</t>
  </si>
  <si>
    <t>GVwpWU5PtJFHS1mH35sHmsRN1XWUwRV3Qo94h5Lepump</t>
  </si>
  <si>
    <t>BILL</t>
  </si>
  <si>
    <t>7,477,775</t>
  </si>
  <si>
    <t>29.10.2024 15:47:06</t>
  </si>
  <si>
    <t xml:space="preserve">        354K           354K             7K</t>
  </si>
  <si>
    <t>Ca8AnVoDbwv31gddMHVyNLpHWYkGRRQFoXCcfe4gpump</t>
  </si>
  <si>
    <t>GTA</t>
  </si>
  <si>
    <t>5.408 SOL</t>
  </si>
  <si>
    <t>-9.610 SOL</t>
  </si>
  <si>
    <t>-63.99%</t>
  </si>
  <si>
    <t>29.10.2024 15:29:05</t>
  </si>
  <si>
    <t>58 min</t>
  </si>
  <si>
    <t xml:space="preserve">        248K           248K           287K</t>
  </si>
  <si>
    <t>9HjsPutyGGPpxnRn4ibH1hTfPvitAY5EPvtAwGFkpump</t>
  </si>
  <si>
    <t>Patchouli</t>
  </si>
  <si>
    <t>24,839,203</t>
  </si>
  <si>
    <t>29.10.2024 15:26:55</t>
  </si>
  <si>
    <t xml:space="preserve">         67K            67K            70K</t>
  </si>
  <si>
    <t>F8btFvgEKbsBvgornHg7Yb4QUgtceiyFeEaMZVQopump</t>
  </si>
  <si>
    <t>ANDY</t>
  </si>
  <si>
    <t>23,476,130</t>
  </si>
  <si>
    <t>29.10.2024 09:34:33</t>
  </si>
  <si>
    <t xml:space="preserve">         37K            37K             8K</t>
  </si>
  <si>
    <t>EyDSYZM8RYQUc7ux41dNmR7BRk7tMzYnWmYeiKzCpump</t>
  </si>
  <si>
    <t>DRZZ</t>
  </si>
  <si>
    <t>28,710,954</t>
  </si>
  <si>
    <t>29.10.2024 08:28:33</t>
  </si>
  <si>
    <t xml:space="preserve">         94K           128K           303K</t>
  </si>
  <si>
    <t>E1vpyG4Yy7FV4Y1aGvGkRV5PH38JrEZv2QUm8PEdpump</t>
  </si>
  <si>
    <t>ZEREBRO</t>
  </si>
  <si>
    <t>0.001550</t>
  </si>
  <si>
    <t>23.590 SOL</t>
  </si>
  <si>
    <t>3.588 SOL</t>
  </si>
  <si>
    <t>17.94%</t>
  </si>
  <si>
    <t>29.10.2024 08:17:26</t>
  </si>
  <si>
    <t>10 hours</t>
  </si>
  <si>
    <t xml:space="preserve">        510K           510K           537K</t>
  </si>
  <si>
    <t>8x5VqbHA8D7NkD52uNuS5nnt3PwA8pLD34ymskeSo2Wn</t>
  </si>
  <si>
    <t>SL</t>
  </si>
  <si>
    <t>0.004640</t>
  </si>
  <si>
    <t>75.000 SOL</t>
  </si>
  <si>
    <t>66.851 SOL</t>
  </si>
  <si>
    <t>-8.153 SOL</t>
  </si>
  <si>
    <t>-10.87%</t>
  </si>
  <si>
    <t>29.10.2024 07:52:48</t>
  </si>
  <si>
    <t>23 hours</t>
  </si>
  <si>
    <t xml:space="preserve">        843K             1M             1M</t>
  </si>
  <si>
    <t>7wUwkXo8Qjt3cYM8BaHHHeyfDY7ZSn7qvod92pNupump</t>
  </si>
  <si>
    <t>BRAT</t>
  </si>
  <si>
    <t>14.985 SOL</t>
  </si>
  <si>
    <t>-14.986 SOL</t>
  </si>
  <si>
    <t>16,023,801</t>
  </si>
  <si>
    <t>29.10.2024 05:42:13</t>
  </si>
  <si>
    <t xml:space="preserve">        165K           165K           246K</t>
  </si>
  <si>
    <t>8VyyhCLfAnUk7WFpYpMCYf4z9XU5vajNxcpLMe2H1ySj</t>
  </si>
  <si>
    <t>SHIBU</t>
  </si>
  <si>
    <t>0.002060</t>
  </si>
  <si>
    <t>100.000 SOL</t>
  </si>
  <si>
    <t>96.696 SOL</t>
  </si>
  <si>
    <t>-3.306 SOL</t>
  </si>
  <si>
    <t>-3.31%</t>
  </si>
  <si>
    <t>29.10.2024 05:18:36</t>
  </si>
  <si>
    <t>27 min</t>
  </si>
  <si>
    <t xml:space="preserve">          3M             3M             7M</t>
  </si>
  <si>
    <t>yG6bXPEFaUnGAEHHqH9H7t1VSfaK7YrggCqHy35pump</t>
  </si>
  <si>
    <t>RG</t>
  </si>
  <si>
    <t>17,562,029</t>
  </si>
  <si>
    <t>29.10.2024 05:01:26</t>
  </si>
  <si>
    <t xml:space="preserve">        150K           150K             4K</t>
  </si>
  <si>
    <t>4zAW4Bp1rJgnZcqJA7sfD39k41sikg8WqXPUsYMDpump</t>
  </si>
  <si>
    <t>D.O.G.E</t>
  </si>
  <si>
    <t>3.686 SOL</t>
  </si>
  <si>
    <t>-21.315 SOL</t>
  </si>
  <si>
    <t>-85.26%</t>
  </si>
  <si>
    <t>29.10.2024 04:54:26</t>
  </si>
  <si>
    <t>33 min</t>
  </si>
  <si>
    <t xml:space="preserve">        308K           308K            20K</t>
  </si>
  <si>
    <t>GPF3b1vrWJfpaNNAXqTDLLnSRHTMG6auWonK3LAWpump</t>
  </si>
  <si>
    <t>AIMC</t>
  </si>
  <si>
    <t>14,228,789</t>
  </si>
  <si>
    <t>29.10.2024 03:28:38</t>
  </si>
  <si>
    <t xml:space="preserve">        185K           185K             5K</t>
  </si>
  <si>
    <t>iByRAnwB6oHjphgaixPkKqno41ida9yqKwwmrsKpump</t>
  </si>
  <si>
    <t>Mew</t>
  </si>
  <si>
    <t>27,299,851</t>
  </si>
  <si>
    <t>29.10.2024 01:47:34</t>
  </si>
  <si>
    <t xml:space="preserve">         64K            64K            65K</t>
  </si>
  <si>
    <t>AuNhsb7EhBeQCBqiEVSH5GcLipw9rDiqoj3YgVQbQZcP</t>
  </si>
  <si>
    <t>5,107,013</t>
  </si>
  <si>
    <t>29.10.2024 00:24:53</t>
  </si>
  <si>
    <t xml:space="preserve">          1M             1M            26K</t>
  </si>
  <si>
    <t>GqfGQEhQXpKEnsc33fJo8RLjeQBkYvFzgLPDdBwZpump</t>
  </si>
  <si>
    <t>SKULL</t>
  </si>
  <si>
    <t>6,118,600</t>
  </si>
  <si>
    <t>28.10.2024 22:56:34</t>
  </si>
  <si>
    <t xml:space="preserve">        862K           862K             9K</t>
  </si>
  <si>
    <t>4yyB8a6vmTZ5RL6UkPx4eSy57cLqWk2f8LuKnED5pump</t>
  </si>
  <si>
    <t>DAP</t>
  </si>
  <si>
    <t>7.000 SOL</t>
  </si>
  <si>
    <t>-7.001 SOL</t>
  </si>
  <si>
    <t>20,210,650</t>
  </si>
  <si>
    <t>28.10.2024 22:54:26</t>
  </si>
  <si>
    <t xml:space="preserve">         62K            62K             7K</t>
  </si>
  <si>
    <t>BdLo5N3ndcuEj78MYquEy5LrMu138qE2BzjehwJ8pump</t>
  </si>
  <si>
    <t>0xΩ</t>
  </si>
  <si>
    <t>28,760,566</t>
  </si>
  <si>
    <t>28.10.2024 22:34:44</t>
  </si>
  <si>
    <t xml:space="preserve">         30K            30K            10K</t>
  </si>
  <si>
    <t>51Di9FPc2ZGtJ5UkynkY34QGsXVXyPW8JnmBL6Ljpump</t>
  </si>
  <si>
    <t>Tate</t>
  </si>
  <si>
    <t>5.949 SOL</t>
  </si>
  <si>
    <t>-29.052 SOL</t>
  </si>
  <si>
    <t>-83.00%</t>
  </si>
  <si>
    <t>28.10.2024 16:23:21</t>
  </si>
  <si>
    <t>4 days</t>
  </si>
  <si>
    <t xml:space="preserve">         18M            18M            16M</t>
  </si>
  <si>
    <t>LX2mJPsutHkUc6iXNFgumSC6LVKyc66xpy2zDTZpump</t>
  </si>
  <si>
    <t>LILYAI</t>
  </si>
  <si>
    <t>5.816 SOL</t>
  </si>
  <si>
    <t>-14.185 SOL</t>
  </si>
  <si>
    <t>-70.92%</t>
  </si>
  <si>
    <t>28.10.2024 16:23:13</t>
  </si>
  <si>
    <t>5 hours</t>
  </si>
  <si>
    <t xml:space="preserve">        299K           299K            27K</t>
  </si>
  <si>
    <t>FFUqMLqYuSjKr19r6NDpYSoHu5Qzg51cUmgwnSyipump</t>
  </si>
  <si>
    <t>LARPAI</t>
  </si>
  <si>
    <t>16,467,382</t>
  </si>
  <si>
    <t>28.10.2024 14:29:48</t>
  </si>
  <si>
    <t>25 sec</t>
  </si>
  <si>
    <t xml:space="preserve">        506K           610K            14K</t>
  </si>
  <si>
    <t>Z5qTBYTgbK9nezJPSLxuJEpEhDimcJKLq9xN6MF2sh1</t>
  </si>
  <si>
    <t>RedCircle</t>
  </si>
  <si>
    <t>0.002580</t>
  </si>
  <si>
    <t>7.910 SOL</t>
  </si>
  <si>
    <t>-17.093 SOL</t>
  </si>
  <si>
    <t>-68.36%</t>
  </si>
  <si>
    <t>28.10.2024 13:06:55</t>
  </si>
  <si>
    <t>12 hours</t>
  </si>
  <si>
    <t xml:space="preserve">        131K           270K            19K</t>
  </si>
  <si>
    <t>Em6JwNZN8U6ixHPAbrquXaMVSHHbYkfhcqVezoEGpump</t>
  </si>
  <si>
    <t>Dot</t>
  </si>
  <si>
    <t>7,131,780</t>
  </si>
  <si>
    <t>28.10.2024 12:11:56</t>
  </si>
  <si>
    <t xml:space="preserve">          1M             1M             9K</t>
  </si>
  <si>
    <t>3T557L68ZgBvjvuSuNQXcxH9JkJZieSEggdtWDf2pump</t>
  </si>
  <si>
    <t>GOTCH</t>
  </si>
  <si>
    <t>14,380,994</t>
  </si>
  <si>
    <t>28.10.2024 12:09:36</t>
  </si>
  <si>
    <t xml:space="preserve">        183K           183K             6K</t>
  </si>
  <si>
    <t>78ao5qrL3WPJ1u6i6cjQMi4iCzq43YECPyNMT2cpump</t>
  </si>
  <si>
    <t>ProjectSid</t>
  </si>
  <si>
    <t>0.059260</t>
  </si>
  <si>
    <t>240.709 SOL</t>
  </si>
  <si>
    <t>225.650 SOL</t>
  </si>
  <si>
    <t>1498.41%</t>
  </si>
  <si>
    <t>28.10.2024 11:51:59</t>
  </si>
  <si>
    <t>9 hours</t>
  </si>
  <si>
    <t xml:space="preserve">        132K           132K           212K</t>
  </si>
  <si>
    <t>BTdGTUjHz5FUSf91Ufo9L9r4LFMTRhE1qDtvUUfypump</t>
  </si>
  <si>
    <t>Do Browser</t>
  </si>
  <si>
    <t>2.500 SOL</t>
  </si>
  <si>
    <t>1.736 SOL</t>
  </si>
  <si>
    <t>-0.765 SOL</t>
  </si>
  <si>
    <t>-30.57%</t>
  </si>
  <si>
    <t>28.10.2024 08:28:15</t>
  </si>
  <si>
    <t xml:space="preserve">         14K            14K             5K</t>
  </si>
  <si>
    <t>AyC5rndwus27KLhK1JPfmdCcGSEvn3yDyNayz7oXpump</t>
  </si>
  <si>
    <t>praiseAI</t>
  </si>
  <si>
    <t>48.936 SOL</t>
  </si>
  <si>
    <t>28.917 SOL</t>
  </si>
  <si>
    <t>144.44%</t>
  </si>
  <si>
    <t>28.10.2024 08:12:33</t>
  </si>
  <si>
    <t>2 days</t>
  </si>
  <si>
    <t xml:space="preserve">        456K           456K           246K</t>
  </si>
  <si>
    <t>9WXNvkvub2Fvg88n8mLD3iywpLmfhRZHZmdf8CGhpump</t>
  </si>
  <si>
    <t>1.6180</t>
  </si>
  <si>
    <t>15,509,085</t>
  </si>
  <si>
    <t>28.10.2024 08:12:02</t>
  </si>
  <si>
    <t xml:space="preserve">        171K           171K             5K</t>
  </si>
  <si>
    <t>9xd4wMjJfYswbAKTe8HoQBSepD3XaeyShVjjh6C9pump</t>
  </si>
  <si>
    <t>AIDEN</t>
  </si>
  <si>
    <t>20,491,284</t>
  </si>
  <si>
    <t>28.10.2024 07:27:36</t>
  </si>
  <si>
    <t xml:space="preserve">         60K            60K             5K</t>
  </si>
  <si>
    <t>GrzonDhpbD1Sr2qfmAbxcBPhwPMEkNRsDmXxkL9rpump</t>
  </si>
  <si>
    <t>docs</t>
  </si>
  <si>
    <t>10.399 SOL</t>
  </si>
  <si>
    <t>-10.399 SOL</t>
  </si>
  <si>
    <t>33,808,269</t>
  </si>
  <si>
    <t>28.10.2024 07:24:23</t>
  </si>
  <si>
    <t xml:space="preserve">         54K            54K             4K</t>
  </si>
  <si>
    <t>CB2mBo5sK2vBUWRRF9WCjxaGpB44AYn4Eeeb82Nbpump</t>
  </si>
  <si>
    <t>FIGFUN</t>
  </si>
  <si>
    <t>18,630,584</t>
  </si>
  <si>
    <t>28.10.2024 07:17:05</t>
  </si>
  <si>
    <t xml:space="preserve">         95K            95K             9K</t>
  </si>
  <si>
    <t>AjXCV2HfwXEg7VprYysVGFCmJh7DACEzZXDPjjM2pump</t>
  </si>
  <si>
    <t>figma</t>
  </si>
  <si>
    <t>15,851,532</t>
  </si>
  <si>
    <t>28.10.2024 07:10:17</t>
  </si>
  <si>
    <t xml:space="preserve">        167K           167K            10K</t>
  </si>
  <si>
    <t>AaPGxxVzExCq8bDQSuVFLAjDPxNqdu1ntx1Sxfqnpump</t>
  </si>
  <si>
    <t>koto</t>
  </si>
  <si>
    <t>0.057650</t>
  </si>
  <si>
    <t>130.000 SOL</t>
  </si>
  <si>
    <t>216.202 SOL</t>
  </si>
  <si>
    <t>86.144 SOL</t>
  </si>
  <si>
    <t>66.24%</t>
  </si>
  <si>
    <t>28.10.2024 06:21:48</t>
  </si>
  <si>
    <t xml:space="preserve">          4M             7M             2M</t>
  </si>
  <si>
    <t>BfdVHnbt9LSNAFCZU9kvTjbrH3jX78sv2siLKGQ7pump</t>
  </si>
  <si>
    <t>STIX</t>
  </si>
  <si>
    <t>3.517 SOL</t>
  </si>
  <si>
    <t>-11.484 SOL</t>
  </si>
  <si>
    <t>-76.56%</t>
  </si>
  <si>
    <t>28.10.2024 05:43:55</t>
  </si>
  <si>
    <t xml:space="preserve">        172K           172K            73K</t>
  </si>
  <si>
    <t>CEcpiwnZNAyoP8nDS3pAEijtBEjC1RLa5xe3dZDEpump</t>
  </si>
  <si>
    <t>AIOS</t>
  </si>
  <si>
    <t>70.000 SOL</t>
  </si>
  <si>
    <t>41.716 SOL</t>
  </si>
  <si>
    <t>-28.286 SOL</t>
  </si>
  <si>
    <t>-40.41%</t>
  </si>
  <si>
    <t>28.10.2024 05:35:23</t>
  </si>
  <si>
    <t xml:space="preserve">          1M           806K            26K</t>
  </si>
  <si>
    <t>p2niQeJVj2vnevYnheBWujVyfzzGURpBTjap3gipump</t>
  </si>
  <si>
    <t>Windows9x</t>
  </si>
  <si>
    <t>12,298,289</t>
  </si>
  <si>
    <t>28.10.2024 05:35:07</t>
  </si>
  <si>
    <t xml:space="preserve">        214K           214K             6K</t>
  </si>
  <si>
    <t>945tYkhC36Ae8N62KGkC1CBzX83MsaSHNDHs67pzpump</t>
  </si>
  <si>
    <t>Chloe</t>
  </si>
  <si>
    <t>0.001040</t>
  </si>
  <si>
    <t>7.654 SOL</t>
  </si>
  <si>
    <t>2.653 SOL</t>
  </si>
  <si>
    <t>53.04%</t>
  </si>
  <si>
    <t>28.10.2024 04:54:35</t>
  </si>
  <si>
    <t>7 days</t>
  </si>
  <si>
    <t xml:space="preserve">         26K            26K            58K</t>
  </si>
  <si>
    <t>7M3ieFsS397J924iPZUHZT4vkX5mVpueoVB5RbzTpump</t>
  </si>
  <si>
    <t>xavier</t>
  </si>
  <si>
    <t>0.018040</t>
  </si>
  <si>
    <t>6.500 SOL</t>
  </si>
  <si>
    <t>11.008 SOL</t>
  </si>
  <si>
    <t>4.490 SOL</t>
  </si>
  <si>
    <t>68.88%</t>
  </si>
  <si>
    <t>28.10.2024 04:26:42</t>
  </si>
  <si>
    <t xml:space="preserve">         58K            58K            39K</t>
  </si>
  <si>
    <t>69G8CpUVZAxbPMiEBrfCCCH445NwFxH6PzVL693Xpump</t>
  </si>
  <si>
    <t>PROJECTSID</t>
  </si>
  <si>
    <t>-25.001 SOL</t>
  </si>
  <si>
    <t>7,473,267</t>
  </si>
  <si>
    <t>28.10.2024 04:14:59</t>
  </si>
  <si>
    <t xml:space="preserve">        589K           589K             5K</t>
  </si>
  <si>
    <t>E9cw2Xx3j23JnnmBZNFinTkmnFC7ch1xB4zJ8QPapump</t>
  </si>
  <si>
    <t>Toad</t>
  </si>
  <si>
    <t>15,516,018</t>
  </si>
  <si>
    <t>28.10.2024 02:06:02</t>
  </si>
  <si>
    <t xml:space="preserve">        340K           340K            86K</t>
  </si>
  <si>
    <t>7xn2T1x7xw5quHmzy2YvFWyFUNwp75fsw5bxiXGRpump</t>
  </si>
  <si>
    <t>Circle</t>
  </si>
  <si>
    <t>3.060 SOL</t>
  </si>
  <si>
    <t>-3.060 SOL</t>
  </si>
  <si>
    <t>28,638,959</t>
  </si>
  <si>
    <t>28.10.2024 01:33:58</t>
  </si>
  <si>
    <t xml:space="preserve">        N/A           N/A           N/A</t>
  </si>
  <si>
    <t>4EnVZ5okAmRjYdbZxurKrWe42GXPkS8yYD2PbQEPpump</t>
  </si>
  <si>
    <t>marvelous</t>
  </si>
  <si>
    <t>14,992,795</t>
  </si>
  <si>
    <t>27.10.2024 23:36:39</t>
  </si>
  <si>
    <t xml:space="preserve">        234K           234K             5K</t>
  </si>
  <si>
    <t>3AYy1ZyfUbxhpAX5DRT6ss2u68TMSE8vqmAFXSPnpump</t>
  </si>
  <si>
    <t>KINKY</t>
  </si>
  <si>
    <t>26,083,094</t>
  </si>
  <si>
    <t>27.10.2024 17:13:40</t>
  </si>
  <si>
    <t xml:space="preserve">         33K            33K             6K</t>
  </si>
  <si>
    <t>DU5g5d5SXRF2VvSw7qAtQTxY7KcYrLnLDCWNUFjHpump</t>
  </si>
  <si>
    <t>Manyu</t>
  </si>
  <si>
    <t>44.833 SOL</t>
  </si>
  <si>
    <t>-55.169 SOL</t>
  </si>
  <si>
    <t>-55.17%</t>
  </si>
  <si>
    <t>27.10.2024 15:31:00</t>
  </si>
  <si>
    <t xml:space="preserve">          6M             6M             8M</t>
  </si>
  <si>
    <t>CS7LmjtuugEUWtFgfyto79nrksKigv7Fdcp9qPuigdLs</t>
  </si>
  <si>
    <t>Chalice</t>
  </si>
  <si>
    <t>16,036,732</t>
  </si>
  <si>
    <t>27.10.2024 07:40:08</t>
  </si>
  <si>
    <t xml:space="preserve">        109K           109K             5K</t>
  </si>
  <si>
    <t>6qKWDik7U58LDtW9LVNFL13NkAxBqqJbSBauoSVUpump</t>
  </si>
  <si>
    <t>MONA</t>
  </si>
  <si>
    <t>0.001560</t>
  </si>
  <si>
    <t>13.000 SOL</t>
  </si>
  <si>
    <t>8.600 SOL</t>
  </si>
  <si>
    <t>-4.402 SOL</t>
  </si>
  <si>
    <t>-33.86%</t>
  </si>
  <si>
    <t>27.10.2024 07:17:22</t>
  </si>
  <si>
    <t>9 days</t>
  </si>
  <si>
    <t xml:space="preserve">        157K            21K            34K</t>
  </si>
  <si>
    <t>DjYrvmmY6ojf2f62TckYxBtCCHCJNbr9A4EXFwH3pump</t>
  </si>
  <si>
    <t>TALOS</t>
  </si>
  <si>
    <t>15,094,402</t>
  </si>
  <si>
    <t>27.10.2024 03:03:43</t>
  </si>
  <si>
    <t xml:space="preserve">        116K           116K             5K</t>
  </si>
  <si>
    <t>GfnE2KkTWMpT3McP6Qoe71maeTRPHPSbfnk4MMeZpump</t>
  </si>
  <si>
    <t>MWIF</t>
  </si>
  <si>
    <t>10,398,556</t>
  </si>
  <si>
    <t>27.10.2024 00:06:53</t>
  </si>
  <si>
    <t xml:space="preserve">        169K           169K             7K</t>
  </si>
  <si>
    <t>B9RMFZ1bCwvJ3gbWAoNHFvEaWx3Fm74ceiL6pE2Tpump</t>
  </si>
  <si>
    <t>CRAFT</t>
  </si>
  <si>
    <t>1.531 SOL</t>
  </si>
  <si>
    <t>-1.532 SOL</t>
  </si>
  <si>
    <t>30,233,885</t>
  </si>
  <si>
    <t>26.10.2024 23:59:14</t>
  </si>
  <si>
    <t xml:space="preserve">          9K             9K             6K</t>
  </si>
  <si>
    <t>HkAFaoCmiCSRo8ENeGUGp77TVpkY5RMQayDQpRCdpump</t>
  </si>
  <si>
    <t>test</t>
  </si>
  <si>
    <t>4,457,758</t>
  </si>
  <si>
    <t>26.10.2024 17:54:13</t>
  </si>
  <si>
    <t xml:space="preserve">          2M             2M            43K</t>
  </si>
  <si>
    <t>2i2269HkF5ce2i8ExJfV8gw1MEmXkVYQNzRbtXZtpump</t>
  </si>
  <si>
    <t>roon</t>
  </si>
  <si>
    <t>4,250,155</t>
  </si>
  <si>
    <t>26.10.2024 17:48:20</t>
  </si>
  <si>
    <t xml:space="preserve">          1M             1M           204K</t>
  </si>
  <si>
    <t>8fgDWpQvDQJABP6fN7fDLte9hH4bAppPtxpNG2i3pump</t>
  </si>
  <si>
    <t>QILIAN</t>
  </si>
  <si>
    <t>3.000 SOL</t>
  </si>
  <si>
    <t>-3.001 SOL</t>
  </si>
  <si>
    <t>19,673,602</t>
  </si>
  <si>
    <t>26.10.2024 15:57:48</t>
  </si>
  <si>
    <t xml:space="preserve">         26K            26K             4K</t>
  </si>
  <si>
    <t>Dm3iNSsgSxNMoEpSUa9nVTYFY6LctzTRD18vuM3zpump</t>
  </si>
  <si>
    <t>Ban</t>
  </si>
  <si>
    <t>0.039680</t>
  </si>
  <si>
    <t>150.000 SOL</t>
  </si>
  <si>
    <t>232.705 SOL</t>
  </si>
  <si>
    <t>82.666 SOL</t>
  </si>
  <si>
    <t>55.10%</t>
  </si>
  <si>
    <t>26.10.2024 15:51:50</t>
  </si>
  <si>
    <t xml:space="preserve">          6M             6M            25M</t>
  </si>
  <si>
    <t>9PR7nCP9DpcUotnDPVLUBUZKu5WAYkwrCUx9wDnSpump</t>
  </si>
  <si>
    <t>tree</t>
  </si>
  <si>
    <t>9,516,981</t>
  </si>
  <si>
    <t>26.10.2024 15:40:28</t>
  </si>
  <si>
    <t>GTmgCLDPWFyDCAKnxMFqgVSzNk7XV7Q1uZr8xHSSpump</t>
  </si>
  <si>
    <t>SOLOM</t>
  </si>
  <si>
    <t>20,512,564</t>
  </si>
  <si>
    <t>26.10.2024 15:08:58</t>
  </si>
  <si>
    <t xml:space="preserve">         37K            37K             5K</t>
  </si>
  <si>
    <t>34pGiw5uBRq98c3AB468ds1AHcpnWN7zoFy6actWpump</t>
  </si>
  <si>
    <t>26,962,291</t>
  </si>
  <si>
    <t>26.10.2024 14:57:52</t>
  </si>
  <si>
    <t xml:space="preserve">         65K            65K             5K</t>
  </si>
  <si>
    <t>2mxUsLw1QeQcJf1pb1z9xdxpoW4aU3evztb6AgCmpump</t>
  </si>
  <si>
    <t>C302</t>
  </si>
  <si>
    <t>13.221 SOL</t>
  </si>
  <si>
    <t>-16.780 SOL</t>
  </si>
  <si>
    <t>-55.93%</t>
  </si>
  <si>
    <t>26.10.2024 11:57:09</t>
  </si>
  <si>
    <t>3 min</t>
  </si>
  <si>
    <t xml:space="preserve">        683K           683K            11K</t>
  </si>
  <si>
    <t>7d5eoFBR5nEfKiBwW5NseBMRscKECJ7zJhsj1ZpDpump</t>
  </si>
  <si>
    <t>DOTS</t>
  </si>
  <si>
    <t>0.003090</t>
  </si>
  <si>
    <t>31.869 SOL</t>
  </si>
  <si>
    <t>-3.134 SOL</t>
  </si>
  <si>
    <t>-8.95%</t>
  </si>
  <si>
    <t>26.10.2024 09:51:56</t>
  </si>
  <si>
    <t xml:space="preserve">        220K             2M            14K</t>
  </si>
  <si>
    <t>AJczhLzrJn2mKV8Exkyz1L6pPGAEMmeY5KB7Tbf2pump</t>
  </si>
  <si>
    <t>AICRYNODE</t>
  </si>
  <si>
    <t>-100.001 SOL</t>
  </si>
  <si>
    <t>7,168,822</t>
  </si>
  <si>
    <t>26.10.2024 07:30:25</t>
  </si>
  <si>
    <t xml:space="preserve">          2M             2M             3M</t>
  </si>
  <si>
    <t>PD11M8MB8qQUAiWzyEK4JwfS8rt7Set6av6a5JYpump</t>
  </si>
  <si>
    <t>vapor</t>
  </si>
  <si>
    <t>11,575,488</t>
  </si>
  <si>
    <t>26.10.2024 05:03:17</t>
  </si>
  <si>
    <t xml:space="preserve">        145K           145K           133K</t>
  </si>
  <si>
    <t>6dC8y49qqogktNvnYecEszwuDAgkVsj19UP7dziZpump</t>
  </si>
  <si>
    <t>DOLPH</t>
  </si>
  <si>
    <t>8.719 SOL</t>
  </si>
  <si>
    <t>-11.283 SOL</t>
  </si>
  <si>
    <t>-56.41%</t>
  </si>
  <si>
    <t>26.10.2024 04:20:39</t>
  </si>
  <si>
    <t xml:space="preserve">        271K           570K             7K</t>
  </si>
  <si>
    <t>BJowxCMNHdXzchdKJaVWHUrQAZekpWMqUUgMMHqopump</t>
  </si>
  <si>
    <t>Malmo</t>
  </si>
  <si>
    <t>15,528,781</t>
  </si>
  <si>
    <t>26.10.2024 03:00:35</t>
  </si>
  <si>
    <t xml:space="preserve">        113K           113K             6K</t>
  </si>
  <si>
    <t>BPUaSed74toPWkGgmuzZrhUdXXnaQzYRA9jrAToSpump</t>
  </si>
  <si>
    <t>Austin</t>
  </si>
  <si>
    <t>6,991,063</t>
  </si>
  <si>
    <t>26.10.2024 02:00:45</t>
  </si>
  <si>
    <t xml:space="preserve">        754K           754K             9K</t>
  </si>
  <si>
    <t>AJtiNiKwLQUdAEkhqRKqVHMmvpifG5QYHqnL4uvMpump</t>
  </si>
  <si>
    <t>HAX</t>
  </si>
  <si>
    <t>30,364,457</t>
  </si>
  <si>
    <t>26.10.2024 01:58:35</t>
  </si>
  <si>
    <t xml:space="preserve">         18K            18K             7K</t>
  </si>
  <si>
    <t>8p1axiyVkUL5zTQREb8zGU2DqaiLUkG4TjDHayhVpump</t>
  </si>
  <si>
    <t>VILLAGE</t>
  </si>
  <si>
    <t>16,034,730</t>
  </si>
  <si>
    <t>25.10.2024 23:14:05</t>
  </si>
  <si>
    <t xml:space="preserve">        109K           109K             4K</t>
  </si>
  <si>
    <t>2BvM7SWHFpSBJMo3dduBP1J3G9LPjviHNQzw3fb8pump</t>
  </si>
  <si>
    <t>BTW</t>
  </si>
  <si>
    <t>48.041 SOL</t>
  </si>
  <si>
    <t>-1.961 SOL</t>
  </si>
  <si>
    <t>-3.92%</t>
  </si>
  <si>
    <t>25.10.2024 16:08:59</t>
  </si>
  <si>
    <t>7 hours</t>
  </si>
  <si>
    <t xml:space="preserve">          2M             5M             4M</t>
  </si>
  <si>
    <t>4ytpZgVoNB66bFs6NRCUaAVsLdtYk2fHq4U92Jnjpump</t>
  </si>
  <si>
    <t xml:space="preserve">Ozzy </t>
  </si>
  <si>
    <t>26.240 SOL</t>
  </si>
  <si>
    <t>23.238 SOL</t>
  </si>
  <si>
    <t>774.21%</t>
  </si>
  <si>
    <t>25.10.2024 11:28:58</t>
  </si>
  <si>
    <t xml:space="preserve">         16K           587K            32K</t>
  </si>
  <si>
    <t>3jg8dpbGd9bm3MELMxeu7m7yCGNgiWCn7JUeYTk9pump</t>
  </si>
  <si>
    <t>TREE</t>
  </si>
  <si>
    <t>40.000 SOL</t>
  </si>
  <si>
    <t>17.170 SOL</t>
  </si>
  <si>
    <t>-22.848 SOL</t>
  </si>
  <si>
    <t>-57.09%</t>
  </si>
  <si>
    <t>25.10.2024 08:58:52</t>
  </si>
  <si>
    <t>21 hours</t>
  </si>
  <si>
    <t xml:space="preserve">          2M           668K           179K</t>
  </si>
  <si>
    <t>BMpFQJXd7KBLJBp174fKCFcDxyrd1cTXaFvcudJLpump</t>
  </si>
  <si>
    <t>MURPHY</t>
  </si>
  <si>
    <t>13.627 SOL</t>
  </si>
  <si>
    <t>3.626 SOL</t>
  </si>
  <si>
    <t>36.26%</t>
  </si>
  <si>
    <t>25.10.2024 08:58:05</t>
  </si>
  <si>
    <t>3 hours</t>
  </si>
  <si>
    <t xml:space="preserve">        104K           141K            52K</t>
  </si>
  <si>
    <t>7HiSM2hkmqzhZMLuKtGMWkhvDi2LpMBepWRFYjXXpump</t>
  </si>
  <si>
    <t>$RATi</t>
  </si>
  <si>
    <t>0.008100</t>
  </si>
  <si>
    <t>5.097 SOL</t>
  </si>
  <si>
    <t>46.659 SOL</t>
  </si>
  <si>
    <t>41.553 SOL</t>
  </si>
  <si>
    <t>813.95%</t>
  </si>
  <si>
    <t>25.10.2024 08:57:38</t>
  </si>
  <si>
    <t>11 days</t>
  </si>
  <si>
    <t xml:space="preserve">         35K           213K           223K</t>
  </si>
  <si>
    <t>Ci6Y1UX8bY4jxn6YiogJmdCxFEu2jmZhCcG65PStpump</t>
  </si>
  <si>
    <t>SONNET</t>
  </si>
  <si>
    <t>0.017530</t>
  </si>
  <si>
    <t>21.377 SOL</t>
  </si>
  <si>
    <t>11.359 SOL</t>
  </si>
  <si>
    <t>113.39%</t>
  </si>
  <si>
    <t>25.10.2024 08:57:26</t>
  </si>
  <si>
    <t>3 days</t>
  </si>
  <si>
    <t xml:space="preserve">        114K           209K            58K</t>
  </si>
  <si>
    <t>A6J6iU22H4dzFsHiSRcPdwYCGtJLNFupDotwhKgfpump</t>
  </si>
  <si>
    <t>TateAI</t>
  </si>
  <si>
    <t>6.334 SOL</t>
  </si>
  <si>
    <t>-23.667 SOL</t>
  </si>
  <si>
    <t>-78.89%</t>
  </si>
  <si>
    <t>25.10.2024 08:57:16</t>
  </si>
  <si>
    <t xml:space="preserve">          3M           653K           728K</t>
  </si>
  <si>
    <t>BoBj68cWnCvzMNUKzJyR7Jq7tLM3v76D1pYL1E8rpump</t>
  </si>
  <si>
    <t>DUCKAI</t>
  </si>
  <si>
    <t>20.643 SOL</t>
  </si>
  <si>
    <t>-14.358 SOL</t>
  </si>
  <si>
    <t>-41.02%</t>
  </si>
  <si>
    <t>25.10.2024 08:56:48</t>
  </si>
  <si>
    <t xml:space="preserve">          1M           602K           191K</t>
  </si>
  <si>
    <t>HFw81sUUPBkNF5tKDanV8VCYTfVY4XbrEEPiwzyypump</t>
  </si>
  <si>
    <t>BURZEN</t>
  </si>
  <si>
    <t>0.000580</t>
  </si>
  <si>
    <t>40.516 SOL</t>
  </si>
  <si>
    <t>-9.485 SOL</t>
  </si>
  <si>
    <t>-18.97%</t>
  </si>
  <si>
    <t>25.10.2024 08:56:38</t>
  </si>
  <si>
    <t xml:space="preserve">          1M           681K            47K</t>
  </si>
  <si>
    <t>8QLTsTnPN4XxTP4ZU7osE4j5XpTmJWRDNQmjLzncpump</t>
  </si>
  <si>
    <t>FIJI</t>
  </si>
  <si>
    <t>0.090620</t>
  </si>
  <si>
    <t>158.962 SOL</t>
  </si>
  <si>
    <t>148.872 SOL</t>
  </si>
  <si>
    <t>1475.35%</t>
  </si>
  <si>
    <t>25.10.2024 08:56:26</t>
  </si>
  <si>
    <t xml:space="preserve">        147K             2M             2M</t>
  </si>
  <si>
    <t>A9e6JzPQstmz94pMnzxgyV14QUqoULSXuf5FPsq8UiRa</t>
  </si>
  <si>
    <t>MemesAI</t>
  </si>
  <si>
    <t>0.080140</t>
  </si>
  <si>
    <t>390.813 SOL</t>
  </si>
  <si>
    <t>360.733 SOL</t>
  </si>
  <si>
    <t>1199.24%</t>
  </si>
  <si>
    <t>25.10.2024 08:56:11</t>
  </si>
  <si>
    <t xml:space="preserve">        635K             8M            12M</t>
  </si>
  <si>
    <t>39qibQxVzemuZTEvjSB7NePhw9WyyHdQCqP8xmBMpump</t>
  </si>
  <si>
    <t>THEO</t>
  </si>
  <si>
    <t>18.412 SOL</t>
  </si>
  <si>
    <t>8.411 SOL</t>
  </si>
  <si>
    <t>84.09%</t>
  </si>
  <si>
    <t>25.10.2024 08:43:18</t>
  </si>
  <si>
    <t>6 hours</t>
  </si>
  <si>
    <t xml:space="preserve">         70K           199K            10K</t>
  </si>
  <si>
    <t>BZW215nxTGpbw87TUQJJpABGTBXeXqfjxjDYyrjCpump</t>
  </si>
  <si>
    <t>wibwob</t>
  </si>
  <si>
    <t>29.249 SOL</t>
  </si>
  <si>
    <t>-5.752 SOL</t>
  </si>
  <si>
    <t>-16.43%</t>
  </si>
  <si>
    <t>25.10.2024 08:42:19</t>
  </si>
  <si>
    <t xml:space="preserve">        415K           346K           295K</t>
  </si>
  <si>
    <t>5qmL9rCSfZ7pBYAsaoeG8SP76ZELeRCK8XtMmYZvpump</t>
  </si>
  <si>
    <t>Paradox</t>
  </si>
  <si>
    <t>5,758,224</t>
  </si>
  <si>
    <t>25.10.2024 07:52:38</t>
  </si>
  <si>
    <t xml:space="preserve">        916K           916K            12K</t>
  </si>
  <si>
    <t>Fmc9g6bL1Y8Szhn3pFqRnoEhaopbJNXHMdcxqHsUpump</t>
  </si>
  <si>
    <t>Virus</t>
  </si>
  <si>
    <t>9,918,255</t>
  </si>
  <si>
    <t>25.10.2024 07:15:46</t>
  </si>
  <si>
    <t xml:space="preserve">        266K           266K            10K</t>
  </si>
  <si>
    <t>GZBwGGgmj3PGSkb8qgsLYkJAQexRVrxNKVZG8xYUpump</t>
  </si>
  <si>
    <t>pew</t>
  </si>
  <si>
    <t>24,288,419</t>
  </si>
  <si>
    <t>25.10.2024 05:39:57</t>
  </si>
  <si>
    <t xml:space="preserve">         33K            33K            31K</t>
  </si>
  <si>
    <t>C4M9TtoiDJ5LqfTTMiE1ch6gSY2pb9KMUZiXACg4pump</t>
  </si>
  <si>
    <t>TPP</t>
  </si>
  <si>
    <t>4.782 SOL</t>
  </si>
  <si>
    <t>-4.783 SOL</t>
  </si>
  <si>
    <t>17,711,603</t>
  </si>
  <si>
    <t>25.10.2024 05:32:28</t>
  </si>
  <si>
    <t xml:space="preserve">         47K            47K             4K</t>
  </si>
  <si>
    <t>ESG5smNY1ceGRwb6kdxojyPQmSG8aVjWpzBw3R7Npump</t>
  </si>
  <si>
    <t>CONSORTIUM</t>
  </si>
  <si>
    <t>14.000 SOL</t>
  </si>
  <si>
    <t>-14.001 SOL</t>
  </si>
  <si>
    <t>7,215,538</t>
  </si>
  <si>
    <t>25.10.2024 05:19:56</t>
  </si>
  <si>
    <t xml:space="preserve">        341K           341K             4K</t>
  </si>
  <si>
    <t>ChxbSs4KuqSXMeAb7pa1eLxMgQ9wWybGoS3RLUt6pump</t>
  </si>
  <si>
    <t>26.069 SOL</t>
  </si>
  <si>
    <t>12.067 SOL</t>
  </si>
  <si>
    <t>86.18%</t>
  </si>
  <si>
    <t>25.10.2024 05:16:46</t>
  </si>
  <si>
    <t>6 min</t>
  </si>
  <si>
    <t xml:space="preserve">        104K           844K            10K</t>
  </si>
  <si>
    <t>5Nvo3o9h3WQy1LnLUfPTMuNCSTssi1WaW6ZJ8kuapump</t>
  </si>
  <si>
    <t>HatPlant</t>
  </si>
  <si>
    <t>33,321,449</t>
  </si>
  <si>
    <t>25.10.2024 02:17:13</t>
  </si>
  <si>
    <t xml:space="preserve">         16K            16K             4K</t>
  </si>
  <si>
    <t>9HQgmwZe3nBDGjpScqhm1fJaT1ZzY4LWDk5ob3s9pump</t>
  </si>
  <si>
    <t>TOKU</t>
  </si>
  <si>
    <t>21,624,342</t>
  </si>
  <si>
    <t>25.10.2024 02:03:16</t>
  </si>
  <si>
    <t xml:space="preserve">         40K            40K             3K</t>
  </si>
  <si>
    <t>J7BVM6GnwFRkbXv9auM6yiKMKCZEqfZJNowEhY3Hpump</t>
  </si>
  <si>
    <t>$ANDY70B$</t>
  </si>
  <si>
    <t>0.002620</t>
  </si>
  <si>
    <t>80.385 SOL</t>
  </si>
  <si>
    <t>40.382 SOL</t>
  </si>
  <si>
    <t>100.95%</t>
  </si>
  <si>
    <t>25.10.2024 01:48:22</t>
  </si>
  <si>
    <t xml:space="preserve">        209K           716K            83K</t>
  </si>
  <si>
    <t>3JXq16mWyo1uboEK9QCGcjjgCB3DXKWWcF1yySC7pump</t>
  </si>
  <si>
    <t>FOREST</t>
  </si>
  <si>
    <t>0.001570</t>
  </si>
  <si>
    <t>123.238 SOL</t>
  </si>
  <si>
    <t>23.236 SOL</t>
  </si>
  <si>
    <t>23.24%</t>
  </si>
  <si>
    <t>25.10.2024 01:48:08</t>
  </si>
  <si>
    <t xml:space="preserve">         14M            19M             9M</t>
  </si>
  <si>
    <t>BoAQaykj3LtkM2Brevc7cQcRAzpqcsP47nJ2rkyopump</t>
  </si>
  <si>
    <t>WORM</t>
  </si>
  <si>
    <t>0.079870</t>
  </si>
  <si>
    <t>201.313 SOL</t>
  </si>
  <si>
    <t>166.233 SOL</t>
  </si>
  <si>
    <t>473.87%</t>
  </si>
  <si>
    <t>24.10.2024 14:12:09</t>
  </si>
  <si>
    <t>8 hours</t>
  </si>
  <si>
    <t xml:space="preserve">        720K             4M             4M</t>
  </si>
  <si>
    <t>DwDtUqBZJtbRpdjsFw3N7YKB5epocSru25BGcVhfcYtg</t>
  </si>
  <si>
    <t>Eigen</t>
  </si>
  <si>
    <t>16,787,938</t>
  </si>
  <si>
    <t>24.10.2024 12:24:53</t>
  </si>
  <si>
    <t xml:space="preserve">        156K           156K             4K</t>
  </si>
  <si>
    <t>C6Afi7uCY8Had26xwfjcbVvPaTzbFgiJdGjETs5Wpump</t>
  </si>
  <si>
    <t>CLAUDIUS</t>
  </si>
  <si>
    <t>0.000530</t>
  </si>
  <si>
    <t>22.381 SOL</t>
  </si>
  <si>
    <t>-2.620 SOL</t>
  </si>
  <si>
    <t>-10.48%</t>
  </si>
  <si>
    <t>24.10.2024 11:48:25</t>
  </si>
  <si>
    <t xml:space="preserve">          4M             3M           261K</t>
  </si>
  <si>
    <t>4qNX615pV1oufdodNoiBzUsrUE3ww57DYg6LsUtupump</t>
  </si>
  <si>
    <t>nvuwa</t>
  </si>
  <si>
    <t>10,845,498</t>
  </si>
  <si>
    <t>24.10.2024 09:09:46</t>
  </si>
  <si>
    <t xml:space="preserve">        162K           162K            12K</t>
  </si>
  <si>
    <t>BDJ3bvPgMc2EDmegnwBWYsFAWgRHDh7WELswgPJZpump</t>
  </si>
  <si>
    <t>CATCOIN</t>
  </si>
  <si>
    <t>44.846 SOL</t>
  </si>
  <si>
    <t>34.844 SOL</t>
  </si>
  <si>
    <t>348.36%</t>
  </si>
  <si>
    <t>24.10.2024 07:58:38</t>
  </si>
  <si>
    <t xml:space="preserve">        113K             2M            17K</t>
  </si>
  <si>
    <t>3jik9c8wcB9xLJQyJJqNnabcRsbudZzFFYogaAaupump</t>
  </si>
  <si>
    <t>tateterm</t>
  </si>
  <si>
    <t>8,663,725</t>
  </si>
  <si>
    <t>24.10.2024 07:01:53</t>
  </si>
  <si>
    <t xml:space="preserve">        406K           406K            25K</t>
  </si>
  <si>
    <t>AJASqFZxU8Kw3Sg4wQTAARACgfhsJoZGMMmHgYigpump</t>
  </si>
  <si>
    <t>kora</t>
  </si>
  <si>
    <t>4.554 SOL</t>
  </si>
  <si>
    <t>-4.555 SOL</t>
  </si>
  <si>
    <t>30,315,583</t>
  </si>
  <si>
    <t>24.10.2024 06:28:27</t>
  </si>
  <si>
    <t xml:space="preserve">         25K            25K             4K</t>
  </si>
  <si>
    <t>korawtRsb65nVuWdc4L9fSMXnLiAZ8HfiSTrLQwkyT2</t>
  </si>
  <si>
    <t>LEXI</t>
  </si>
  <si>
    <t>0.000010</t>
  </si>
  <si>
    <t>-35.000 SOL</t>
  </si>
  <si>
    <t>6,854,335</t>
  </si>
  <si>
    <t>24.10.2024 04:55:16</t>
  </si>
  <si>
    <t xml:space="preserve">        898K           898K             8K</t>
  </si>
  <si>
    <t>AHLay166DoVa5xKKv1Ke1jf9zkypNCUdBVtW4SXfpump</t>
  </si>
  <si>
    <t>Daenerys</t>
  </si>
  <si>
    <t>-5.000 SOL</t>
  </si>
  <si>
    <t>27,419,210</t>
  </si>
  <si>
    <t>24.10.2024 03:05:43</t>
  </si>
  <si>
    <t xml:space="preserve">         32K            32K             4K</t>
  </si>
  <si>
    <t>35Ahbg8yjGh9kKANhh1rTJnbqWYSfbQ4gXdqF4h4pump</t>
  </si>
  <si>
    <t>SA</t>
  </si>
  <si>
    <t>-3.000 SOL</t>
  </si>
  <si>
    <t>23,713,197</t>
  </si>
  <si>
    <t>24.10.2024 02:06:47</t>
  </si>
  <si>
    <t xml:space="preserve">         23K            23K             4K</t>
  </si>
  <si>
    <t>LwLcyWpfkc2Rt4qdKeAWRQZN4C8ufnKhijWB7DApump</t>
  </si>
  <si>
    <t>MDAO</t>
  </si>
  <si>
    <t>0.000020</t>
  </si>
  <si>
    <t>25.598 SOL</t>
  </si>
  <si>
    <t>-14.67%</t>
  </si>
  <si>
    <t>24.10.2024 00:55:48</t>
  </si>
  <si>
    <t xml:space="preserve">        438K           375K            25K</t>
  </si>
  <si>
    <t>73USbWxfhX9LxgC1tVyQRKq1AZsgLvwChCgEAcU6pump</t>
  </si>
  <si>
    <t>Shapeless</t>
  </si>
  <si>
    <t>-15.000 SOL</t>
  </si>
  <si>
    <t>14,119,328</t>
  </si>
  <si>
    <t>23.10.2024 20:21:04</t>
  </si>
  <si>
    <t xml:space="preserve">        186K           186K            16K</t>
  </si>
  <si>
    <t>A1mvjhm4nTxGSHuW1EYqpkSMfQxjdTapbcVHLgm1pump</t>
  </si>
  <si>
    <t>Julia</t>
  </si>
  <si>
    <t>-40.000 SOL</t>
  </si>
  <si>
    <t>9,030,199</t>
  </si>
  <si>
    <t>23.10.2024 19:53:05</t>
  </si>
  <si>
    <t xml:space="preserve">        765K           765K            12K</t>
  </si>
  <si>
    <t>C3YBjaivX99gzMdeQ1PCpVP3o5kNoaKkT2yAKFqRpump</t>
  </si>
  <si>
    <t>BillyAI</t>
  </si>
  <si>
    <t>26,749,572</t>
  </si>
  <si>
    <t>23.10.2024 14:14:39</t>
  </si>
  <si>
    <t xml:space="preserve">         33K            33K             4K</t>
  </si>
  <si>
    <t>CcdoyAKPPuZBLL3zdZXGJkTQNuPSTehL8e8b3MmUpump</t>
  </si>
  <si>
    <t>TOL</t>
  </si>
  <si>
    <t>-25.000 SOL</t>
  </si>
  <si>
    <t>10,714,821</t>
  </si>
  <si>
    <t>23.10.2024 12:35:12</t>
  </si>
  <si>
    <t xml:space="preserve">        388K           388K            18K</t>
  </si>
  <si>
    <t>8SJHvukeqYDyGi64zdv4AM4GrktUtaB7wPMgM3EHpump</t>
  </si>
  <si>
    <t>97</t>
  </si>
  <si>
    <t>0.000030</t>
  </si>
  <si>
    <t>8.378 SOL</t>
  </si>
  <si>
    <t>-6.622 SOL</t>
  </si>
  <si>
    <t>-44.15%</t>
  </si>
  <si>
    <t>23.10.2024 12:19:05</t>
  </si>
  <si>
    <t xml:space="preserve">        106K           322K             7K</t>
  </si>
  <si>
    <t>C9ZdNBhc5oZmqXhWMrKEdBv4pyN1uLDcaZhemmwopump</t>
  </si>
  <si>
    <t>GOTE</t>
  </si>
  <si>
    <t>-10.000 SOL</t>
  </si>
  <si>
    <t>19,527,362</t>
  </si>
  <si>
    <t>23.10.2024 12:13:33</t>
  </si>
  <si>
    <t xml:space="preserve">         90K            90K            22K</t>
  </si>
  <si>
    <t>Fgn3y5zLZTfi5UxP59yHbLmryWgWnHS4BFJHcsuVpump</t>
  </si>
  <si>
    <t>aiJESUS</t>
  </si>
  <si>
    <t>18,189,382</t>
  </si>
  <si>
    <t>23.10.2024 12:11:27</t>
  </si>
  <si>
    <t xml:space="preserve">         97K            97K            20K</t>
  </si>
  <si>
    <t>HxCHmV7w7DNsh6GkftwL7Ykmvx5U41C3LHnosGJJpump</t>
  </si>
  <si>
    <t>suyasuya</t>
  </si>
  <si>
    <t>0.010020</t>
  </si>
  <si>
    <t>2.510 SOL</t>
  </si>
  <si>
    <t>-12.500 SOL</t>
  </si>
  <si>
    <t>-83.28%</t>
  </si>
  <si>
    <t>23.10.2024 10:12:42</t>
  </si>
  <si>
    <t>11 min</t>
  </si>
  <si>
    <t xml:space="preserve">        213K           716K            14K</t>
  </si>
  <si>
    <t>3Y2Nnu5EDAQHurxmiv2sgpxtZtYV8eNnKNXacWgDpump</t>
  </si>
  <si>
    <t>888</t>
  </si>
  <si>
    <t>10,253,350</t>
  </si>
  <si>
    <t>23.10.2024 07:59:36</t>
  </si>
  <si>
    <t xml:space="preserve">        172K           172K            12K</t>
  </si>
  <si>
    <t>C65t4Bd52R1ZdV1GVzzSyLqphoPrShiajsK5nJBrpump</t>
  </si>
  <si>
    <t>GJSM</t>
  </si>
  <si>
    <t>4,940,946</t>
  </si>
  <si>
    <t>23.10.2024 07:18:29</t>
  </si>
  <si>
    <t xml:space="preserve">          1M             1M            38K</t>
  </si>
  <si>
    <t>GDEuw8cG6TyAE3hwbFYmTEGVSHWHohLVPkQ3anTBpump</t>
  </si>
  <si>
    <t>Omni</t>
  </si>
  <si>
    <t>2.040 SOL</t>
  </si>
  <si>
    <t>-2.040 SOL</t>
  </si>
  <si>
    <t>26,369,570</t>
  </si>
  <si>
    <t>23.10.2024 06:59:48</t>
  </si>
  <si>
    <t xml:space="preserve">         14K            14K             4K</t>
  </si>
  <si>
    <t>47uzMUSMKrQ2Mc2Q4o2mApEUow85cGyTsSt5HT5wpump</t>
  </si>
  <si>
    <t>TARD</t>
  </si>
  <si>
    <t>0.080060</t>
  </si>
  <si>
    <t>81.598 SOL</t>
  </si>
  <si>
    <t>61.518 SOL</t>
  </si>
  <si>
    <t>306.36%</t>
  </si>
  <si>
    <t>23.10.2024 05:13:38</t>
  </si>
  <si>
    <t xml:space="preserve">        198K             1M           119K</t>
  </si>
  <si>
    <t>6bbATbj5XDYBoS8LFzQmDSRoGwfZZvNaAUA5WKuapump</t>
  </si>
  <si>
    <t>PFPAI</t>
  </si>
  <si>
    <t>24,994,955</t>
  </si>
  <si>
    <t>23.10.2024 04:54:30</t>
  </si>
  <si>
    <t xml:space="preserve">         35K            35K             4K</t>
  </si>
  <si>
    <t>G9iehSSjm4SVcT85s1DNmNiTyaAhHrenYiWSLfXopump</t>
  </si>
  <si>
    <t>Livia</t>
  </si>
  <si>
    <t>10,656,883</t>
  </si>
  <si>
    <t>23.10.2024 02:38:12</t>
  </si>
  <si>
    <t xml:space="preserve">         83K            83K             4K</t>
  </si>
  <si>
    <t>6KzUWrE31FSZyzswENJ5yR4DXzAzkD15NKvwK7tdpump</t>
  </si>
  <si>
    <t>Swaggy</t>
  </si>
  <si>
    <t>1.735 SOL</t>
  </si>
  <si>
    <t>-8.275 SOL</t>
  </si>
  <si>
    <t>-82.67%</t>
  </si>
  <si>
    <t>23.10.2024 02:18:32</t>
  </si>
  <si>
    <t>15 min</t>
  </si>
  <si>
    <t xml:space="preserve">        102K           357K            12K</t>
  </si>
  <si>
    <t>PeSuezqPQbB5k8F4Ew2hWoSjZxf1qKdEbri35s1pump</t>
  </si>
  <si>
    <t>brud</t>
  </si>
  <si>
    <t>-17.000 SOL</t>
  </si>
  <si>
    <t>9,764,569</t>
  </si>
  <si>
    <t>23.10.2024 02:16:49</t>
  </si>
  <si>
    <t xml:space="preserve">        306K           306K            11K</t>
  </si>
  <si>
    <t>5NED885EsFwpv4TfJ4V1YFdn9t7ohvbvmiQ6HXSwpump</t>
  </si>
  <si>
    <t xml:space="preserve">mommy </t>
  </si>
  <si>
    <t>53,988,762</t>
  </si>
  <si>
    <t>22.10.2024 15:21:46</t>
  </si>
  <si>
    <t>HKYbTVyfLaCJkWvjion7Me8ADu73mqKktTNjJEp7pump</t>
  </si>
  <si>
    <t>WAFFLES</t>
  </si>
  <si>
    <t>-30.000 SOL</t>
  </si>
  <si>
    <t>5,236,122</t>
  </si>
  <si>
    <t>22.10.2024 15:08:15</t>
  </si>
  <si>
    <t xml:space="preserve">          1M             1M             7K</t>
  </si>
  <si>
    <t>9qGKumCjK4iNuY4je1nxpt7xb3q7wBa2NZSzJRvEpump</t>
  </si>
  <si>
    <t>3xp3ra1</t>
  </si>
  <si>
    <t>5.489 SOL</t>
  </si>
  <si>
    <t>-5.489 SOL</t>
  </si>
  <si>
    <t>25,033,368</t>
  </si>
  <si>
    <t>22.10.2024 14:36:15</t>
  </si>
  <si>
    <t xml:space="preserve">         39K            39K             4K</t>
  </si>
  <si>
    <t>8rp71jZuReY95JvR8vTc1zbdaM7o1wjZTtwsJdNmpump</t>
  </si>
  <si>
    <t>ZERO</t>
  </si>
  <si>
    <t>1.000 SOL</t>
  </si>
  <si>
    <t>-1.000 SOL</t>
  </si>
  <si>
    <t>24,709,844</t>
  </si>
  <si>
    <t>22.10.2024 14:00:19</t>
  </si>
  <si>
    <t xml:space="preserve">          7K             7K             5K</t>
  </si>
  <si>
    <t>DgEbSx4RoMzhz6CJyKN9PN293zPbEm33Sn7BTQVfpump</t>
  </si>
  <si>
    <t>WORLD</t>
  </si>
  <si>
    <t>13,383,441</t>
  </si>
  <si>
    <t>22.10.2024 13:54:55</t>
  </si>
  <si>
    <t xml:space="preserve">        132K           132K             4K</t>
  </si>
  <si>
    <t>EjggBgTdE9bXWdaFcsnQjBsZTv2mHQKVEKxARpQSpump</t>
  </si>
  <si>
    <t>Attention</t>
  </si>
  <si>
    <t>16,584,167</t>
  </si>
  <si>
    <t>22.10.2024 13:29:27</t>
  </si>
  <si>
    <t xml:space="preserve">         53K            53K            22K</t>
  </si>
  <si>
    <t>gVjogZYnqBd8jxqhKdV64TcAoiFDcjH1iYZCPfCpump</t>
  </si>
  <si>
    <t>ETA</t>
  </si>
  <si>
    <t>5.067 SOL</t>
  </si>
  <si>
    <t>-5.067 SOL</t>
  </si>
  <si>
    <t>30,728,542</t>
  </si>
  <si>
    <t>22.10.2024 13:23:06</t>
  </si>
  <si>
    <t xml:space="preserve">         28K            28K             6K</t>
  </si>
  <si>
    <t>9ri6eT4zxfsKLo3a9aGnqQVjx2bnfeJFzMu9pBw3pump</t>
  </si>
  <si>
    <t>GFF</t>
  </si>
  <si>
    <t>18,395,975</t>
  </si>
  <si>
    <t>22.10.2024 13:21:27</t>
  </si>
  <si>
    <t xml:space="preserve">         95K            95K             6K</t>
  </si>
  <si>
    <t>5bakCrizCSwwWJLYoZV68HmowQTTCDiwASFrxcZhpump</t>
  </si>
  <si>
    <t>APT.</t>
  </si>
  <si>
    <t>10,302,077</t>
  </si>
  <si>
    <t>22.10.2024 13:13:48</t>
  </si>
  <si>
    <t xml:space="preserve">        171K           171K             8K</t>
  </si>
  <si>
    <t>ExHtzxVCEHKb61SVQ1dVADXvRGSbm3hQtfKnLfZ8pump</t>
  </si>
  <si>
    <t>PETERTODD</t>
  </si>
  <si>
    <t>12,524,309</t>
  </si>
  <si>
    <t>22.10.2024 11:09:34</t>
  </si>
  <si>
    <t xml:space="preserve">        141K           141K             8K</t>
  </si>
  <si>
    <t>4BSDdi614rkdb11qQNAUFvaDqZvykn5H8xjQCCTajDVx</t>
  </si>
  <si>
    <t>✨</t>
  </si>
  <si>
    <t>10,066,922</t>
  </si>
  <si>
    <t>22.10.2024 02:46:51</t>
  </si>
  <si>
    <t xml:space="preserve">        174K           174K             6K</t>
  </si>
  <si>
    <t>CKDnn4zTnfSXdeSmJAEQdUyxHH3Lp3pSpYRzizNbpump</t>
  </si>
  <si>
    <t>nico</t>
  </si>
  <si>
    <t>10.055 SOL</t>
  </si>
  <si>
    <t>-10.055 SOL</t>
  </si>
  <si>
    <t>30,040,550</t>
  </si>
  <si>
    <t>21.10.2024 19:44:03</t>
  </si>
  <si>
    <t xml:space="preserve">         58K            58K             4K</t>
  </si>
  <si>
    <t>gBjcxxWdjYyaiTgiRBWu3HnqfxfQzw5ccah9eR6pump</t>
  </si>
  <si>
    <t>MEOWMEOW</t>
  </si>
  <si>
    <t>9,764,857</t>
  </si>
  <si>
    <t>21.10.2024 19:42:08</t>
  </si>
  <si>
    <t xml:space="preserve">        179K           179K            75K</t>
  </si>
  <si>
    <t>HeCFQ5hiDZRKVYEuDF1LYBfbYfqAg98CQtbrTR7ipump</t>
  </si>
  <si>
    <t>maxy</t>
  </si>
  <si>
    <t>-20.000 SOL</t>
  </si>
  <si>
    <t>8,457,157</t>
  </si>
  <si>
    <t>21.10.2024 03:49:24</t>
  </si>
  <si>
    <t xml:space="preserve">        415K           415K            37K</t>
  </si>
  <si>
    <t>2tBPEZp3uChtKvdKhWgaA8AsqK3J6Mvt8w7XQo39pump</t>
  </si>
  <si>
    <t>$SOUL</t>
  </si>
  <si>
    <t>3.160 SOL</t>
  </si>
  <si>
    <t>-3.160 SOL</t>
  </si>
  <si>
    <t>28,180,803</t>
  </si>
  <si>
    <t>21.10.2024 03:39:26</t>
  </si>
  <si>
    <t xml:space="preserve">         19K            19K            13K</t>
  </si>
  <si>
    <t>7e37YzFumcYBbnVbpiDVMTcmSM3AvEJQENBHSHVUpump</t>
  </si>
  <si>
    <t>IQ</t>
  </si>
  <si>
    <t>9,224,023</t>
  </si>
  <si>
    <t>21.10.2024 03:35:42</t>
  </si>
  <si>
    <t xml:space="preserve">        190K           190K            12K</t>
  </si>
  <si>
    <t>AsyfR3e5JcPqWot4H5MMhQUm7DZ4zwQrcp2zbB7vpump</t>
  </si>
  <si>
    <t>SALT</t>
  </si>
  <si>
    <t>13,017,934</t>
  </si>
  <si>
    <t>21.10.2024 02:40:48</t>
  </si>
  <si>
    <t xml:space="preserve">        135K           135K             8K</t>
  </si>
  <si>
    <t>EDNB87kSED7ER2Qe39xSsXDyjSK6LqBSyv6v8ocepump</t>
  </si>
  <si>
    <t>nexaria</t>
  </si>
  <si>
    <t>6,673,365</t>
  </si>
  <si>
    <t>21.10.2024 00:32:20</t>
  </si>
  <si>
    <t xml:space="preserve">        264K           264K             6K</t>
  </si>
  <si>
    <t>zezJya1acNmn2VeyvUPc9jFgUzk5Eip5h9TDVQxpump</t>
  </si>
  <si>
    <t>21e8</t>
  </si>
  <si>
    <t>15,791,626</t>
  </si>
  <si>
    <t>20.10.2024 15:27:21</t>
  </si>
  <si>
    <t xml:space="preserve">        111K           111K            29K</t>
  </si>
  <si>
    <t>EHHAKzPZJhQy4fc7CTaJPFsetPgKnC6JNCdv6pqsQ7Ma</t>
  </si>
  <si>
    <t>AGUIRRE</t>
  </si>
  <si>
    <t>10,096,795</t>
  </si>
  <si>
    <t>20.10.2024 12:18:41</t>
  </si>
  <si>
    <t xml:space="preserve">        174K           174K            14K</t>
  </si>
  <si>
    <t>LSpcBYHeBchGGw3V2bdpp2abm5UqDU1ydFu4XJhpump</t>
  </si>
  <si>
    <t>SOLFESSION</t>
  </si>
  <si>
    <t>6,565,165</t>
  </si>
  <si>
    <t>20.10.2024 12:06:40</t>
  </si>
  <si>
    <t xml:space="preserve">        401K           401K            25K</t>
  </si>
  <si>
    <t>GbCBWwoJsYY5fyxbGarZCmRv6FaL8tTiEawNRZ5fpump</t>
  </si>
  <si>
    <t>AI MOTHER</t>
  </si>
  <si>
    <t>16,860,383</t>
  </si>
  <si>
    <t>20.10.2024 09:52:42</t>
  </si>
  <si>
    <t xml:space="preserve">        104K           104K            10K</t>
  </si>
  <si>
    <t>GmFMTyowhyibYhT4R8B8HtCDmTr9sWBsXMkTsw7Hpump</t>
  </si>
  <si>
    <t>ANDYISM</t>
  </si>
  <si>
    <t>4.827 SOL</t>
  </si>
  <si>
    <t>-5.173 SOL</t>
  </si>
  <si>
    <t>-51.73%</t>
  </si>
  <si>
    <t>20.10.2024 01:42:45</t>
  </si>
  <si>
    <t xml:space="preserve">        257K             1M            18K</t>
  </si>
  <si>
    <t>FLuxaik9EoUh4ZwTT8ZhMmNh27XbTcabTMRGSXHvpump</t>
  </si>
  <si>
    <t>goo</t>
  </si>
  <si>
    <t>-2.500 SOL</t>
  </si>
  <si>
    <t>31,772,139</t>
  </si>
  <si>
    <t>20.10.2024 01:03:13</t>
  </si>
  <si>
    <t>Eht2DmYZ95ovADAX55G3hQwnyvANZAeFgAzdZFChpump</t>
  </si>
  <si>
    <t>Lump</t>
  </si>
  <si>
    <t>0.015150</t>
  </si>
  <si>
    <t>8.000 SOL</t>
  </si>
  <si>
    <t>76.302 SOL</t>
  </si>
  <si>
    <t>68.287 SOL</t>
  </si>
  <si>
    <t>851.98%</t>
  </si>
  <si>
    <t>19.10.2024 23:49:36</t>
  </si>
  <si>
    <t xml:space="preserve">         84K             3M            55K</t>
  </si>
  <si>
    <t>CSEkG3mT5P1GUf4HZTHdVk1syKFN6gQWokbZ4jDWpump</t>
  </si>
  <si>
    <t>RAFT AI</t>
  </si>
  <si>
    <t>5,319,520</t>
  </si>
  <si>
    <t>19.10.2024 11:30:28</t>
  </si>
  <si>
    <t xml:space="preserve">        331K           331K             4K</t>
  </si>
  <si>
    <t>G3FiM6eYqVVVSwKT183kBAbCcLMkZQYnq9bwwnT6pump</t>
  </si>
  <si>
    <t>TEMPLE</t>
  </si>
  <si>
    <t>10,072,551</t>
  </si>
  <si>
    <t>19.10.2024 10:53:53</t>
  </si>
  <si>
    <t xml:space="preserve">        174K           174K            60K</t>
  </si>
  <si>
    <t>EZDwvexi9tWuduXTsqCNmgQNPpLPpXJySHCX3PNrpump</t>
  </si>
  <si>
    <t>TEAPOT</t>
  </si>
  <si>
    <t>12,277,540</t>
  </si>
  <si>
    <t>19.10.2024 07:50:26</t>
  </si>
  <si>
    <t xml:space="preserve">        142K           142K            37K</t>
  </si>
  <si>
    <t>9wtFqbMCFDLwgEboVs3WJhVG2VgwdFBo3osqtqgXpump</t>
  </si>
  <si>
    <t>Taylor</t>
  </si>
  <si>
    <t>0.052660</t>
  </si>
  <si>
    <t>153.276 SOL</t>
  </si>
  <si>
    <t>148.127 SOL</t>
  </si>
  <si>
    <t>2876.41%</t>
  </si>
  <si>
    <t>19.10.2024 01:10:30</t>
  </si>
  <si>
    <t xml:space="preserve">         48K             7M            52K</t>
  </si>
  <si>
    <t>umgcPr2uQHzmCerCu6kSPBiaUdMWZewRRQmQ54Apump</t>
  </si>
  <si>
    <t>BwO</t>
  </si>
  <si>
    <t>9.720 SOL</t>
  </si>
  <si>
    <t>-0.280 SOL</t>
  </si>
  <si>
    <t>-2.80%</t>
  </si>
  <si>
    <t>19.10.2024 00:55:24</t>
  </si>
  <si>
    <t>36 min</t>
  </si>
  <si>
    <t xml:space="preserve">         83K           415K             8K</t>
  </si>
  <si>
    <t>5SGt7iwPqxLYrsQiCcUpN3NASstzpsjwAutuPV2Tpump</t>
  </si>
  <si>
    <t>GORM</t>
  </si>
  <si>
    <t>12,584,764</t>
  </si>
  <si>
    <t>18.10.2024 12:53:07</t>
  </si>
  <si>
    <t xml:space="preserve">        139K           139K            19K</t>
  </si>
  <si>
    <t>38We91Q27uZ1gJccRLt74eeAk9W5Z8e4vWLcZHWMpump</t>
  </si>
  <si>
    <t>daemon</t>
  </si>
  <si>
    <t>6,651,784</t>
  </si>
  <si>
    <t>18.10.2024 12:33:05</t>
  </si>
  <si>
    <t xml:space="preserve">        264K           264K             7K</t>
  </si>
  <si>
    <t>9a3Ce5dP9jXxuMTi3xC5MiLWkWojNHhKd1UcyyAxpump</t>
  </si>
  <si>
    <t>TLOT</t>
  </si>
  <si>
    <t>20,357,356</t>
  </si>
  <si>
    <t>18.10.2024 11:20:07</t>
  </si>
  <si>
    <t xml:space="preserve">         86K            86K             5K</t>
  </si>
  <si>
    <t>9qd7AxTtsZSXi86j1BKENFhoA3fPFs8gU89Stu3ipump</t>
  </si>
  <si>
    <t>sonny</t>
  </si>
  <si>
    <t>0.045160</t>
  </si>
  <si>
    <t>3.059 SOL</t>
  </si>
  <si>
    <t>68.271 SOL</t>
  </si>
  <si>
    <t>65.167 SOL</t>
  </si>
  <si>
    <t>2099.30%</t>
  </si>
  <si>
    <t>18.10.2024 11:00:53</t>
  </si>
  <si>
    <t xml:space="preserve">         33K             4M             2M</t>
  </si>
  <si>
    <t>FAJW358HjJ2mHXSHbHyxghfVGzX5SBoupdjRr2y9pump</t>
  </si>
  <si>
    <t>Memetics</t>
  </si>
  <si>
    <t>2.174 SOL</t>
  </si>
  <si>
    <t>-7.826 SOL</t>
  </si>
  <si>
    <t>-78.26%</t>
  </si>
  <si>
    <t>18.10.2024 10:59:55</t>
  </si>
  <si>
    <t xml:space="preserve">        169K           366K            13K</t>
  </si>
  <si>
    <t>7wU64AbsCqQKYqvdGEZsdyLRX3zrtwKdSNw1Ze6Rpump</t>
  </si>
  <si>
    <t>HAL</t>
  </si>
  <si>
    <t>10.417 SOL</t>
  </si>
  <si>
    <t>-10.417 SOL</t>
  </si>
  <si>
    <t>28,853,306</t>
  </si>
  <si>
    <t>18.10.2024 04:34:35</t>
  </si>
  <si>
    <t xml:space="preserve">         63K            63K             8K</t>
  </si>
  <si>
    <t>6nS5hcMfvAEbw5K8PMEbXMJdcVdi6P5yZE1WGS8apump</t>
  </si>
  <si>
    <t>CASPER</t>
  </si>
  <si>
    <t>22,992,323</t>
  </si>
  <si>
    <t>18.10.2024 01:45:19</t>
  </si>
  <si>
    <t xml:space="preserve">          7K             7K             6K</t>
  </si>
  <si>
    <t>Fb1jgnB16LcheeaSDzfxvKMTxXnHFfm5WJsn4vX15zEv</t>
  </si>
  <si>
    <t>BULLY</t>
  </si>
  <si>
    <t>24,930,850</t>
  </si>
  <si>
    <t>17.10.2024 22:48:20</t>
  </si>
  <si>
    <t xml:space="preserve">         21K            21K             3K</t>
  </si>
  <si>
    <t>3aRvNjgAgcHBs3Dv1D6SLFMNHNLiMmm9eg64FBoppump</t>
  </si>
  <si>
    <t>Hump</t>
  </si>
  <si>
    <t>-7.000 SOL</t>
  </si>
  <si>
    <t>18,197,598</t>
  </si>
  <si>
    <t>17.10.2024 22:37:53</t>
  </si>
  <si>
    <t xml:space="preserve">         67K            67K             5K</t>
  </si>
  <si>
    <t>8oG6okLneVnD7h2L4ATBZcCT9m8ng7UhvcgdUeuUpump</t>
  </si>
  <si>
    <t>CORA</t>
  </si>
  <si>
    <t>12,011,573</t>
  </si>
  <si>
    <t>17.10.2024 17:02:32</t>
  </si>
  <si>
    <t xml:space="preserve">        146K           146K            12K</t>
  </si>
  <si>
    <t>D1kWoYYgLk9KLkGUh2MUfDFzpnTTyixRqBZX7a1i2MEz</t>
  </si>
  <si>
    <t>GG</t>
  </si>
  <si>
    <t>21.252 SOL</t>
  </si>
  <si>
    <t>1.252 SOL</t>
  </si>
  <si>
    <t>6.26%</t>
  </si>
  <si>
    <t>17.10.2024 08:29:27</t>
  </si>
  <si>
    <t xml:space="preserve">        510K           542K           108K</t>
  </si>
  <si>
    <t>41ogcpM8btW6s33SVNM7spBAQQm1ZVdmuDabLLi9pump</t>
  </si>
  <si>
    <t>MYSTIC</t>
  </si>
  <si>
    <t>5.161 SOL</t>
  </si>
  <si>
    <t>-5.161 SOL</t>
  </si>
  <si>
    <t>16,509,731</t>
  </si>
  <si>
    <t>17.10.2024 05:53:02</t>
  </si>
  <si>
    <t xml:space="preserve">         55K            55K             4K</t>
  </si>
  <si>
    <t>6inAmKeZWhGmT9Xs9m3jg3ZGbp1o1AB7JDYYvUqFpump</t>
  </si>
  <si>
    <t>sydney</t>
  </si>
  <si>
    <t>4.078 SOL</t>
  </si>
  <si>
    <t>-4.078 SOL</t>
  </si>
  <si>
    <t>31,997,095</t>
  </si>
  <si>
    <t>17.10.2024 04:37:13</t>
  </si>
  <si>
    <t xml:space="preserve">         23K            23K             5K</t>
  </si>
  <si>
    <t>2hcj38pAtiGnVsApQ4gZiE43CTKJJDiU7ff32oCYpump</t>
  </si>
  <si>
    <t>VQVAE</t>
  </si>
  <si>
    <t>22,526,695</t>
  </si>
  <si>
    <t>17.10.2024 03:37:43</t>
  </si>
  <si>
    <t>C5aaG9ZhgjKHspD9gKum6FmYC5ajDP1WHSG8yfgApump</t>
  </si>
  <si>
    <t>ARYA</t>
  </si>
  <si>
    <t>53,190,201</t>
  </si>
  <si>
    <t>17.10.2024 03:13:59</t>
  </si>
  <si>
    <t>8WxSchDxL3TMgL3oQxUgGhfLpG5Avkdwg5E9LhYnpump</t>
  </si>
  <si>
    <t>FDLZ</t>
  </si>
  <si>
    <t>-13.000 SOL</t>
  </si>
  <si>
    <t>5,785,706</t>
  </si>
  <si>
    <t>17.10.2024 02:28:39</t>
  </si>
  <si>
    <t xml:space="preserve">        396K           396K            49K</t>
  </si>
  <si>
    <t>FGSheu4NuiGqf8zjP9Na5BtdQTmd1SzfcdYZAHHNpump</t>
  </si>
  <si>
    <t>d00dle</t>
  </si>
  <si>
    <t>18,804,128</t>
  </si>
  <si>
    <t>16.10.2024 14:58:43</t>
  </si>
  <si>
    <t xml:space="preserve">         93K            93K             6K</t>
  </si>
  <si>
    <t>CdEvedaCXtwC3ubZNwxMPUbojMvgH7dN6xtKRHSgpump</t>
  </si>
  <si>
    <t>OI</t>
  </si>
  <si>
    <t>21,439,171</t>
  </si>
  <si>
    <t>16.10.2024 14:37:26</t>
  </si>
  <si>
    <t xml:space="preserve">         25K            25K             5K</t>
  </si>
  <si>
    <t>9jXM5YVmVu6D8DVNo7J2cLFWK1MCCWdS3GpGb2HSpump</t>
  </si>
  <si>
    <t>$negrotech</t>
  </si>
  <si>
    <t>6.000 SOL</t>
  </si>
  <si>
    <t>-6.000 SOL</t>
  </si>
  <si>
    <t>11,436,670</t>
  </si>
  <si>
    <t>16.10.2024 14:29:46</t>
  </si>
  <si>
    <t xml:space="preserve">         91K            91K            33K</t>
  </si>
  <si>
    <t>AZHzeowRASW6EkfQRxGoHR7J7wUEmMJbJkxtmJGhpump</t>
  </si>
  <si>
    <t>KITTERS</t>
  </si>
  <si>
    <t>5.493 SOL</t>
  </si>
  <si>
    <t>-4.507 SOL</t>
  </si>
  <si>
    <t>-45.07%</t>
  </si>
  <si>
    <t>16.10.2024 12:34:05</t>
  </si>
  <si>
    <t xml:space="preserve">        106K           246K            12K</t>
  </si>
  <si>
    <t>GpKUvQfGPVhMM62e3aCcBe6tUcVqHXjLK45WySdq5dJf</t>
  </si>
  <si>
    <t>DINGUS</t>
  </si>
  <si>
    <t>0.000040</t>
  </si>
  <si>
    <t>17.037 SOL</t>
  </si>
  <si>
    <t>11.037 SOL</t>
  </si>
  <si>
    <t>183.95%</t>
  </si>
  <si>
    <t>16.10.2024 12:18:44</t>
  </si>
  <si>
    <t xml:space="preserve">         58K           675K             7K</t>
  </si>
  <si>
    <t>8sj6CvKd8tZttApYFpDKfTrA2osx1eemhemK1YMbpump</t>
  </si>
  <si>
    <t>GOAT2</t>
  </si>
  <si>
    <t>0.007520</t>
  </si>
  <si>
    <t>3.048 SOL</t>
  </si>
  <si>
    <t>-1.960 SOL</t>
  </si>
  <si>
    <t>-39.14%</t>
  </si>
  <si>
    <t>16.10.2024 08:03:28</t>
  </si>
  <si>
    <t xml:space="preserve">         40K           250K             8K</t>
  </si>
  <si>
    <t>EWKCSAyuWFCTKHXnomA3V81drupcj2fKP9yvsdbdpump</t>
  </si>
  <si>
    <t>RADCAT</t>
  </si>
  <si>
    <t>3.324 SOL</t>
  </si>
  <si>
    <t>0.324 SOL</t>
  </si>
  <si>
    <t>10.81%</t>
  </si>
  <si>
    <t>16.10.2024 05:05:54</t>
  </si>
  <si>
    <t xml:space="preserve">         53K           373K           204K</t>
  </si>
  <si>
    <t>7192XhbzmrUJaei8dgGmmTs8jP6qocNYr9rLYkjqsTEJ</t>
  </si>
  <si>
    <t>Gayi</t>
  </si>
  <si>
    <t>11,599,125</t>
  </si>
  <si>
    <t>16.10.2024 05:05:18</t>
  </si>
  <si>
    <t xml:space="preserve">         76K            76K             4K</t>
  </si>
  <si>
    <t>5LDKU2JpdgxUmzQq3aQL3tYCWxKf5iXtEXpkGTdHpump</t>
  </si>
  <si>
    <t>TEPG</t>
  </si>
  <si>
    <t>16,410,668</t>
  </si>
  <si>
    <t>15.10.2024 14:29:15</t>
  </si>
  <si>
    <t xml:space="preserve">         11K            11K            12K</t>
  </si>
  <si>
    <t>76nGNHFTuFTgY5Yuvv2dJDHm4xM6XHQYrpvQU2d6toA7</t>
  </si>
  <si>
    <t>GNT</t>
  </si>
  <si>
    <t>34,713,556</t>
  </si>
  <si>
    <t>15.10.2024 05:24:24</t>
  </si>
  <si>
    <t xml:space="preserve">         12K            12K             4K</t>
  </si>
  <si>
    <t>GLqavGgxjwP2gdVoooPzX3HPxPG2YiHJx8PDUEL7pump</t>
  </si>
  <si>
    <t>THOM</t>
  </si>
  <si>
    <t>18,173,723</t>
  </si>
  <si>
    <t>14.10.2024 12:04:10</t>
  </si>
  <si>
    <t xml:space="preserve">         49K            49K            10K</t>
  </si>
  <si>
    <t>8VZCsMNqGbTQM3YrPBp6fbKb74tE1WwAH3gvZN5BxCwb</t>
  </si>
  <si>
    <t>AARON</t>
  </si>
  <si>
    <t>-3.059 SOL</t>
  </si>
  <si>
    <t>13,654,494</t>
  </si>
  <si>
    <t>14.10.2024 09:22:24</t>
  </si>
  <si>
    <t xml:space="preserve">         39K            39K             6K</t>
  </si>
  <si>
    <t>3gAisekR82VdzH4N4pJzbLqkQ1z418eGygs3Kkaupump</t>
  </si>
  <si>
    <t>SIMP</t>
  </si>
  <si>
    <t>10,959,371</t>
  </si>
  <si>
    <t>14.10.2024 00:03:09</t>
  </si>
  <si>
    <t xml:space="preserve">         81K            81K             8K</t>
  </si>
  <si>
    <t>BcjQVMVXwUjsKU9mccvqiVog1gW5rh3gWhQnxxcNpump</t>
  </si>
  <si>
    <t>ME</t>
  </si>
  <si>
    <t>17,538,976</t>
  </si>
  <si>
    <t>13.10.2024 15:52:32</t>
  </si>
  <si>
    <t xml:space="preserve">         28K            28K            17K</t>
  </si>
  <si>
    <t>F47eEc7tuC23sXQjtBeGtriYL1jHHVdopywVM3Popump</t>
  </si>
  <si>
    <t>oof</t>
  </si>
  <si>
    <t>1.215 SOL</t>
  </si>
  <si>
    <t>-3.792 SOL</t>
  </si>
  <si>
    <t>-75.73%</t>
  </si>
  <si>
    <t>12.10.2024 03:15:39</t>
  </si>
  <si>
    <t xml:space="preserve">         48K           117K           189K</t>
  </si>
  <si>
    <t>48UE1jHd1YRR2EpTnRXi6dA15eboq92jm1YusW2epump</t>
  </si>
  <si>
    <t>YAP</t>
  </si>
  <si>
    <t>0.007540</t>
  </si>
  <si>
    <t>5.457 SOL</t>
  </si>
  <si>
    <t>0.449 SOL</t>
  </si>
  <si>
    <t>8.98%</t>
  </si>
  <si>
    <t>12.10.2024 03:13:28</t>
  </si>
  <si>
    <t xml:space="preserve">         52K           172K            24K</t>
  </si>
  <si>
    <t>5LGSb2sNAekH26RxQ6KS9G4Z8wVHiXyzARANNT3Fpump</t>
  </si>
  <si>
    <t>unc</t>
  </si>
  <si>
    <t>-6.500 SOL</t>
  </si>
  <si>
    <t>10,684,330</t>
  </si>
  <si>
    <t>12.10.2024 03:12:34</t>
  </si>
  <si>
    <t xml:space="preserve">        107K           107K            32K</t>
  </si>
  <si>
    <t>Fydx7jRPVT7iJi8VNLCdXp1iH7KeqLj1bsuFHUAPpump</t>
  </si>
  <si>
    <t>fedor</t>
  </si>
  <si>
    <t>1.021 SOL</t>
  </si>
  <si>
    <t>-1.021 SOL</t>
  </si>
  <si>
    <t>16,456,823</t>
  </si>
  <si>
    <t>11.10.2024 13:42:02</t>
  </si>
  <si>
    <t>G7GsT8zNrTFa1quWj9acHeZtQzzkVVyDCwKuxfAvpump</t>
  </si>
  <si>
    <t>DMT</t>
  </si>
  <si>
    <t>13,418,345</t>
  </si>
  <si>
    <t>10.10.2024 07:11:28</t>
  </si>
  <si>
    <t xml:space="preserve">         65K            65K             8K</t>
  </si>
  <si>
    <t>2YqkwZBf6aJ5mY3aitDz1W3CXTFmABjTApongtdLpump</t>
  </si>
  <si>
    <t>Gandalf</t>
  </si>
  <si>
    <t>0.007550</t>
  </si>
  <si>
    <t>7.471 SOL</t>
  </si>
  <si>
    <t>-2.536 SOL</t>
  </si>
  <si>
    <t>-25.35%</t>
  </si>
  <si>
    <t>10.10.2024 07:11:12</t>
  </si>
  <si>
    <t xml:space="preserve">         97K           109K            10K</t>
  </si>
  <si>
    <t>4CPQVcfg4o16KTFfy1XVc2TXvNcp8Zep8QnwTHm4pump</t>
  </si>
  <si>
    <t>$BST</t>
  </si>
  <si>
    <t>11.000 SOL</t>
  </si>
  <si>
    <t>-11.000 SOL</t>
  </si>
  <si>
    <t>23,470,241</t>
  </si>
  <si>
    <t>09.10.2024 13:36:46</t>
  </si>
  <si>
    <t xml:space="preserve">        213K            60K             9K</t>
  </si>
  <si>
    <t>C1XU84iJUs2WiPy4G25VmSsSFCY1G9uj6TDyAXmRpump</t>
  </si>
  <si>
    <t>FIS</t>
  </si>
  <si>
    <t>14,066,653</t>
  </si>
  <si>
    <t>09.10.2024 06:55:50</t>
  </si>
  <si>
    <t>36wNQNczRFXnYNrTSC6EE1VszBAmMCi4jL5fawXFpump</t>
  </si>
  <si>
    <t>MIT</t>
  </si>
  <si>
    <t>21,211,877</t>
  </si>
  <si>
    <t>08.10.2024 11:43:45</t>
  </si>
  <si>
    <t xml:space="preserve">         18K            18K             5K</t>
  </si>
  <si>
    <t>2ndcviftHLjAYCkTYYAA4bneEFparnbeMR3uYSVLpump</t>
  </si>
  <si>
    <t>CODES</t>
  </si>
  <si>
    <t>22,505,021</t>
  </si>
  <si>
    <t>08.10.2024 11:32:15</t>
  </si>
  <si>
    <t>6XK9THyDdgL4x5JqKJCxfRq2oLYxGaFwdcnJ8H9Bpump</t>
  </si>
  <si>
    <t>KAZIE</t>
  </si>
  <si>
    <t>3.009 SOL</t>
  </si>
  <si>
    <t>-3.009 SOL</t>
  </si>
  <si>
    <t>19,411,607</t>
  </si>
  <si>
    <t>07.10.2024 15:55:38</t>
  </si>
  <si>
    <t>DE8BMuw3mFtkJ5Na6A1D4hmFF7EoyGe3jk9qYNvbpump</t>
  </si>
  <si>
    <t>nigang</t>
  </si>
  <si>
    <t>3.642 SOL</t>
  </si>
  <si>
    <t>0.583 SOL</t>
  </si>
  <si>
    <t>19.05%</t>
  </si>
  <si>
    <t>07.10.2024 10:40:20</t>
  </si>
  <si>
    <t xml:space="preserve">         42K           100K             5K</t>
  </si>
  <si>
    <t>4f3EyhJ95QsAL8VPKKzFpb2p63nX3tn47C6sB5Gbpump</t>
  </si>
  <si>
    <t>TAKE</t>
  </si>
  <si>
    <t>0.989 SOL</t>
  </si>
  <si>
    <t>-0.989 SOL</t>
  </si>
  <si>
    <t>21,832,554</t>
  </si>
  <si>
    <t>07.10.2024 09:15:40</t>
  </si>
  <si>
    <t>Ge1WcDX4BhgdDB9PwFtfmc5HBvwFusEUNRPmM37Mpump</t>
  </si>
  <si>
    <t>CODE</t>
  </si>
  <si>
    <t>15,420,921</t>
  </si>
  <si>
    <t>07.10.2024 08:00:35</t>
  </si>
  <si>
    <t>Ezeatd6mQxMSGuB5Aeg7MGUNDbYEWoUHSgXxiehKpump</t>
  </si>
  <si>
    <t>Mr Goxx</t>
  </si>
  <si>
    <t>5.570 SOL</t>
  </si>
  <si>
    <t>0.570 SOL</t>
  </si>
  <si>
    <t>11.40%</t>
  </si>
  <si>
    <t>07.10.2024 05:30:09</t>
  </si>
  <si>
    <t xml:space="preserve">         33K           204K             6K</t>
  </si>
  <si>
    <t>RyRuUXejECrSJgZCvvaF76HZifsT3KsqYtAHUxapump</t>
  </si>
  <si>
    <t>bigdog</t>
  </si>
  <si>
    <t>2.390 SOL</t>
  </si>
  <si>
    <t>-2.610 SOL</t>
  </si>
  <si>
    <t>-52.20%</t>
  </si>
  <si>
    <t>07.10.2024 03:08:31</t>
  </si>
  <si>
    <t>1 min</t>
  </si>
  <si>
    <t xml:space="preserve">         87K           165K             4K</t>
  </si>
  <si>
    <t>DubWbTkpdwYrHiPSmL62vAmDA6fHbSjkX66qKtj1pump</t>
  </si>
  <si>
    <t>FAYCEBOK</t>
  </si>
  <si>
    <t>1.912 SOL</t>
  </si>
  <si>
    <t>-1.912 SOL</t>
  </si>
  <si>
    <t>22,504,831</t>
  </si>
  <si>
    <t>06.10.2024 13:44:46</t>
  </si>
  <si>
    <t>BC85nJWt8cGfavV2RfU1oZukPPwocbbcViwEyAQfpump</t>
  </si>
  <si>
    <t>@ghosti</t>
  </si>
  <si>
    <t>4.897 SOL</t>
  </si>
  <si>
    <t>-0.103 SOL</t>
  </si>
  <si>
    <t>-2.05%</t>
  </si>
  <si>
    <t>06.10.2024 09:23:32</t>
  </si>
  <si>
    <t>2 min</t>
  </si>
  <si>
    <t xml:space="preserve">         74K           181K            34K</t>
  </si>
  <si>
    <t>2qAx8nkVedYNNff19N4CZZJT66etYgSyWcYvNasGpump</t>
  </si>
  <si>
    <t>SENDOREO</t>
  </si>
  <si>
    <t>14,249,001</t>
  </si>
  <si>
    <t>06.10.2024 02:51:31</t>
  </si>
  <si>
    <t xml:space="preserve">         51K            51K             4K</t>
  </si>
  <si>
    <t>8Un9rQPjWRuZio74Fv5MpHQJpQmxn473QKsDXaZfpump</t>
  </si>
  <si>
    <t>margy</t>
  </si>
  <si>
    <t>2.000 SOL</t>
  </si>
  <si>
    <t>-2.000 SOL</t>
  </si>
  <si>
    <t>18,618,299</t>
  </si>
  <si>
    <t>05.10.2024 08:27:50</t>
  </si>
  <si>
    <t xml:space="preserve">         19K            19K             4K</t>
  </si>
  <si>
    <t>FWn21BaY3Lz8VNDJWnVdhbAbCaJsktpCoBzb4bVjpump</t>
  </si>
  <si>
    <t>TCAT</t>
  </si>
  <si>
    <t>17,685,984</t>
  </si>
  <si>
    <t>05.10.2024 06:39:50</t>
  </si>
  <si>
    <t xml:space="preserve">         49K            49K             7K</t>
  </si>
  <si>
    <t>G4RJPzVfDWxxZogJpKA2WyF4nYorrmkMTnRjuPQiEK6j</t>
  </si>
  <si>
    <t>CLOUDCASH</t>
  </si>
  <si>
    <t>24,437,238</t>
  </si>
  <si>
    <t>05.10.2024 02:41:32</t>
  </si>
  <si>
    <t xml:space="preserve">         14K            14K             6K</t>
  </si>
  <si>
    <t>GTTAHWdh7nyXR9cRHa6iscGZkWexZDLRiV9H5zyUpump</t>
  </si>
  <si>
    <t>ZIMOMO</t>
  </si>
  <si>
    <t>3.146 SOL</t>
  </si>
  <si>
    <t>-3.854 SOL</t>
  </si>
  <si>
    <t>-55.06%</t>
  </si>
  <si>
    <t>05.10.2024 02:03:12</t>
  </si>
  <si>
    <t>18 hours</t>
  </si>
  <si>
    <t xml:space="preserve">        266K           120K            24K</t>
  </si>
  <si>
    <t>BWzZQswJRUh5aHQ5P6txtgC2GwYdmJ58ukwriUFFpump</t>
  </si>
  <si>
    <t>⭐</t>
  </si>
  <si>
    <t>17,271,396</t>
  </si>
  <si>
    <t>04.10.2024 17:31:01</t>
  </si>
  <si>
    <t xml:space="preserve">         51K            51K            16K</t>
  </si>
  <si>
    <t>ErKuAEXNvTKpbhbKfTkYNUhkyhmxEwjeXc8wXLGhpump</t>
  </si>
  <si>
    <t>NIBI</t>
  </si>
  <si>
    <t>0.030130</t>
  </si>
  <si>
    <t>99.022 SOL</t>
  </si>
  <si>
    <t>96.992 SOL</t>
  </si>
  <si>
    <t>4777.64%</t>
  </si>
  <si>
    <t>04.10.2024 12:13:46</t>
  </si>
  <si>
    <t xml:space="preserve">         39K             2M            66K</t>
  </si>
  <si>
    <t>5UeaxTbiipJSNgkdx8ySsk49pRuATMMFuNGhoNEwpump</t>
  </si>
  <si>
    <t>DOWN</t>
  </si>
  <si>
    <t>2.769 SOL</t>
  </si>
  <si>
    <t>-2.231 SOL</t>
  </si>
  <si>
    <t>-44.63%</t>
  </si>
  <si>
    <t>04.10.2024 11:15:16</t>
  </si>
  <si>
    <t xml:space="preserve">         77K           142K            14K</t>
  </si>
  <si>
    <t>9u321XmFWk6MTTkkaMYs4njb6LXKR3PPWihsQ135pump</t>
  </si>
  <si>
    <t>TobiX</t>
  </si>
  <si>
    <t>3.992 SOL</t>
  </si>
  <si>
    <t>-3.992 SOL</t>
  </si>
  <si>
    <t>19,923,035</t>
  </si>
  <si>
    <t>04.10.2024 09:39:21</t>
  </si>
  <si>
    <t>QRYVRkQKHkZvxek49GWB7WL31dzmVTnHjZMUss2x5HY</t>
  </si>
  <si>
    <t>1/1</t>
  </si>
  <si>
    <t>2.975 SOL</t>
  </si>
  <si>
    <t>1.445 SOL</t>
  </si>
  <si>
    <t>94.40%</t>
  </si>
  <si>
    <t>02.10.2024 06:02:59</t>
  </si>
  <si>
    <t xml:space="preserve">         37K           182K             4K</t>
  </si>
  <si>
    <t>H9pjZBVBACSYBN3fF6aWAPCF7zHxtxZrBPwfvpGLpump</t>
  </si>
  <si>
    <t>OIIAOIIA</t>
  </si>
  <si>
    <t>1.212 SOL</t>
  </si>
  <si>
    <t>-0.796 SOL</t>
  </si>
  <si>
    <t>-39.64%</t>
  </si>
  <si>
    <t>02.10.2024 02:11:47</t>
  </si>
  <si>
    <t xml:space="preserve">         35K            21K           219K</t>
  </si>
  <si>
    <t>VaxZxmFXV8tmsd72hUn22ex6GFzZ5uq9DVJ5wA5pump</t>
  </si>
  <si>
    <t>LCAT</t>
  </si>
  <si>
    <t>2.010 SOL</t>
  </si>
  <si>
    <t>-0.037 SOL</t>
  </si>
  <si>
    <t>-1.82%</t>
  </si>
  <si>
    <t>01.10.2024 10:18:29</t>
  </si>
  <si>
    <t>19 min</t>
  </si>
  <si>
    <t xml:space="preserve">         33K           127K             4K</t>
  </si>
  <si>
    <t>9T3tLsiwAKmzJY5JfxGCET8vYY2cDRFALN3oXD4pump</t>
  </si>
  <si>
    <t>kapi</t>
  </si>
  <si>
    <t>4.277 SOL</t>
  </si>
  <si>
    <t>1.277 SOL</t>
  </si>
  <si>
    <t>42.57%</t>
  </si>
  <si>
    <t>01.10.2024 09:57:47</t>
  </si>
  <si>
    <t xml:space="preserve">         74K           112K            22K</t>
  </si>
  <si>
    <t>aeAFefDk8CZeyjvP3nZ5yRutB6oAfQnhvoh9jZMpump</t>
  </si>
  <si>
    <t>$ORANG</t>
  </si>
  <si>
    <t>2.550 SOL</t>
  </si>
  <si>
    <t>-2.550 SOL</t>
  </si>
  <si>
    <t>15,159,884</t>
  </si>
  <si>
    <t>30.09.2024 21:49:13</t>
  </si>
  <si>
    <t xml:space="preserve">         30K            30K             3K</t>
  </si>
  <si>
    <t>kxLV5cgzENvoL7urtd8pwVwL2K4PunoHhYXzxGqpump</t>
  </si>
  <si>
    <t>VIVI</t>
  </si>
  <si>
    <t>12,696,983</t>
  </si>
  <si>
    <t>28.09.2024 06:18:32</t>
  </si>
  <si>
    <t xml:space="preserve">         13K            13K            17K</t>
  </si>
  <si>
    <t>6hFvvk3Q8fD9WcFnVHawrdZ8Yh62opH6nPySqMRgpump</t>
  </si>
  <si>
    <t>UNO</t>
  </si>
  <si>
    <t>0.700 SOL</t>
  </si>
  <si>
    <t>5.151 SOL</t>
  </si>
  <si>
    <t>4.451 SOL</t>
  </si>
  <si>
    <t>635.84%</t>
  </si>
  <si>
    <t>27.09.2024 08:46:52</t>
  </si>
  <si>
    <t xml:space="preserve">         42K           622K             9K</t>
  </si>
  <si>
    <t>2RDQFs8JxSSazNjBs2bfWfN7yAy5shXap2zXR6Nmpump</t>
  </si>
  <si>
    <t>.gg/doofi</t>
  </si>
  <si>
    <t>11,141,848</t>
  </si>
  <si>
    <t>18.08.2024 01:20:38</t>
  </si>
  <si>
    <t>BXD3PUmVWY8tUC91Bg53Mz5XnN9LDzUxkz5pzK1Ldxig</t>
  </si>
  <si>
    <t>BGGhSLga1GnHPDCDrFFHsuYms5mdpqKTR5X336vFQPmQ</t>
  </si>
  <si>
    <t>683.68 SOL</t>
  </si>
  <si>
    <t>43%</t>
  </si>
  <si>
    <t>89%</t>
  </si>
  <si>
    <t>496.62 SOL</t>
  </si>
  <si>
    <t>6 (26%)</t>
  </si>
  <si>
    <t>4 min</t>
  </si>
  <si>
    <t>-3.95%</t>
  </si>
  <si>
    <t>0%</t>
  </si>
  <si>
    <t>2.17 SOL</t>
  </si>
  <si>
    <t>1</t>
  </si>
  <si>
    <t>2.8 SOL</t>
  </si>
  <si>
    <t>13.0%</t>
  </si>
  <si>
    <t>8.7%</t>
  </si>
  <si>
    <t>17.4%</t>
  </si>
  <si>
    <t>47.8%</t>
  </si>
  <si>
    <t>17</t>
  </si>
  <si>
    <t>30.4 SOL</t>
  </si>
  <si>
    <t>477.5 SOL</t>
  </si>
  <si>
    <t>9.1 SOL</t>
  </si>
  <si>
    <t>3.1 SOL</t>
  </si>
  <si>
    <t>-17.1 SOL</t>
  </si>
  <si>
    <t>-6.4 SOL</t>
  </si>
  <si>
    <t>3</t>
  </si>
  <si>
    <t>19.0K</t>
  </si>
  <si>
    <t>pista</t>
  </si>
  <si>
    <t>0.044060</t>
  </si>
  <si>
    <t>18.578 SOL</t>
  </si>
  <si>
    <t>65.282 SOL</t>
  </si>
  <si>
    <t>46.660 SOL</t>
  </si>
  <si>
    <t>250.57%</t>
  </si>
  <si>
    <t>30.10.2024 14:55:35</t>
  </si>
  <si>
    <t xml:space="preserve">         26K            14K             9K</t>
  </si>
  <si>
    <t>uzMEVF9ZFzwbqka3WgPLaUFH8pXDVAJ4SQwWiNvpump</t>
  </si>
  <si>
    <t>DF</t>
  </si>
  <si>
    <t>0.008010</t>
  </si>
  <si>
    <t>6.156 SOL</t>
  </si>
  <si>
    <t>5.059 SOL</t>
  </si>
  <si>
    <t>-1.105 SOL</t>
  </si>
  <si>
    <t>-17.93%</t>
  </si>
  <si>
    <t>30.10.2024 14:21:32</t>
  </si>
  <si>
    <t xml:space="preserve">         26K            21K            24K</t>
  </si>
  <si>
    <t>BN7Unh84YG5pcAQiBkF9C91hA2QR5ERT11dwFYbCpump</t>
  </si>
  <si>
    <t>Dem</t>
  </si>
  <si>
    <t>0.028040</t>
  </si>
  <si>
    <t>5.943 SOL</t>
  </si>
  <si>
    <t>36.410 SOL</t>
  </si>
  <si>
    <t>30.439 SOL</t>
  </si>
  <si>
    <t>509.77%</t>
  </si>
  <si>
    <t>30.10.2024 13:53:36</t>
  </si>
  <si>
    <t>9 min</t>
  </si>
  <si>
    <t xml:space="preserve">         19K           184K             8K</t>
  </si>
  <si>
    <t>5q9YGGeyJ6ZLmXvX9QuQVyg3qYry93CMJqubCz1Npump</t>
  </si>
  <si>
    <t>HFSP</t>
  </si>
  <si>
    <t>15.339 SOL</t>
  </si>
  <si>
    <t>15.311 SOL</t>
  </si>
  <si>
    <t>-0.036 SOL</t>
  </si>
  <si>
    <t>-0.23%</t>
  </si>
  <si>
    <t>30.10.2024 12:45:59</t>
  </si>
  <si>
    <t>35 sec</t>
  </si>
  <si>
    <t>FyfcbpnGnqvwZTKMcygeEWT46rxFKwW29TZNpdEXpump</t>
  </si>
  <si>
    <t>69.420%</t>
  </si>
  <si>
    <t>6.159 SOL</t>
  </si>
  <si>
    <t>5.923 SOL</t>
  </si>
  <si>
    <t>-0.244 SOL</t>
  </si>
  <si>
    <t>30.10.2024 12:04:14</t>
  </si>
  <si>
    <t xml:space="preserve">         46K            44K            47K</t>
  </si>
  <si>
    <t>Djv9h45qTD1Bf9KrePGDecHB9ynreMHssDTQkLrupump</t>
  </si>
  <si>
    <t>freg</t>
  </si>
  <si>
    <t>0.016020</t>
  </si>
  <si>
    <t>12.000 SOL</t>
  </si>
  <si>
    <t>9.483 SOL</t>
  </si>
  <si>
    <t>-2.533 SOL</t>
  </si>
  <si>
    <t>-21.08%</t>
  </si>
  <si>
    <t>30.10.2024 11:25:27</t>
  </si>
  <si>
    <t xml:space="preserve">        106K            77K             4K</t>
  </si>
  <si>
    <t>3PRZ6YPu4SqkeHjkneZEZ4zfqvmYBwgdcPrWSYbXpump</t>
  </si>
  <si>
    <t>miluce</t>
  </si>
  <si>
    <t>3.144 SOL</t>
  </si>
  <si>
    <t>0.136 SOL</t>
  </si>
  <si>
    <t>4.53%</t>
  </si>
  <si>
    <t>30.10.2024 11:12:38</t>
  </si>
  <si>
    <t>17 min</t>
  </si>
  <si>
    <t xml:space="preserve">         29K            29K            14K</t>
  </si>
  <si>
    <t>GYCvL5ikdJbTq6b2DDq8DffYwFNbs4hWySMUiqfHpump</t>
  </si>
  <si>
    <t>Mona</t>
  </si>
  <si>
    <t>0.012020</t>
  </si>
  <si>
    <t>8.595 SOL</t>
  </si>
  <si>
    <t>14.831 SOL</t>
  </si>
  <si>
    <t>6.223 SOL</t>
  </si>
  <si>
    <t>72.30%</t>
  </si>
  <si>
    <t>30.10.2024 11:12:01</t>
  </si>
  <si>
    <t xml:space="preserve">         49K            49K             5K</t>
  </si>
  <si>
    <t>D5fmdWQDyGYLJAnkpQbUBdqToNn6vE887fJQLpn9pump</t>
  </si>
  <si>
    <t>0.024030</t>
  </si>
  <si>
    <t>23.000 SOL</t>
  </si>
  <si>
    <t>13.582 SOL</t>
  </si>
  <si>
    <t>-9.442 SOL</t>
  </si>
  <si>
    <t>-41.01%</t>
  </si>
  <si>
    <t>30.10.2024 08:33:13</t>
  </si>
  <si>
    <t xml:space="preserve">         32K            53K            26K</t>
  </si>
  <si>
    <t>Doat</t>
  </si>
  <si>
    <t>3.086 SOL</t>
  </si>
  <si>
    <t>2.604 SOL</t>
  </si>
  <si>
    <t>-0.491 SOL</t>
  </si>
  <si>
    <t>-15.86%</t>
  </si>
  <si>
    <t>30.10.2024 07:52:06</t>
  </si>
  <si>
    <t xml:space="preserve">          9K             7K             5K</t>
  </si>
  <si>
    <t>4pTahi4ezvunNcfiGxdSQ2NDPhAYvfsjeni9NNMXpump</t>
  </si>
  <si>
    <t>3.543 SOL</t>
  </si>
  <si>
    <t>3.747 SOL</t>
  </si>
  <si>
    <t>0.196 SOL</t>
  </si>
  <si>
    <t>5.52%</t>
  </si>
  <si>
    <t>30.10.2024 07:19:52</t>
  </si>
  <si>
    <t xml:space="preserve">          7K             9K           245K</t>
  </si>
  <si>
    <t>3.561 SOL</t>
  </si>
  <si>
    <t>8.312 SOL</t>
  </si>
  <si>
    <t>4.738 SOL</t>
  </si>
  <si>
    <t>132.60%</t>
  </si>
  <si>
    <t>30.10.2024 06:46:49</t>
  </si>
  <si>
    <t xml:space="preserve">         19K            32K             4K</t>
  </si>
  <si>
    <t>FcmwNqBmM5Qo3dZXEkhsFGRQTLCDJrhzzb9ubjKrpump</t>
  </si>
  <si>
    <t>myspace</t>
  </si>
  <si>
    <t>3.096 SOL</t>
  </si>
  <si>
    <t>2.781 SOL</t>
  </si>
  <si>
    <t>-0.323 SOL</t>
  </si>
  <si>
    <t>-10.42%</t>
  </si>
  <si>
    <t>30.10.2024 05:27:29</t>
  </si>
  <si>
    <t>54 sec</t>
  </si>
  <si>
    <t>5FFVWmJgKCa7br3SKM4uQjopyWqh8hAPXZYLr6sYpump</t>
  </si>
  <si>
    <t>MIKA</t>
  </si>
  <si>
    <t>0.012010</t>
  </si>
  <si>
    <t>8.550 SOL</t>
  </si>
  <si>
    <t>2.538 SOL</t>
  </si>
  <si>
    <t>42.21%</t>
  </si>
  <si>
    <t>30.10.2024 03:20:59</t>
  </si>
  <si>
    <t>37 min</t>
  </si>
  <si>
    <t xml:space="preserve">         16K            12K            14K</t>
  </si>
  <si>
    <t>Gjn59KNTp9n9PGzEmtbUSUwGuGRpwbvN86Pxpwtupump</t>
  </si>
  <si>
    <t>MOMO</t>
  </si>
  <si>
    <t>3.078 SOL</t>
  </si>
  <si>
    <t>2.562 SOL</t>
  </si>
  <si>
    <t>-0.524 SOL</t>
  </si>
  <si>
    <t>-16.98%</t>
  </si>
  <si>
    <t>30.10.2024 03:11:25</t>
  </si>
  <si>
    <t>10 min</t>
  </si>
  <si>
    <t xml:space="preserve">         11K             9K             5K</t>
  </si>
  <si>
    <t>H1hZRaVRLvV5U9ZBV38vvVkbg2wLxvAmuAY1go6Upump</t>
  </si>
  <si>
    <t>0.184280</t>
  </si>
  <si>
    <t>412.000 SOL</t>
  </si>
  <si>
    <t>838.286 SOL</t>
  </si>
  <si>
    <t>426.101 SOL</t>
  </si>
  <si>
    <t>103.38%</t>
  </si>
  <si>
    <t>29.10.2024 23:51:41</t>
  </si>
  <si>
    <t>20 hours</t>
  </si>
  <si>
    <t xml:space="preserve">          4M           283K             7M</t>
  </si>
  <si>
    <t>WOMEN</t>
  </si>
  <si>
    <t>2.471 SOL</t>
  </si>
  <si>
    <t>-0.615 SOL</t>
  </si>
  <si>
    <t>-19.94%</t>
  </si>
  <si>
    <t>29.10.2024 22:57:38</t>
  </si>
  <si>
    <t>33 sec</t>
  </si>
  <si>
    <t xml:space="preserve">         11K             9K             4K</t>
  </si>
  <si>
    <t>J82NaLpNXmBHgHQ229jko8mtPLyxCaRK7Wq6ZTGcpump</t>
  </si>
  <si>
    <t>Free Andy</t>
  </si>
  <si>
    <t>6.505 SOL</t>
  </si>
  <si>
    <t>3.161 SOL</t>
  </si>
  <si>
    <t>-3.353 SOL</t>
  </si>
  <si>
    <t>-51.47%</t>
  </si>
  <si>
    <t>29.10.2024 13:12:11</t>
  </si>
  <si>
    <t>39 sec</t>
  </si>
  <si>
    <t xml:space="preserve">         19K             9K             5K</t>
  </si>
  <si>
    <t>7Q9H5cvgwH2JvZGv3T8w88nzNkxrbMs3fHY4HCQipump</t>
  </si>
  <si>
    <t>Twain</t>
  </si>
  <si>
    <t>5.939 SOL</t>
  </si>
  <si>
    <t>2.853 SOL</t>
  </si>
  <si>
    <t>92.45%</t>
  </si>
  <si>
    <t>29.10.2024 10:13:37</t>
  </si>
  <si>
    <t xml:space="preserve">         12K            25K             5K</t>
  </si>
  <si>
    <t>D8BkNSdP9GjgzvKqnGmY8ai3g7KczgYxZVtDxSE7pump</t>
  </si>
  <si>
    <t>CPG</t>
  </si>
  <si>
    <t>6.138 SOL</t>
  </si>
  <si>
    <t>5.178 SOL</t>
  </si>
  <si>
    <t>-0.972 SOL</t>
  </si>
  <si>
    <t>-15.80%</t>
  </si>
  <si>
    <t>29.10.2024 09:24:08</t>
  </si>
  <si>
    <t xml:space="preserve">         16K            11K             5K</t>
  </si>
  <si>
    <t>94DwHVZq7xnLa9zER3xAnWE4DYcXYaLhTz8EiUfhpump</t>
  </si>
  <si>
    <t>BOLOGNE</t>
  </si>
  <si>
    <t>0.237 SOL</t>
  </si>
  <si>
    <t>7.70%</t>
  </si>
  <si>
    <t>29.10.2024 09:12:30</t>
  </si>
  <si>
    <t>23 sec</t>
  </si>
  <si>
    <t xml:space="preserve">         16K            16K             8K</t>
  </si>
  <si>
    <t>7xSEpwswokCbuNRQmRA2WKYQsfcRuTPgk6C6CfDDpump</t>
  </si>
  <si>
    <t>PIXEL</t>
  </si>
  <si>
    <t>2.150 SOL</t>
  </si>
  <si>
    <t>-0.858 SOL</t>
  </si>
  <si>
    <t>-28.54%</t>
  </si>
  <si>
    <t>29.10.2024 03:26:57</t>
  </si>
  <si>
    <t>30 sec</t>
  </si>
  <si>
    <t>5KhPbXGFH9JFWP93aofTK6TNJS3kerrewowmYi4zpump</t>
  </si>
  <si>
    <t>0.004010</t>
  </si>
  <si>
    <t>-3.004 SOL</t>
  </si>
  <si>
    <t>23,579,530</t>
  </si>
  <si>
    <t>29.10.2024 02:30:01</t>
  </si>
  <si>
    <t xml:space="preserve">         23K            23K            16K</t>
  </si>
  <si>
    <t>ERzxP4odb5b7u7jSzKCitDnv5v8u9xb5nvZDUiBLpump</t>
  </si>
  <si>
    <t>BrPgVDyiPvpFjUypKCaBA29uGNDTUXar5zsNtMzzz779</t>
  </si>
  <si>
    <t>78.57 SOL</t>
  </si>
  <si>
    <t>62%</t>
  </si>
  <si>
    <t>75%</t>
  </si>
  <si>
    <t>84.18 SOL</t>
  </si>
  <si>
    <t>9 (35%)</t>
  </si>
  <si>
    <t>7.80%</t>
  </si>
  <si>
    <t>19%</t>
  </si>
  <si>
    <t>0 SOL</t>
  </si>
  <si>
    <t>6</t>
  </si>
  <si>
    <t>1.3 SOL</t>
  </si>
  <si>
    <t>0.0%</t>
  </si>
  <si>
    <t>19.2%</t>
  </si>
  <si>
    <t>15.4%</t>
  </si>
  <si>
    <t>26.9%</t>
  </si>
  <si>
    <t>30.8%</t>
  </si>
  <si>
    <t>7.7%</t>
  </si>
  <si>
    <t>12</t>
  </si>
  <si>
    <t>0.0 SOL</t>
  </si>
  <si>
    <t>72.8 SOL</t>
  </si>
  <si>
    <t>16.3 SOL</t>
  </si>
  <si>
    <t>4.6 SOL</t>
  </si>
  <si>
    <t>-2.2 SOL</t>
  </si>
  <si>
    <t>-7.3 SOL</t>
  </si>
  <si>
    <t>5</t>
  </si>
  <si>
    <t>25.0K</t>
  </si>
  <si>
    <t>ANDRO</t>
  </si>
  <si>
    <t>0.020050</t>
  </si>
  <si>
    <t>12.528 SOL</t>
  </si>
  <si>
    <t>52.132 SOL</t>
  </si>
  <si>
    <t>39.585 SOL</t>
  </si>
  <si>
    <t>315.47%</t>
  </si>
  <si>
    <t>30.10.2024 09:24:47</t>
  </si>
  <si>
    <t xml:space="preserve">         35K           864K             8K</t>
  </si>
  <si>
    <t>WziqSdg6EGYooGBmoxeUWLe2Czwk7AsEH2J42cepump</t>
  </si>
  <si>
    <t>SAKUNA</t>
  </si>
  <si>
    <t>4.950 SOL</t>
  </si>
  <si>
    <t>15.833 SOL</t>
  </si>
  <si>
    <t>10.882 SOL</t>
  </si>
  <si>
    <t>219.82%</t>
  </si>
  <si>
    <t>29.10.2024 21:59:33</t>
  </si>
  <si>
    <t>41 min</t>
  </si>
  <si>
    <t xml:space="preserve">        108K           534K            61K</t>
  </si>
  <si>
    <t>GxQoXUBMwPbJm46vcWV59in6QAzGDufYug6D56Jopump</t>
  </si>
  <si>
    <t>DEGENISM</t>
  </si>
  <si>
    <t>0.020010</t>
  </si>
  <si>
    <t>2.122 SOL</t>
  </si>
  <si>
    <t>2.277 SOL</t>
  </si>
  <si>
    <t>0.135 SOL</t>
  </si>
  <si>
    <t>6.31%</t>
  </si>
  <si>
    <t>29.10.2024 19:52:13</t>
  </si>
  <si>
    <t xml:space="preserve">         11K            16K             5K</t>
  </si>
  <si>
    <t>4LNbUU6gLkBccnWLccHYvWH2TUBDhDNRwMkLjdo3pump</t>
  </si>
  <si>
    <t>YOGI</t>
  </si>
  <si>
    <t>1.602 SOL</t>
  </si>
  <si>
    <t>1.355 SOL</t>
  </si>
  <si>
    <t>-0.267 SOL</t>
  </si>
  <si>
    <t>-16.48%</t>
  </si>
  <si>
    <t>29.10.2024 19:42:00</t>
  </si>
  <si>
    <t>26 sec</t>
  </si>
  <si>
    <t>58GzX3hPxWq1gT6UASiU7jebLqJM1JqRQtuFDuNhxRY7</t>
  </si>
  <si>
    <t>LIRA</t>
  </si>
  <si>
    <t>2.729 SOL</t>
  </si>
  <si>
    <t>1.127 SOL</t>
  </si>
  <si>
    <t>70.35%</t>
  </si>
  <si>
    <t>29.10.2024 16:49:08</t>
  </si>
  <si>
    <t xml:space="preserve">         12K            19K             6K</t>
  </si>
  <si>
    <t>4rNwbqZwUjbRmV5pjNZm3NuhUqvwQGJdwnjde7Ls1gXr</t>
  </si>
  <si>
    <t>HONEY</t>
  </si>
  <si>
    <t>9.901 SOL</t>
  </si>
  <si>
    <t>11.919 SOL</t>
  </si>
  <si>
    <t>2.018 SOL</t>
  </si>
  <si>
    <t>20.38%</t>
  </si>
  <si>
    <t>28.10.2024 22:51:03</t>
  </si>
  <si>
    <t xml:space="preserve">        185K           222K             5K</t>
  </si>
  <si>
    <t>24TwWT77pb6F1R54UD1iSEqeysrMCGvStUiXxd7xpump</t>
  </si>
  <si>
    <t>collosus</t>
  </si>
  <si>
    <t>1.537 SOL</t>
  </si>
  <si>
    <t>-0.065 SOL</t>
  </si>
  <si>
    <t>-4.07%</t>
  </si>
  <si>
    <t>28.10.2024 18:24:57</t>
  </si>
  <si>
    <t>27 sec</t>
  </si>
  <si>
    <t>21crJmqcDTnvApF74iGv1BaSLMFRwnYpgaAZqJXZc3f6</t>
  </si>
  <si>
    <t>CANVAS</t>
  </si>
  <si>
    <t>9.177 SOL</t>
  </si>
  <si>
    <t>4.227 SOL</t>
  </si>
  <si>
    <t>85.38%</t>
  </si>
  <si>
    <t>27.10.2024 19:25:50</t>
  </si>
  <si>
    <t>15 sec</t>
  </si>
  <si>
    <t xml:space="preserve">        144K           269K             5K</t>
  </si>
  <si>
    <t>7uBPP56neXLhRyT5mWecRbiQNCpb9phqvnQqDf8vpump</t>
  </si>
  <si>
    <t>Roblox</t>
  </si>
  <si>
    <t>4.954 SOL</t>
  </si>
  <si>
    <t>3.352 SOL</t>
  </si>
  <si>
    <t>209.25%</t>
  </si>
  <si>
    <t>26.10.2024 18:28:17</t>
  </si>
  <si>
    <t xml:space="preserve">         25K            65K             4K</t>
  </si>
  <si>
    <t>ATkW7R4yBNSZDSpWBv39ZdPHV8RYYoohctyBpzanpump</t>
  </si>
  <si>
    <t>$SCOOBY</t>
  </si>
  <si>
    <t>1.102 SOL</t>
  </si>
  <si>
    <t>1.005 SOL</t>
  </si>
  <si>
    <t>-0.117 SOL</t>
  </si>
  <si>
    <t>-10.45%</t>
  </si>
  <si>
    <t>25.10.2024 20:42:13</t>
  </si>
  <si>
    <t>29 sec</t>
  </si>
  <si>
    <t>5JmKXM3ERHFYbaaBnMEVv97Jzf1Es9kpWGZZH2Wz5tqe</t>
  </si>
  <si>
    <t>COD</t>
  </si>
  <si>
    <t>6.013 SOL</t>
  </si>
  <si>
    <t>1.063 SOL</t>
  </si>
  <si>
    <t>21.46%</t>
  </si>
  <si>
    <t>25.10.2024 19:17:35</t>
  </si>
  <si>
    <t xml:space="preserve">         62K            76K             8K</t>
  </si>
  <si>
    <t>GPrF7LXiQAY8Y9Fci7et2C7a9JsrCBDRvEAKLCjLpump</t>
  </si>
  <si>
    <t>TWUMP</t>
  </si>
  <si>
    <t>0.010010</t>
  </si>
  <si>
    <t>10.006 SOL</t>
  </si>
  <si>
    <t>0.095 SOL</t>
  </si>
  <si>
    <t>0.96%</t>
  </si>
  <si>
    <t>25.10.2024 19:13:48</t>
  </si>
  <si>
    <t xml:space="preserve">        266K           269K           383K</t>
  </si>
  <si>
    <t>CxtXnjRYxQPKWwDeWhDgFuMY562gLP2Jp5WoMeZZpump</t>
  </si>
  <si>
    <t>PMPAI</t>
  </si>
  <si>
    <t>0.000080</t>
  </si>
  <si>
    <t>8.083 SOL</t>
  </si>
  <si>
    <t>23.980 SOL</t>
  </si>
  <si>
    <t>15.897 SOL</t>
  </si>
  <si>
    <t>196.68%</t>
  </si>
  <si>
    <t>25.10.2024 18:54:21</t>
  </si>
  <si>
    <t xml:space="preserve">         12K            28K             3K</t>
  </si>
  <si>
    <t>Ep6NNeHwBGTHyg58SbeThbkpiKHvdR1MDp8ZvFmY9j1E</t>
  </si>
  <si>
    <t>TILLY</t>
  </si>
  <si>
    <t>2.602 SOL</t>
  </si>
  <si>
    <t>1.822 SOL</t>
  </si>
  <si>
    <t>-0.780 SOL</t>
  </si>
  <si>
    <t>-29.97%</t>
  </si>
  <si>
    <t>25.10.2024 18:26:38</t>
  </si>
  <si>
    <t xml:space="preserve">         37K            25K             5K</t>
  </si>
  <si>
    <t>d9oyyTx4oAwFG41zJLi5EbU1mKcPg32XCAoqNQcpump</t>
  </si>
  <si>
    <t>Sunghoon</t>
  </si>
  <si>
    <t>1.532 SOL</t>
  </si>
  <si>
    <t>1.337 SOL</t>
  </si>
  <si>
    <t>-0.195 SOL</t>
  </si>
  <si>
    <t>-12.71%</t>
  </si>
  <si>
    <t>25.10.2024 17:33:50</t>
  </si>
  <si>
    <t>HuNbZDt5jt4XJvTpTZSYXnz6g6VjyCWVTtQU3A4Apump</t>
  </si>
  <si>
    <t>Nig</t>
  </si>
  <si>
    <t>5.410 SOL</t>
  </si>
  <si>
    <t>0.460 SOL</t>
  </si>
  <si>
    <t>9.29%</t>
  </si>
  <si>
    <t>24.10.2024 23:34:02</t>
  </si>
  <si>
    <t xml:space="preserve">        139K           153K           114K</t>
  </si>
  <si>
    <t>9fgVG37Eb4Ec6G2YSHrZGMXkeXhLjNtxSKXu8P9epump</t>
  </si>
  <si>
    <t>WEBSIMAI</t>
  </si>
  <si>
    <t>3.400 SOL</t>
  </si>
  <si>
    <t>0.798 SOL</t>
  </si>
  <si>
    <t>30.66%</t>
  </si>
  <si>
    <t>24.10.2024 18:32:34</t>
  </si>
  <si>
    <t xml:space="preserve">         18K            23K             5K</t>
  </si>
  <si>
    <t>5kNM8HLSPa4W8Syrjo64gzBVLorZbAcGFQ4czGQApump</t>
  </si>
  <si>
    <t>OLFACTORY</t>
  </si>
  <si>
    <t>17.847 SOL</t>
  </si>
  <si>
    <t>7.946 SOL</t>
  </si>
  <si>
    <t>80.25%</t>
  </si>
  <si>
    <t>24.10.2024 18:26:14</t>
  </si>
  <si>
    <t>13 min</t>
  </si>
  <si>
    <t xml:space="preserve">        234K           475K            19K</t>
  </si>
  <si>
    <t>75vq3ZhQZmkdvZZi1a4xS3Gs8muifwf9AXn3q62Xpump</t>
  </si>
  <si>
    <t>SEEKER</t>
  </si>
  <si>
    <t>0.787 SOL</t>
  </si>
  <si>
    <t>-1.815 SOL</t>
  </si>
  <si>
    <t>-69.77%</t>
  </si>
  <si>
    <t>24.10.2024 18:10:02</t>
  </si>
  <si>
    <t>16 sec</t>
  </si>
  <si>
    <t xml:space="preserve">         18K             5K             5K</t>
  </si>
  <si>
    <t>4h2vk2UBxvq86uSAknn3f85Gbx1mjPQFAJVSY7yapump</t>
  </si>
  <si>
    <t>RUSTON</t>
  </si>
  <si>
    <t>2.382 SOL</t>
  </si>
  <si>
    <t>-0.220 SOL</t>
  </si>
  <si>
    <t>-8.47%</t>
  </si>
  <si>
    <t>24.10.2024 16:09:53</t>
  </si>
  <si>
    <t>20 sec</t>
  </si>
  <si>
    <t xml:space="preserve">         19K            18K             5K</t>
  </si>
  <si>
    <t>Z3mjhkSXGAq6GKxKFifaitcunag68q1TbMhjK27pump</t>
  </si>
  <si>
    <t>AURATOKEN</t>
  </si>
  <si>
    <t>6.587 SOL</t>
  </si>
  <si>
    <t>1.156 SOL</t>
  </si>
  <si>
    <t>-5.451 SOL</t>
  </si>
  <si>
    <t>-82.50%</t>
  </si>
  <si>
    <t>24.10.2024 15:33:25</t>
  </si>
  <si>
    <t>5 min</t>
  </si>
  <si>
    <t xml:space="preserve">         67K             5K             3K</t>
  </si>
  <si>
    <t>8mC4Ro2VerbFcUGXWu6Zj8VC9LLoJ92eNh7YurzMpump</t>
  </si>
  <si>
    <t>YUE-CHAN</t>
  </si>
  <si>
    <t>5.204 SOL</t>
  </si>
  <si>
    <t>4.776 SOL</t>
  </si>
  <si>
    <t>-0.428 SOL</t>
  </si>
  <si>
    <t>-8.22%</t>
  </si>
  <si>
    <t>24.10.2024 15:18:07</t>
  </si>
  <si>
    <t xml:space="preserve">         25K            28K             5K</t>
  </si>
  <si>
    <t>EPonj1mzuy5ffcgZg5EF6DjYnmmRjUVz8RibMSPpa7Cg</t>
  </si>
  <si>
    <t>nothing</t>
  </si>
  <si>
    <t>1.616 SOL</t>
  </si>
  <si>
    <t>0.014 SOL</t>
  </si>
  <si>
    <t>0.86%</t>
  </si>
  <si>
    <t>24.10.2024 15:07:04</t>
  </si>
  <si>
    <t xml:space="preserve">         21K            21K             5K</t>
  </si>
  <si>
    <t>5ZkkA7pWmrXedAywLHuGRvsMDbyxP6HSdv8sUyAxpump</t>
  </si>
  <si>
    <t>1SOL</t>
  </si>
  <si>
    <t>1.012 SOL</t>
  </si>
  <si>
    <t>-0.110 SOL</t>
  </si>
  <si>
    <t>-9.82%</t>
  </si>
  <si>
    <t>24.10.2024 14:59:56</t>
  </si>
  <si>
    <t xml:space="preserve">          9K             9K             5K</t>
  </si>
  <si>
    <t>5kxyKbxrCRS4b8xit6TsS674FswBACP4wF4uH6wvpump</t>
  </si>
  <si>
    <t>7.932 SOL</t>
  </si>
  <si>
    <t>2.982 SOL</t>
  </si>
  <si>
    <t>60.23%</t>
  </si>
  <si>
    <t>24.10.2024 14:52:31</t>
  </si>
  <si>
    <t>22 min</t>
  </si>
  <si>
    <t xml:space="preserve">         39K            49K            25K</t>
  </si>
  <si>
    <t>AITOX</t>
  </si>
  <si>
    <t>1.485 SOL</t>
  </si>
  <si>
    <t>4.537 SOL</t>
  </si>
  <si>
    <t>3.052 SOL</t>
  </si>
  <si>
    <t>205.48%</t>
  </si>
  <si>
    <t>24.10.2024 14:17:39</t>
  </si>
  <si>
    <t xml:space="preserve">          9K            29K             4K</t>
  </si>
  <si>
    <t>9XC5gobmKZfeYRmaStxo1BDeFhYPX1eyCpQUehHepump</t>
  </si>
  <si>
    <t>CtKi39VFQRf2m8j8fkLzmJR6csxPVnWApLEGHmuAQWYb</t>
  </si>
  <si>
    <t>220.17 SOL</t>
  </si>
  <si>
    <t>58%</t>
  </si>
  <si>
    <t>76%</t>
  </si>
  <si>
    <t>379.17 SOL</t>
  </si>
  <si>
    <t>115 (39%)</t>
  </si>
  <si>
    <t>3 (1%)</t>
  </si>
  <si>
    <t>6.57%</t>
  </si>
  <si>
    <t>9%</t>
  </si>
  <si>
    <t>2%</t>
  </si>
  <si>
    <t>8 SOL</t>
  </si>
  <si>
    <t>15</t>
  </si>
  <si>
    <t>2.7%</t>
  </si>
  <si>
    <t>6.4%</t>
  </si>
  <si>
    <t>7.0%</t>
  </si>
  <si>
    <t>41.9%</t>
  </si>
  <si>
    <t>33.9%</t>
  </si>
  <si>
    <t>8.1%</t>
  </si>
  <si>
    <t>191</t>
  </si>
  <si>
    <t>263.6 SOL</t>
  </si>
  <si>
    <t>70.3 SOL</t>
  </si>
  <si>
    <t>26.2 SOL</t>
  </si>
  <si>
    <t>53.5 SOL</t>
  </si>
  <si>
    <t>-18.6 SOL</t>
  </si>
  <si>
    <t>-15.9 SOL</t>
  </si>
  <si>
    <t>61</t>
  </si>
  <si>
    <t>18</t>
  </si>
  <si>
    <t>16</t>
  </si>
  <si>
    <t>16.0K</t>
  </si>
  <si>
    <t>AW</t>
  </si>
  <si>
    <t>0.020030</t>
  </si>
  <si>
    <t>4.163 SOL</t>
  </si>
  <si>
    <t>4.479 SOL</t>
  </si>
  <si>
    <t>0.296 SOL</t>
  </si>
  <si>
    <t>7.08%</t>
  </si>
  <si>
    <t>30.10.2024 21:26:10</t>
  </si>
  <si>
    <t>CHXhKTxZRMmfKSonCiGrQ9hKAm4agGzjtKrqTmFxpump</t>
  </si>
  <si>
    <t>RIZZAI</t>
  </si>
  <si>
    <t>3.080 SOL</t>
  </si>
  <si>
    <t>4.510 SOL</t>
  </si>
  <si>
    <t>1.402 SOL</t>
  </si>
  <si>
    <t>45.09%</t>
  </si>
  <si>
    <t>30.10.2024 21:20:17</t>
  </si>
  <si>
    <t xml:space="preserve">         47K             9K            36K</t>
  </si>
  <si>
    <t>ExEPSp9Byx14EueDyYDPwTrGEEX751NQaqEjHmVspump</t>
  </si>
  <si>
    <t>SOLETF</t>
  </si>
  <si>
    <t>2.076 SOL</t>
  </si>
  <si>
    <t>2.460 SOL</t>
  </si>
  <si>
    <t>0.376 SOL</t>
  </si>
  <si>
    <t>18.04%</t>
  </si>
  <si>
    <t>30.10.2024 21:14:32</t>
  </si>
  <si>
    <t>8 min</t>
  </si>
  <si>
    <t>AfKQvCedjJKMA2zVWEph1oEF4N1h9zxMdjvJbpadifFv</t>
  </si>
  <si>
    <t>GYATT</t>
  </si>
  <si>
    <t>0.004000</t>
  </si>
  <si>
    <t>-1.004 SOL</t>
  </si>
  <si>
    <t>1,111,727</t>
  </si>
  <si>
    <t>30.10.2024 21:03:02</t>
  </si>
  <si>
    <t xml:space="preserve">        150K           150K           121K</t>
  </si>
  <si>
    <t>9Nn6G3UrKf46GjYJERZdBNRa6oiZBvcQzWfkV2aHTwUe</t>
  </si>
  <si>
    <t>pillstume</t>
  </si>
  <si>
    <t>1.081 SOL</t>
  </si>
  <si>
    <t>1.067 SOL</t>
  </si>
  <si>
    <t>-0.022 SOL</t>
  </si>
  <si>
    <t>-2.01%</t>
  </si>
  <si>
    <t>30.10.2024 20:53:20</t>
  </si>
  <si>
    <t>mAkyfBzPXEGSHxfJpmF1oeFrDYVzrsjkaLi4xxzpump</t>
  </si>
  <si>
    <t>PUMPKIN</t>
  </si>
  <si>
    <t>4.225 SOL</t>
  </si>
  <si>
    <t>4.074 SOL</t>
  </si>
  <si>
    <t>-0.167 SOL</t>
  </si>
  <si>
    <t>-3.94%</t>
  </si>
  <si>
    <t>30.10.2024 20:51:01</t>
  </si>
  <si>
    <t xml:space="preserve">         12K             5K             5K</t>
  </si>
  <si>
    <t>5odNR5HTa6EA2q9g6DTZM55JS7TDx2Wkz8m4o9eypump</t>
  </si>
  <si>
    <t>2.807 SOL</t>
  </si>
  <si>
    <t>0.723 SOL</t>
  </si>
  <si>
    <t>34.69%</t>
  </si>
  <si>
    <t>30.10.2024 20:39:38</t>
  </si>
  <si>
    <t>6jLbZEyyZC5EHkZQyw2ptcCqciQeYx3a3GMjbBYhpump</t>
  </si>
  <si>
    <t>CHICK</t>
  </si>
  <si>
    <t>0.394 SOL</t>
  </si>
  <si>
    <t>-0.614 SOL</t>
  </si>
  <si>
    <t>-60.89%</t>
  </si>
  <si>
    <t>30.10.2024 20:29:27</t>
  </si>
  <si>
    <t xml:space="preserve">        206K            81K            12K</t>
  </si>
  <si>
    <t>ANHe57KsB5za8w42cNNKHv65A9ghbqkJ3hYsJSRa14vX</t>
  </si>
  <si>
    <t>FuckPump</t>
  </si>
  <si>
    <t>1.480 SOL</t>
  </si>
  <si>
    <t>0.468 SOL</t>
  </si>
  <si>
    <t>46.23%</t>
  </si>
  <si>
    <t>30.10.2024 20:19:53</t>
  </si>
  <si>
    <t xml:space="preserve">         18K            12K             3K</t>
  </si>
  <si>
    <t>CZo7gdj8TxA1D8CW2e6opzEgAzParfVyRVKH8WAd5qAe</t>
  </si>
  <si>
    <t>RPG</t>
  </si>
  <si>
    <t>1.170 SOL</t>
  </si>
  <si>
    <t>1.827 SOL</t>
  </si>
  <si>
    <t>0.637 SOL</t>
  </si>
  <si>
    <t>53.56%</t>
  </si>
  <si>
    <t>30.10.2024 19:48:37</t>
  </si>
  <si>
    <t xml:space="preserve">         51K            42K            16K</t>
  </si>
  <si>
    <t>FP8KVrhyWKTAZwiKRPqZyUrErh96qyyeqxjgdyMUpump</t>
  </si>
  <si>
    <t>maow</t>
  </si>
  <si>
    <t>2.245 SOL</t>
  </si>
  <si>
    <t>2.071 SOL</t>
  </si>
  <si>
    <t>-0.186 SOL</t>
  </si>
  <si>
    <t>-8.23%</t>
  </si>
  <si>
    <t>30.10.2024 19:14:33</t>
  </si>
  <si>
    <t>51 sec</t>
  </si>
  <si>
    <t xml:space="preserve">         51K            33K             7K</t>
  </si>
  <si>
    <t>CUrwywg97BTWCrb3BYQH11ArbTyoENEe4kFpA2dcDS2F</t>
  </si>
  <si>
    <t>BOOM</t>
  </si>
  <si>
    <t>1.056 SOL</t>
  </si>
  <si>
    <t>4.731 SOL</t>
  </si>
  <si>
    <t>3.651 SOL</t>
  </si>
  <si>
    <t>338.01%</t>
  </si>
  <si>
    <t>30.10.2024 19:11:36</t>
  </si>
  <si>
    <t>40 min</t>
  </si>
  <si>
    <t xml:space="preserve">         12K            23K            15K</t>
  </si>
  <si>
    <t>FjqmRY2wjdBCJ4MdhtZctKGYWG5q9k9zNHa7kguQpump</t>
  </si>
  <si>
    <t>PM</t>
  </si>
  <si>
    <t>2.078 SOL</t>
  </si>
  <si>
    <t>0.542 SOL</t>
  </si>
  <si>
    <t>-1.544 SOL</t>
  </si>
  <si>
    <t>-74.03%</t>
  </si>
  <si>
    <t>30.10.2024 19:00:06</t>
  </si>
  <si>
    <t>22 sec</t>
  </si>
  <si>
    <t xml:space="preserve">         30K             7K             5K</t>
  </si>
  <si>
    <t>FD1GoQJ6TiQbr1nL1drPQxV3WSLdhCuDz7METwoApump</t>
  </si>
  <si>
    <t>WTC</t>
  </si>
  <si>
    <t>1.578 SOL</t>
  </si>
  <si>
    <t>0.509 SOL</t>
  </si>
  <si>
    <t>47.70%</t>
  </si>
  <si>
    <t>30.10.2024 18:45:59</t>
  </si>
  <si>
    <t xml:space="preserve">         11K            11K             6K</t>
  </si>
  <si>
    <t>J9dY9eaaJsAhLu4RSSt9GAxswSvVD7ADCz2bGuEopump</t>
  </si>
  <si>
    <t>lit</t>
  </si>
  <si>
    <t>4.128 SOL</t>
  </si>
  <si>
    <t>4.045 SOL</t>
  </si>
  <si>
    <t>-0.102 SOL</t>
  </si>
  <si>
    <t>-2.47%</t>
  </si>
  <si>
    <t>30.10.2024 18:07:08</t>
  </si>
  <si>
    <t xml:space="preserve">         76K            39K             4K</t>
  </si>
  <si>
    <t>BZ4xhW34TAzt6oAkpYSNtfGpQG1C1BpvmwfUNxyypump</t>
  </si>
  <si>
    <t>KLING</t>
  </si>
  <si>
    <t>3.142 SOL</t>
  </si>
  <si>
    <t>1.130 SOL</t>
  </si>
  <si>
    <t>56.16%</t>
  </si>
  <si>
    <t>30.10.2024 17:45:39</t>
  </si>
  <si>
    <t>6 days</t>
  </si>
  <si>
    <t xml:space="preserve">          6K             8K             6K</t>
  </si>
  <si>
    <t>CxSsfTSBDER6opB1uTCu7s4Z3QcTorhYJvk9nPqCpump</t>
  </si>
  <si>
    <t>Mr Bitcoin</t>
  </si>
  <si>
    <t>2.110 SOL</t>
  </si>
  <si>
    <t>1.631 SOL</t>
  </si>
  <si>
    <t>-23.14%</t>
  </si>
  <si>
    <t>30.10.2024 17:19:52</t>
  </si>
  <si>
    <t xml:space="preserve">         44K            65K            39K</t>
  </si>
  <si>
    <t>6JocA9yXWP3nsVN7XYTXmf6gm69nMzUSj8Rbnt9rpump</t>
  </si>
  <si>
    <t>0.096120</t>
  </si>
  <si>
    <t>18.064 SOL</t>
  </si>
  <si>
    <t>15.891 SOL</t>
  </si>
  <si>
    <t>731.59%</t>
  </si>
  <si>
    <t>30.10.2024 16:43:46</t>
  </si>
  <si>
    <t xml:space="preserve">          7K             7K             9K</t>
  </si>
  <si>
    <t>4FieKJu1twj631v1NbDdpocqWS72Up36N3Lf3C1dpump</t>
  </si>
  <si>
    <t>PUMPSHIE</t>
  </si>
  <si>
    <t>2.155 SOL</t>
  </si>
  <si>
    <t>0.147 SOL</t>
  </si>
  <si>
    <t>7.30%</t>
  </si>
  <si>
    <t>30.10.2024 15:56:56</t>
  </si>
  <si>
    <t>50 sec</t>
  </si>
  <si>
    <t xml:space="preserve">         12K            12K            11K</t>
  </si>
  <si>
    <t>83J65ePJ84RYX8RWfbVmnwcD7RkFh2dTLfV2cgHnpump</t>
  </si>
  <si>
    <t>FUN</t>
  </si>
  <si>
    <t>3.029 SOL</t>
  </si>
  <si>
    <t>-0.075 SOL</t>
  </si>
  <si>
    <t>-2.42%</t>
  </si>
  <si>
    <t>30.10.2024 15:56:17</t>
  </si>
  <si>
    <t>D28gP2rmTJKiycXkLt8Xgspe3N7LzxFjyTquqSo6pump</t>
  </si>
  <si>
    <t>Donkey</t>
  </si>
  <si>
    <t>1.978 SOL</t>
  </si>
  <si>
    <t>1.017 SOL</t>
  </si>
  <si>
    <t>-0.973 SOL</t>
  </si>
  <si>
    <t>-48.89%</t>
  </si>
  <si>
    <t>30.10.2024 15:51:53</t>
  </si>
  <si>
    <t xml:space="preserve">         14K            30K             5K</t>
  </si>
  <si>
    <t>F3MXXH6Ua3iyvjpcCYPqdriEon4NrdfDN9cFDYVJpump</t>
  </si>
  <si>
    <t>PUNPFUN</t>
  </si>
  <si>
    <t>3.485 SOL</t>
  </si>
  <si>
    <t>0.381 SOL</t>
  </si>
  <si>
    <t>12.26%</t>
  </si>
  <si>
    <t>30.10.2024 15:34:11</t>
  </si>
  <si>
    <t>14 sec</t>
  </si>
  <si>
    <t>BUn5ZhmY5ZvkZR4ntWp1GJudYCj2W7JAYgt2TmXdEg6r</t>
  </si>
  <si>
    <t>PUMP</t>
  </si>
  <si>
    <t>5.024 SOL</t>
  </si>
  <si>
    <t>2.060 SOL</t>
  </si>
  <si>
    <t>-2.984 SOL</t>
  </si>
  <si>
    <t>-59.16%</t>
  </si>
  <si>
    <t>30.10.2024 15:31:56</t>
  </si>
  <si>
    <t xml:space="preserve">         51K            84K             7K</t>
  </si>
  <si>
    <t>8suXssFRAAF7UMcxhRkG3n6mzkxuAJRCgkaY3Vy6G3Uu</t>
  </si>
  <si>
    <t>DORAE</t>
  </si>
  <si>
    <t>0.500 SOL</t>
  </si>
  <si>
    <t>-0.504 SOL</t>
  </si>
  <si>
    <t>141,637</t>
  </si>
  <si>
    <t>30.10.2024 14:54:11</t>
  </si>
  <si>
    <t xml:space="preserve">        621K           621K             9K</t>
  </si>
  <si>
    <t>4YGovsKxDuuXAKjvbDtwq7x1TCcTPYsgKLK4NpMppump</t>
  </si>
  <si>
    <t>iSong</t>
  </si>
  <si>
    <t>2.942 SOL</t>
  </si>
  <si>
    <t>0.858 SOL</t>
  </si>
  <si>
    <t>41.17%</t>
  </si>
  <si>
    <t>30.10.2024 14:51:55</t>
  </si>
  <si>
    <t xml:space="preserve">          9K             9K             7K</t>
  </si>
  <si>
    <t>PN9VFZeyu77UKuyXZHvR3x69dYZxcjwstKFmzmepump</t>
  </si>
  <si>
    <t>7.604 SOL</t>
  </si>
  <si>
    <t>-0.356 SOL</t>
  </si>
  <si>
    <t>-4.48%</t>
  </si>
  <si>
    <t>30.10.2024 14:39:28</t>
  </si>
  <si>
    <t xml:space="preserve">         33K            30K             5K</t>
  </si>
  <si>
    <t>34YCAD1RkatyHRtT6T4CyAYzFfyHgKLpEYJUMSMjpump</t>
  </si>
  <si>
    <t>dumberdue</t>
  </si>
  <si>
    <t>0.426 SOL</t>
  </si>
  <si>
    <t>20.42%</t>
  </si>
  <si>
    <t>30.10.2024 14:07:57</t>
  </si>
  <si>
    <t xml:space="preserve">          5K             7K             5K</t>
  </si>
  <si>
    <t>ATTQ3eLvJuGZ7BcSD9T3Csyhrzs71YXYe6BPfbusNYhZ</t>
  </si>
  <si>
    <t>POOKIE</t>
  </si>
  <si>
    <t>2.154 SOL</t>
  </si>
  <si>
    <t>1.473 SOL</t>
  </si>
  <si>
    <t>-0.697 SOL</t>
  </si>
  <si>
    <t>-32.14%</t>
  </si>
  <si>
    <t>30.10.2024 14:06:07</t>
  </si>
  <si>
    <t xml:space="preserve">         30K            37K             5K</t>
  </si>
  <si>
    <t>gh2xVbvsXa4i3GRSqsyvUzcejT4BgawLzERTRnupump</t>
  </si>
  <si>
    <t>MrJeet</t>
  </si>
  <si>
    <t>1.046 SOL</t>
  </si>
  <si>
    <t>1.080 SOL</t>
  </si>
  <si>
    <t>0.026 SOL</t>
  </si>
  <si>
    <t>2.49%</t>
  </si>
  <si>
    <t>30.10.2024 14:01:36</t>
  </si>
  <si>
    <t>18 sec</t>
  </si>
  <si>
    <t xml:space="preserve">         33K            33K             8K</t>
  </si>
  <si>
    <t>Hmv2Gc27DdQWGdxCkRgVPUSgA8kzjzZ9RCNHQem8pump</t>
  </si>
  <si>
    <t>CULT6900</t>
  </si>
  <si>
    <t>1.061 SOL</t>
  </si>
  <si>
    <t>0.776 SOL</t>
  </si>
  <si>
    <t>-0.293 SOL</t>
  </si>
  <si>
    <t>-27.38%</t>
  </si>
  <si>
    <t>30.10.2024 14:00:47</t>
  </si>
  <si>
    <t>36 sec</t>
  </si>
  <si>
    <t xml:space="preserve">         11K             7K             5K</t>
  </si>
  <si>
    <t>cRJXzNaPRiumhX3RDDBZcjiC1XWJLPrxzxJkiAqpump</t>
  </si>
  <si>
    <t>1.085 SOL</t>
  </si>
  <si>
    <t>1.932 SOL</t>
  </si>
  <si>
    <t>0.827 SOL</t>
  </si>
  <si>
    <t>74.85%</t>
  </si>
  <si>
    <t>30.10.2024 13:55:02</t>
  </si>
  <si>
    <t xml:space="preserve">         61K            61K             8K</t>
  </si>
  <si>
    <t>TUZKI</t>
  </si>
  <si>
    <t>3.166 SOL</t>
  </si>
  <si>
    <t>4.440 SOL</t>
  </si>
  <si>
    <t>1.266 SOL</t>
  </si>
  <si>
    <t>39.89%</t>
  </si>
  <si>
    <t>30.10.2024 13:44:57</t>
  </si>
  <si>
    <t xml:space="preserve">          5K             9K             5K</t>
  </si>
  <si>
    <t>4nbH8A9jppKncSAn3UZZW7xDE11ZXcuRnCTVaNrpBLvg</t>
  </si>
  <si>
    <t>Larry</t>
  </si>
  <si>
    <t>2.124 SOL</t>
  </si>
  <si>
    <t>0.577 SOL</t>
  </si>
  <si>
    <t>-1.558 SOL</t>
  </si>
  <si>
    <t>-72.97%</t>
  </si>
  <si>
    <t>30.10.2024 13:36:30</t>
  </si>
  <si>
    <t xml:space="preserve">         49K            49K             6K</t>
  </si>
  <si>
    <t>6tC3oAa5qnBE3GqxGYej5n1d1EQE8Tzj4r2tnKjBpump</t>
  </si>
  <si>
    <t>AK47</t>
  </si>
  <si>
    <t>1.195 SOL</t>
  </si>
  <si>
    <t>0.141 SOL</t>
  </si>
  <si>
    <t>13.34%</t>
  </si>
  <si>
    <t>30.10.2024 11:55:30</t>
  </si>
  <si>
    <t xml:space="preserve">         11K            12K             5K</t>
  </si>
  <si>
    <t>4W4sWg4ozqkcaehadjsLCwQX3ZdYx8TSaVLNfHuHpump</t>
  </si>
  <si>
    <t>GSLG</t>
  </si>
  <si>
    <t>2.067 SOL</t>
  </si>
  <si>
    <t>2.673 SOL</t>
  </si>
  <si>
    <t>0.598 SOL</t>
  </si>
  <si>
    <t>28.80%</t>
  </si>
  <si>
    <t>30.10.2024 10:57:45</t>
  </si>
  <si>
    <t>6kSwkjACzocgZc7QyAKhgcG5i1nhnre1Zi3BFuFApump</t>
  </si>
  <si>
    <t>ULUCE</t>
  </si>
  <si>
    <t>0.964 SOL</t>
  </si>
  <si>
    <t>-0.090 SOL</t>
  </si>
  <si>
    <t>-8.55%</t>
  </si>
  <si>
    <t>30.10.2024 10:50:33</t>
  </si>
  <si>
    <t>52 sec</t>
  </si>
  <si>
    <t xml:space="preserve">         51K            48K             5K</t>
  </si>
  <si>
    <t>CL31mStw7szLWrXiPquHuGP3AhN7dAyFKnDcPjxFpump</t>
  </si>
  <si>
    <t>IMNG</t>
  </si>
  <si>
    <t>2.066 SOL</t>
  </si>
  <si>
    <t>2.720 SOL</t>
  </si>
  <si>
    <t>0.646 SOL</t>
  </si>
  <si>
    <t>31.14%</t>
  </si>
  <si>
    <t>30.10.2024 10:45:24</t>
  </si>
  <si>
    <t>8bjqEZtGNSesoMb9CxdaT8hNGkq6ZRRz5XDss417pump</t>
  </si>
  <si>
    <t>NARUTO</t>
  </si>
  <si>
    <t>2.205 SOL</t>
  </si>
  <si>
    <t>2.272 SOL</t>
  </si>
  <si>
    <t>0.059 SOL</t>
  </si>
  <si>
    <t>2.67%</t>
  </si>
  <si>
    <t>30.10.2024 10:39:35</t>
  </si>
  <si>
    <t xml:space="preserve">          5K             5K             5K</t>
  </si>
  <si>
    <t>GizgrxYzzEarTrnRdKHVe5DZFgjfXcSF3MpsiJtYpump</t>
  </si>
  <si>
    <t>JACK</t>
  </si>
  <si>
    <t>4.323 SOL</t>
  </si>
  <si>
    <t>1.229 SOL</t>
  </si>
  <si>
    <t>39.73%</t>
  </si>
  <si>
    <t>30.10.2024 10:28:41</t>
  </si>
  <si>
    <t>17 sec</t>
  </si>
  <si>
    <t xml:space="preserve">          7K             9K             5K</t>
  </si>
  <si>
    <t>ALgdbzwkNgURbjMTDPv6HcmuoBv26ZTUZwHqPMNMpump</t>
  </si>
  <si>
    <t>CLUCE</t>
  </si>
  <si>
    <t>3.999 SOL</t>
  </si>
  <si>
    <t>0.905 SOL</t>
  </si>
  <si>
    <t>29.24%</t>
  </si>
  <si>
    <t>30.10.2024 10:24:27</t>
  </si>
  <si>
    <t>21 sec</t>
  </si>
  <si>
    <t>5sT29bCYLic9m9MHFfDE2ZXgigNoXejLYzvNVa5pump</t>
  </si>
  <si>
    <t>New AURA</t>
  </si>
  <si>
    <t>3.788 SOL</t>
  </si>
  <si>
    <t>0.694 SOL</t>
  </si>
  <si>
    <t>22.44%</t>
  </si>
  <si>
    <t>30.10.2024 08:59:42</t>
  </si>
  <si>
    <t>mcdVHuHpbJ4dAqRv5ao9RL6R1U2CSkPo5mHrvDKpump</t>
  </si>
  <si>
    <t>FORCE</t>
  </si>
  <si>
    <t>2.204 SOL</t>
  </si>
  <si>
    <t>2.062 SOL</t>
  </si>
  <si>
    <t>-0.154 SOL</t>
  </si>
  <si>
    <t>-6.96%</t>
  </si>
  <si>
    <t>30.10.2024 08:41:51</t>
  </si>
  <si>
    <t xml:space="preserve">         53K            49K             5K</t>
  </si>
  <si>
    <t>557g69R27hqQ3TfBZ1VajUzmY9jpkj8SK2xZJzMHpump</t>
  </si>
  <si>
    <t>Force</t>
  </si>
  <si>
    <t>2.232 SOL</t>
  </si>
  <si>
    <t>0.158 SOL</t>
  </si>
  <si>
    <t>7.61%</t>
  </si>
  <si>
    <t>30.10.2024 08:39:48</t>
  </si>
  <si>
    <t>3M33YhYtZykNs4otLcjjpTZUgAch9Vt6ZKFFhcqFpump</t>
  </si>
  <si>
    <t>HWD</t>
  </si>
  <si>
    <t>2.147 SOL</t>
  </si>
  <si>
    <t>0.073 SOL</t>
  </si>
  <si>
    <t>3.52%</t>
  </si>
  <si>
    <t>30.10.2024 08:29:52</t>
  </si>
  <si>
    <t>58 sec</t>
  </si>
  <si>
    <t>58GEzVJb7mtpJMZikQ1QaGfpVbENy4bWf4Cc78LRXpCK</t>
  </si>
  <si>
    <t>2001Camry</t>
  </si>
  <si>
    <t>1.050 SOL</t>
  </si>
  <si>
    <t>1.961 SOL</t>
  </si>
  <si>
    <t>0.899 SOL</t>
  </si>
  <si>
    <t>84.61%</t>
  </si>
  <si>
    <t>30.10.2024 08:23:07</t>
  </si>
  <si>
    <t xml:space="preserve">         16K            25K             6K</t>
  </si>
  <si>
    <t>4SPEFk6Hehk3i5uUL9Zu4LRYFcnHbc1HbaKoEdmTpump</t>
  </si>
  <si>
    <t>🎃BOO</t>
  </si>
  <si>
    <t>3.287 SOL</t>
  </si>
  <si>
    <t>58.46%</t>
  </si>
  <si>
    <t>30.10.2024 07:59:48</t>
  </si>
  <si>
    <t>53 sec</t>
  </si>
  <si>
    <t>AkGHVHRRrY1jhDy4CmQA9gZdpDqnPEDST6DazWS8pump</t>
  </si>
  <si>
    <t>ELIZA</t>
  </si>
  <si>
    <t>1.959 SOL</t>
  </si>
  <si>
    <t>2.118 SOL</t>
  </si>
  <si>
    <t>0.148 SOL</t>
  </si>
  <si>
    <t>7.50%</t>
  </si>
  <si>
    <t>30.10.2024 07:54:45</t>
  </si>
  <si>
    <t xml:space="preserve">         28K            14K             6K</t>
  </si>
  <si>
    <t>9XXsu7iRqofjTkbBTbuiiwy3uxgPR3WTZnMZSiuupump</t>
  </si>
  <si>
    <t>🌀</t>
  </si>
  <si>
    <t>2.700 SOL</t>
  </si>
  <si>
    <t>0.626 SOL</t>
  </si>
  <si>
    <t>30.20%</t>
  </si>
  <si>
    <t>30.10.2024 07:37:32</t>
  </si>
  <si>
    <t>13 sec</t>
  </si>
  <si>
    <t xml:space="preserve">          5K             9K             4K</t>
  </si>
  <si>
    <t>F5KgUWUkQSMyrcoqrP53MFvuyjU8ovhkdojs4LyFpump</t>
  </si>
  <si>
    <t>DUCKU</t>
  </si>
  <si>
    <t>2.216 SOL</t>
  </si>
  <si>
    <t>0.086 SOL</t>
  </si>
  <si>
    <t>4.04%</t>
  </si>
  <si>
    <t>30.10.2024 05:38:02</t>
  </si>
  <si>
    <t>42 sec</t>
  </si>
  <si>
    <t>9Z8PN5vPWhuBybVVYXNQc1NqEJPnRPMW5FKGe2fYpump</t>
  </si>
  <si>
    <t>FINN</t>
  </si>
  <si>
    <t>4.000 SOL</t>
  </si>
  <si>
    <t>2.917 SOL</t>
  </si>
  <si>
    <t>-1.099 SOL</t>
  </si>
  <si>
    <t>-27.37%</t>
  </si>
  <si>
    <t>30.10.2024 05:34:19</t>
  </si>
  <si>
    <t xml:space="preserve">        160K            83K             6K</t>
  </si>
  <si>
    <t>GTKYRw79jMCdnyHQjeFJHZChbRSKHwUZfYY8E5acpump</t>
  </si>
  <si>
    <t>RALPH</t>
  </si>
  <si>
    <t>2.090 SOL</t>
  </si>
  <si>
    <t>1.768 SOL</t>
  </si>
  <si>
    <t>-0.338 SOL</t>
  </si>
  <si>
    <t>-16.04%</t>
  </si>
  <si>
    <t>30.10.2024 05:24:16</t>
  </si>
  <si>
    <t>21 min</t>
  </si>
  <si>
    <t xml:space="preserve">         28K            14K             4K</t>
  </si>
  <si>
    <t>AVhBDeE4YxbPBjUm7JNvJGqziwZZxDZTpd8P8ouZpump</t>
  </si>
  <si>
    <t>CICADA</t>
  </si>
  <si>
    <t>1.037 SOL</t>
  </si>
  <si>
    <t>1.008 SOL</t>
  </si>
  <si>
    <t>-3.50%</t>
  </si>
  <si>
    <t>30.10.2024 05:20:48</t>
  </si>
  <si>
    <t xml:space="preserve">         19K            19K             5K</t>
  </si>
  <si>
    <t>5rnrdS2o7hyGq3GGXWK7aZwEqo46kiAHbEB6rDyypump</t>
  </si>
  <si>
    <t>DogeLisa</t>
  </si>
  <si>
    <t>2.209 SOL</t>
  </si>
  <si>
    <t>3.235 SOL</t>
  </si>
  <si>
    <t>1.019 SOL</t>
  </si>
  <si>
    <t>45.95%</t>
  </si>
  <si>
    <t>30.10.2024 05:01:06</t>
  </si>
  <si>
    <t>9YzjtzTN68FyDQGisDNgZ6Wd4V1mVQi6vP3WfzkTpump</t>
  </si>
  <si>
    <t>DIDDOGE</t>
  </si>
  <si>
    <t>2.384 SOL</t>
  </si>
  <si>
    <t>0.286 SOL</t>
  </si>
  <si>
    <t>13.61%</t>
  </si>
  <si>
    <t>30.10.2024 04:59:06</t>
  </si>
  <si>
    <t>4MwQ1wLvHqoMC6pZu9xpY6RSuw7yaxtL9A3s9tpgpump</t>
  </si>
  <si>
    <t>moolah.io</t>
  </si>
  <si>
    <t>4.260 SOL</t>
  </si>
  <si>
    <t>4.320 SOL</t>
  </si>
  <si>
    <t>0.040 SOL</t>
  </si>
  <si>
    <t>0.93%</t>
  </si>
  <si>
    <t>30.10.2024 04:52:39</t>
  </si>
  <si>
    <t xml:space="preserve">         25K            16K             5K</t>
  </si>
  <si>
    <t>MVo1wcikn6u2txx4jdotU6QxWaXuEB56GCQLn7gpump</t>
  </si>
  <si>
    <t>0.324410</t>
  </si>
  <si>
    <t>4.093 SOL</t>
  </si>
  <si>
    <t>184.958 SOL</t>
  </si>
  <si>
    <t>180.541 SOL</t>
  </si>
  <si>
    <t>4086.99%</t>
  </si>
  <si>
    <t>30.10.2024 04:38:40</t>
  </si>
  <si>
    <t xml:space="preserve">          7K            40K            62M</t>
  </si>
  <si>
    <t>ribbit</t>
  </si>
  <si>
    <t>2.581 SOL</t>
  </si>
  <si>
    <t>0.507 SOL</t>
  </si>
  <si>
    <t>24.46%</t>
  </si>
  <si>
    <t>29.10.2024 21:55:49</t>
  </si>
  <si>
    <t>Ex46NP7pSVGkdEii7PQHYZXRMdy6zW8Jw18xCDzFpump</t>
  </si>
  <si>
    <t>HYPERBOREA</t>
  </si>
  <si>
    <t>0.921 SOL</t>
  </si>
  <si>
    <t>-0.134 SOL</t>
  </si>
  <si>
    <t>-12.67%</t>
  </si>
  <si>
    <t>29.10.2024 21:46:44</t>
  </si>
  <si>
    <t xml:space="preserve">         28K            25K             3K</t>
  </si>
  <si>
    <t>FmUbgXXRavAigQqb2E5bUakMtP3hNhzqptn6f6GHpump</t>
  </si>
  <si>
    <t>GOBLIN</t>
  </si>
  <si>
    <t>1.296 SOL</t>
  </si>
  <si>
    <t>0.242 SOL</t>
  </si>
  <si>
    <t>22.96%</t>
  </si>
  <si>
    <t>29.10.2024 21:32:21</t>
  </si>
  <si>
    <t xml:space="preserve">         11K            14K             5K</t>
  </si>
  <si>
    <t>27u3XAb3VFQbNquHCiMB4p6wp9xJvGWjpeFzeEYXpump</t>
  </si>
  <si>
    <t>2049</t>
  </si>
  <si>
    <t>0.020430</t>
  </si>
  <si>
    <t>0.455 SOL</t>
  </si>
  <si>
    <t>1.842 SOL</t>
  </si>
  <si>
    <t>1.366 SOL</t>
  </si>
  <si>
    <t>287.45%</t>
  </si>
  <si>
    <t>29.10.2024 21:21:28</t>
  </si>
  <si>
    <t xml:space="preserve">         16K            91K             4K</t>
  </si>
  <si>
    <t>2y9a9YJ7CMgMQ1GkMaNiDn65ZY9UxeRuQqDBcRLDpump</t>
  </si>
  <si>
    <t>HIPPO</t>
  </si>
  <si>
    <t>20.44%</t>
  </si>
  <si>
    <t>29.10.2024 21:20:37</t>
  </si>
  <si>
    <t>H7gZPWWy4ue6WHzsoYUu4dDsE1owCytgos1k3EGFpump</t>
  </si>
  <si>
    <t>wcat</t>
  </si>
  <si>
    <t>2.961 SOL</t>
  </si>
  <si>
    <t>0.877 SOL</t>
  </si>
  <si>
    <t>42.07%</t>
  </si>
  <si>
    <t>29.10.2024 21:17:05</t>
  </si>
  <si>
    <t>40 sec</t>
  </si>
  <si>
    <t>D68vfmGGZyxwrLTJiLrpEs3TDhpWMy2pYDbAtoQSpump</t>
  </si>
  <si>
    <t>STW</t>
  </si>
  <si>
    <t>4.606 SOL</t>
  </si>
  <si>
    <t>1.502 SOL</t>
  </si>
  <si>
    <t>48.38%</t>
  </si>
  <si>
    <t>29.10.2024 20:35:46</t>
  </si>
  <si>
    <t>9 sec</t>
  </si>
  <si>
    <t>5KWQM5qBtNzaYcrZdDzA1dD4Gcuup81VZXzJRan8pump</t>
  </si>
  <si>
    <t>ATH</t>
  </si>
  <si>
    <t>2.614 SOL</t>
  </si>
  <si>
    <t>0.540 SOL</t>
  </si>
  <si>
    <t>26.03%</t>
  </si>
  <si>
    <t>29.10.2024 19:26:55</t>
  </si>
  <si>
    <t>34 sec</t>
  </si>
  <si>
    <t>GueHcunms6EaJPesJQ3NcHpPuLz4jMeFnFay5nawpump</t>
  </si>
  <si>
    <t>Hana</t>
  </si>
  <si>
    <t>0.056070</t>
  </si>
  <si>
    <t>12.491 SOL</t>
  </si>
  <si>
    <t>25.328 SOL</t>
  </si>
  <si>
    <t>12.781 SOL</t>
  </si>
  <si>
    <t>101.86%</t>
  </si>
  <si>
    <t>29.10.2024 18:46:00</t>
  </si>
  <si>
    <t xml:space="preserve">         42K           299K             9K</t>
  </si>
  <si>
    <t>7L15Afew6rL2ujRgvfYgPTpLKqBPjrQkh7nNzyrhpump</t>
  </si>
  <si>
    <t>Woman</t>
  </si>
  <si>
    <t>2.569 SOL</t>
  </si>
  <si>
    <t>0.485 SOL</t>
  </si>
  <si>
    <t>23.28%</t>
  </si>
  <si>
    <t>29.10.2024 18:21:15</t>
  </si>
  <si>
    <t>24 sec</t>
  </si>
  <si>
    <t>664kKpqzRBR5RfUHaSgrHrM55xRd3yKHmQwf9YKUpKHt</t>
  </si>
  <si>
    <t>La’eeb</t>
  </si>
  <si>
    <t>0.947 SOL</t>
  </si>
  <si>
    <t>0.896 SOL</t>
  </si>
  <si>
    <t>-0.059 SOL</t>
  </si>
  <si>
    <t>-6.19%</t>
  </si>
  <si>
    <t>29.10.2024 18:10:15</t>
  </si>
  <si>
    <t>31 sec</t>
  </si>
  <si>
    <t>ByDLdExUF61QNntbBgEqG2EtUQNtvSYmGWBZQjwTNi4d</t>
  </si>
  <si>
    <t>TRUTH</t>
  </si>
  <si>
    <t>1.263 SOL</t>
  </si>
  <si>
    <t>1.001 SOL</t>
  </si>
  <si>
    <t>-0.270 SOL</t>
  </si>
  <si>
    <t>-21.21%</t>
  </si>
  <si>
    <t>29.10.2024 18:00:54</t>
  </si>
  <si>
    <t>10 sec</t>
  </si>
  <si>
    <t xml:space="preserve">         69K            55K             3K</t>
  </si>
  <si>
    <t>Dx8QoLHFUFiu4hsqScW9abhWYwfzk5FgE4145dSspump</t>
  </si>
  <si>
    <t>holyghost</t>
  </si>
  <si>
    <t>0.813 SOL</t>
  </si>
  <si>
    <t>0.917 SOL</t>
  </si>
  <si>
    <t>0.097 SOL</t>
  </si>
  <si>
    <t>11.79%</t>
  </si>
  <si>
    <t>29.10.2024 18:00:12</t>
  </si>
  <si>
    <t>H1w19S8a6t5EJ1LMJuydxoABqsdcT4wV2uy2rnxJpump</t>
  </si>
  <si>
    <t>TCOS</t>
  </si>
  <si>
    <t>1.094 SOL</t>
  </si>
  <si>
    <t>0.836 SOL</t>
  </si>
  <si>
    <t>-0.266 SOL</t>
  </si>
  <si>
    <t>-24.13%</t>
  </si>
  <si>
    <t>29.10.2024 17:57:49</t>
  </si>
  <si>
    <t>37 sec</t>
  </si>
  <si>
    <t xml:space="preserve">         53K            40K             5K</t>
  </si>
  <si>
    <t>G9XcU7chLwW44sfrczjtUWSeSNPz5kNshmpcsCMXpump</t>
  </si>
  <si>
    <t>BOO</t>
  </si>
  <si>
    <t>0.957 SOL</t>
  </si>
  <si>
    <t>0.992 SOL</t>
  </si>
  <si>
    <t>0.027 SOL</t>
  </si>
  <si>
    <t>2.82%</t>
  </si>
  <si>
    <t>29.10.2024 17:56:53</t>
  </si>
  <si>
    <t>4NawAAgWKZ4S5mRNK1eQQzumzHPKAtBiWAP8FUzzpump</t>
  </si>
  <si>
    <t>Contessina</t>
  </si>
  <si>
    <t>1.060 SOL</t>
  </si>
  <si>
    <t>1.078 SOL</t>
  </si>
  <si>
    <t>0.010 SOL</t>
  </si>
  <si>
    <t>0.95%</t>
  </si>
  <si>
    <t>29.10.2024 17:54:28</t>
  </si>
  <si>
    <t xml:space="preserve">         12K            14K             5K</t>
  </si>
  <si>
    <t>B5mDnnuiT5yu8atUQMXNJjaWH1mLJhHkagtvxw6rpump</t>
  </si>
  <si>
    <t>HG</t>
  </si>
  <si>
    <t>3.141 SOL</t>
  </si>
  <si>
    <t>4.601 SOL</t>
  </si>
  <si>
    <t>1.444 SOL</t>
  </si>
  <si>
    <t>45.75%</t>
  </si>
  <si>
    <t>29.10.2024 17:52:31</t>
  </si>
  <si>
    <t>GAddc5q3JEpSzabiUbtCmNDtQnGZkjGb1eGzdXNDpump</t>
  </si>
  <si>
    <t>Hm</t>
  </si>
  <si>
    <t>1.069 SOL</t>
  </si>
  <si>
    <t>1.380 SOL</t>
  </si>
  <si>
    <t>0.304 SOL</t>
  </si>
  <si>
    <t>28.20%</t>
  </si>
  <si>
    <t>29.10.2024 17:50:36</t>
  </si>
  <si>
    <t>CebktzsbbFWFDsJRpJYtwkGTxqjWmkrhpdjSTPNTpump</t>
  </si>
  <si>
    <t>McDonald's</t>
  </si>
  <si>
    <t>2.541 SOL</t>
  </si>
  <si>
    <t>0.457 SOL</t>
  </si>
  <si>
    <t>21.94%</t>
  </si>
  <si>
    <t>29.10.2024 17:38:24</t>
  </si>
  <si>
    <t>5jWaU3ejQabkAyx2gFQD5ieKgVWoXAbLyFVcSB3zpump</t>
  </si>
  <si>
    <t>HC</t>
  </si>
  <si>
    <t>0.248 SOL</t>
  </si>
  <si>
    <t>0.188 SOL</t>
  </si>
  <si>
    <t>-0.068 SOL</t>
  </si>
  <si>
    <t>-26.70%</t>
  </si>
  <si>
    <t>29.10.2024 17:25:41</t>
  </si>
  <si>
    <t xml:space="preserve">          7K             5K             5K</t>
  </si>
  <si>
    <t>4j5WpbZ55jQF47GK9PZL4YJQUUohLopdmJFiQKNobrug</t>
  </si>
  <si>
    <t>BRIZ</t>
  </si>
  <si>
    <t>0.920 SOL</t>
  </si>
  <si>
    <t>0.854 SOL</t>
  </si>
  <si>
    <t>-0.074 SOL</t>
  </si>
  <si>
    <t>-7.97%</t>
  </si>
  <si>
    <t>29.10.2024 17:23:20</t>
  </si>
  <si>
    <t>38 sec</t>
  </si>
  <si>
    <t>HRTmPp9bvrEFv9MoqF4rV1RPWHUmvvyV4b9nKL3jpump</t>
  </si>
  <si>
    <t>Pickle</t>
  </si>
  <si>
    <t>2.143 SOL</t>
  </si>
  <si>
    <t>0.131 SOL</t>
  </si>
  <si>
    <t>6.53%</t>
  </si>
  <si>
    <t>29.10.2024 17:21:10</t>
  </si>
  <si>
    <t xml:space="preserve">        193K           185K             6K</t>
  </si>
  <si>
    <t>BCjAL2StpBFpfT4sEgmPckH7wmnJ3WD41sMZ97MMpump</t>
  </si>
  <si>
    <t>HS</t>
  </si>
  <si>
    <t>4.142 SOL</t>
  </si>
  <si>
    <t>4.369 SOL</t>
  </si>
  <si>
    <t>0.206 SOL</t>
  </si>
  <si>
    <t>4.96%</t>
  </si>
  <si>
    <t>29.10.2024 17:09:52</t>
  </si>
  <si>
    <t xml:space="preserve">         12K             9K             5K</t>
  </si>
  <si>
    <t>HGYCrTw6HUTL3HAX6tSkm3gomdRF9UtTVJ7zJ2LTpump</t>
  </si>
  <si>
    <t>hc</t>
  </si>
  <si>
    <t>0.040050</t>
  </si>
  <si>
    <t>6.184 SOL</t>
  </si>
  <si>
    <t>8.446 SOL</t>
  </si>
  <si>
    <t>2.222 SOL</t>
  </si>
  <si>
    <t>35.70%</t>
  </si>
  <si>
    <t>29.10.2024 17:02:02</t>
  </si>
  <si>
    <t>24 min</t>
  </si>
  <si>
    <t xml:space="preserve">         19K            23K             3K</t>
  </si>
  <si>
    <t>9bHMKBBJfS1GP1KkXCtSdDEwSw1rrJLm39L4HE6J4aX3</t>
  </si>
  <si>
    <t>valley</t>
  </si>
  <si>
    <t>1.201 SOL</t>
  </si>
  <si>
    <t>1.313 SOL</t>
  </si>
  <si>
    <t>0.088 SOL</t>
  </si>
  <si>
    <t>7.18%</t>
  </si>
  <si>
    <t>29.10.2024 14:43:39</t>
  </si>
  <si>
    <t xml:space="preserve">         51K           109K             3K</t>
  </si>
  <si>
    <t>7weLjTDMheYznUikcRfXCzhKbQtsdRfvy8WJa8ccpump</t>
  </si>
  <si>
    <t>Eve</t>
  </si>
  <si>
    <t>1.246 SOL</t>
  </si>
  <si>
    <t>-0.122 SOL</t>
  </si>
  <si>
    <t>-8.89%</t>
  </si>
  <si>
    <t>29.10.2024 14:30:27</t>
  </si>
  <si>
    <t xml:space="preserve">         53K            58K             9K</t>
  </si>
  <si>
    <t>BoyAq9YacyJQn96e3SM4GQrxKQEHuLXs8sA3V4aspump</t>
  </si>
  <si>
    <t>pumpkin</t>
  </si>
  <si>
    <t>3.685 SOL</t>
  </si>
  <si>
    <t>1.600 SOL</t>
  </si>
  <si>
    <t>76.80%</t>
  </si>
  <si>
    <t>29.10.2024 13:23:49</t>
  </si>
  <si>
    <t xml:space="preserve">          5K            11K             5K</t>
  </si>
  <si>
    <t>CLerixSaXnt5cyFGLuR5dHc5bXGPm28E2doXnY49pump</t>
  </si>
  <si>
    <t>Gacha</t>
  </si>
  <si>
    <t>0.112140</t>
  </si>
  <si>
    <t>2.042 SOL</t>
  </si>
  <si>
    <t>11.495 SOL</t>
  </si>
  <si>
    <t>9.341 SOL</t>
  </si>
  <si>
    <t>433.58%</t>
  </si>
  <si>
    <t>29.10.2024 12:15:37</t>
  </si>
  <si>
    <t xml:space="preserve">        505K           264K           338K</t>
  </si>
  <si>
    <t>9Z3LF3ymEVwCPLd9uBda9ieySYKVK7MzukPRGHDPpump</t>
  </si>
  <si>
    <t>Rope</t>
  </si>
  <si>
    <t>0.679 SOL</t>
  </si>
  <si>
    <t>0.171 SOL</t>
  </si>
  <si>
    <t>33.59%</t>
  </si>
  <si>
    <t>29.10.2024 11:19:01</t>
  </si>
  <si>
    <t xml:space="preserve">         67K            90K             6K</t>
  </si>
  <si>
    <t>EGDupUNGpapaeTJAmc1sLx8JRhzs91x6SNmSrP7Ypump</t>
  </si>
  <si>
    <t>TOUCAN</t>
  </si>
  <si>
    <t>1.154 SOL</t>
  </si>
  <si>
    <t>1.193 SOL</t>
  </si>
  <si>
    <t>0.024 SOL</t>
  </si>
  <si>
    <t>2.04%</t>
  </si>
  <si>
    <t>29.10.2024 11:02:05</t>
  </si>
  <si>
    <t xml:space="preserve">         47K            72K             4K</t>
  </si>
  <si>
    <t>6LsCVyL6rbNLfRuLYBWZHSuG9kkqRtmW52YXARh5pump</t>
  </si>
  <si>
    <t>Jasper</t>
  </si>
  <si>
    <t>3.098 SOL</t>
  </si>
  <si>
    <t>3.437 SOL</t>
  </si>
  <si>
    <t>0.323 SOL</t>
  </si>
  <si>
    <t>10.38%</t>
  </si>
  <si>
    <t>29.10.2024 10:00:25</t>
  </si>
  <si>
    <t>30 min</t>
  </si>
  <si>
    <t xml:space="preserve">         28K             7K             5K</t>
  </si>
  <si>
    <t>FNAKajLtZoj8Tjpd3jSjM7mAorQQev5vXoefJqxNpump</t>
  </si>
  <si>
    <t>Rug</t>
  </si>
  <si>
    <t>1.365 SOL</t>
  </si>
  <si>
    <t>0.311 SOL</t>
  </si>
  <si>
    <t>29.48%</t>
  </si>
  <si>
    <t>29.10.2024 09:26:39</t>
  </si>
  <si>
    <t>9d6bsbNbPsBekL2wLfAY7cT1TTasFrJTJTUCGsKZpump</t>
  </si>
  <si>
    <t>Beethoven</t>
  </si>
  <si>
    <t>4.993 SOL</t>
  </si>
  <si>
    <t>4.718 SOL</t>
  </si>
  <si>
    <t>-0.299 SOL</t>
  </si>
  <si>
    <t>-5.97%</t>
  </si>
  <si>
    <t>29.10.2024 09:15:13</t>
  </si>
  <si>
    <t xml:space="preserve">         28K            21K             6K</t>
  </si>
  <si>
    <t>6gAxPRSGg5r129hQjDAZm1Tdh5YTkLh1hKRhnm1wpump</t>
  </si>
  <si>
    <t>BIGBOYELON</t>
  </si>
  <si>
    <t>3.140 SOL</t>
  </si>
  <si>
    <t>3.856 SOL</t>
  </si>
  <si>
    <t>0.696 SOL</t>
  </si>
  <si>
    <t>22.03%</t>
  </si>
  <si>
    <t>29.10.2024 08:42:35</t>
  </si>
  <si>
    <t>16 min</t>
  </si>
  <si>
    <t>88RbDVarqbtaGijyTPFNuamNEBeN2FXt7NvEwci2pump</t>
  </si>
  <si>
    <t>Rana</t>
  </si>
  <si>
    <t>3.174 SOL</t>
  </si>
  <si>
    <t>0.166 SOL</t>
  </si>
  <si>
    <t>5.53%</t>
  </si>
  <si>
    <t>29.10.2024 04:38:24</t>
  </si>
  <si>
    <t>EHHaCsCoXb2BFGbzfANpS1VXQ7GXnQXbzxuwxyZUpump</t>
  </si>
  <si>
    <t>BIRD</t>
  </si>
  <si>
    <t>4.300 SOL</t>
  </si>
  <si>
    <t>1.206 SOL</t>
  </si>
  <si>
    <t>38.98%</t>
  </si>
  <si>
    <t>29.10.2024 04:36:54</t>
  </si>
  <si>
    <t>2Z7XMoeL6t8dXEwtxADHzaDjAFqzhECCoWK4v1mspump</t>
  </si>
  <si>
    <t>Fisichella</t>
  </si>
  <si>
    <t>5.664 SOL</t>
  </si>
  <si>
    <t>9.422 SOL</t>
  </si>
  <si>
    <t>3.734 SOL</t>
  </si>
  <si>
    <t>65.66%</t>
  </si>
  <si>
    <t>29.10.2024 03:26:39</t>
  </si>
  <si>
    <t>42 min</t>
  </si>
  <si>
    <t xml:space="preserve">         49K            33K             6K</t>
  </si>
  <si>
    <t>J8cwfmyvXYBL1AqQ7Vf9mNsHpUeaix2p5JEkdFifpump</t>
  </si>
  <si>
    <t>🎃🎃</t>
  </si>
  <si>
    <t>3.826 SOL</t>
  </si>
  <si>
    <t>0.732 SOL</t>
  </si>
  <si>
    <t>23.66%</t>
  </si>
  <si>
    <t>29.10.2024 01:35:21</t>
  </si>
  <si>
    <t>BGn65rwiHV2ek33jD8V6HyGXSgYe6BxiaiUT94tspump</t>
  </si>
  <si>
    <t>$karbone</t>
  </si>
  <si>
    <t>2.903 SOL</t>
  </si>
  <si>
    <t>-0.201 SOL</t>
  </si>
  <si>
    <t>-6.47%</t>
  </si>
  <si>
    <t>29.10.2024 01:01:06</t>
  </si>
  <si>
    <t>GN5ndqGuvP9c3eg9Y5rcpQnzS2FZtaB2dVvb9z56pump</t>
  </si>
  <si>
    <t>Yukoo</t>
  </si>
  <si>
    <t>5.194 SOL</t>
  </si>
  <si>
    <t>8.531 SOL</t>
  </si>
  <si>
    <t>3.313 SOL</t>
  </si>
  <si>
    <t>63.49%</t>
  </si>
  <si>
    <t>29.10.2024 00:54:14</t>
  </si>
  <si>
    <t>A5gQVm8jUFhhuxWEAL3TdDcET6NJwHU5nG4VhcXMAmSG</t>
  </si>
  <si>
    <t xml:space="preserve">HIV </t>
  </si>
  <si>
    <t>1.126 SOL</t>
  </si>
  <si>
    <t>-0.308 SOL</t>
  </si>
  <si>
    <t>-27.13%</t>
  </si>
  <si>
    <t>29.10.2024 00:15:24</t>
  </si>
  <si>
    <t xml:space="preserve">         26K            19K             6K</t>
  </si>
  <si>
    <t>uGJcexxzBXhWx1VsrckqNYMfmNG7s7XyNkFmz3mpump</t>
  </si>
  <si>
    <t>4.222 SOL</t>
  </si>
  <si>
    <t>1.128 SOL</t>
  </si>
  <si>
    <t>36.46%</t>
  </si>
  <si>
    <t>29.10.2024 00:12:27</t>
  </si>
  <si>
    <t>5dkran5y85FAiRuckJbVyFEj7kyt2rq4LmuroCjPpump</t>
  </si>
  <si>
    <t>17.69%</t>
  </si>
  <si>
    <t>29.10.2024 00:05:38</t>
  </si>
  <si>
    <t>BfR2Bu1Dqem3moyVmfavEMF8QzDd2u1uRs5eXjCX3Ge4</t>
  </si>
  <si>
    <t>Shibako</t>
  </si>
  <si>
    <t>3.633 SOL</t>
  </si>
  <si>
    <t>0.529 SOL</t>
  </si>
  <si>
    <t>17.05%</t>
  </si>
  <si>
    <t>28.10.2024 22:43:17</t>
  </si>
  <si>
    <t>AdKoxjvch3UGbh2oSyPNF7oy5pJcxHgoAYHD6NJXpump</t>
  </si>
  <si>
    <t>0.873 SOL</t>
  </si>
  <si>
    <t>0.830 SOL</t>
  </si>
  <si>
    <t>-0.051 SOL</t>
  </si>
  <si>
    <t>-5.78%</t>
  </si>
  <si>
    <t>28.10.2024 22:37:19</t>
  </si>
  <si>
    <t xml:space="preserve">         16K            16K             5K</t>
  </si>
  <si>
    <t>2P9HjYb8ssEfNoYUZGgzHjB1xsnX3PNQenAcawdtpump</t>
  </si>
  <si>
    <t>dada</t>
  </si>
  <si>
    <t>2.838 SOL</t>
  </si>
  <si>
    <t>0.754 SOL</t>
  </si>
  <si>
    <t>36.19%</t>
  </si>
  <si>
    <t>28.10.2024 22:32:09</t>
  </si>
  <si>
    <t>92JvGGTS4wN3xUtfwk9XkBbArDWcccS1F2Lid7TXFtD1</t>
  </si>
  <si>
    <t>TheLine</t>
  </si>
  <si>
    <t>4.073 SOL</t>
  </si>
  <si>
    <t>0.969 SOL</t>
  </si>
  <si>
    <t>31.22%</t>
  </si>
  <si>
    <t>28.10.2024 22:09:40</t>
  </si>
  <si>
    <t>9R71JbV8pbMA1L7KoXpfkrGDDTFaWTvqYESLxKVppump</t>
  </si>
  <si>
    <t>BLUEPRINT</t>
  </si>
  <si>
    <t>3.092 SOL</t>
  </si>
  <si>
    <t>3.215 SOL</t>
  </si>
  <si>
    <t>3.05%</t>
  </si>
  <si>
    <t>28.10.2024 21:50:27</t>
  </si>
  <si>
    <t xml:space="preserve">         19K            46K             3K</t>
  </si>
  <si>
    <t>9kQfhkXTTyG7so6cG7VmDYfet7q4eKBGHp5eCFWvpump</t>
  </si>
  <si>
    <t>JUSTIN</t>
  </si>
  <si>
    <t>5.509 SOL</t>
  </si>
  <si>
    <t>4.435 SOL</t>
  </si>
  <si>
    <t>412.95%</t>
  </si>
  <si>
    <t>28.10.2024 21:48:16</t>
  </si>
  <si>
    <t>28 min</t>
  </si>
  <si>
    <t xml:space="preserve">         18K           211K             5K</t>
  </si>
  <si>
    <t>cbQq5WWrPPBFAv66GXBArm8BhmP1ZHWiBHUsWBupump</t>
  </si>
  <si>
    <t>Crash leak</t>
  </si>
  <si>
    <t>1.671 SOL</t>
  </si>
  <si>
    <t>0.942 SOL</t>
  </si>
  <si>
    <t>-0.749 SOL</t>
  </si>
  <si>
    <t>-44.31%</t>
  </si>
  <si>
    <t>28.10.2024 21:44:18</t>
  </si>
  <si>
    <t xml:space="preserve">         53K            14K             3K</t>
  </si>
  <si>
    <t>22WTXrTs7mMvVqyRgnXTfbqYCVtN5jXFZTcm54aUpump</t>
  </si>
  <si>
    <t>CRSE</t>
  </si>
  <si>
    <t>4.670 SOL</t>
  </si>
  <si>
    <t>1.565 SOL</t>
  </si>
  <si>
    <t>50.43%</t>
  </si>
  <si>
    <t>28.10.2024 20:08:56</t>
  </si>
  <si>
    <t>46 sec</t>
  </si>
  <si>
    <t>FqeJsP1VsfJhNqZpqDxzfJr5ReTTS4ydrjK6nGU8pump</t>
  </si>
  <si>
    <t>Adam</t>
  </si>
  <si>
    <t>3.039 SOL</t>
  </si>
  <si>
    <t>0.031 SOL</t>
  </si>
  <si>
    <t>1.02%</t>
  </si>
  <si>
    <t>28.10.2024 19:42:29</t>
  </si>
  <si>
    <t>45 sec</t>
  </si>
  <si>
    <t>7Nd7bxwQ1VVBhonRwj6Try5PWiTjRY3fvmWNgBWHpump</t>
  </si>
  <si>
    <t>karbon</t>
  </si>
  <si>
    <t>5.744 SOL</t>
  </si>
  <si>
    <t>2.640 SOL</t>
  </si>
  <si>
    <t>85.05%</t>
  </si>
  <si>
    <t>28.10.2024 19:34:15</t>
  </si>
  <si>
    <t>8UsRH1sHwYNarsSqxhN58gKPB6x55PTDQE6jzvgjpump</t>
  </si>
  <si>
    <t>POGUS</t>
  </si>
  <si>
    <t>0.526 SOL</t>
  </si>
  <si>
    <t>0.742 SOL</t>
  </si>
  <si>
    <t>0.208 SOL</t>
  </si>
  <si>
    <t>39.01%</t>
  </si>
  <si>
    <t>28.10.2024 19:24:41</t>
  </si>
  <si>
    <t>56 sec</t>
  </si>
  <si>
    <t xml:space="preserve">          9K            12K             5K</t>
  </si>
  <si>
    <t>ANUWBeUJJQwvJ9mKepXpdFrX4rkNbaz9fquMvbabpump</t>
  </si>
  <si>
    <t>DWH</t>
  </si>
  <si>
    <t>3.789 SOL</t>
  </si>
  <si>
    <t>0.695 SOL</t>
  </si>
  <si>
    <t>22.45%</t>
  </si>
  <si>
    <t>28.10.2024 18:36:55</t>
  </si>
  <si>
    <t>3VUnCsug7bLBm5a2MacQQNaVaU8jvKFTsga786jBpump</t>
  </si>
  <si>
    <t>DARTMOUTH</t>
  </si>
  <si>
    <t>1.624 SOL</t>
  </si>
  <si>
    <t>-0.384 SOL</t>
  </si>
  <si>
    <t>-19.10%</t>
  </si>
  <si>
    <t>28.10.2024 18:30:55</t>
  </si>
  <si>
    <t xml:space="preserve">        452K           367K           301K</t>
  </si>
  <si>
    <t>7FS4iUbG1KpTA7xzG4Er7H6Nj22PZgonY8N9ERZbpump</t>
  </si>
  <si>
    <t>THECAT</t>
  </si>
  <si>
    <t>0.004410</t>
  </si>
  <si>
    <t>-99.96%</t>
  </si>
  <si>
    <t>28.10.2024 18:24:14</t>
  </si>
  <si>
    <t xml:space="preserve">          5M             5M           178K</t>
  </si>
  <si>
    <t>4JE4tBaHwq9WsqGb4XVq38hGs7PXxd6EwNhUg9y17WGE</t>
  </si>
  <si>
    <t>Presco</t>
  </si>
  <si>
    <t>4.634 SOL</t>
  </si>
  <si>
    <t>1.540 SOL</t>
  </si>
  <si>
    <t>49.78%</t>
  </si>
  <si>
    <t>28.10.2024 18:15:51</t>
  </si>
  <si>
    <t>19 sec</t>
  </si>
  <si>
    <t>8HRHhpNcTBCXBgGc5nLPw6o7RxF6wMit85Tpg6xgpump</t>
  </si>
  <si>
    <t>TYLER</t>
  </si>
  <si>
    <t>1.936 SOL</t>
  </si>
  <si>
    <t>-0.138 SOL</t>
  </si>
  <si>
    <t>-6.64%</t>
  </si>
  <si>
    <t>28.10.2024 18:14:41</t>
  </si>
  <si>
    <t>CixyL7mWfRtS7co2CQco8mHKAejmHqjSFeqVqF7ppump</t>
  </si>
  <si>
    <t>Wiz</t>
  </si>
  <si>
    <t>5.003 SOL</t>
  </si>
  <si>
    <t>-0.005 SOL</t>
  </si>
  <si>
    <t>-0.11%</t>
  </si>
  <si>
    <t>28.10.2024 18:01:58</t>
  </si>
  <si>
    <t xml:space="preserve">        744K           744K           503K</t>
  </si>
  <si>
    <t>2TobzM4NNpEvyVAEpFC8AkxJGBHz8fFgMksK1gBy5dub</t>
  </si>
  <si>
    <t>기린</t>
  </si>
  <si>
    <t>3.067 SOL</t>
  </si>
  <si>
    <t>3.519 SOL</t>
  </si>
  <si>
    <t>0.444 SOL</t>
  </si>
  <si>
    <t>14.44%</t>
  </si>
  <si>
    <t>28.10.2024 16:05:27</t>
  </si>
  <si>
    <t>4nbPfXiBFwn6AVv8teyc4gyT5hAvVNEAxqD2c79qpump</t>
  </si>
  <si>
    <t>UP</t>
  </si>
  <si>
    <t>4.080 SOL</t>
  </si>
  <si>
    <t>32.67%</t>
  </si>
  <si>
    <t>28.10.2024 16:00:58</t>
  </si>
  <si>
    <t>5CKF1a1v35Q3i4iL6ECETTLj72zpSNpirjwbAdcFpump</t>
  </si>
  <si>
    <t>lotsinlife</t>
  </si>
  <si>
    <t>0.670 SOL</t>
  </si>
  <si>
    <t>0.049 SOL</t>
  </si>
  <si>
    <t>-0.629 SOL</t>
  </si>
  <si>
    <t>-92.84%</t>
  </si>
  <si>
    <t>28.10.2024 15:56:29</t>
  </si>
  <si>
    <t xml:space="preserve">         76K             5K             3K</t>
  </si>
  <si>
    <t>FwLHNPew66JYXcBvK6bfwgVtJwvEB8dRuMt3uqgjpump</t>
  </si>
  <si>
    <t>ILUMIA</t>
  </si>
  <si>
    <t>0.607 SOL</t>
  </si>
  <si>
    <t>0.124 SOL</t>
  </si>
  <si>
    <t>-79.89%</t>
  </si>
  <si>
    <t>28.10.2024 15:55:57</t>
  </si>
  <si>
    <t xml:space="preserve">         39K             7K             5K</t>
  </si>
  <si>
    <t>Fhnscz1dhqLHc96Ao2on4z4i8ve8BHzeGUd36aKYpump</t>
  </si>
  <si>
    <t>1.216 SOL</t>
  </si>
  <si>
    <t>1.465 SOL</t>
  </si>
  <si>
    <t>0.241 SOL</t>
  </si>
  <si>
    <t>19.66%</t>
  </si>
  <si>
    <t>28.10.2024 15:49:56</t>
  </si>
  <si>
    <t>DXgsXf5stPFYaAd3dBeuzp8YhJheKF22fPnvN5Tppump</t>
  </si>
  <si>
    <t>SELF</t>
  </si>
  <si>
    <t>1.036 SOL</t>
  </si>
  <si>
    <t>1.221 SOL</t>
  </si>
  <si>
    <t>0.177 SOL</t>
  </si>
  <si>
    <t>16.98%</t>
  </si>
  <si>
    <t>28.10.2024 15:43:09</t>
  </si>
  <si>
    <t xml:space="preserve">         21K            25K             6K</t>
  </si>
  <si>
    <t>CeBp9za8vBpYazKsTdjKpsYjqnZJrYo52CqECNHapump</t>
  </si>
  <si>
    <t>METASEEK</t>
  </si>
  <si>
    <t>1.802 SOL</t>
  </si>
  <si>
    <t>1.432 SOL</t>
  </si>
  <si>
    <t>-0.382 SOL</t>
  </si>
  <si>
    <t>-21.05%</t>
  </si>
  <si>
    <t>28.10.2024 15:41:33</t>
  </si>
  <si>
    <t>48 sec</t>
  </si>
  <si>
    <t xml:space="preserve">         25K            12K             5K</t>
  </si>
  <si>
    <t>5rYWXMAqW6NB6LsffGeD9FgP211dE5QJCsVAEMdapump</t>
  </si>
  <si>
    <t>VSC</t>
  </si>
  <si>
    <t>1.004 SOL</t>
  </si>
  <si>
    <t>1.143 SOL</t>
  </si>
  <si>
    <t>12.91%</t>
  </si>
  <si>
    <t>28.10.2024 15:39:37</t>
  </si>
  <si>
    <t>41 sec</t>
  </si>
  <si>
    <t>HwXikXc52weGJvzt8b3MCGtKBGCUjBBmkrVrcHNFhQQu</t>
  </si>
  <si>
    <t>POPPY</t>
  </si>
  <si>
    <t>3.076 SOL</t>
  </si>
  <si>
    <t>3.896 SOL</t>
  </si>
  <si>
    <t>0.812 SOL</t>
  </si>
  <si>
    <t>26.32%</t>
  </si>
  <si>
    <t>28.10.2024 15:08:07</t>
  </si>
  <si>
    <t>2yS7fgzqvopfoQybkR8q1X6NxwaPUq4T8qEesE8Kpump</t>
  </si>
  <si>
    <t>IRY</t>
  </si>
  <si>
    <t>3.695 SOL</t>
  </si>
  <si>
    <t>0.611 SOL</t>
  </si>
  <si>
    <t>19.81%</t>
  </si>
  <si>
    <t>28.10.2024 12:38:10</t>
  </si>
  <si>
    <t>8 sec</t>
  </si>
  <si>
    <t>964okGKqe2CUJEMBEPRcXDpXW6yisqJgMNt97MPWpump</t>
  </si>
  <si>
    <t>🥥</t>
  </si>
  <si>
    <t>3.505 SOL</t>
  </si>
  <si>
    <t>0.419 SOL</t>
  </si>
  <si>
    <t>13.57%</t>
  </si>
  <si>
    <t>28.10.2024 09:59:09</t>
  </si>
  <si>
    <t>3zrqmxA4WXTW84tjqVXx3cXdUiQ9Ewxunr99TsiBpump</t>
  </si>
  <si>
    <t>antelope</t>
  </si>
  <si>
    <t>4.84%</t>
  </si>
  <si>
    <t>28.10.2024 09:49:51</t>
  </si>
  <si>
    <t xml:space="preserve">         67K            53K             4K</t>
  </si>
  <si>
    <t>4trd89QeJXPrE6yAsQJi71uBkqT4NkGE3dcRXfshpump</t>
  </si>
  <si>
    <t>wps</t>
  </si>
  <si>
    <t>3.523 SOL</t>
  </si>
  <si>
    <t>0.439 SOL</t>
  </si>
  <si>
    <t>14.24%</t>
  </si>
  <si>
    <t>28.10.2024 07:22:04</t>
  </si>
  <si>
    <t>5 sec</t>
  </si>
  <si>
    <t>ZY48L7146vhZSb6vP92VYu9s5fVX9GM4Jzd8rHgpump</t>
  </si>
  <si>
    <t>tubby</t>
  </si>
  <si>
    <t>2.857 SOL</t>
  </si>
  <si>
    <t>-0.151 SOL</t>
  </si>
  <si>
    <t>-5.03%</t>
  </si>
  <si>
    <t>28.10.2024 04:30:22</t>
  </si>
  <si>
    <t xml:space="preserve">         30K            28K             4K</t>
  </si>
  <si>
    <t>AeS1V4Gov3QV6ryUzPZxBWEQgBczDYbemPpYbzAupump</t>
  </si>
  <si>
    <t>STFUWYCNC</t>
  </si>
  <si>
    <t>0.343 SOL</t>
  </si>
  <si>
    <t>0.354 SOL</t>
  </si>
  <si>
    <t>0.003 SOL</t>
  </si>
  <si>
    <t>0.83%</t>
  </si>
  <si>
    <t>27.10.2024 20:45:34</t>
  </si>
  <si>
    <t>7uWoAimLRfbB9dN4MH5EScniEjY3rmqbovL4KpYepump</t>
  </si>
  <si>
    <t>UD</t>
  </si>
  <si>
    <t>2.106 SOL</t>
  </si>
  <si>
    <t>1.965 SOL</t>
  </si>
  <si>
    <t>-0.149 SOL</t>
  </si>
  <si>
    <t>-7.03%</t>
  </si>
  <si>
    <t>27.10.2024 20:36:52</t>
  </si>
  <si>
    <t>tUMX6zLw12e1yZXt8Geg3us72C6L1CJPHbtLXMzpump</t>
  </si>
  <si>
    <t>Pebble</t>
  </si>
  <si>
    <t>3.066 SOL</t>
  </si>
  <si>
    <t>4.802 SOL</t>
  </si>
  <si>
    <t>1.720 SOL</t>
  </si>
  <si>
    <t>55.80%</t>
  </si>
  <si>
    <t>27.10.2024 20:22:01</t>
  </si>
  <si>
    <t>18 min</t>
  </si>
  <si>
    <t xml:space="preserve">          5K            19K             5K</t>
  </si>
  <si>
    <t>DzuVdjezoX1r6ZR6WGosGMRKE8oRfJWkHtkuAhm6pump</t>
  </si>
  <si>
    <t>SOLANA</t>
  </si>
  <si>
    <t>2.745 SOL</t>
  </si>
  <si>
    <t>4.126 SOL</t>
  </si>
  <si>
    <t>1.373 SOL</t>
  </si>
  <si>
    <t>49.89%</t>
  </si>
  <si>
    <t>27.10.2024 20:00:15</t>
  </si>
  <si>
    <t>7 sec</t>
  </si>
  <si>
    <t>5utcfiTcjf5HjTqpNkDpM2t68gdrKf14mfTzsFBLpump</t>
  </si>
  <si>
    <t>HOL</t>
  </si>
  <si>
    <t>2.596 SOL</t>
  </si>
  <si>
    <t>0.588 SOL</t>
  </si>
  <si>
    <t>29.28%</t>
  </si>
  <si>
    <t>27.10.2024 19:56:38</t>
  </si>
  <si>
    <t>12 sec</t>
  </si>
  <si>
    <t xml:space="preserve">        111K           144K            73K</t>
  </si>
  <si>
    <t>8r8xXP3eHgn19HYRX9Qe2AzSaSXrWCj6URAmFpvUpump</t>
  </si>
  <si>
    <t>Chimpdenza</t>
  </si>
  <si>
    <t>4.792 SOL</t>
  </si>
  <si>
    <t>1.708 SOL</t>
  </si>
  <si>
    <t>55.38%</t>
  </si>
  <si>
    <t>27.10.2024 19:49:53</t>
  </si>
  <si>
    <t>EGa7n7xAAXTVXEAK5oyaddEvNx2By8HA4TcpfBjCpump</t>
  </si>
  <si>
    <t>Present</t>
  </si>
  <si>
    <t>4.347 SOL</t>
  </si>
  <si>
    <t>40.95%</t>
  </si>
  <si>
    <t>27.10.2024 19:16:32</t>
  </si>
  <si>
    <t>FiTgKPSvkiCCwCABQjbzGQCNSvP58Ag1j5m8NHxKpump</t>
  </si>
  <si>
    <t>eyeamgay</t>
  </si>
  <si>
    <t>2.056 SOL</t>
  </si>
  <si>
    <t>2.787 SOL</t>
  </si>
  <si>
    <t>35.03%</t>
  </si>
  <si>
    <t>27.10.2024 18:08:05</t>
  </si>
  <si>
    <t>5EokEiXGvV86XNinM2DCLS2Vq6LuuHpeo1beAyxRpump</t>
  </si>
  <si>
    <t>he/him</t>
  </si>
  <si>
    <t>4.159 SOL</t>
  </si>
  <si>
    <t>4.115 SOL</t>
  </si>
  <si>
    <t>-0.060 SOL</t>
  </si>
  <si>
    <t>-1.44%</t>
  </si>
  <si>
    <t>27.10.2024 17:21:10</t>
  </si>
  <si>
    <t xml:space="preserve">         12K            16K             5K</t>
  </si>
  <si>
    <t>Bht6wzQdkTVisYx7Ja8THsLDn4wbHSNqhx8ZsEkupump</t>
  </si>
  <si>
    <t>YAD</t>
  </si>
  <si>
    <t>1.568 SOL</t>
  </si>
  <si>
    <t>-0.440 SOL</t>
  </si>
  <si>
    <t>-21.89%</t>
  </si>
  <si>
    <t>27.10.2024 17:02:14</t>
  </si>
  <si>
    <t>55 sec</t>
  </si>
  <si>
    <t xml:space="preserve">        676K           531K             4K</t>
  </si>
  <si>
    <t>DMUzqxsbRtjnZpzohhruikef1AVT7hb6env4tJQQpump</t>
  </si>
  <si>
    <t>agony</t>
  </si>
  <si>
    <t>3.467 SOL</t>
  </si>
  <si>
    <t>7.009 SOL</t>
  </si>
  <si>
    <t>3.526 SOL</t>
  </si>
  <si>
    <t>101.21%</t>
  </si>
  <si>
    <t>27.10.2024 16:46:34</t>
  </si>
  <si>
    <t xml:space="preserve">         16K            12K             3K</t>
  </si>
  <si>
    <t>97LuaoEf538LY7ZXR3QyE7ZXATDHTY9zttCrSaofpump</t>
  </si>
  <si>
    <t>CLR</t>
  </si>
  <si>
    <t>0.495 SOL</t>
  </si>
  <si>
    <t>0.505 SOL</t>
  </si>
  <si>
    <t>0.002 SOL</t>
  </si>
  <si>
    <t>0.47%</t>
  </si>
  <si>
    <t>27.10.2024 16:24:25</t>
  </si>
  <si>
    <t xml:space="preserve">        275K           281K             9K</t>
  </si>
  <si>
    <t>CN7t4Xxw2RSzEXpyYaG54fi5gKpdd9NTEw61biUW767y</t>
  </si>
  <si>
    <t>Void</t>
  </si>
  <si>
    <t>5.986 SOL</t>
  </si>
  <si>
    <t>3.922 SOL</t>
  </si>
  <si>
    <t>190.03%</t>
  </si>
  <si>
    <t>27.10.2024 16:15:41</t>
  </si>
  <si>
    <t xml:space="preserve">         12K            33K             3K</t>
  </si>
  <si>
    <t>Ce1j33dgs1fnuQ9PN5VrvG8Urp1R8rTrXr2y7nQipump</t>
  </si>
  <si>
    <t>NIKO</t>
  </si>
  <si>
    <t>0.370 SOL</t>
  </si>
  <si>
    <t>-0.164 SOL</t>
  </si>
  <si>
    <t>-30.74%</t>
  </si>
  <si>
    <t>27.10.2024 16:10:06</t>
  </si>
  <si>
    <t>2Z7k9knjkZu5vzYB5Zumi6g84vGppbiaNCijWrkypump</t>
  </si>
  <si>
    <t>MVP</t>
  </si>
  <si>
    <t>2.977 SOL</t>
  </si>
  <si>
    <t>-3.78%</t>
  </si>
  <si>
    <t>27.10.2024 16:04:50</t>
  </si>
  <si>
    <t>4 sec</t>
  </si>
  <si>
    <t>EQzR47T2SKz4yfHu1ktzgakrERrMCYxQFL7QcLcmpump</t>
  </si>
  <si>
    <t>DOG</t>
  </si>
  <si>
    <t>2.979 SOL</t>
  </si>
  <si>
    <t>-0.115 SOL</t>
  </si>
  <si>
    <t>-3.72%</t>
  </si>
  <si>
    <t>27.10.2024 16:03:19</t>
  </si>
  <si>
    <t>6 sec</t>
  </si>
  <si>
    <t>2DunrzKFdvYBAx43YQHVYFkmDiBoPVBkRx41Z4svpump</t>
  </si>
  <si>
    <t>Supcat</t>
  </si>
  <si>
    <t>3.019 SOL</t>
  </si>
  <si>
    <t>-2.44%</t>
  </si>
  <si>
    <t>27.10.2024 16:00:53</t>
  </si>
  <si>
    <t>BieaWssTzTxJwYxpQ7uEfEvKD6NE9chBWzNej3tHpump</t>
  </si>
  <si>
    <t>DEATH</t>
  </si>
  <si>
    <t>2.231 SOL</t>
  </si>
  <si>
    <t>1.528 SOL</t>
  </si>
  <si>
    <t>-0.712 SOL</t>
  </si>
  <si>
    <t>-31.78%</t>
  </si>
  <si>
    <t>27.10.2024 15:48:47</t>
  </si>
  <si>
    <t xml:space="preserve">         40K            28K             6K</t>
  </si>
  <si>
    <t>3SmhwzbSBjJZXLGJtCTypBo7XKCLcYmRw87zEqvXqnRc</t>
  </si>
  <si>
    <t>IamShit</t>
  </si>
  <si>
    <t>3.481 SOL</t>
  </si>
  <si>
    <t>0.387 SOL</t>
  </si>
  <si>
    <t>12.50%</t>
  </si>
  <si>
    <t>27.10.2024 15:38:44</t>
  </si>
  <si>
    <t>8ML6QhQBgjMHyxZUe9wEzQzGRvDp73gxN6yrGwQvpump</t>
  </si>
  <si>
    <t>4.358 SOL</t>
  </si>
  <si>
    <t>1.264 SOL</t>
  </si>
  <si>
    <t>40.84%</t>
  </si>
  <si>
    <t>27.10.2024 15:34:38</t>
  </si>
  <si>
    <t>BeeLiMyZFyURGNC1sx6Z1Jx1ZU2nrTpsY9kdFXZjpump</t>
  </si>
  <si>
    <t>AICCA</t>
  </si>
  <si>
    <t>1.986 SOL</t>
  </si>
  <si>
    <t>0.931 SOL</t>
  </si>
  <si>
    <t>88.37%</t>
  </si>
  <si>
    <t>27.10.2024 15:00:48</t>
  </si>
  <si>
    <t xml:space="preserve">         16K            30K             5K</t>
  </si>
  <si>
    <t>5jLUQde4APc7Nz9GxGCAL8ndS4isH5XmADySLdb7pump</t>
  </si>
  <si>
    <t>Leonardo</t>
  </si>
  <si>
    <t>1.032 SOL</t>
  </si>
  <si>
    <t>0.622 SOL</t>
  </si>
  <si>
    <t>-0.419 SOL</t>
  </si>
  <si>
    <t>-40.25%</t>
  </si>
  <si>
    <t>27.10.2024 14:58:16</t>
  </si>
  <si>
    <t xml:space="preserve">         12K             7K             5K</t>
  </si>
  <si>
    <t>4kHY4VH4i5ymMHSgt6BpuyeNXx7MzNeq7oZY695tpump</t>
  </si>
  <si>
    <t>aibnb</t>
  </si>
  <si>
    <t>2.675 SOL</t>
  </si>
  <si>
    <t>0.667 SOL</t>
  </si>
  <si>
    <t>33.20%</t>
  </si>
  <si>
    <t>27.10.2024 14:51:23</t>
  </si>
  <si>
    <t xml:space="preserve">        202K           269K             7K</t>
  </si>
  <si>
    <t>878WGwJXoRAfuZcWv1fQD2iuo2Phvy8VJFkenDgbpump</t>
  </si>
  <si>
    <t>JIMMY</t>
  </si>
  <si>
    <t>2.218 SOL</t>
  </si>
  <si>
    <t>0.134 SOL</t>
  </si>
  <si>
    <t>6.44%</t>
  </si>
  <si>
    <t>27.10.2024 14:03:45</t>
  </si>
  <si>
    <t>2DkMwcrHFe6gavhNmuCmvmNQySPxnnzgukrx79SQpump</t>
  </si>
  <si>
    <t>Sund</t>
  </si>
  <si>
    <t>0.068090</t>
  </si>
  <si>
    <t>25.078 SOL</t>
  </si>
  <si>
    <t>22.068 SOL</t>
  </si>
  <si>
    <t>733.06%</t>
  </si>
  <si>
    <t>27.10.2024 13:49:56</t>
  </si>
  <si>
    <t>29 min</t>
  </si>
  <si>
    <t xml:space="preserve">          9K           157K             6K</t>
  </si>
  <si>
    <t>66b8mPygotxasiWXba7eFSaMXd77g8HaB2yk4F7spump</t>
  </si>
  <si>
    <t>wdmp</t>
  </si>
  <si>
    <t>0.538 SOL</t>
  </si>
  <si>
    <t>0.661 SOL</t>
  </si>
  <si>
    <t>0.115 SOL</t>
  </si>
  <si>
    <t>21.11%</t>
  </si>
  <si>
    <t>27.10.2024 13:42:48</t>
  </si>
  <si>
    <t xml:space="preserve">         51K            51K             8K</t>
  </si>
  <si>
    <t>4NxnhKViNC3wJEdkWr4venJykFErjjUimbkEKCRopump</t>
  </si>
  <si>
    <t>tormius</t>
  </si>
  <si>
    <t>1.691 SOL</t>
  </si>
  <si>
    <t>1.088 SOL</t>
  </si>
  <si>
    <t>64.03%</t>
  </si>
  <si>
    <t>27.10.2024 13:04:30</t>
  </si>
  <si>
    <t>Wp55cYL6TrYpvuWUd2niQo9xPNXMzbtLZmtpsunpump</t>
  </si>
  <si>
    <t xml:space="preserve">Popcraft </t>
  </si>
  <si>
    <t>2.748 SOL</t>
  </si>
  <si>
    <t>0.684 SOL</t>
  </si>
  <si>
    <t>33.14%</t>
  </si>
  <si>
    <t>27.10.2024 12:52:55</t>
  </si>
  <si>
    <t>11 sec</t>
  </si>
  <si>
    <t>7teytBJnYn4qBPLTucUNKgXTJDUy9qgeVKpz3L3Bpump</t>
  </si>
  <si>
    <t>AxC</t>
  </si>
  <si>
    <t>3.301 SOL</t>
  </si>
  <si>
    <t>212.54%</t>
  </si>
  <si>
    <t>27.10.2024 11:55:39</t>
  </si>
  <si>
    <t xml:space="preserve">          7K            21K             5K</t>
  </si>
  <si>
    <t>EgVm5kaF7hn6U8g2gdWrg3hz74LdytvkEHdHwg8fpump</t>
  </si>
  <si>
    <t>toad</t>
  </si>
  <si>
    <t>5.044 SOL</t>
  </si>
  <si>
    <t>6.036 SOL</t>
  </si>
  <si>
    <t>19.00%</t>
  </si>
  <si>
    <t>27.10.2024 11:27:43</t>
  </si>
  <si>
    <t>12 min</t>
  </si>
  <si>
    <t xml:space="preserve">         25K            46K             4K</t>
  </si>
  <si>
    <t>BCzmHhheuzURCDKpWKWTzMFC7y76EzyJrA1C3oXNpump</t>
  </si>
  <si>
    <t xml:space="preserve">Melody </t>
  </si>
  <si>
    <t>2.051 SOL</t>
  </si>
  <si>
    <t>2.622 SOL</t>
  </si>
  <si>
    <t>0.563 SOL</t>
  </si>
  <si>
    <t>27.34%</t>
  </si>
  <si>
    <t>27.10.2024 10:37:12</t>
  </si>
  <si>
    <t>7 min</t>
  </si>
  <si>
    <t>FVPJjijNN3uCVUs8KtEVpfYnJfHxKweqv4xLfY6dpump</t>
  </si>
  <si>
    <t>tom</t>
  </si>
  <si>
    <t>1.724 SOL</t>
  </si>
  <si>
    <t>1.180 SOL</t>
  </si>
  <si>
    <t>-0.552 SOL</t>
  </si>
  <si>
    <t>-31.87%</t>
  </si>
  <si>
    <t>27.10.2024 10:16:30</t>
  </si>
  <si>
    <t xml:space="preserve">          9K             5K             5K</t>
  </si>
  <si>
    <t>HkKrEce9yhtpbgsVSwrvYHM4xUgL1y1JR7cAZVF4pump</t>
  </si>
  <si>
    <t>BUT</t>
  </si>
  <si>
    <t>0.048060</t>
  </si>
  <si>
    <t>3.071 SOL</t>
  </si>
  <si>
    <t>7.738 SOL</t>
  </si>
  <si>
    <t>4.619 SOL</t>
  </si>
  <si>
    <t>148.09%</t>
  </si>
  <si>
    <t>27.10.2024 09:30:20</t>
  </si>
  <si>
    <t xml:space="preserve">          7K            26K             5K</t>
  </si>
  <si>
    <t>3CzP7hBfMzuvJWDgegfiYrsKnVc4UCLKP1pxHRCTpump</t>
  </si>
  <si>
    <t>MOO DENG</t>
  </si>
  <si>
    <t>0.060080</t>
  </si>
  <si>
    <t>13.821 SOL</t>
  </si>
  <si>
    <t>11.709 SOL</t>
  </si>
  <si>
    <t>554.65%</t>
  </si>
  <si>
    <t>27.10.2024 07:42:05</t>
  </si>
  <si>
    <t xml:space="preserve">          5K            28K             5K</t>
  </si>
  <si>
    <t>5qCdjGQx6HCdfHTB16WvGw48LyJtY8Fx39p1a5dupump</t>
  </si>
  <si>
    <t>moon cat</t>
  </si>
  <si>
    <t>2.932 SOL</t>
  </si>
  <si>
    <t>-0.152 SOL</t>
  </si>
  <si>
    <t>-4.94%</t>
  </si>
  <si>
    <t>27.10.2024 03:50:02</t>
  </si>
  <si>
    <t>MLMVmxHZXVvx7WrMzQzjXTB8LG9NX7itwhVmdJspump</t>
  </si>
  <si>
    <t>miki</t>
  </si>
  <si>
    <t>4.986 SOL</t>
  </si>
  <si>
    <t>6.150 SOL</t>
  </si>
  <si>
    <t>1.148 SOL</t>
  </si>
  <si>
    <t>22.95%</t>
  </si>
  <si>
    <t>27.10.2024 03:44:08</t>
  </si>
  <si>
    <t>AwLSn8qnNumKRWBAxjAVdUXYWAmmubFQDd9BkKYRpump</t>
  </si>
  <si>
    <t>BLOAT</t>
  </si>
  <si>
    <t>0.554 SOL</t>
  </si>
  <si>
    <t>27.58%</t>
  </si>
  <si>
    <t>27.10.2024 03:38:33</t>
  </si>
  <si>
    <t xml:space="preserve">          4K             5K             4K</t>
  </si>
  <si>
    <t>A1zdsJnLYCYeoxQnheYGeCiZ41uenWYbrBwrqX3Npump</t>
  </si>
  <si>
    <t>COCO</t>
  </si>
  <si>
    <t>2.436 SOL</t>
  </si>
  <si>
    <t>0.372 SOL</t>
  </si>
  <si>
    <t>18.02%</t>
  </si>
  <si>
    <t>27.10.2024 03:33:50</t>
  </si>
  <si>
    <t>47 sec</t>
  </si>
  <si>
    <t>2WNqB8YDSwxaAe4U5E45wxzqDTHVcZXKiedtzB3Jpump</t>
  </si>
  <si>
    <t>Nab</t>
  </si>
  <si>
    <t>1.845 SOL</t>
  </si>
  <si>
    <t>2.414 SOL</t>
  </si>
  <si>
    <t>0.562 SOL</t>
  </si>
  <si>
    <t>30.31%</t>
  </si>
  <si>
    <t>27.10.2024 03:24:39</t>
  </si>
  <si>
    <t>4maQVAHe2buP6ZR8Hep544zAWftgkdCT2rDKn4EHpump</t>
  </si>
  <si>
    <t>Duckcraft</t>
  </si>
  <si>
    <t>2.193 SOL</t>
  </si>
  <si>
    <t>2.618 SOL</t>
  </si>
  <si>
    <t>0.417 SOL</t>
  </si>
  <si>
    <t>18.96%</t>
  </si>
  <si>
    <t>27.10.2024 02:45:19</t>
  </si>
  <si>
    <t>C3mHTRp57rLFwXyuewYqYbeSeCtMsqEwZE688tE6pump</t>
  </si>
  <si>
    <t>MINEDOGE</t>
  </si>
  <si>
    <t>2.300 SOL</t>
  </si>
  <si>
    <t>11.68%</t>
  </si>
  <si>
    <t>27.10.2024 02:09:39</t>
  </si>
  <si>
    <t>DMqSq8NHxMA8KdfPJoBHkkUUrTja3yiiid5Mo4xnpump</t>
  </si>
  <si>
    <t>$Grass</t>
  </si>
  <si>
    <t>1.922 SOL</t>
  </si>
  <si>
    <t>-0.137 SOL</t>
  </si>
  <si>
    <t>-6.67%</t>
  </si>
  <si>
    <t>27.10.2024 02:02:56</t>
  </si>
  <si>
    <t>9B1ptYbgABLcLhxpiEEpmtAvK3GZWsre14wxqrXupump</t>
  </si>
  <si>
    <t>PSTEVE</t>
  </si>
  <si>
    <t>1.257 SOL</t>
  </si>
  <si>
    <t>0.213 SOL</t>
  </si>
  <si>
    <t>27.10.2024 01:22:38</t>
  </si>
  <si>
    <t>F4h1kQnEPaF6Yto6CogETjX8hNruRaP36V15YgVPpump</t>
  </si>
  <si>
    <t>KANZI</t>
  </si>
  <si>
    <t>0.076100</t>
  </si>
  <si>
    <t>21.344 SOL</t>
  </si>
  <si>
    <t>19.216 SOL</t>
  </si>
  <si>
    <t>903.40%</t>
  </si>
  <si>
    <t>27.10.2024 00:17:41</t>
  </si>
  <si>
    <t>45 min</t>
  </si>
  <si>
    <t xml:space="preserve">          5K            67K             6K</t>
  </si>
  <si>
    <t>zn7ozSyBA4wo38d9GSn3U6jY2EUeW7LfhK3Q55Upump</t>
  </si>
  <si>
    <t>inDOG</t>
  </si>
  <si>
    <t>1.945 SOL</t>
  </si>
  <si>
    <t>2.063 SOL</t>
  </si>
  <si>
    <t>0.111 SOL</t>
  </si>
  <si>
    <t>5.67%</t>
  </si>
  <si>
    <t>26.10.2024 22:50:46</t>
  </si>
  <si>
    <t>Gi8aMsTpMEkYUn4LXwzEhbYQjFP2xLK5dKevYZUcpump</t>
  </si>
  <si>
    <t>◝†◜</t>
  </si>
  <si>
    <t>0.555 SOL</t>
  </si>
  <si>
    <t>0.804 SOL</t>
  </si>
  <si>
    <t>42.77%</t>
  </si>
  <si>
    <t>26.10.2024 22:03:43</t>
  </si>
  <si>
    <t xml:space="preserve">         23K            33K             4K</t>
  </si>
  <si>
    <t>FN8sbVRP7obTaX6bEwuTY5zVvpmwFBBKNheu5kN2pump</t>
  </si>
  <si>
    <t>Magnolia</t>
  </si>
  <si>
    <t>0.13%</t>
  </si>
  <si>
    <t>26.10.2024 21:48:53</t>
  </si>
  <si>
    <t>5ujrJWPSu1jfEGxUtnCgVs8foAtAqM4XfpFitvhDpump</t>
  </si>
  <si>
    <t>MVPT</t>
  </si>
  <si>
    <t>1.064 SOL</t>
  </si>
  <si>
    <t>0.971 SOL</t>
  </si>
  <si>
    <t>-0.109 SOL</t>
  </si>
  <si>
    <t>-10.07%</t>
  </si>
  <si>
    <t>26.10.2024 21:35:08</t>
  </si>
  <si>
    <t xml:space="preserve">          9K            11K             5K</t>
  </si>
  <si>
    <t>9GMD5utSNhDPLo16gEQAihRLAz9H9cyCZSsCq36bpump</t>
  </si>
  <si>
    <t>Memecraft</t>
  </si>
  <si>
    <t>0.521 SOL</t>
  </si>
  <si>
    <t>3.918 SOL</t>
  </si>
  <si>
    <t>3.341 SOL</t>
  </si>
  <si>
    <t>578.98%</t>
  </si>
  <si>
    <t>26.10.2024 21:10:38</t>
  </si>
  <si>
    <t>26 min</t>
  </si>
  <si>
    <t xml:space="preserve">         43K           481K             8K</t>
  </si>
  <si>
    <t>EZFzgRsCwM9ub1bHKG7ZUkqmF8b5UjptMp7JeNRzpump</t>
  </si>
  <si>
    <t>x/acc</t>
  </si>
  <si>
    <t>1.075 SOL</t>
  </si>
  <si>
    <t>0.067 SOL</t>
  </si>
  <si>
    <t>6.61%</t>
  </si>
  <si>
    <t>26.10.2024 20:00:50</t>
  </si>
  <si>
    <t xml:space="preserve">        549K           589K           400K</t>
  </si>
  <si>
    <t>5vrNnSXf2PeF4YMdG4vHi1WzU3hf42JKzV8i7jtBmRww</t>
  </si>
  <si>
    <t>WOKEMIND</t>
  </si>
  <si>
    <t>2.129 SOL</t>
  </si>
  <si>
    <t>0.055 SOL</t>
  </si>
  <si>
    <t>26.10.2024 19:57:44</t>
  </si>
  <si>
    <t>ExFMWipDANA6gx5vgDf6SBvikiChHLcZaUGSWk4upump</t>
  </si>
  <si>
    <t>beep boop</t>
  </si>
  <si>
    <t>0.110 SOL</t>
  </si>
  <si>
    <t>-0.398 SOL</t>
  </si>
  <si>
    <t>-78.43%</t>
  </si>
  <si>
    <t>26.10.2024 18:40:40</t>
  </si>
  <si>
    <t>28 sec</t>
  </si>
  <si>
    <t xml:space="preserve">         86K            19K             4K</t>
  </si>
  <si>
    <t>BtAgwRMHrzmoGF3vXL846QqvHpwkseiDWz76Aif4pump</t>
  </si>
  <si>
    <t>0.994 SOL</t>
  </si>
  <si>
    <t>0.820 SOL</t>
  </si>
  <si>
    <t>-0.182 SOL</t>
  </si>
  <si>
    <t>-18.18%</t>
  </si>
  <si>
    <t>26.10.2024 18:19:20</t>
  </si>
  <si>
    <t xml:space="preserve">         36K            30K             6K</t>
  </si>
  <si>
    <t>3doZL2XKzzLGdkjEQ9AenbNLTdNznh6b1EgZLqqrpump</t>
  </si>
  <si>
    <t>PC</t>
  </si>
  <si>
    <t>10.335 SOL</t>
  </si>
  <si>
    <t>8.244 SOL</t>
  </si>
  <si>
    <t>394.25%</t>
  </si>
  <si>
    <t>26.10.2024 17:55:50</t>
  </si>
  <si>
    <t xml:space="preserve">          9K            39K             5K</t>
  </si>
  <si>
    <t>AJ1JhYYnKookYLZUEoV1ApFVjZwvKW5A9LmzLBFspump</t>
  </si>
  <si>
    <t>NCRAFT</t>
  </si>
  <si>
    <t>1.031 SOL</t>
  </si>
  <si>
    <t>1.452 SOL</t>
  </si>
  <si>
    <t>0.413 SOL</t>
  </si>
  <si>
    <t>39.76%</t>
  </si>
  <si>
    <t>26.10.2024 17:39:52</t>
  </si>
  <si>
    <t xml:space="preserve">         16K            23K             5K</t>
  </si>
  <si>
    <t>CvzrcDtowxzHDHWnjAPycS9Pp2Kp6iXNkgCAC7KXpump</t>
  </si>
  <si>
    <t>Pan</t>
  </si>
  <si>
    <t>0.525 SOL</t>
  </si>
  <si>
    <t>2.632 SOL</t>
  </si>
  <si>
    <t>2.079 SOL</t>
  </si>
  <si>
    <t>376.10%</t>
  </si>
  <si>
    <t>26.10.2024 14:59:45</t>
  </si>
  <si>
    <t>23 min</t>
  </si>
  <si>
    <t xml:space="preserve">         26K           141K            14K</t>
  </si>
  <si>
    <t>9JLsnxCqZju5ymLhMkTW6acnUxgrARqz5NAR7Acdpump</t>
  </si>
  <si>
    <t>tape</t>
  </si>
  <si>
    <t>0.556 SOL</t>
  </si>
  <si>
    <t>0.638 SOL</t>
  </si>
  <si>
    <t>12.98%</t>
  </si>
  <si>
    <t>26.10.2024 14:54:07</t>
  </si>
  <si>
    <t xml:space="preserve">         39K            44K            14K</t>
  </si>
  <si>
    <t>86DTwX1M7xt4HnDZNuVUXyMLTsdGKFwuLyLBpTpBpump</t>
  </si>
  <si>
    <t>Fan</t>
  </si>
  <si>
    <t>0.584 SOL</t>
  </si>
  <si>
    <t>0.427 SOL</t>
  </si>
  <si>
    <t>-0.169 SOL</t>
  </si>
  <si>
    <t>-28.39%</t>
  </si>
  <si>
    <t>26.10.2024 14:52:23</t>
  </si>
  <si>
    <t xml:space="preserve">         53K            33K             4K</t>
  </si>
  <si>
    <t>GX3hMuwYemnoHSemuTJGpRidb5dyVHTiLs28xXw3pump</t>
  </si>
  <si>
    <t>Comedian</t>
  </si>
  <si>
    <t>-0.587 SOL</t>
  </si>
  <si>
    <t>2,125,392</t>
  </si>
  <si>
    <t>26.10.2024 12:45:30</t>
  </si>
  <si>
    <t xml:space="preserve">         48K            48K            15K</t>
  </si>
  <si>
    <t>BpqXJMguKsS8azKaVy4tZ4Ysm2e2f2zygZKHx8VKGKBA</t>
  </si>
  <si>
    <t>SPANDA</t>
  </si>
  <si>
    <t>5.311 SOL</t>
  </si>
  <si>
    <t>3.248 SOL</t>
  </si>
  <si>
    <t>157.42%</t>
  </si>
  <si>
    <t>26.10.2024 12:09:29</t>
  </si>
  <si>
    <t xml:space="preserve">          7K            23K             5K</t>
  </si>
  <si>
    <t>FanLvKA92zbk6caxysqEB1aggWAexALEwZaBu4GWpump</t>
  </si>
  <si>
    <t>SPIDERMAN</t>
  </si>
  <si>
    <t>0.504 SOL</t>
  </si>
  <si>
    <t>-0.025 SOL</t>
  </si>
  <si>
    <t>-4.67%</t>
  </si>
  <si>
    <t>26.10.2024 10:44:36</t>
  </si>
  <si>
    <t>BDejaaaxb14mfKxRMAb7aGxm4JtMA4J6813JcwzQpump</t>
  </si>
  <si>
    <t>STEVE</t>
  </si>
  <si>
    <t>4.361 SOL</t>
  </si>
  <si>
    <t>2.321 SOL</t>
  </si>
  <si>
    <t>113.78%</t>
  </si>
  <si>
    <t>26.10.2024 10:19:30</t>
  </si>
  <si>
    <t xml:space="preserve">          7K            28K            10K</t>
  </si>
  <si>
    <t>9AovuJog1VyUcwRXhCheay2NsnyDwnq2tNqozvdMpump</t>
  </si>
  <si>
    <t>-20.86%</t>
  </si>
  <si>
    <t>26.10.2024 08:36:57</t>
  </si>
  <si>
    <t xml:space="preserve">         18K            14K             5K</t>
  </si>
  <si>
    <t>CJHsTTaxbJUqyfcxAdukPejhRgSc6os4yNBPHrxmpump</t>
  </si>
  <si>
    <t>e-speed</t>
  </si>
  <si>
    <t>1.500 SOL</t>
  </si>
  <si>
    <t>1.301 SOL</t>
  </si>
  <si>
    <t>-0.219 SOL</t>
  </si>
  <si>
    <t>-14.43%</t>
  </si>
  <si>
    <t>26.10.2024 04:44:06</t>
  </si>
  <si>
    <t xml:space="preserve">         28K            35K             5K</t>
  </si>
  <si>
    <t>B9mu3N6JzTLaAmRVN2DwGUYqaWzLLEa7QUEUgAd8pump</t>
  </si>
  <si>
    <t>SHARPNESS</t>
  </si>
  <si>
    <t>0.421 SOL</t>
  </si>
  <si>
    <t>0.333 SOL</t>
  </si>
  <si>
    <t>-0.096 SOL</t>
  </si>
  <si>
    <t>-22.33%</t>
  </si>
  <si>
    <t>26.10.2024 04:32:05</t>
  </si>
  <si>
    <t>ArgbCdFiD5QWa23Bzv1ztdMe2ArJC4VzW4eVC65zpump</t>
  </si>
  <si>
    <t xml:space="preserve">ENDER </t>
  </si>
  <si>
    <t>0.415 SOL</t>
  </si>
  <si>
    <t>-0.007 SOL</t>
  </si>
  <si>
    <t>-1.60%</t>
  </si>
  <si>
    <t>26.10.2024 04:19:12</t>
  </si>
  <si>
    <t>BFtugQt7dE2WxfugML7v9KJZAD29WCyFsF2aZj5Apump</t>
  </si>
  <si>
    <t>MOCHI</t>
  </si>
  <si>
    <t>0.404 SOL</t>
  </si>
  <si>
    <t>-0.125 SOL</t>
  </si>
  <si>
    <t>-23.67%</t>
  </si>
  <si>
    <t>25.10.2024 19:56:47</t>
  </si>
  <si>
    <t xml:space="preserve">         32K            25K             4K</t>
  </si>
  <si>
    <t>8cBZwHT483fs7YGfRECPEjz1taE9aEyqSpbX6rp4pump</t>
  </si>
  <si>
    <t>gothpeach</t>
  </si>
  <si>
    <t>0.535 SOL</t>
  </si>
  <si>
    <t>-0.058 SOL</t>
  </si>
  <si>
    <t>-10.72%</t>
  </si>
  <si>
    <t>25.10.2024 19:31:45</t>
  </si>
  <si>
    <t>FGyujPrqkRsmjrfZWSwgWaHio9yj4HdSr5XNmZJWYUv</t>
  </si>
  <si>
    <t>ANYO</t>
  </si>
  <si>
    <t>0.641 SOL</t>
  </si>
  <si>
    <t>0.113 SOL</t>
  </si>
  <si>
    <t>21.29%</t>
  </si>
  <si>
    <t>25.10.2024 19:25:02</t>
  </si>
  <si>
    <t xml:space="preserve">         40K            49K             6K</t>
  </si>
  <si>
    <t>67W2WGnsxYFmRJWD14GDWHc7iYJdPYcHCxKWwUhtpump</t>
  </si>
  <si>
    <t>PIRIKO</t>
  </si>
  <si>
    <t>0.482 SOL</t>
  </si>
  <si>
    <t>-0.047 SOL</t>
  </si>
  <si>
    <t>-8.90%</t>
  </si>
  <si>
    <t>25.10.2024 19:21:58</t>
  </si>
  <si>
    <t>59eHPdN2D4rwRXEbpJPr4u2HCQ9u8G4s9F8aFf2Kpump</t>
  </si>
  <si>
    <t>Rute</t>
  </si>
  <si>
    <t>1.469 SOL</t>
  </si>
  <si>
    <t>1.409 SOL</t>
  </si>
  <si>
    <t>-0.076 SOL</t>
  </si>
  <si>
    <t>-5.14%</t>
  </si>
  <si>
    <t>25.10.2024 19:12:20</t>
  </si>
  <si>
    <t xml:space="preserve">         39K            40K             5K</t>
  </si>
  <si>
    <t>ErUhvKtfeJ6M6ZepUQkzt4PPZXJZSf5aVim9LUp3pump</t>
  </si>
  <si>
    <t>Manilow</t>
  </si>
  <si>
    <t>0.864 SOL</t>
  </si>
  <si>
    <t>-14.94%</t>
  </si>
  <si>
    <t>25.10.2024 19:07:34</t>
  </si>
  <si>
    <t>38 min</t>
  </si>
  <si>
    <t xml:space="preserve">        304K            72K             9K</t>
  </si>
  <si>
    <t>JXL9547qPmBhutuVcFWownV6opuAkgxutvc6KCfpump</t>
  </si>
  <si>
    <t>Celeste</t>
  </si>
  <si>
    <t>1.184 SOL</t>
  </si>
  <si>
    <t>1.132 SOL</t>
  </si>
  <si>
    <t>-5.66%</t>
  </si>
  <si>
    <t>25.10.2024 18:56:04</t>
  </si>
  <si>
    <t>9kuyyM32RNfLHz33g5idotDfDkM3Gyau1ZVM86cTpump</t>
  </si>
  <si>
    <t>Babytra</t>
  </si>
  <si>
    <t>0.499 SOL</t>
  </si>
  <si>
    <t>1.100 SOL</t>
  </si>
  <si>
    <t>0.581 SOL</t>
  </si>
  <si>
    <t>111.88%</t>
  </si>
  <si>
    <t>25.10.2024 18:53:48</t>
  </si>
  <si>
    <t xml:space="preserve">         30K            39K             4K</t>
  </si>
  <si>
    <t>4ZJpbirBT7fVewxEPx3DsLTE3ptUe2WWg25V5RcTpump</t>
  </si>
  <si>
    <t>GFWR</t>
  </si>
  <si>
    <t>0.568 SOL</t>
  </si>
  <si>
    <t>0.039 SOL</t>
  </si>
  <si>
    <t>7.32%</t>
  </si>
  <si>
    <t>25.10.2024 18:28:35</t>
  </si>
  <si>
    <t xml:space="preserve">         26K            28K             7K</t>
  </si>
  <si>
    <t>79Dgv7q7ZQ25JoQTM7NxjQVt2DjMaZhTu9Bisz1Wpump</t>
  </si>
  <si>
    <t>apollo</t>
  </si>
  <si>
    <t>0.553 SOL</t>
  </si>
  <si>
    <t>1.077 SOL</t>
  </si>
  <si>
    <t>0.512 SOL</t>
  </si>
  <si>
    <t>90.50%</t>
  </si>
  <si>
    <t>25.10.2024 18:21:41</t>
  </si>
  <si>
    <t>44 sec</t>
  </si>
  <si>
    <t>26gyT2WDneQz1yBANkKDRydoGUvzXqjevvdCN35xpump</t>
  </si>
  <si>
    <t>UCTO</t>
  </si>
  <si>
    <t>0.434 SOL</t>
  </si>
  <si>
    <t>-0.087 SOL</t>
  </si>
  <si>
    <t>-16.65%</t>
  </si>
  <si>
    <t>25.10.2024 18:10:34</t>
  </si>
  <si>
    <t xml:space="preserve">         40K            35K             5K</t>
  </si>
  <si>
    <t>5bKEtu1zyp9ME9JVApchEEdSEbEeZY9EgTMCYy4zpump</t>
  </si>
  <si>
    <t>DUMBY</t>
  </si>
  <si>
    <t>0.616 SOL</t>
  </si>
  <si>
    <t>0.108 SOL</t>
  </si>
  <si>
    <t>21.24%</t>
  </si>
  <si>
    <t>25.10.2024 18:09:00</t>
  </si>
  <si>
    <t xml:space="preserve">         40K            49K             4K</t>
  </si>
  <si>
    <t>D2h9V6bkFyhS9mcsjc6ND8bbzmBdsJSu468Wdq7apump</t>
  </si>
  <si>
    <t>porn</t>
  </si>
  <si>
    <t>0.649 SOL</t>
  </si>
  <si>
    <t>0.310 SOL</t>
  </si>
  <si>
    <t>-0.347 SOL</t>
  </si>
  <si>
    <t>-52.85%</t>
  </si>
  <si>
    <t>25.10.2024 17:40:44</t>
  </si>
  <si>
    <t xml:space="preserve">         44K            21K             6K</t>
  </si>
  <si>
    <t>AV5f92a5pRyv8CtzBWEfBpJRUqpj2tehaau83Asjpump</t>
  </si>
  <si>
    <t>PROPHECY</t>
  </si>
  <si>
    <t>-52.43%</t>
  </si>
  <si>
    <t>25.10.2024 17:34:28</t>
  </si>
  <si>
    <t xml:space="preserve">         35K            18K             3K</t>
  </si>
  <si>
    <t>3xDgTdh5hYFjmMYTJckcnofkgFL3KLsp3t9kFeeLpump</t>
  </si>
  <si>
    <t>CATS</t>
  </si>
  <si>
    <t>0.532 SOL</t>
  </si>
  <si>
    <t>0.893 SOL</t>
  </si>
  <si>
    <t>0.353 SOL</t>
  </si>
  <si>
    <t>65.46%</t>
  </si>
  <si>
    <t>25.10.2024 17:25:27</t>
  </si>
  <si>
    <t xml:space="preserve">         14K            23K             5K</t>
  </si>
  <si>
    <t>CMWsY4SU8H8RBRzWGBH5TZQsefuGunbUwfQg8Whmpump</t>
  </si>
  <si>
    <t>vdog</t>
  </si>
  <si>
    <t>0.537 SOL</t>
  </si>
  <si>
    <t>0.038 SOL</t>
  </si>
  <si>
    <t>7.04%</t>
  </si>
  <si>
    <t>25.10.2024 17:13:34</t>
  </si>
  <si>
    <t>9UhD4uq2Yx4UC7B622xw1obguSvMnvcQoPSMWd1Npump</t>
  </si>
  <si>
    <t>TKO</t>
  </si>
  <si>
    <t>0.429 SOL</t>
  </si>
  <si>
    <t>-0.135 SOL</t>
  </si>
  <si>
    <t>-23.90%</t>
  </si>
  <si>
    <t>25.10.2024 16:37:20</t>
  </si>
  <si>
    <t xml:space="preserve">         58K            44K             4K</t>
  </si>
  <si>
    <t>9mPhi8igftGrF7ySZMSCwjST5awUVenqHv6njThjpump</t>
  </si>
  <si>
    <t>5.088 SOL</t>
  </si>
  <si>
    <t>4.475 SOL</t>
  </si>
  <si>
    <t>731.11%</t>
  </si>
  <si>
    <t>25.10.2024 16:27:52</t>
  </si>
  <si>
    <t xml:space="preserve">         63K           700K            25M</t>
  </si>
  <si>
    <t>FAITH</t>
  </si>
  <si>
    <t>0.450 SOL</t>
  </si>
  <si>
    <t>-0.079 SOL</t>
  </si>
  <si>
    <t>-14.89%</t>
  </si>
  <si>
    <t>25.10.2024 15:18:49</t>
  </si>
  <si>
    <t>6NTqKNWqbeJetdnTsbZhshJ5uEhi2gnMakWiDaGLBEEo</t>
  </si>
  <si>
    <t>dona</t>
  </si>
  <si>
    <t>0.531 SOL</t>
  </si>
  <si>
    <t>0.603 SOL</t>
  </si>
  <si>
    <t>0.064 SOL</t>
  </si>
  <si>
    <t>11.97%</t>
  </si>
  <si>
    <t>25.10.2024 15:12:58</t>
  </si>
  <si>
    <t xml:space="preserve">         21K            25K             4K</t>
  </si>
  <si>
    <t>HfXCm49oY1xxfHdHH4qiiKHEz1aYzssT8DKHWYE5pump</t>
  </si>
  <si>
    <t>wahoo</t>
  </si>
  <si>
    <t>0.527 SOL</t>
  </si>
  <si>
    <t>0.220 SOL</t>
  </si>
  <si>
    <t>-0.315 SOL</t>
  </si>
  <si>
    <t>-58.86%</t>
  </si>
  <si>
    <t>25.10.2024 15:04:44</t>
  </si>
  <si>
    <t xml:space="preserve">         12K             5K             6K</t>
  </si>
  <si>
    <t>8CM7bYF3UBZNk8Mv5prYhP64Ta5G4C4NbCrqGchfpump</t>
  </si>
  <si>
    <t>VPN</t>
  </si>
  <si>
    <t>0.346 SOL</t>
  </si>
  <si>
    <t>-0.197 SOL</t>
  </si>
  <si>
    <t>-36.24%</t>
  </si>
  <si>
    <t>25.10.2024 11:34:08</t>
  </si>
  <si>
    <t xml:space="preserve">         37K            23K             6K</t>
  </si>
  <si>
    <t>HxiPu2T4EXfTo33RCvkihRSxUT11Z7ow6yHM7arHpump</t>
  </si>
  <si>
    <t>Muu</t>
  </si>
  <si>
    <t>0.550 SOL</t>
  </si>
  <si>
    <t>1.025 SOL</t>
  </si>
  <si>
    <t>79.82%</t>
  </si>
  <si>
    <t>25.10.2024 11:21:29</t>
  </si>
  <si>
    <t xml:space="preserve">         33K            46K             3K</t>
  </si>
  <si>
    <t>HJzqBShbLXjNFkhW4qXGKy18AHbZUkPnoDo1t3T6pump</t>
  </si>
  <si>
    <t>RE</t>
  </si>
  <si>
    <t>0.749 SOL</t>
  </si>
  <si>
    <t>47.53%</t>
  </si>
  <si>
    <t>25.10.2024 11:08:48</t>
  </si>
  <si>
    <t xml:space="preserve">        199K           297K             4K</t>
  </si>
  <si>
    <t>9U6USdExcmwm8XEefJxFP6kejzJqxgxDRsy4UwUBpump</t>
  </si>
  <si>
    <t>DRAGON</t>
  </si>
  <si>
    <t>-4.10%</t>
  </si>
  <si>
    <t>25.10.2024 10:59:25</t>
  </si>
  <si>
    <t xml:space="preserve">         17K            17K             5K</t>
  </si>
  <si>
    <t>Gf4Yzu3yCU8pg2xtwU7PRsQy2Ts4XhFa5D8DbeSWpump</t>
  </si>
  <si>
    <t>CUBBY</t>
  </si>
  <si>
    <t>0.656 SOL</t>
  </si>
  <si>
    <t>122.16%</t>
  </si>
  <si>
    <t>25.10.2024 10:03:06</t>
  </si>
  <si>
    <t xml:space="preserve">          9K            14K             5K</t>
  </si>
  <si>
    <t>Hu5ZquXYqxNSFyAB1RbowegjjP37d7XqLdoJTLLopump</t>
  </si>
  <si>
    <t>Hikari</t>
  </si>
  <si>
    <t>0.052070</t>
  </si>
  <si>
    <t>1.053 SOL</t>
  </si>
  <si>
    <t>7.467 SOL</t>
  </si>
  <si>
    <t>6.362 SOL</t>
  </si>
  <si>
    <t>575.71%</t>
  </si>
  <si>
    <t>25.10.2024 09:31:57</t>
  </si>
  <si>
    <t xml:space="preserve">          7K            19K             5K</t>
  </si>
  <si>
    <t>cecCwCa6sggKyYWfXW6wCtgpyq66F7EiGsy7ow3pump</t>
  </si>
  <si>
    <t>ChaoChor</t>
  </si>
  <si>
    <t>0.494 SOL</t>
  </si>
  <si>
    <t>-0.014 SOL</t>
  </si>
  <si>
    <t>-2.78%</t>
  </si>
  <si>
    <t>25.10.2024 08:58:43</t>
  </si>
  <si>
    <t xml:space="preserve">         51K            51K            17K</t>
  </si>
  <si>
    <t>CPCd7iEztRBCsJoyPhC2yArnx5EH8MqxbC4jXJCqpump</t>
  </si>
  <si>
    <t>WVM</t>
  </si>
  <si>
    <t>0.831 SOL</t>
  </si>
  <si>
    <t>-0.222 SOL</t>
  </si>
  <si>
    <t>25.10.2024 08:50:31</t>
  </si>
  <si>
    <t xml:space="preserve">         26K            23K             5K</t>
  </si>
  <si>
    <t>CAA1xQyxhUTZhgvMvxs1wfoLSUQ5CjxgJCY9qH31pump</t>
  </si>
  <si>
    <t>BMTRI6900</t>
  </si>
  <si>
    <t>-0.034 SOL</t>
  </si>
  <si>
    <t>-6.35%</t>
  </si>
  <si>
    <t>25.10.2024 08:40:11</t>
  </si>
  <si>
    <t>32 sec</t>
  </si>
  <si>
    <t>EirTE5BwDZm945KcrYzfwPGVYxzNYdGkHsFuLUK5pump</t>
  </si>
  <si>
    <t>Trumpken</t>
  </si>
  <si>
    <t>0.322 SOL</t>
  </si>
  <si>
    <t>-0.207 SOL</t>
  </si>
  <si>
    <t>-39.06%</t>
  </si>
  <si>
    <t>25.10.2024 08:27:25</t>
  </si>
  <si>
    <t xml:space="preserve">         19K            12K             5K</t>
  </si>
  <si>
    <t>Bh8nfdNZrjyE6eNAJ5GLJWXm8KuhYfR5Vgot8cP7pump</t>
  </si>
  <si>
    <t>liar</t>
  </si>
  <si>
    <t>0.523 SOL</t>
  </si>
  <si>
    <t>0.407 SOL</t>
  </si>
  <si>
    <t>-0.123 SOL</t>
  </si>
  <si>
    <t>-23.21%</t>
  </si>
  <si>
    <t>25.10.2024 08:06:53</t>
  </si>
  <si>
    <t xml:space="preserve">         46K            35K             5K</t>
  </si>
  <si>
    <t>7LqKdeAc7eM6hABavHaqpotNKubxVrhSkoPchcaUpump</t>
  </si>
  <si>
    <t>fos</t>
  </si>
  <si>
    <t>0.718 SOL</t>
  </si>
  <si>
    <t>0.185 SOL</t>
  </si>
  <si>
    <t>34.68%</t>
  </si>
  <si>
    <t>25.10.2024 07:01:10</t>
  </si>
  <si>
    <t xml:space="preserve">         12K            25K             8K</t>
  </si>
  <si>
    <t>96n2CYd8Vh8EnbB2XSQzdDmgpVyf7Jb36BX2jDJNpump</t>
  </si>
  <si>
    <t>Blorm</t>
  </si>
  <si>
    <t>0.481 SOL</t>
  </si>
  <si>
    <t>-0.048 SOL</t>
  </si>
  <si>
    <t>-9.07%</t>
  </si>
  <si>
    <t>24.10.2024 17:17:40</t>
  </si>
  <si>
    <t xml:space="preserve">         14K            12K            13K</t>
  </si>
  <si>
    <t>8uccgTVU9bdjfZagdGzchrPS7j8F4kk6PYKZaK6Hpump</t>
  </si>
  <si>
    <t>hif</t>
  </si>
  <si>
    <t>0.578 SOL</t>
  </si>
  <si>
    <t>0.109 SOL</t>
  </si>
  <si>
    <t>23.15%</t>
  </si>
  <si>
    <t>24.10.2024 16:15:44</t>
  </si>
  <si>
    <t>A6VrjjMYX1cremsJbsXBPSuW9MeCvNUMhHzzp3JHpump</t>
  </si>
  <si>
    <t>FENGSHUI</t>
  </si>
  <si>
    <t>-0.302 SOL</t>
  </si>
  <si>
    <t>-59.45%</t>
  </si>
  <si>
    <t>24.10.2024 16:04:56</t>
  </si>
  <si>
    <t xml:space="preserve">        121K            49K             5K</t>
  </si>
  <si>
    <t>9FKppQRvBe1KLCzL5Kr7mFagN6xL86CVdij7EfUPpump</t>
  </si>
  <si>
    <t>APT</t>
  </si>
  <si>
    <t>0.456 SOL</t>
  </si>
  <si>
    <t>-0.093 SOL</t>
  </si>
  <si>
    <t>-16.93%</t>
  </si>
  <si>
    <t>24.10.2024 11:22:32</t>
  </si>
  <si>
    <t>9RawbhiJnqYhY4kZDcqbjqsNvXiuCdTnYXekw6Zzpump</t>
  </si>
  <si>
    <t>GTerminal</t>
  </si>
  <si>
    <t>-0.082 SOL</t>
  </si>
  <si>
    <t>-16.13%</t>
  </si>
  <si>
    <t>24.10.2024 10:03:28</t>
  </si>
  <si>
    <t xml:space="preserve">        193K           165K            10K</t>
  </si>
  <si>
    <t>BP9uo1NFoh8dh7TeeDswyCwj2BUaNL57U8tPCCRFpump</t>
  </si>
  <si>
    <t>g0at</t>
  </si>
  <si>
    <t>0.347 SOL</t>
  </si>
  <si>
    <t>-0.198 SOL</t>
  </si>
  <si>
    <t>-36.28%</t>
  </si>
  <si>
    <t>24.10.2024 09:50:45</t>
  </si>
  <si>
    <t xml:space="preserve">         42K            26K             9K</t>
  </si>
  <si>
    <t>44cdaSsGYWAU1HxosBzkBRVcq22TtAQ4windjxr8pump</t>
  </si>
  <si>
    <t>BLOCKS</t>
  </si>
  <si>
    <t>0.036050</t>
  </si>
  <si>
    <t>1.550 SOL</t>
  </si>
  <si>
    <t>5.181 SOL</t>
  </si>
  <si>
    <t>3.595 SOL</t>
  </si>
  <si>
    <t>226.63%</t>
  </si>
  <si>
    <t>24.10.2024 09:28:50</t>
  </si>
  <si>
    <t>47 min</t>
  </si>
  <si>
    <t xml:space="preserve">          9K            21K             5K</t>
  </si>
  <si>
    <t>229C2FyMR1TFRQJn2TVAJ2KdPLNEwsSbmYM7koUqpump</t>
  </si>
  <si>
    <t>ANNA</t>
  </si>
  <si>
    <t>0.530 SOL</t>
  </si>
  <si>
    <t>0.490 SOL</t>
  </si>
  <si>
    <t>-8.99%</t>
  </si>
  <si>
    <t>24.10.2024 09:04:54</t>
  </si>
  <si>
    <t xml:space="preserve">         16K            15K             6K</t>
  </si>
  <si>
    <t>4yVyAGykWwuExnoqh1fvofPLuxPRdtCEKoeTgPGzXKJk</t>
  </si>
  <si>
    <t>OPEANAI</t>
  </si>
  <si>
    <t>0.272 SOL</t>
  </si>
  <si>
    <t>-0.258 SOL</t>
  </si>
  <si>
    <t>-48.68%</t>
  </si>
  <si>
    <t>24.10.2024 07:09:45</t>
  </si>
  <si>
    <t xml:space="preserve">         18K             9K             5K</t>
  </si>
  <si>
    <t>3kgh1kZosBDMZAxUiZnDvnRsgDoaBy4mHT9VBfRnpump</t>
  </si>
  <si>
    <t>straw</t>
  </si>
  <si>
    <t>0.907 SOL</t>
  </si>
  <si>
    <t>0.358 SOL</t>
  </si>
  <si>
    <t>65.16%</t>
  </si>
  <si>
    <t>24.10.2024 06:58:46</t>
  </si>
  <si>
    <t xml:space="preserve">         39K            18K             4K</t>
  </si>
  <si>
    <t>Ezyr58ZWq1jMUX9Ae5DakWebQvhr87Vt9E554xTxpump</t>
  </si>
  <si>
    <t>SCOOP</t>
  </si>
  <si>
    <t>0.422 SOL</t>
  </si>
  <si>
    <t>-0.086 SOL</t>
  </si>
  <si>
    <t>-16.88%</t>
  </si>
  <si>
    <t>23.10.2024 23:59:30</t>
  </si>
  <si>
    <t xml:space="preserve">         19M            16M           521K</t>
  </si>
  <si>
    <t>4TcqMXdZBjxirf2vtYikWt1ix3YoHJoFAZwrqe39pump</t>
  </si>
  <si>
    <t>$HURRIKANE</t>
  </si>
  <si>
    <t>0.488 SOL</t>
  </si>
  <si>
    <t>-0.020 SOL</t>
  </si>
  <si>
    <t>23.10.2024 23:32:21</t>
  </si>
  <si>
    <t xml:space="preserve">         98K            95K             9K</t>
  </si>
  <si>
    <t>CdxpACLD8yfHVpkYAuVdXnRMbnAdDtP2qeMeJaNbpump</t>
  </si>
  <si>
    <t>CHIMERA</t>
  </si>
  <si>
    <t>0.245 SOL</t>
  </si>
  <si>
    <t>-0.284 SOL</t>
  </si>
  <si>
    <t>-53.64%</t>
  </si>
  <si>
    <t>23.10.2024 20:44:05</t>
  </si>
  <si>
    <t>FExxLwtqL3T7h76SfEENvTGRwa3Z8EjzMYYJfAedpump</t>
  </si>
  <si>
    <t>Potato</t>
  </si>
  <si>
    <t>0.356 SOL</t>
  </si>
  <si>
    <t>23.10.2024 19:23:51</t>
  </si>
  <si>
    <t>7zugorW3Nuwkfc4ZpCMHeYRsTF2X2H7efLubBGtipump</t>
  </si>
  <si>
    <t>DAWGS</t>
  </si>
  <si>
    <t>1.234 SOL</t>
  </si>
  <si>
    <t>0.697 SOL</t>
  </si>
  <si>
    <t>129.75%</t>
  </si>
  <si>
    <t>23.10.2024 19:16:52</t>
  </si>
  <si>
    <t xml:space="preserve">          8K            24K             6K</t>
  </si>
  <si>
    <t>G9d2xzomPtkBmwpdYmwsdJCzkSsuE2xLCyd4Yoaipump</t>
  </si>
  <si>
    <t>ASCEND</t>
  </si>
  <si>
    <t>0.380 SOL</t>
  </si>
  <si>
    <t>-0.128 SOL</t>
  </si>
  <si>
    <t>-25.22%</t>
  </si>
  <si>
    <t>22.10.2024 22:34:55</t>
  </si>
  <si>
    <t xml:space="preserve">        255K           194K             3K</t>
  </si>
  <si>
    <t>6sJNRK42Y5Uk9NY98VAy73g1FiM2WrXi4cjPbsaM9GSc</t>
  </si>
  <si>
    <t>twttr</t>
  </si>
  <si>
    <t>0.569 SOL</t>
  </si>
  <si>
    <t>0.665 SOL</t>
  </si>
  <si>
    <t>0.089 SOL</t>
  </si>
  <si>
    <t>15.41%</t>
  </si>
  <si>
    <t>22.10.2024 21:45:58</t>
  </si>
  <si>
    <t xml:space="preserve">         32K            39K             3K</t>
  </si>
  <si>
    <t>6wReJnHrsRTtAg9k2TcbDvmVm8rosWaX8GFKta5kVb9w</t>
  </si>
  <si>
    <t>ToTBody</t>
  </si>
  <si>
    <t>0.012 SOL</t>
  </si>
  <si>
    <t>2.36%</t>
  </si>
  <si>
    <t>22.10.2024 20:00:02</t>
  </si>
  <si>
    <t xml:space="preserve">         12K            12K             6K</t>
  </si>
  <si>
    <t>FWXvBL6sSXMnccpZvsQoxZQQ8pZifs1RhU68Xjb9pump</t>
  </si>
  <si>
    <t>believe</t>
  </si>
  <si>
    <t>0.547 SOL</t>
  </si>
  <si>
    <t>0.634 SOL</t>
  </si>
  <si>
    <t>0.080 SOL</t>
  </si>
  <si>
    <t>14.39%</t>
  </si>
  <si>
    <t>22.10.2024 19:51:04</t>
  </si>
  <si>
    <t xml:space="preserve">         39K            46K             5K</t>
  </si>
  <si>
    <t>CScQZEvvfBUu4QBRCzQga2cdb7vX9L5njvC9g8r7pump</t>
  </si>
  <si>
    <t>COPYTRADER</t>
  </si>
  <si>
    <t>0.369 SOL</t>
  </si>
  <si>
    <t>-0.178 SOL</t>
  </si>
  <si>
    <t>-32.57%</t>
  </si>
  <si>
    <t>22.10.2024 19:43:29</t>
  </si>
  <si>
    <t>5Ky54j9CF8TrcN4sHYk5Mco4GjHtEy7CvP2QHZfNpump</t>
  </si>
  <si>
    <t>AiX</t>
  </si>
  <si>
    <t>0.392 SOL</t>
  </si>
  <si>
    <t>-0.620 SOL</t>
  </si>
  <si>
    <t>-61.29%</t>
  </si>
  <si>
    <t>22.10.2024 18:59:21</t>
  </si>
  <si>
    <t xml:space="preserve">        236K            70K             5K</t>
  </si>
  <si>
    <t>6UPADnAowcC9cuaj1KeBxt2ZhnuTGEFih7m83t2Spump</t>
  </si>
  <si>
    <t>Ranni</t>
  </si>
  <si>
    <t>0.403 SOL</t>
  </si>
  <si>
    <t>-0.105 SOL</t>
  </si>
  <si>
    <t>-20.74%</t>
  </si>
  <si>
    <t>22.10.2024 18:48:16</t>
  </si>
  <si>
    <t xml:space="preserve">        287K           232K             8K</t>
  </si>
  <si>
    <t>HA1ktBSWW1sqrPCRYtLoeQtPypAJEGt6oQUG7q7TVrEC</t>
  </si>
  <si>
    <t>ROSE</t>
  </si>
  <si>
    <t>0.464 SOL</t>
  </si>
  <si>
    <t>-0.070 SOL</t>
  </si>
  <si>
    <t>-13.09%</t>
  </si>
  <si>
    <t>22.10.2024 18:39:02</t>
  </si>
  <si>
    <t>F87rzEJA3926VhhJ6iQiHqNUJiUoYRbcY9kSvjE3pump</t>
  </si>
  <si>
    <t>NOVA</t>
  </si>
  <si>
    <t>0.292 SOL</t>
  </si>
  <si>
    <t>-0.216 SOL</t>
  </si>
  <si>
    <t>-42.51%</t>
  </si>
  <si>
    <t>22.10.2024 18:26:38</t>
  </si>
  <si>
    <t xml:space="preserve">         55K            32K             3K</t>
  </si>
  <si>
    <t>2hW8PoHcodn4SLPpMyLuxdkw2MffFZLwVuaS1FJmpump</t>
  </si>
  <si>
    <t>damage</t>
  </si>
  <si>
    <t>0.689 SOL</t>
  </si>
  <si>
    <t>0.807 SOL</t>
  </si>
  <si>
    <t>15.73%</t>
  </si>
  <si>
    <t>22.10.2024 18:24:00</t>
  </si>
  <si>
    <t xml:space="preserve">         14K            16K             5K</t>
  </si>
  <si>
    <t>33CzwaYoeFMW7fHdTjC6eCFH8giJWrPRGXeRxBdWpump</t>
  </si>
  <si>
    <t>SSX505</t>
  </si>
  <si>
    <t>0.514 SOL</t>
  </si>
  <si>
    <t>0.289 SOL</t>
  </si>
  <si>
    <t>-0.232 SOL</t>
  </si>
  <si>
    <t>-44.53%</t>
  </si>
  <si>
    <t>22.10.2024 18:10:44</t>
  </si>
  <si>
    <t xml:space="preserve">         21K            12K             5K</t>
  </si>
  <si>
    <t>5HSWu5ZSh5N1LbEYbTeQ8jMSELLhDG5og9qNGVAjpump</t>
  </si>
  <si>
    <t>SonicAI</t>
  </si>
  <si>
    <t>0.841 SOL</t>
  </si>
  <si>
    <t>0.739 SOL</t>
  </si>
  <si>
    <t>-0.119 SOL</t>
  </si>
  <si>
    <t>-13.84%</t>
  </si>
  <si>
    <t>22.10.2024 18:10:20</t>
  </si>
  <si>
    <t xml:space="preserve">         39K            26K             5K</t>
  </si>
  <si>
    <t>8cJPv2QGhQu4NWWHMSa7ssKZSFVJt7ngSeNSFQMqpump</t>
  </si>
  <si>
    <t>Koto</t>
  </si>
  <si>
    <t>0.064080</t>
  </si>
  <si>
    <t>0.522 SOL</t>
  </si>
  <si>
    <t>2.939 SOL</t>
  </si>
  <si>
    <t>2.353 SOL</t>
  </si>
  <si>
    <t>401.42%</t>
  </si>
  <si>
    <t>22.10.2024 18:08:44</t>
  </si>
  <si>
    <t xml:space="preserve">         11K            47K             7K</t>
  </si>
  <si>
    <t>7L9M2o26R8G9poY8PQD9GPhiL14sabsFk6MVeW1opump</t>
  </si>
  <si>
    <t>newsletter</t>
  </si>
  <si>
    <t>0.539 SOL</t>
  </si>
  <si>
    <t>0.106 SOL</t>
  </si>
  <si>
    <t>-0.441 SOL</t>
  </si>
  <si>
    <t>-80.58%</t>
  </si>
  <si>
    <t>22.10.2024 18:08:15</t>
  </si>
  <si>
    <t xml:space="preserve">         26K             5K             5K</t>
  </si>
  <si>
    <t>FpxHig6NpkKaAZtqqb42YQyaPmndtQcG3LxaE5WC5d5n</t>
  </si>
  <si>
    <t>CUM</t>
  </si>
  <si>
    <t>0.958 SOL</t>
  </si>
  <si>
    <t>0.438 SOL</t>
  </si>
  <si>
    <t>84.28%</t>
  </si>
  <si>
    <t>22.10.2024 17:57:07</t>
  </si>
  <si>
    <t xml:space="preserve">         62K           105K            14K</t>
  </si>
  <si>
    <t>CUM4gccKdaPiyaEU8YX13ZFufPA2MFqyk3zUnVa7p11p</t>
  </si>
  <si>
    <t>fabian</t>
  </si>
  <si>
    <t>0.224 SOL</t>
  </si>
  <si>
    <t>-56.00%</t>
  </si>
  <si>
    <t>22.10.2024 17:45:49</t>
  </si>
  <si>
    <t xml:space="preserve">         30K            14K             6K</t>
  </si>
  <si>
    <t>Hej96eAZNrdTPvZQe9b91311BJMWMqJRHztmYCjay8qb</t>
  </si>
  <si>
    <t>NCHAD</t>
  </si>
  <si>
    <t>0.806 SOL</t>
  </si>
  <si>
    <t>-0.210 SOL</t>
  </si>
  <si>
    <t>-20.64%</t>
  </si>
  <si>
    <t>22.10.2024 16:19:54</t>
  </si>
  <si>
    <t xml:space="preserve">        858K           497K             8K</t>
  </si>
  <si>
    <t>9pJ2SaBgN4k3pH1Ygj2Tu16WeDaptVcTcqqXfDNDpump</t>
  </si>
  <si>
    <t>METALINGUA</t>
  </si>
  <si>
    <t>0.894 SOL</t>
  </si>
  <si>
    <t>1.594 SOL</t>
  </si>
  <si>
    <t>75.19%</t>
  </si>
  <si>
    <t>22.10.2024 16:05:38</t>
  </si>
  <si>
    <t xml:space="preserve">         39K            53K             4K</t>
  </si>
  <si>
    <t>9Che3LP5gPa3XjsTU9kgb8ey6sMEJegA1Ea6KAvDpump</t>
  </si>
  <si>
    <t>GMTR</t>
  </si>
  <si>
    <t>0.401 SOL</t>
  </si>
  <si>
    <t>-0.055 SOL</t>
  </si>
  <si>
    <t>-13.36%</t>
  </si>
  <si>
    <t>22.10.2024 15:58:17</t>
  </si>
  <si>
    <t>2mE5yLeUYWMwYYMzf6JVsjuErAoPtfsx2rvyCDFBpump</t>
  </si>
  <si>
    <t>0.458 SOL</t>
  </si>
  <si>
    <t>-0.050 SOL</t>
  </si>
  <si>
    <t>-9.87%</t>
  </si>
  <si>
    <t>22.10.2024 15:57:14</t>
  </si>
  <si>
    <t xml:space="preserve">        993K           909K             2M</t>
  </si>
  <si>
    <t>LEMONS</t>
  </si>
  <si>
    <t>0.046 SOL</t>
  </si>
  <si>
    <t>-0.462 SOL</t>
  </si>
  <si>
    <t>-90.91%</t>
  </si>
  <si>
    <t>22.10.2024 15:48:08</t>
  </si>
  <si>
    <t xml:space="preserve">        151K            14K             4K</t>
  </si>
  <si>
    <t>ADUrr7hKNbZR6FuoYFP2ph5boh6rRNhfy4bWHbRfpump</t>
  </si>
  <si>
    <t>ROBF</t>
  </si>
  <si>
    <t>0.277 SOL</t>
  </si>
  <si>
    <t>-0.269 SOL</t>
  </si>
  <si>
    <t>-49.23%</t>
  </si>
  <si>
    <t>22.10.2024 15:47:53</t>
  </si>
  <si>
    <t xml:space="preserve">         23K            12K             5K</t>
  </si>
  <si>
    <t>HYedqNfL711SXf9NrB2NL4UByNseBR9CV98yfQd5pump</t>
  </si>
  <si>
    <t>PENG</t>
  </si>
  <si>
    <t>0.558 SOL</t>
  </si>
  <si>
    <t>-0.043 SOL</t>
  </si>
  <si>
    <t>-7.52%</t>
  </si>
  <si>
    <t>22.10.2024 15:28:23</t>
  </si>
  <si>
    <t xml:space="preserve">         11K            11K             5K</t>
  </si>
  <si>
    <t>8sV5yhu2hmPKZcN7gkqqdThKn2KxWMvePxWwN9Qdpump</t>
  </si>
  <si>
    <t>ozzy</t>
  </si>
  <si>
    <t>0.501 SOL</t>
  </si>
  <si>
    <t>0.253 SOL</t>
  </si>
  <si>
    <t>-0.256 SOL</t>
  </si>
  <si>
    <t>-50.34%</t>
  </si>
  <si>
    <t>22.10.2024 06:40:20</t>
  </si>
  <si>
    <t xml:space="preserve">         21K            11K             5K</t>
  </si>
  <si>
    <t>Jn9QCd8kuNwVzGCNm37Hv3Q8rx1ZJjH5Rso86jupump</t>
  </si>
  <si>
    <t>CTOw</t>
  </si>
  <si>
    <t>0.390 SOL</t>
  </si>
  <si>
    <t>-0.139 SOL</t>
  </si>
  <si>
    <t>-26.29%</t>
  </si>
  <si>
    <t>22.10.2024 06:35:58</t>
  </si>
  <si>
    <t xml:space="preserve">         19K            14K             5K</t>
  </si>
  <si>
    <t>DV1GQYRoUFwFEndboUDh5z1N55va7Y6YZQFd3zZfpump</t>
  </si>
  <si>
    <t>-0.243 SOL</t>
  </si>
  <si>
    <t>-45.90%</t>
  </si>
  <si>
    <t>22.10.2024 06:17:48</t>
  </si>
  <si>
    <t xml:space="preserve">         14K             7K             5K</t>
  </si>
  <si>
    <t>5tovSU5gn6xiLbuqtdD4sjTyCucs7tpZ3zEyN9HJpump</t>
  </si>
  <si>
    <t>Dog2</t>
  </si>
  <si>
    <t>0.518 SOL</t>
  </si>
  <si>
    <t>0.423 SOL</t>
  </si>
  <si>
    <t>-19.56%</t>
  </si>
  <si>
    <t>22.10.2024 06:02:57</t>
  </si>
  <si>
    <t xml:space="preserve">         19K            16K             5K</t>
  </si>
  <si>
    <t>45jX56iQcGRwp3gMcsqm3S121kaL2voic9PLjpGkpump</t>
  </si>
  <si>
    <t>Robot</t>
  </si>
  <si>
    <t>0.551 SOL</t>
  </si>
  <si>
    <t>0.018 SOL</t>
  </si>
  <si>
    <t>3.28%</t>
  </si>
  <si>
    <t>22.10.2024 05:59:17</t>
  </si>
  <si>
    <t xml:space="preserve">         39K            30K             3K</t>
  </si>
  <si>
    <t>Dt6cKjVxj8ZLTu2vg4uqqXYMkr4qGxxCcypcrj82pump</t>
  </si>
  <si>
    <t>🥔</t>
  </si>
  <si>
    <t>0.644 SOL</t>
  </si>
  <si>
    <t>21.65%</t>
  </si>
  <si>
    <t>21.10.2024 19:11:51</t>
  </si>
  <si>
    <t xml:space="preserve">          7K             9K             7K</t>
  </si>
  <si>
    <t>2rVVN3MK7JzUSU3ZGSYm8hyC6Rb7Ut6XUoScLpCdpump</t>
  </si>
  <si>
    <t>KTY</t>
  </si>
  <si>
    <t>0.163 SOL</t>
  </si>
  <si>
    <t>-0.345 SOL</t>
  </si>
  <si>
    <t>-67.96%</t>
  </si>
  <si>
    <t>21.10.2024 17:37:45</t>
  </si>
  <si>
    <t xml:space="preserve">        193K            63K             5K</t>
  </si>
  <si>
    <t>CwQj6vWCVfpRDfuhLELCxcD29mWngm1zVasKKyRGpump</t>
  </si>
  <si>
    <t>BRUTUS</t>
  </si>
  <si>
    <t>0.683 SOL</t>
  </si>
  <si>
    <t>1.112 SOL</t>
  </si>
  <si>
    <t>59.00%</t>
  </si>
  <si>
    <t>21.10.2024 17:24:54</t>
  </si>
  <si>
    <t xml:space="preserve">         21K            21K             4K</t>
  </si>
  <si>
    <t>3i4pLN2DvMEmmGMpRn3RUsu2LGLGYH3R8QHFiKzJpump</t>
  </si>
  <si>
    <t>terminal</t>
  </si>
  <si>
    <t>0.306 SOL</t>
  </si>
  <si>
    <t>-0.192 SOL</t>
  </si>
  <si>
    <t>-38.51%</t>
  </si>
  <si>
    <t>21.10.2024 15:35:44</t>
  </si>
  <si>
    <t xml:space="preserve">         18K            11K             5K</t>
  </si>
  <si>
    <t>HgVF22EM2yQupYQV2f8ZQrPPjYRY9Vupr4poxfQ5pump</t>
  </si>
  <si>
    <t>FRAUD</t>
  </si>
  <si>
    <t>0.030 SOL</t>
  </si>
  <si>
    <t>2.99%</t>
  </si>
  <si>
    <t>21.10.2024 15:30:14</t>
  </si>
  <si>
    <t xml:space="preserve">        879K             2M            43K</t>
  </si>
  <si>
    <t>CUots31KNMDbswxamS4fYQD3g4L3i4g2smT1djitpump</t>
  </si>
  <si>
    <t>wagmi</t>
  </si>
  <si>
    <t>0.573 SOL</t>
  </si>
  <si>
    <t>0.065 SOL</t>
  </si>
  <si>
    <t>12.70%</t>
  </si>
  <si>
    <t>21.10.2024 15:27:00</t>
  </si>
  <si>
    <t xml:space="preserve">        433K           496K           202K</t>
  </si>
  <si>
    <t>AQtgbbJNXg2T7s6BFU15NhDtSsphKRX2Ro86J2AtgQ2D</t>
  </si>
  <si>
    <t>dabloon</t>
  </si>
  <si>
    <t>0.519 SOL</t>
  </si>
  <si>
    <t>1.208 SOL</t>
  </si>
  <si>
    <t>122.47%</t>
  </si>
  <si>
    <t>21.10.2024 14:52:38</t>
  </si>
  <si>
    <t xml:space="preserve">         21K            44K             3K</t>
  </si>
  <si>
    <t>Ci3uRgyhfiBhiEKc4SGz6TKHBjHtxhwMueyn7ncdpump</t>
  </si>
  <si>
    <t>Tulpa</t>
  </si>
  <si>
    <t>0.630 SOL</t>
  </si>
  <si>
    <t>0.122 SOL</t>
  </si>
  <si>
    <t>24.05%</t>
  </si>
  <si>
    <t>21.10.2024 14:45:22</t>
  </si>
  <si>
    <t xml:space="preserve">         75K            94K            10K</t>
  </si>
  <si>
    <t>6BTJwR27dvEtvan1vJWiiyv6CocPeALGu31EMx6fpump</t>
  </si>
  <si>
    <t>$BASI</t>
  </si>
  <si>
    <t>1.248 SOL</t>
  </si>
  <si>
    <t>0.236 SOL</t>
  </si>
  <si>
    <t>23.32%</t>
  </si>
  <si>
    <t>21.10.2024 14:30:45</t>
  </si>
  <si>
    <t xml:space="preserve">        183K           146K             5K</t>
  </si>
  <si>
    <t>mAhve2iAaV6XXixNXZdwRGDTTHBUp2sb8tD41rHpump</t>
  </si>
  <si>
    <t>PRGM</t>
  </si>
  <si>
    <t>0.359 SOL</t>
  </si>
  <si>
    <t>-0.170 SOL</t>
  </si>
  <si>
    <t>-32.20%</t>
  </si>
  <si>
    <t>21.10.2024 06:09:48</t>
  </si>
  <si>
    <t xml:space="preserve">         33K            23K             7K</t>
  </si>
  <si>
    <t>En3kViAo4ezri6eaA2qVdA41SJJn6pKJuxA74oPvpump</t>
  </si>
  <si>
    <t>with</t>
  </si>
  <si>
    <t>0.701 SOL</t>
  </si>
  <si>
    <t>0.193 SOL</t>
  </si>
  <si>
    <t>38.02%</t>
  </si>
  <si>
    <t>20.10.2024 15:24:40</t>
  </si>
  <si>
    <t xml:space="preserve">        109K           153K             4K</t>
  </si>
  <si>
    <t>3rCFMbCNZhXmUgTR316HFUH5KN8oTCR3LVXVHogJpump</t>
  </si>
  <si>
    <t>MIMI</t>
  </si>
  <si>
    <t>0.096 SOL</t>
  </si>
  <si>
    <t>9.44%</t>
  </si>
  <si>
    <t>20.10.2024 15:16:47</t>
  </si>
  <si>
    <t xml:space="preserve">        146K           167K            31K</t>
  </si>
  <si>
    <t>9iuze1ULYZhfVyBwuNu2B2opAWphD5XYsyrfWV5Gpump</t>
  </si>
  <si>
    <t>cryptid</t>
  </si>
  <si>
    <t>-0.026 SOL</t>
  </si>
  <si>
    <t>20.10.2024 10:18:25</t>
  </si>
  <si>
    <t xml:space="preserve">        364K           352K            14K</t>
  </si>
  <si>
    <t>8BFNreX5cd1KUAN1ct75xn4qv74uBJNqLxTfSbKPpump</t>
  </si>
  <si>
    <t>LOVEAI</t>
  </si>
  <si>
    <t>0.516 SOL</t>
  </si>
  <si>
    <t>-0.018 SOL</t>
  </si>
  <si>
    <t>-3.34%</t>
  </si>
  <si>
    <t>20.10.2024 10:09:54</t>
  </si>
  <si>
    <t>GP8f6PbVvvm2SSRoHpB7GRT6L6Rb8yxnTDJsqVZVpump</t>
  </si>
  <si>
    <t>Stoicism</t>
  </si>
  <si>
    <t>7.59%</t>
  </si>
  <si>
    <t>20.10.2024 08:30:36</t>
  </si>
  <si>
    <t xml:space="preserve">         18K            19K             5K</t>
  </si>
  <si>
    <t>7tDjS2zfGeEJkGwtCxDUzdG9hZKt3hdBsN84fXMrpump</t>
  </si>
  <si>
    <t>MILONG</t>
  </si>
  <si>
    <t>0.302 SOL</t>
  </si>
  <si>
    <t>-0.228 SOL</t>
  </si>
  <si>
    <t>-43.00%</t>
  </si>
  <si>
    <t>20.10.2024 07:43:39</t>
  </si>
  <si>
    <t>48mNui1WEh7UAVLXeCsM2UjjUKjLYX4e3xUPvyhaWrSR</t>
  </si>
  <si>
    <t>Ψ</t>
  </si>
  <si>
    <t>0.797 SOL</t>
  </si>
  <si>
    <t>-0.247 SOL</t>
  </si>
  <si>
    <t>-23.65%</t>
  </si>
  <si>
    <t>20.10.2024 07:20:36</t>
  </si>
  <si>
    <t>2Y1rr1cb9eA2SRnT2A9KiycxYq42Cbm5e9QFzTigpump</t>
  </si>
  <si>
    <t>DEVILCAT</t>
  </si>
  <si>
    <t>0.625 SOL</t>
  </si>
  <si>
    <t>18.05%</t>
  </si>
  <si>
    <t>20.10.2024 07:07:51</t>
  </si>
  <si>
    <t>EUzV3E8oTwYeKkhowQaf8HYybve6SNNv9tQFKfb3pump</t>
  </si>
  <si>
    <t>AUTISM</t>
  </si>
  <si>
    <t>2.195 SOL</t>
  </si>
  <si>
    <t>0.671 SOL</t>
  </si>
  <si>
    <t>44.03%</t>
  </si>
  <si>
    <t>20.10.2024 07:00:17</t>
  </si>
  <si>
    <t xml:space="preserve">         63K            84K             4K</t>
  </si>
  <si>
    <t>2iyzYLvv6vgpESHPR1Ti5r4fCKjzLaHwDLpbApnDpump</t>
  </si>
  <si>
    <t>Luddites</t>
  </si>
  <si>
    <t>-0.091 SOL</t>
  </si>
  <si>
    <t>-17.82%</t>
  </si>
  <si>
    <t>19.10.2024 19:34:19</t>
  </si>
  <si>
    <t xml:space="preserve">        967K           807K            16K</t>
  </si>
  <si>
    <t>BrN9aQu6XAk36aRMsZMVjkFsmSBhXoFvathsbBiYpump</t>
  </si>
  <si>
    <t>🥩</t>
  </si>
  <si>
    <t>0.681 SOL</t>
  </si>
  <si>
    <t>0.169 SOL</t>
  </si>
  <si>
    <t>33.08%</t>
  </si>
  <si>
    <t>19.10.2024 19:21:47</t>
  </si>
  <si>
    <t xml:space="preserve">         70K            72K            13K</t>
  </si>
  <si>
    <t>46SJKxbS5BWFBdGWx9fyNHTXQih9eiUPjsS6FHjqpump</t>
  </si>
  <si>
    <t>FROKO</t>
  </si>
  <si>
    <t>1.040 SOL</t>
  </si>
  <si>
    <t>0.962 SOL</t>
  </si>
  <si>
    <t>-0.094 SOL</t>
  </si>
  <si>
    <t>19.10.2024 18:51:47</t>
  </si>
  <si>
    <t>EQxW5iwhzPqxcWsZoi2dn9AAujNb4yftXx2kVxMfpump</t>
  </si>
  <si>
    <t>nsfa</t>
  </si>
  <si>
    <t>2.041 SOL</t>
  </si>
  <si>
    <t>0.033 SOL</t>
  </si>
  <si>
    <t>1.62%</t>
  </si>
  <si>
    <t>19.10.2024 18:43:48</t>
  </si>
  <si>
    <t xml:space="preserve">        320K           327K            57K</t>
  </si>
  <si>
    <t>EodtMbupUYuMkSaAtQEPkVSTVfvuDcRcnDCoCyqqpump</t>
  </si>
  <si>
    <t>Claudius</t>
  </si>
  <si>
    <t>0.524 SOL</t>
  </si>
  <si>
    <t>0.227 SOL</t>
  </si>
  <si>
    <t>-0.305 SOL</t>
  </si>
  <si>
    <t>-57.32%</t>
  </si>
  <si>
    <t>19.10.2024 18:14:00</t>
  </si>
  <si>
    <t xml:space="preserve">         35K            16K             3K</t>
  </si>
  <si>
    <t>EXyyptR69K9bThvvPJbbjse4cUVgN6mPeoc9geQqpump</t>
  </si>
  <si>
    <t>Red</t>
  </si>
  <si>
    <t>0.498 SOL</t>
  </si>
  <si>
    <t>-0.010 SOL</t>
  </si>
  <si>
    <t>-2.06%</t>
  </si>
  <si>
    <t>19.10.2024 02:25:14</t>
  </si>
  <si>
    <t xml:space="preserve">         18K            18K             4K</t>
  </si>
  <si>
    <t>AgQtbsiNfuaviLF7xzxSQFnfWBDu7ekhkNBStxaRpump</t>
  </si>
  <si>
    <t>KEK</t>
  </si>
  <si>
    <t>0.483 SOL</t>
  </si>
  <si>
    <t>0.143 SOL</t>
  </si>
  <si>
    <t>-0.348 SOL</t>
  </si>
  <si>
    <t>-70.86%</t>
  </si>
  <si>
    <t>19.10.2024 02:22:27</t>
  </si>
  <si>
    <t xml:space="preserve">         44K            14K             5K</t>
  </si>
  <si>
    <t>4jfmiT1Htp3zGEGdz3taXsSz4FU1u2Vw8Bug8fqMpump</t>
  </si>
  <si>
    <t>7MXBbfNgS1hhv7rc5QgV787GNXeYU2sGbshPQZf2DkdX</t>
  </si>
  <si>
    <t>19.66 SOL</t>
  </si>
  <si>
    <t>115%</t>
  </si>
  <si>
    <t>14.30 SOL</t>
  </si>
  <si>
    <t>15 (71%)</t>
  </si>
  <si>
    <t>5 h</t>
  </si>
  <si>
    <t>-9.55%</t>
  </si>
  <si>
    <t>14%</t>
  </si>
  <si>
    <t>1 SOL</t>
  </si>
  <si>
    <t>4.8%</t>
  </si>
  <si>
    <t>9.5%</t>
  </si>
  <si>
    <t>28.6%</t>
  </si>
  <si>
    <t>57.1%</t>
  </si>
  <si>
    <t>11.3 SOL</t>
  </si>
  <si>
    <t>3.6 SOL</t>
  </si>
  <si>
    <t>0.7 SOL</t>
  </si>
  <si>
    <t>-1.3 SOL</t>
  </si>
  <si>
    <t>11.0K</t>
  </si>
  <si>
    <t>🪼</t>
  </si>
  <si>
    <t>0.012400</t>
  </si>
  <si>
    <t>-0.081 SOL</t>
  </si>
  <si>
    <t>-13.77%</t>
  </si>
  <si>
    <t>30.10.2024 17:30:48</t>
  </si>
  <si>
    <t xml:space="preserve">         11K             9K             8K</t>
  </si>
  <si>
    <t>HrRRNjYBs5MfuT5TRR3uJN3A7eUdnWrezttoxS66pump</t>
  </si>
  <si>
    <t>Pr0j3ct6CE</t>
  </si>
  <si>
    <t>0.619 SOL</t>
  </si>
  <si>
    <t>0.034 SOL</t>
  </si>
  <si>
    <t>5.81%</t>
  </si>
  <si>
    <t>30.10.2024 17:25:56</t>
  </si>
  <si>
    <t>59YgMCZyLkrYmU7CC9Qn4qccPoj6MQufLBrxPUedpump</t>
  </si>
  <si>
    <t>Holysheet</t>
  </si>
  <si>
    <t>0.620 SOL</t>
  </si>
  <si>
    <t>0.028 SOL</t>
  </si>
  <si>
    <t>4.47%</t>
  </si>
  <si>
    <t>30.10.2024 17:08:37</t>
  </si>
  <si>
    <t>8wyGugWw3RS4ydTreUNrkrSwXiHhjRvWdpJKuATspump</t>
  </si>
  <si>
    <t>#tyler</t>
  </si>
  <si>
    <t>0.019710</t>
  </si>
  <si>
    <t>1.335 SOL</t>
  </si>
  <si>
    <t>0.764 SOL</t>
  </si>
  <si>
    <t>133.78%</t>
  </si>
  <si>
    <t>30.10.2024 16:54:18</t>
  </si>
  <si>
    <t xml:space="preserve">          9K            21K             8K</t>
  </si>
  <si>
    <t>BLk7tAc4x4XS4mrJPqgRJoErZubMt9LTMTfYECaZpump</t>
  </si>
  <si>
    <t>0.610 SOL</t>
  </si>
  <si>
    <t>0.418 SOL</t>
  </si>
  <si>
    <t>-0.204 SOL</t>
  </si>
  <si>
    <t>-32.83%</t>
  </si>
  <si>
    <t>30.10.2024 16:47:39</t>
  </si>
  <si>
    <t>AVAwRWGGnKjHMrKvBtsK5dAX3hzXDcYW2dwQVgWcpump</t>
  </si>
  <si>
    <t>uwah</t>
  </si>
  <si>
    <t>0.572 SOL</t>
  </si>
  <si>
    <t>0.471 SOL</t>
  </si>
  <si>
    <t>-0.113 SOL</t>
  </si>
  <si>
    <t>-19.40%</t>
  </si>
  <si>
    <t>30.10.2024 16:19:36</t>
  </si>
  <si>
    <t>3 sec</t>
  </si>
  <si>
    <t>GvoEs66NwcLdbJceYEwfmdE9U9z5yfJFjCNYkXYDiUWc</t>
  </si>
  <si>
    <t>HighCatAI</t>
  </si>
  <si>
    <t>-0.114 SOL</t>
  </si>
  <si>
    <t>-19.48%</t>
  </si>
  <si>
    <t>30.10.2024 16:08:55</t>
  </si>
  <si>
    <t>G8xKe5djh6zqBugD9WszkXFkDRhg36TqxUUgaughpump</t>
  </si>
  <si>
    <t>HOTWHEELS</t>
  </si>
  <si>
    <t>0.017340</t>
  </si>
  <si>
    <t>0.600 SOL</t>
  </si>
  <si>
    <t>-0.098 SOL</t>
  </si>
  <si>
    <t>-15.93%</t>
  </si>
  <si>
    <t>30.10.2024 15:56:44</t>
  </si>
  <si>
    <t xml:space="preserve">         12K            12K             8K</t>
  </si>
  <si>
    <t>kQbJExfnfQUvK1xoeWYqWJgFWPzY77erCP1U9EBYPzQ</t>
  </si>
  <si>
    <t>BWIF</t>
  </si>
  <si>
    <t>-0.056 SOL</t>
  </si>
  <si>
    <t>30.10.2024 15:46:11</t>
  </si>
  <si>
    <t>6exU5K1vGocwP2qmCJnYG7zT897rqMRkKzjHefyzEapC</t>
  </si>
  <si>
    <t>wif</t>
  </si>
  <si>
    <t>-21.93%</t>
  </si>
  <si>
    <t>30.10.2024 15:46:02</t>
  </si>
  <si>
    <t xml:space="preserve">          9K             7K             6K</t>
  </si>
  <si>
    <t>BUCir8AF7JUpC8xoo4R9UBVCWeRjYjyhuTDNygZPMdGM</t>
  </si>
  <si>
    <t>BUCKYWIF</t>
  </si>
  <si>
    <t>0.574 SOL</t>
  </si>
  <si>
    <t>0.755 SOL</t>
  </si>
  <si>
    <t>0.168 SOL</t>
  </si>
  <si>
    <t>28.72%</t>
  </si>
  <si>
    <t>30.10.2024 15:46:01</t>
  </si>
  <si>
    <t>GwiKKAuL3A3EewKxGoT12MVjQ95n82qikzwggYPvkrh7</t>
  </si>
  <si>
    <t>ALL13</t>
  </si>
  <si>
    <t>0.014830</t>
  </si>
  <si>
    <t>0.571 SOL</t>
  </si>
  <si>
    <t>0.475 SOL</t>
  </si>
  <si>
    <t>-0.111 SOL</t>
  </si>
  <si>
    <t>-18.91%</t>
  </si>
  <si>
    <t>30.10.2024 15:11:28</t>
  </si>
  <si>
    <t xml:space="preserve">         21K             9K             6K</t>
  </si>
  <si>
    <t>2Z7FJ9EtHcjMSiZCNs1afPy1A6DFTbs1Mwq1ytL7pump</t>
  </si>
  <si>
    <t>🎄</t>
  </si>
  <si>
    <t>-0.166 SOL</t>
  </si>
  <si>
    <t>-28.44%</t>
  </si>
  <si>
    <t>30.10.2024 14:49:23</t>
  </si>
  <si>
    <t>3PE2Fxe4NJHDFHh3q8LZdGNg8AJyNi1hv6eSAxzipump</t>
  </si>
  <si>
    <t>0.617 SOL</t>
  </si>
  <si>
    <t>0.060 SOL</t>
  </si>
  <si>
    <t>9.46%</t>
  </si>
  <si>
    <t>30.10.2024 14:20:08</t>
  </si>
  <si>
    <t xml:space="preserve">         19K            23K            24K</t>
  </si>
  <si>
    <t>KRISTYSON</t>
  </si>
  <si>
    <t>0.017270</t>
  </si>
  <si>
    <t>0.824 SOL</t>
  </si>
  <si>
    <t>0.234 SOL</t>
  </si>
  <si>
    <t>39.63%</t>
  </si>
  <si>
    <t>30.10.2024 14:17:21</t>
  </si>
  <si>
    <t>HTgftoUmXJ1V8GiiKoWMTeRHQR4nR5vcQxCTJ2djpump</t>
  </si>
  <si>
    <t>0.024800</t>
  </si>
  <si>
    <t>3.381 SOL</t>
  </si>
  <si>
    <t>2.795 SOL</t>
  </si>
  <si>
    <t>476.61%</t>
  </si>
  <si>
    <t>30.10.2024 13:48:40</t>
  </si>
  <si>
    <t xml:space="preserve">         17K            94K             8K</t>
  </si>
  <si>
    <t>TOLUCE</t>
  </si>
  <si>
    <t>0.448 SOL</t>
  </si>
  <si>
    <t>-23.52%</t>
  </si>
  <si>
    <t>30.10.2024 13:25:20</t>
  </si>
  <si>
    <t xml:space="preserve">         19K            16K             7K</t>
  </si>
  <si>
    <t>HxVqL8RaA4X8r2QCYofgJ38pGi2frXnD99JbDWpeRwQj</t>
  </si>
  <si>
    <t>0.748 SOL</t>
  </si>
  <si>
    <t>26.77%</t>
  </si>
  <si>
    <t>30.10.2024 13:12:48</t>
  </si>
  <si>
    <t xml:space="preserve">         21K            11K             6K</t>
  </si>
  <si>
    <t>rcZFVQswtu3ixRkuvL1daeLcHNrhu33N1sG7BaSpump</t>
  </si>
  <si>
    <t>gi</t>
  </si>
  <si>
    <t>-0.064 SOL</t>
  </si>
  <si>
    <t>-10.88%</t>
  </si>
  <si>
    <t>30.10.2024 12:52:31</t>
  </si>
  <si>
    <t xml:space="preserve">         14K            12K             6K</t>
  </si>
  <si>
    <t>CaEaTxRW8FJB1pZaAjvb9ERsWQb16q9wUea6vieFpump</t>
  </si>
  <si>
    <t>DEGOD</t>
  </si>
  <si>
    <t>-0.015 SOL</t>
  </si>
  <si>
    <t>-2.92%</t>
  </si>
  <si>
    <t>30.10.2024 11:41:35</t>
  </si>
  <si>
    <t>DeGnuCuynXBEMzu28uvARsMcScUPfwvB2RZviu7h1JB7</t>
  </si>
  <si>
    <t>0.041640</t>
  </si>
  <si>
    <t>11.962 SOL</t>
  </si>
  <si>
    <t>11.348 SOL</t>
  </si>
  <si>
    <t>1847.40%</t>
  </si>
  <si>
    <t>30.10.2024 11:39:47</t>
  </si>
  <si>
    <t xml:space="preserve">         11K            44K             9K</t>
  </si>
  <si>
    <t>AMv3pP1RBgjN1FDVRAkmUxChxwfxzyF4xbsBZLHs45uQ</t>
  </si>
  <si>
    <t>22.55 SOL</t>
  </si>
  <si>
    <t>33%</t>
  </si>
  <si>
    <t>32%</t>
  </si>
  <si>
    <t>10.31 SOL</t>
  </si>
  <si>
    <t>19 h</t>
  </si>
  <si>
    <t>1 h</t>
  </si>
  <si>
    <t>-80.07%</t>
  </si>
  <si>
    <t>22%</t>
  </si>
  <si>
    <t>13%</t>
  </si>
  <si>
    <t>4.04 SOL</t>
  </si>
  <si>
    <t>2 SOL</t>
  </si>
  <si>
    <t>22.2%</t>
  </si>
  <si>
    <t>11.1%</t>
  </si>
  <si>
    <t>55.6%</t>
  </si>
  <si>
    <t>24.0 SOL</t>
  </si>
  <si>
    <t>2.1 SOL</t>
  </si>
  <si>
    <t>-0.2 SOL</t>
  </si>
  <si>
    <t>-15.6 SOL</t>
  </si>
  <si>
    <t>30.0K</t>
  </si>
  <si>
    <t>ECUL</t>
  </si>
  <si>
    <t>0.003870</t>
  </si>
  <si>
    <t>7.786 SOL</t>
  </si>
  <si>
    <t>-7.790 SOL</t>
  </si>
  <si>
    <t>51,066,275</t>
  </si>
  <si>
    <t>30.10.2024 18:20:22</t>
  </si>
  <si>
    <t xml:space="preserve">         21K            33K            10K</t>
  </si>
  <si>
    <t>7JCYtp78ML613Bx8y1JiCk4xcxRBKobZxkh1RdB1pump</t>
  </si>
  <si>
    <t>dg</t>
  </si>
  <si>
    <t>0.010550</t>
  </si>
  <si>
    <t>7.212 SOL</t>
  </si>
  <si>
    <t>25.482 SOL</t>
  </si>
  <si>
    <t>18.259 SOL</t>
  </si>
  <si>
    <t>252.79%</t>
  </si>
  <si>
    <t>30.10.2024 16:06:58</t>
  </si>
  <si>
    <t>16 hours</t>
  </si>
  <si>
    <t xml:space="preserve">        178K             1M            24K</t>
  </si>
  <si>
    <t>CZV28UR7oVe9XpJz1htqBGFtb7CsavpWoKGqFKZTpump</t>
  </si>
  <si>
    <t>SMC69</t>
  </si>
  <si>
    <t>0.000820</t>
  </si>
  <si>
    <t>3.035 SOL</t>
  </si>
  <si>
    <t>-2.481 SOL</t>
  </si>
  <si>
    <t>-81.73%</t>
  </si>
  <si>
    <t>30.10.2024 15:48:16</t>
  </si>
  <si>
    <t xml:space="preserve">         47K            47K             6K</t>
  </si>
  <si>
    <t>DdhFk7hQkJH8ZSEBpPy2WrZKXjGtH8v3T7mnfzyGV6uo</t>
  </si>
  <si>
    <t>Luceus</t>
  </si>
  <si>
    <t>2.026 SOL</t>
  </si>
  <si>
    <t>-2.026 SOL</t>
  </si>
  <si>
    <t>12,091,475</t>
  </si>
  <si>
    <t>30.10.2024 09:22:56</t>
  </si>
  <si>
    <t xml:space="preserve">         30K            30K             7K</t>
  </si>
  <si>
    <t>Hawt2TYkEr4AsLx6Gveo8scbm37mUUZMJyaPzj6Tpump</t>
  </si>
  <si>
    <t>A1ON9</t>
  </si>
  <si>
    <t>0.006040</t>
  </si>
  <si>
    <t>4.048 SOL</t>
  </si>
  <si>
    <t>6.110 SOL</t>
  </si>
  <si>
    <t>50.72%</t>
  </si>
  <si>
    <t>30.10.2024 01:24:07</t>
  </si>
  <si>
    <t xml:space="preserve">         25K            23K             4K</t>
  </si>
  <si>
    <t>9pwA6BUBMaVdnLjEHyHxuUVFC8jmSoUs321yFp6epump</t>
  </si>
  <si>
    <t>Cattholic</t>
  </si>
  <si>
    <t>0.000430</t>
  </si>
  <si>
    <t>1.015 SOL</t>
  </si>
  <si>
    <t>0.816 SOL</t>
  </si>
  <si>
    <t>-0.199 SOL</t>
  </si>
  <si>
    <t>-19.60%</t>
  </si>
  <si>
    <t>30.10.2024 01:04:41</t>
  </si>
  <si>
    <t>B3xdf465zYUUFXefrJrazPVMGcYxBxzYVUcPXwVppump</t>
  </si>
  <si>
    <t>ct</t>
  </si>
  <si>
    <t>0.006230</t>
  </si>
  <si>
    <t>2.949 SOL</t>
  </si>
  <si>
    <t>8.741 SOL</t>
  </si>
  <si>
    <t>5.786 SOL</t>
  </si>
  <si>
    <t>195.82%</t>
  </si>
  <si>
    <t>30.10.2024 00:50:25</t>
  </si>
  <si>
    <t xml:space="preserve">         46K           118K            14K</t>
  </si>
  <si>
    <t>GimSK2arRBpobD8WNs63m3pZWUZx2953nUgSLdDRpump</t>
  </si>
  <si>
    <t>CRISTOPHER</t>
  </si>
  <si>
    <t>0.002920</t>
  </si>
  <si>
    <t>2.833 SOL</t>
  </si>
  <si>
    <t>0.565 SOL</t>
  </si>
  <si>
    <t>-2.271 SOL</t>
  </si>
  <si>
    <t>30.10.2024 00:34:52</t>
  </si>
  <si>
    <t>5j6AyHUJPMUJ2AvZA22vkVFD1kQ7DgwA7tHqXgiupump</t>
  </si>
  <si>
    <t>0.000420</t>
  </si>
  <si>
    <t>-1.016 SOL</t>
  </si>
  <si>
    <t>20,227,607</t>
  </si>
  <si>
    <t>29.10.2024 23:03:12</t>
  </si>
  <si>
    <t>F6nqtMCUeV8TsUgwgWvChD6e2n7tDHT4a1zKBnnopump</t>
  </si>
  <si>
    <t>DkRs21giV1YPrP86GmhqPYHTWyFrCsUFyk336i9e9Rg4</t>
  </si>
  <si>
    <t>1.35 SOL</t>
  </si>
  <si>
    <t>-53%</t>
  </si>
  <si>
    <t>-57.19 SOL</t>
  </si>
  <si>
    <t>84 days</t>
  </si>
  <si>
    <t>60%</t>
  </si>
  <si>
    <t>65.39 SOL</t>
  </si>
  <si>
    <t>113</t>
  </si>
  <si>
    <t>1.4 SOL</t>
  </si>
  <si>
    <t>1.9%</t>
  </si>
  <si>
    <t>14.8%</t>
  </si>
  <si>
    <t>16.7%</t>
  </si>
  <si>
    <t>66.7%</t>
  </si>
  <si>
    <t>3.7 SOL</t>
  </si>
  <si>
    <t>-0.8 SOL</t>
  </si>
  <si>
    <t>-71.3 SOL</t>
  </si>
  <si>
    <t>11</t>
  </si>
  <si>
    <t>33</t>
  </si>
  <si>
    <t>496.0K</t>
  </si>
  <si>
    <t>AR15</t>
  </si>
  <si>
    <t>0.020000</t>
  </si>
  <si>
    <t>-0.030 SOL</t>
  </si>
  <si>
    <t>198,804</t>
  </si>
  <si>
    <t>30.10.2024 21:16:07</t>
  </si>
  <si>
    <t xml:space="preserve">          9K             9K            10K</t>
  </si>
  <si>
    <t>HcrrEuGkoLXZhKkGxgTRitMtruMchQ2iDMhFZg8wazrp</t>
  </si>
  <si>
    <t>$SPAGMO</t>
  </si>
  <si>
    <t>0.080020</t>
  </si>
  <si>
    <t>0.228 SOL</t>
  </si>
  <si>
    <t>0.179 SOL</t>
  </si>
  <si>
    <t>-0.129 SOL</t>
  </si>
  <si>
    <t>-41.99%</t>
  </si>
  <si>
    <t>30.10.2024 21:12:16</t>
  </si>
  <si>
    <t>13 hours</t>
  </si>
  <si>
    <t xml:space="preserve">         33K            49K             4K</t>
  </si>
  <si>
    <t>6j66BaTcazN9sEj5JzA5uq4MeNt838gQhKmjSdPkmJRe</t>
  </si>
  <si>
    <t>HIM</t>
  </si>
  <si>
    <t>0.040010</t>
  </si>
  <si>
    <t>-12.040 SOL</t>
  </si>
  <si>
    <t>5,552,523</t>
  </si>
  <si>
    <t>30.10.2024 12:25:38</t>
  </si>
  <si>
    <t>17 days</t>
  </si>
  <si>
    <t xml:space="preserve">        158K           529K           152K</t>
  </si>
  <si>
    <t>4xp8Ysi2oEHjBWocqrgm8w8kUFQvExCmjaYUxuwzpump</t>
  </si>
  <si>
    <t>0.100 SOL</t>
  </si>
  <si>
    <t>-0.120 SOL</t>
  </si>
  <si>
    <t>79,779</t>
  </si>
  <si>
    <t>29.10.2024 22:39:33</t>
  </si>
  <si>
    <t xml:space="preserve">        220K           220K           287K</t>
  </si>
  <si>
    <t>0.050010</t>
  </si>
  <si>
    <t>2.763 SOL</t>
  </si>
  <si>
    <t>0.713 SOL</t>
  </si>
  <si>
    <t>34.80%</t>
  </si>
  <si>
    <t>29.10.2024 22:20:27</t>
  </si>
  <si>
    <t xml:space="preserve">        218K           751K             8K</t>
  </si>
  <si>
    <t>yum</t>
  </si>
  <si>
    <t>0.090020</t>
  </si>
  <si>
    <t>3.200 SOL</t>
  </si>
  <si>
    <t>-2.205 SOL</t>
  </si>
  <si>
    <t>-67.03%</t>
  </si>
  <si>
    <t>29.10.2024 22:13:21</t>
  </si>
  <si>
    <t>8 days</t>
  </si>
  <si>
    <t xml:space="preserve">        341K           334K           318K</t>
  </si>
  <si>
    <t>46RN3PxRWtoPhu4jeA7WxWR5MAaLh6cm3S1kYmu8pump</t>
  </si>
  <si>
    <t>ily</t>
  </si>
  <si>
    <t>-4.040 SOL</t>
  </si>
  <si>
    <t>206,999</t>
  </si>
  <si>
    <t>29.10.2024 09:36:22</t>
  </si>
  <si>
    <t>27 days</t>
  </si>
  <si>
    <t xml:space="preserve">          4M             2M             4M</t>
  </si>
  <si>
    <t>GJLiErro8cbWeDngDMWJug9dkwwckYZg4Lvb79F3pump</t>
  </si>
  <si>
    <t>mao</t>
  </si>
  <si>
    <t>0.110020</t>
  </si>
  <si>
    <t>3.202 SOL</t>
  </si>
  <si>
    <t>-10.908 SOL</t>
  </si>
  <si>
    <t>-77.31%</t>
  </si>
  <si>
    <t>29.10.2024 08:13:07</t>
  </si>
  <si>
    <t>19 days</t>
  </si>
  <si>
    <t xml:space="preserve">        334K             2M           350K</t>
  </si>
  <si>
    <t>BsTRFEVZhXbBuy5fhxbttuim8iwzXqMdRCfFftDAkkeu</t>
  </si>
  <si>
    <t>WAWA</t>
  </si>
  <si>
    <t>5.100 SOL</t>
  </si>
  <si>
    <t>-5.180 SOL</t>
  </si>
  <si>
    <t>272,954</t>
  </si>
  <si>
    <t>29.10.2024 08:10:51</t>
  </si>
  <si>
    <t>24 days</t>
  </si>
  <si>
    <t xml:space="preserve">          2M             4M             2M</t>
  </si>
  <si>
    <t>8Sk2EJ9oo25b7Mmf4qd5gJw6z3738AXvAbkuSSpQpump</t>
  </si>
  <si>
    <t>COST</t>
  </si>
  <si>
    <t>0.130030</t>
  </si>
  <si>
    <t>2.600 SOL</t>
  </si>
  <si>
    <t>3.623 SOL</t>
  </si>
  <si>
    <t>32.72%</t>
  </si>
  <si>
    <t>29.10.2024 08:09:33</t>
  </si>
  <si>
    <t>21 days</t>
  </si>
  <si>
    <t xml:space="preserve">          5M             9M             7M</t>
  </si>
  <si>
    <t>Av6qVigkb7USQyPXJkUvAEm4f599WTRvd75PUWBA9eNm</t>
  </si>
  <si>
    <t>AABL</t>
  </si>
  <si>
    <t>4.020 SOL</t>
  </si>
  <si>
    <t>5.208 SOL</t>
  </si>
  <si>
    <t>26.11%</t>
  </si>
  <si>
    <t>29.10.2024 08:01:58</t>
  </si>
  <si>
    <t>1 months</t>
  </si>
  <si>
    <t xml:space="preserve">         14M             2M            10M</t>
  </si>
  <si>
    <t>ENoD8J2J6wNHkcJkvVBkwq5JMiR1oNBfBZRkoHCQogyT</t>
  </si>
  <si>
    <t xml:space="preserve">Yosha </t>
  </si>
  <si>
    <t>0.126 SOL</t>
  </si>
  <si>
    <t>0.078 SOL</t>
  </si>
  <si>
    <t>-55.66%</t>
  </si>
  <si>
    <t>28.10.2024 22:42:05</t>
  </si>
  <si>
    <t>7SS6UZ6D8iZ9XEPNjuqNhvRtRSJuph2h2SDDtHN7pump</t>
  </si>
  <si>
    <t>yaya</t>
  </si>
  <si>
    <t>-0.520 SOL</t>
  </si>
  <si>
    <t>222,195</t>
  </si>
  <si>
    <t>28.10.2024 16:40:59</t>
  </si>
  <si>
    <t xml:space="preserve">        396K           396K             8K</t>
  </si>
  <si>
    <t>6VUY3gNQSXf4W1YzR8qZfPm2GN6utVrr5dhyZmzTpump</t>
  </si>
  <si>
    <t>-1.020 SOL</t>
  </si>
  <si>
    <t>30,800</t>
  </si>
  <si>
    <t>28.10.2024 09:00:15</t>
  </si>
  <si>
    <t xml:space="preserve">          5M             5M             2M</t>
  </si>
  <si>
    <t>NiggaButt</t>
  </si>
  <si>
    <t>1.314 SOL</t>
  </si>
  <si>
    <t>0.204 SOL</t>
  </si>
  <si>
    <t>18.36%</t>
  </si>
  <si>
    <t>28.10.2024 07:40:10</t>
  </si>
  <si>
    <t xml:space="preserve">          6M             6M             7M</t>
  </si>
  <si>
    <t>8fZL148nnC168RAVCZh4PkjvMZmxMEfMLDhoziWVPnqf</t>
  </si>
  <si>
    <t>ZOA</t>
  </si>
  <si>
    <t>1.131 SOL</t>
  </si>
  <si>
    <t>0.081 SOL</t>
  </si>
  <si>
    <t>7.69%</t>
  </si>
  <si>
    <t>27.10.2024 22:37:53</t>
  </si>
  <si>
    <t xml:space="preserve">          1M             2M           282K</t>
  </si>
  <si>
    <t>AwcCFuJgUYNYHXm6tHhr7DsXDY6FKvXUt2DFjmgHpump</t>
  </si>
  <si>
    <t>aura</t>
  </si>
  <si>
    <t>-3.040 SOL</t>
  </si>
  <si>
    <t>25,533</t>
  </si>
  <si>
    <t>27.10.2024 18:01:14</t>
  </si>
  <si>
    <t xml:space="preserve">         23M            16M            22M</t>
  </si>
  <si>
    <t>DtR4D9FtVoTX2569gaL837ZgrB6wNjj6tkmnX9Rdk9B2</t>
  </si>
  <si>
    <t>MD</t>
  </si>
  <si>
    <t>42,390</t>
  </si>
  <si>
    <t>27.10.2024 17:10:57</t>
  </si>
  <si>
    <t xml:space="preserve">          1M             1M           795K</t>
  </si>
  <si>
    <t>C4j7kPx9PqDnfvxe2uycJQRTAeyGwmU4DyGf21Xgpump</t>
  </si>
  <si>
    <t>MOODENG</t>
  </si>
  <si>
    <t>1.300 SOL</t>
  </si>
  <si>
    <t>-0.319 SOL</t>
  </si>
  <si>
    <t>-23.60%</t>
  </si>
  <si>
    <t>25.10.2024 17:20:13</t>
  </si>
  <si>
    <t>15 days</t>
  </si>
  <si>
    <t xml:space="preserve">        170M           170M           231M</t>
  </si>
  <si>
    <t>ED5nyyWEzpPPiWimP8vYm7sD7TD3LAt3Q3gRTWHzPJBY</t>
  </si>
  <si>
    <t>RETARDIO</t>
  </si>
  <si>
    <t>2.221 SOL</t>
  </si>
  <si>
    <t>-7.829 SOL</t>
  </si>
  <si>
    <t>-77.90%</t>
  </si>
  <si>
    <t>23.10.2024 08:42:15</t>
  </si>
  <si>
    <t xml:space="preserve">         44M            44M           128M</t>
  </si>
  <si>
    <t>6ogzHhzdrQr9Pgv6hZ2MNze7UrzBMAFyBBWUYp1Fhitx</t>
  </si>
  <si>
    <t>MEME</t>
  </si>
  <si>
    <t>336,064</t>
  </si>
  <si>
    <t>22.10.2024 11:52:09</t>
  </si>
  <si>
    <t xml:space="preserve">        524K           524K            69K</t>
  </si>
  <si>
    <t>EWy1HPEUq4Lgm6H4pQ8augEuJ7WRwJgENZMTAUzrpump</t>
  </si>
  <si>
    <t>$slop</t>
  </si>
  <si>
    <t>0.100020</t>
  </si>
  <si>
    <t>5.804 SOL</t>
  </si>
  <si>
    <t>0.704 SOL</t>
  </si>
  <si>
    <t>13.80%</t>
  </si>
  <si>
    <t>21.10.2024 18:16:05</t>
  </si>
  <si>
    <t xml:space="preserve">         30M            19M             3M</t>
  </si>
  <si>
    <t>FqvtZ2UFR9we82Ni4LeacC1zyTiQ77usDo31DUokpump</t>
  </si>
  <si>
    <t>GDOGE</t>
  </si>
  <si>
    <t>150,939</t>
  </si>
  <si>
    <t>20.10.2024 22:20:35</t>
  </si>
  <si>
    <t xml:space="preserve">          1M             1M           302K</t>
  </si>
  <si>
    <t>HzezmX8bRGCBKThgjZu7ZoBN3P825jHk3azBMGZAuTuo</t>
  </si>
  <si>
    <t>$HODL</t>
  </si>
  <si>
    <t>87,624,483</t>
  </si>
  <si>
    <t>20.10.2024 20:44:14</t>
  </si>
  <si>
    <t xml:space="preserve">         35K            35K             5K</t>
  </si>
  <si>
    <t>FVx2WMK9tuU9mvbDgTMFjxfZwoXbmvc9aam9g4iFnYB9</t>
  </si>
  <si>
    <t>{null}</t>
  </si>
  <si>
    <t>1,631,519</t>
  </si>
  <si>
    <t>20.10.2024 18:35:34</t>
  </si>
  <si>
    <t>HuJksz87ZWvLmujwRadndz9biFr7pr6QimWY6p6spump</t>
  </si>
  <si>
    <t>glados-137</t>
  </si>
  <si>
    <t>54,810</t>
  </si>
  <si>
    <t>19.10.2024 12:01:51</t>
  </si>
  <si>
    <t xml:space="preserve">          3M             3M            31K</t>
  </si>
  <si>
    <t>5AFpf9H8CPpmHe9gmwZYQPtup3MDZ887PUxvY1yapump</t>
  </si>
  <si>
    <t>Zazu</t>
  </si>
  <si>
    <t>2.200 SOL</t>
  </si>
  <si>
    <t>-2.240 SOL</t>
  </si>
  <si>
    <t>119,910</t>
  </si>
  <si>
    <t>19.10.2024 10:15:16</t>
  </si>
  <si>
    <t>12 days</t>
  </si>
  <si>
    <t xml:space="preserve">          3M             5M             2M</t>
  </si>
  <si>
    <t>qiaupfns561LJPudU2YL48S2mx1nbekrn8V4RrpyJG6</t>
  </si>
  <si>
    <t>CB</t>
  </si>
  <si>
    <t>0.070010</t>
  </si>
  <si>
    <t>0.008 SOL</t>
  </si>
  <si>
    <t>0.54%</t>
  </si>
  <si>
    <t>19.10.2024 10:14:42</t>
  </si>
  <si>
    <t>13 days</t>
  </si>
  <si>
    <t xml:space="preserve">          6M            10M             6M</t>
  </si>
  <si>
    <t>3BeJ9zCgQhaqKMu2HgKJ79yQBChD1Pf3hPwRX44fpump</t>
  </si>
  <si>
    <t>GINNAN</t>
  </si>
  <si>
    <t>2.800 SOL</t>
  </si>
  <si>
    <t>-2.840 SOL</t>
  </si>
  <si>
    <t>193,633,379</t>
  </si>
  <si>
    <t>18.10.2024 11:05:53</t>
  </si>
  <si>
    <t xml:space="preserve">         12M            12M            14M</t>
  </si>
  <si>
    <t>GinNabffZL4fUj9Vactxha74GDAW8kDPGaHqMtMzps2f</t>
  </si>
  <si>
    <t>MANNY</t>
  </si>
  <si>
    <t>3,469,013</t>
  </si>
  <si>
    <t>17.10.2024 07:24:52</t>
  </si>
  <si>
    <t>5yx4xz3DWLeFjekf1DPEFV3KAz1ozM7pCaLQviiZpump</t>
  </si>
  <si>
    <t>glorp</t>
  </si>
  <si>
    <t>21.310 SOL</t>
  </si>
  <si>
    <t>11.260 SOL</t>
  </si>
  <si>
    <t>112.04%</t>
  </si>
  <si>
    <t>17.10.2024 06:54:36</t>
  </si>
  <si>
    <t>FkBF9u1upwEMUPxnXjcydxxVSxgr8f3k1YXbz7G7bmtA</t>
  </si>
  <si>
    <t>-1.040 SOL</t>
  </si>
  <si>
    <t>16,991</t>
  </si>
  <si>
    <t>14.10.2024 12:17:06</t>
  </si>
  <si>
    <t>2 months</t>
  </si>
  <si>
    <t xml:space="preserve">          8M            17M             4M</t>
  </si>
  <si>
    <t>MUMU</t>
  </si>
  <si>
    <t>-2.020 SOL</t>
  </si>
  <si>
    <t>5,696,609</t>
  </si>
  <si>
    <t>12.10.2024 07:42:38</t>
  </si>
  <si>
    <t xml:space="preserve">        143M           143M           124M</t>
  </si>
  <si>
    <t>5LafQUrVco6o7KMz42eqVEJ9LW31StPyGjeeu5sKoMtA</t>
  </si>
  <si>
    <t xml:space="preserve">finn </t>
  </si>
  <si>
    <t>94,865</t>
  </si>
  <si>
    <t>11.10.2024 14:31:05</t>
  </si>
  <si>
    <t>FwQnyJnL8e3Yg9TyyCeYP3ZCpCU54BS1XJZMqLb5pump</t>
  </si>
  <si>
    <t>FOCUS</t>
  </si>
  <si>
    <t>1,099,565</t>
  </si>
  <si>
    <t>11.10.2024 05:39:25</t>
  </si>
  <si>
    <t xml:space="preserve">        157K           160K            43K</t>
  </si>
  <si>
    <t>94zczHm8beQ4ToTSCpngqMxEDvvwpxk5EnAt7cuBpump</t>
  </si>
  <si>
    <t>pixi</t>
  </si>
  <si>
    <t>208,394</t>
  </si>
  <si>
    <t>10.10.2024 13:42:26</t>
  </si>
  <si>
    <t xml:space="preserve">          2M             2M           700K</t>
  </si>
  <si>
    <t>FtHCi9cxJSSizrzMzsPjAfTfJi32V1CGRDM5Skqn4QBF</t>
  </si>
  <si>
    <t>WUT</t>
  </si>
  <si>
    <t>75,099</t>
  </si>
  <si>
    <t>09.10.2024 13:25:08</t>
  </si>
  <si>
    <t xml:space="preserve">        468K           468K           186K</t>
  </si>
  <si>
    <t>DG5bH1BnfjB5YL7Vt3GjykkUKf6maDUW3jYvdNa9eEVa</t>
  </si>
  <si>
    <t>YAKUB</t>
  </si>
  <si>
    <t>0.128 SOL</t>
  </si>
  <si>
    <t>-0.052 SOL</t>
  </si>
  <si>
    <t>-29.10%</t>
  </si>
  <si>
    <t>08.10.2024 17:39:19</t>
  </si>
  <si>
    <t xml:space="preserve">          3M             4M            10M</t>
  </si>
  <si>
    <t>7iagMTDPfNSR5zVcERT1To7A9eaQoz58dJAh42EMHcCC</t>
  </si>
  <si>
    <t>BILLY</t>
  </si>
  <si>
    <t>6,794</t>
  </si>
  <si>
    <t>08.10.2024 08:28:14</t>
  </si>
  <si>
    <t xml:space="preserve">         51M            51M            31M</t>
  </si>
  <si>
    <t>3B5wuUrMEi5yATD7on46hKfej3pfmd7t1RKgrsN3pump</t>
  </si>
  <si>
    <t>Alfred</t>
  </si>
  <si>
    <t>69,293</t>
  </si>
  <si>
    <t>07.10.2024 09:58:05</t>
  </si>
  <si>
    <t xml:space="preserve">        243K           243K            17K</t>
  </si>
  <si>
    <t>52uooUN2zbK2yifYR6FjUcHpDrok33SFj1T5Peumpump</t>
  </si>
  <si>
    <t>hehe</t>
  </si>
  <si>
    <t>-0.740 SOL</t>
  </si>
  <si>
    <t>5,408</t>
  </si>
  <si>
    <t>05.10.2024 22:54:29</t>
  </si>
  <si>
    <t xml:space="preserve">         18M            19M            15M</t>
  </si>
  <si>
    <t>BreuhVohXX5fv6q41uyb3sojtAuGoGaiAhKBMtcrpump</t>
  </si>
  <si>
    <t>WHEEL</t>
  </si>
  <si>
    <t>2,559,807</t>
  </si>
  <si>
    <t>05.10.2024 22:30:26</t>
  </si>
  <si>
    <t xml:space="preserve">          7K             7K             4K</t>
  </si>
  <si>
    <t>GHVn5vaWaDcyGPJ2Zt5vkD3fSvyr7TVufNZjyWtppump</t>
  </si>
  <si>
    <t>IPDC6900</t>
  </si>
  <si>
    <t>0.254 SOL</t>
  </si>
  <si>
    <t>-0.296 SOL</t>
  </si>
  <si>
    <t>-53.83%</t>
  </si>
  <si>
    <t>04.10.2024 18:12:02</t>
  </si>
  <si>
    <t xml:space="preserve">        332K           169K             5K</t>
  </si>
  <si>
    <t>ELcWUSrcWUhbQuoYaBB3Xnf9mC5uW9Qc76L434Dwpump</t>
  </si>
  <si>
    <t>Waffle</t>
  </si>
  <si>
    <t>182,806</t>
  </si>
  <si>
    <t>03.10.2024 12:22:58</t>
  </si>
  <si>
    <t xml:space="preserve">         97K            97K             4K</t>
  </si>
  <si>
    <t>3SRwSLWW6cQfBTKVHDbGfygsPdGYRLdkSfYW3mAVpump</t>
  </si>
  <si>
    <t>Bruh</t>
  </si>
  <si>
    <t>-0.062 SOL</t>
  </si>
  <si>
    <t>-11.22%</t>
  </si>
  <si>
    <t>01.10.2024 08:26:45</t>
  </si>
  <si>
    <t xml:space="preserve">        188K           184K           365K</t>
  </si>
  <si>
    <t>2SbUMHVzAAwyK7wh4ZC335Y3AHXuNybDjruvktWGpump</t>
  </si>
  <si>
    <t>wini</t>
  </si>
  <si>
    <t>139,457</t>
  </si>
  <si>
    <t>30.09.2024 20:47:16</t>
  </si>
  <si>
    <t xml:space="preserve">        126K           126K             4K</t>
  </si>
  <si>
    <t>EzmRtUdU7ArXkUUWoogRBSbNikxBKNRuCWFMqe5epump</t>
  </si>
  <si>
    <t>TIT</t>
  </si>
  <si>
    <t>0.105 SOL</t>
  </si>
  <si>
    <t>-41.75%</t>
  </si>
  <si>
    <t>07.08.2024 12:45:49</t>
  </si>
  <si>
    <t>2cefa1dSDqrEBaRDMgUfYq8nTkTbpKoKzX2nBoBUqCqg</t>
  </si>
  <si>
    <t>nani</t>
  </si>
  <si>
    <t>0.200 SOL</t>
  </si>
  <si>
    <t>0.259 SOL</t>
  </si>
  <si>
    <t>0.009 SOL</t>
  </si>
  <si>
    <t>3.57%</t>
  </si>
  <si>
    <t>07.08.2024 12:44:25</t>
  </si>
  <si>
    <t xml:space="preserve">          1M             1M            13K</t>
  </si>
  <si>
    <t>C9FTn7hQddPTmZQxvygBk2LVGwWriBvRGU4x2UEkpump</t>
  </si>
  <si>
    <t>FATBF</t>
  </si>
  <si>
    <t>0.214 SOL</t>
  </si>
  <si>
    <t>-14.51%</t>
  </si>
  <si>
    <t>07.08.2024 12:44:00</t>
  </si>
  <si>
    <t xml:space="preserve">        106K           112K            45K</t>
  </si>
  <si>
    <t>9H9sNRfiuCwV4XWM8j22pVKg6ZvLciqUpJZN99Wme1TZ</t>
  </si>
  <si>
    <t>$BCS</t>
  </si>
  <si>
    <t>0.300 SOL</t>
  </si>
  <si>
    <t>0.283 SOL</t>
  </si>
  <si>
    <t>-0.067 SOL</t>
  </si>
  <si>
    <t>-19.05%</t>
  </si>
  <si>
    <t>07.08.2024 12:27:38</t>
  </si>
  <si>
    <t xml:space="preserve">        317K           299K            10K</t>
  </si>
  <si>
    <t>5LDoAGxTwTPhkdLPBdGkounXhPbHPwN2pNMfsh3Vpump</t>
  </si>
  <si>
    <t>MATRIX</t>
  </si>
  <si>
    <t>0.035 SOL</t>
  </si>
  <si>
    <t>-0.515 SOL</t>
  </si>
  <si>
    <t>-93.63%</t>
  </si>
  <si>
    <t>07.08.2024 11:33:50</t>
  </si>
  <si>
    <t xml:space="preserve">        125K             9K             9K</t>
  </si>
  <si>
    <t>DECKqBSicvNz775HwCEjugsKJ6rpus53oAaAefm7gNon</t>
  </si>
  <si>
    <t>bunne</t>
  </si>
  <si>
    <t>0.152 SOL</t>
  </si>
  <si>
    <t>-0.028 SOL</t>
  </si>
  <si>
    <t>-15.69%</t>
  </si>
  <si>
    <t>07.08.2024 11:32:29</t>
  </si>
  <si>
    <t xml:space="preserve">        365K            72K             7K</t>
  </si>
  <si>
    <t>2DWYC19ULy5NRBv69NFNtukz1fztrEASzRye9qECpump</t>
  </si>
  <si>
    <t>0.121 SOL</t>
  </si>
  <si>
    <t>-32.78%</t>
  </si>
  <si>
    <t>07.08.2024 11:31:11</t>
  </si>
  <si>
    <t xml:space="preserve">        132K            77K             5K</t>
  </si>
  <si>
    <t>81X9vLkoWRpKqdTpG8zGim7V3nP6x5dKovH2njWmpump</t>
  </si>
  <si>
    <t>TAIKI</t>
  </si>
  <si>
    <t>0.048 SOL</t>
  </si>
  <si>
    <t>-0.202 SOL</t>
  </si>
  <si>
    <t>-80.87%</t>
  </si>
  <si>
    <t>07.08.2024 10:27:11</t>
  </si>
  <si>
    <t xml:space="preserve">         79K            37K             4K</t>
  </si>
  <si>
    <t>6vXV77oBW2Jsxw2ZxXQmGmtfT6iHotcympJUyqhpump</t>
  </si>
  <si>
    <t>8vys1QHhKnz9uXKgJ7KTzunBxchMyBUVUC34SqYyt2xk</t>
  </si>
  <si>
    <t>12.02 SOL</t>
  </si>
  <si>
    <t>27%</t>
  </si>
  <si>
    <t>35%</t>
  </si>
  <si>
    <t>12.69 SOL</t>
  </si>
  <si>
    <t>6 (2%)</t>
  </si>
  <si>
    <t>32 days</t>
  </si>
  <si>
    <t>39 min</t>
  </si>
  <si>
    <t>-67.64%</t>
  </si>
  <si>
    <t>3.46 SOL</t>
  </si>
  <si>
    <t>1.7%</t>
  </si>
  <si>
    <t>5.0%</t>
  </si>
  <si>
    <t>11.4%</t>
  </si>
  <si>
    <t>17.7%</t>
  </si>
  <si>
    <t>55.5%</t>
  </si>
  <si>
    <t>38</t>
  </si>
  <si>
    <t>21.9 SOL</t>
  </si>
  <si>
    <t>7.4 SOL</t>
  </si>
  <si>
    <t>0.8 SOL</t>
  </si>
  <si>
    <t>-1.1 SOL</t>
  </si>
  <si>
    <t>-17.7 SOL</t>
  </si>
  <si>
    <t>141</t>
  </si>
  <si>
    <t>77</t>
  </si>
  <si>
    <t>19</t>
  </si>
  <si>
    <t>84.0K</t>
  </si>
  <si>
    <t>isekai</t>
  </si>
  <si>
    <t>0.000060</t>
  </si>
  <si>
    <t>-0.100 SOL</t>
  </si>
  <si>
    <t>296,842</t>
  </si>
  <si>
    <t>30.10.2024 16:01:47</t>
  </si>
  <si>
    <t xml:space="preserve">         54K            54K             6K</t>
  </si>
  <si>
    <t>9vMVrZxpyzZGdDxvTiwjPuTco8VuXQFoZPzrUoPSpump</t>
  </si>
  <si>
    <t>ISAAC</t>
  </si>
  <si>
    <t>956,390</t>
  </si>
  <si>
    <t>30.10.2024 16:00:07</t>
  </si>
  <si>
    <t xml:space="preserve">         18K            18K             3K</t>
  </si>
  <si>
    <t>GZSbHMuJrT2mLYnvkbD8mW3Tx6ycMCafMseNgq6yY8zw</t>
  </si>
  <si>
    <t>ELEPHANT</t>
  </si>
  <si>
    <t>161,795</t>
  </si>
  <si>
    <t>30.10.2024 15:49:37</t>
  </si>
  <si>
    <t>GFxYpGDua6boNBmUh7WiWkvckmyZEkaHW5J4hE1Xpump</t>
  </si>
  <si>
    <t>USA</t>
  </si>
  <si>
    <t>0.000110</t>
  </si>
  <si>
    <t>-0.106 SOL</t>
  </si>
  <si>
    <t>-51.51%</t>
  </si>
  <si>
    <t>30.10.2024 15:48:47</t>
  </si>
  <si>
    <t xml:space="preserve">         58K            56K             4K</t>
  </si>
  <si>
    <t>Aws17M8eUvZxc5LZ23YQfuFj9u3iN5PMgJtPFxfxpump</t>
  </si>
  <si>
    <t>Bucky</t>
  </si>
  <si>
    <t>0.083 SOL</t>
  </si>
  <si>
    <t>-0.017 SOL</t>
  </si>
  <si>
    <t>-17.02%</t>
  </si>
  <si>
    <t>30.10.2024 15:38:38</t>
  </si>
  <si>
    <t xml:space="preserve">        164K           164K             9K</t>
  </si>
  <si>
    <t>C8w46V4sR4yph3JajsdV75wwpsAoxncrPUfkiJCtTUjM</t>
  </si>
  <si>
    <t>3,015,615</t>
  </si>
  <si>
    <t>30.10.2024 15:32:30</t>
  </si>
  <si>
    <t xml:space="preserve">          5K             5K             3K</t>
  </si>
  <si>
    <t>7FksGFdBunWuRpAJBrDkfEM2hGbHUPGtP1x4Gt4vpump</t>
  </si>
  <si>
    <t>OMNI</t>
  </si>
  <si>
    <t>1,111,166</t>
  </si>
  <si>
    <t>30.10.2024 12:04:22</t>
  </si>
  <si>
    <t xml:space="preserve">         16K            16K             3K</t>
  </si>
  <si>
    <t>3a23hdFRaMhqy9Q5P684U69r2GNzWDoxAYJpHjmmpump</t>
  </si>
  <si>
    <t>AURA</t>
  </si>
  <si>
    <t>149,356</t>
  </si>
  <si>
    <t>30.10.2024 11:12:40</t>
  </si>
  <si>
    <t xml:space="preserve">        118K           118K             5K</t>
  </si>
  <si>
    <t>8sdB4SieY1dMCPofU8Zh6QaYbk4ZBQiYXbtVQkaApump</t>
  </si>
  <si>
    <t>America</t>
  </si>
  <si>
    <t>0.000160</t>
  </si>
  <si>
    <t>0.795 SOL</t>
  </si>
  <si>
    <t>694.08%</t>
  </si>
  <si>
    <t>30.10.2024 08:10:30</t>
  </si>
  <si>
    <t xml:space="preserve">         88K            88K           452K</t>
  </si>
  <si>
    <t>6LJaNpynfDj5dX1dJ2sdGDqmUzkqsVGCza5WLr5Npump</t>
  </si>
  <si>
    <t>WYR</t>
  </si>
  <si>
    <t>275,027</t>
  </si>
  <si>
    <t>30.10.2024 07:44:37</t>
  </si>
  <si>
    <t xml:space="preserve">         63K            63K             5K</t>
  </si>
  <si>
    <t>2CtwtX2A3jXgxG8WFJThQiNZpHzvqiCVwNU4za9fWH23</t>
  </si>
  <si>
    <t>TIZZY</t>
  </si>
  <si>
    <t>158,801</t>
  </si>
  <si>
    <t>30.10.2024 06:53:50</t>
  </si>
  <si>
    <t xml:space="preserve">        111K           111K             4K</t>
  </si>
  <si>
    <t>g6NSpJRmMvchtfcG6SxyCwRz9DQFMMKUBAEv5v7pump</t>
  </si>
  <si>
    <t>Himeno AI</t>
  </si>
  <si>
    <t>-0.006 SOL</t>
  </si>
  <si>
    <t>-5.59%</t>
  </si>
  <si>
    <t>30.10.2024 06:43:25</t>
  </si>
  <si>
    <t xml:space="preserve">         91K           172K            11K</t>
  </si>
  <si>
    <t>HcisYtXpJ9r4uUjPadfaJQiKCyT21wuQ1hNg2NAypump</t>
  </si>
  <si>
    <t>Joi</t>
  </si>
  <si>
    <t>0.000220</t>
  </si>
  <si>
    <t>0.225 SOL</t>
  </si>
  <si>
    <t>12.23%</t>
  </si>
  <si>
    <t>30.10.2024 06:37:08</t>
  </si>
  <si>
    <t xml:space="preserve">         67K            69K           108K</t>
  </si>
  <si>
    <t>2GU2KM9mx4aXuMcD596KN5LPQpyTLsmswutjis7upump</t>
  </si>
  <si>
    <t>AINSEM</t>
  </si>
  <si>
    <t>0.22%</t>
  </si>
  <si>
    <t>30.10.2024 04:45:38</t>
  </si>
  <si>
    <t xml:space="preserve">         81K            81K             6K</t>
  </si>
  <si>
    <t>6wBkbf9697vSZ8rS8vTFJVKvxPLaW35zSRqg3iXpump</t>
  </si>
  <si>
    <t>Banana</t>
  </si>
  <si>
    <t>0.101 SOL</t>
  </si>
  <si>
    <t>0.001 SOL</t>
  </si>
  <si>
    <t>0.91%</t>
  </si>
  <si>
    <t>30.10.2024 03:56:37</t>
  </si>
  <si>
    <t xml:space="preserve">        134K           271K            17K</t>
  </si>
  <si>
    <t>DZNk7E8KdF9vRpP2Hk5gR9CtkkjTteA2FDFw3wUvpump</t>
  </si>
  <si>
    <t>DOGGY</t>
  </si>
  <si>
    <t>208,800</t>
  </si>
  <si>
    <t>30.10.2024 03:33:37</t>
  </si>
  <si>
    <t xml:space="preserve">         84K            84K             3K</t>
  </si>
  <si>
    <t>FGjDi7mTBsniSdcB1TcBZjuDCAvhRoqmE7EhrXr6pump</t>
  </si>
  <si>
    <t>67,572</t>
  </si>
  <si>
    <t>30.10.2024 03:06:18</t>
  </si>
  <si>
    <t xml:space="preserve">        260K           260K             7K</t>
  </si>
  <si>
    <t>EfgUrxH8LSk4gJBfULwW7GEAFekUULkK6DWjJdQLpump</t>
  </si>
  <si>
    <t>Ainime</t>
  </si>
  <si>
    <t>268,195</t>
  </si>
  <si>
    <t>30.10.2024 03:05:10</t>
  </si>
  <si>
    <t xml:space="preserve">         65K            65K             3K</t>
  </si>
  <si>
    <t>GbsDEf8p82zziXK6Lf5B1qYcQ4kBeJii1yQ2bSbpump</t>
  </si>
  <si>
    <t>GUESS</t>
  </si>
  <si>
    <t>0.112 SOL</t>
  </si>
  <si>
    <t>11.77%</t>
  </si>
  <si>
    <t>30.10.2024 02:36:36</t>
  </si>
  <si>
    <t xml:space="preserve">         74K           165K             4K</t>
  </si>
  <si>
    <t>4KRD6qE4wYm76ET284aqt6VCkfi4EjuCLMKt4UBipump</t>
  </si>
  <si>
    <t>Cop</t>
  </si>
  <si>
    <t>298,265</t>
  </si>
  <si>
    <t>30.10.2024 01:32:04</t>
  </si>
  <si>
    <t xml:space="preserve">         60K            60K             3K</t>
  </si>
  <si>
    <t>DjNffyojgwGTHk3PLFxLwJYPgRZL8B3L7M5hLUD5pump</t>
  </si>
  <si>
    <t>Moofia</t>
  </si>
  <si>
    <t>47,244</t>
  </si>
  <si>
    <t>30.10.2024 01:18:55</t>
  </si>
  <si>
    <t xml:space="preserve">        373K           373K             5K</t>
  </si>
  <si>
    <t>3TuNSRkKjvh8iu67xgUSrqJCiXCX5eW6F3GDTy9Fpump</t>
  </si>
  <si>
    <t>DONKEY</t>
  </si>
  <si>
    <t>111,873</t>
  </si>
  <si>
    <t>30.10.2024 01:18:40</t>
  </si>
  <si>
    <t xml:space="preserve">        157K           157K             3K</t>
  </si>
  <si>
    <t>H43yVAmXnZRs4MUDKzcJFueVW23kMSDvP2xHY3e3pump</t>
  </si>
  <si>
    <t>PINKO</t>
  </si>
  <si>
    <t>117,703</t>
  </si>
  <si>
    <t>30.10.2024 01:12:38</t>
  </si>
  <si>
    <t>2W5pZVbUQcFdhhezzNbuwEvYK5ZYpc3yebGLkkm8pump</t>
  </si>
  <si>
    <t>GORF</t>
  </si>
  <si>
    <t>253,288</t>
  </si>
  <si>
    <t>29.10.2024 15:21:50</t>
  </si>
  <si>
    <t xml:space="preserve">         69K            69K             4K</t>
  </si>
  <si>
    <t>5JyTUrL9ZBvyA1dwUSw9XLZwkDLFjFHfm1ghVd9Vpump</t>
  </si>
  <si>
    <t>MOLANG</t>
  </si>
  <si>
    <t>0.157 SOL</t>
  </si>
  <si>
    <t>0.057 SOL</t>
  </si>
  <si>
    <t>56.44%</t>
  </si>
  <si>
    <t>29.10.2024 14:35:18</t>
  </si>
  <si>
    <t>FAS87Vmmejcf5RBtpfGZ8vPAjR2VuUZJ6Sojf8Jgpump</t>
  </si>
  <si>
    <t>PRIYA</t>
  </si>
  <si>
    <t>0.047 SOL</t>
  </si>
  <si>
    <t>46.72%</t>
  </si>
  <si>
    <t>29.10.2024 14:12:21</t>
  </si>
  <si>
    <t xml:space="preserve">         46K            46K             4K</t>
  </si>
  <si>
    <t>9ej363VCux3fGh9P3nZon5v6FVBWHP5BJUweBraxpump</t>
  </si>
  <si>
    <t>pixy</t>
  </si>
  <si>
    <t>-0.012 SOL</t>
  </si>
  <si>
    <t>-11.50%</t>
  </si>
  <si>
    <t>29.10.2024 12:52:27</t>
  </si>
  <si>
    <t xml:space="preserve">         69K            69K             7K</t>
  </si>
  <si>
    <t>EegQmCFNWdhZsh75XUdW2TaM8S13LAGf6JzNgHpxpump</t>
  </si>
  <si>
    <t>Tsuma</t>
  </si>
  <si>
    <t>63,958</t>
  </si>
  <si>
    <t>29.10.2024 12:50:04</t>
  </si>
  <si>
    <t xml:space="preserve">        274K           274K             8K</t>
  </si>
  <si>
    <t>7JmFkkvxffC1RjnYoAJQyMWemMREfuq64SDk1Urdpump</t>
  </si>
  <si>
    <t>SOLLUMINAT</t>
  </si>
  <si>
    <t>270,269</t>
  </si>
  <si>
    <t>29.10.2024 12:46:08</t>
  </si>
  <si>
    <t>14no8dPgdrhbfduPAsrJSwngiFEB1yeBnnsxRFHRpump</t>
  </si>
  <si>
    <t>Beli</t>
  </si>
  <si>
    <t>123,837</t>
  </si>
  <si>
    <t>29.10.2024 12:22:11</t>
  </si>
  <si>
    <t xml:space="preserve">        142K           142K             5K</t>
  </si>
  <si>
    <t>6LhvoAHTJbHR5U8f72mt75rYWpfGNckSnogFuRCLpump</t>
  </si>
  <si>
    <t>ANDYCHAOS</t>
  </si>
  <si>
    <t>204.14%</t>
  </si>
  <si>
    <t>29.10.2024 12:05:44</t>
  </si>
  <si>
    <t xml:space="preserve">         16K            95K            31K</t>
  </si>
  <si>
    <t>FaGU9cdfdRpy3LREbwMzES2pGCNJGKfMYMeDWx8Jpump</t>
  </si>
  <si>
    <t>-0.066 SOL</t>
  </si>
  <si>
    <t>-65.89%</t>
  </si>
  <si>
    <t>29.10.2024 12:04:31</t>
  </si>
  <si>
    <t xml:space="preserve">          2M           646K           338K</t>
  </si>
  <si>
    <t>JINX</t>
  </si>
  <si>
    <t>172,629</t>
  </si>
  <si>
    <t>29.10.2024 10:35:50</t>
  </si>
  <si>
    <t xml:space="preserve">        102K           102K             4K</t>
  </si>
  <si>
    <t>AUvHzBSkLZLU2pZJcGPiLWkETj9oLjP74P6sWmjwpump</t>
  </si>
  <si>
    <t>Maia</t>
  </si>
  <si>
    <t>0.09%</t>
  </si>
  <si>
    <t>29.10.2024 09:58:43</t>
  </si>
  <si>
    <t xml:space="preserve">         51K            51K             5K</t>
  </si>
  <si>
    <t>GRWYUdAuWNzAWUCjCVCgaWwQYg5CD6w7eJEEELjApump</t>
  </si>
  <si>
    <t>Bach</t>
  </si>
  <si>
    <t>0.104 SOL</t>
  </si>
  <si>
    <t>-71.22%</t>
  </si>
  <si>
    <t>29.10.2024 09:23:49</t>
  </si>
  <si>
    <t>14 min</t>
  </si>
  <si>
    <t>CzkLwfesBUx9fPc2A1TnB7R4Bbr22ZsDmZat9MKNpump</t>
  </si>
  <si>
    <t>0.041 SOL</t>
  </si>
  <si>
    <t>-0.063 SOL</t>
  </si>
  <si>
    <t>-60.74%</t>
  </si>
  <si>
    <t>29.10.2024 09:23:23</t>
  </si>
  <si>
    <t>XOXO</t>
  </si>
  <si>
    <t>-0.200 SOL</t>
  </si>
  <si>
    <t>750,106</t>
  </si>
  <si>
    <t>29.10.2024 09:22:28</t>
  </si>
  <si>
    <t>6ndx3p93ekUu94Y4mZAbEb4KENKFxcZ4H1mydda2pump</t>
  </si>
  <si>
    <t>ADIOS</t>
  </si>
  <si>
    <t>200,563</t>
  </si>
  <si>
    <t>29.10.2024 09:11:51</t>
  </si>
  <si>
    <t xml:space="preserve">         88K            88K            16K</t>
  </si>
  <si>
    <t>GzKSn2xXkpmSwSQMnFiXMKtCBu1TqiFRqGbDHZnGpump</t>
  </si>
  <si>
    <t>MOONKY</t>
  </si>
  <si>
    <t>-0.000 SOL</t>
  </si>
  <si>
    <t>-0.25%</t>
  </si>
  <si>
    <t>29.10.2024 09:06:35</t>
  </si>
  <si>
    <t xml:space="preserve">         71K           142K             7K</t>
  </si>
  <si>
    <t>EUNev5ZzXVf7WUUDEpyf3vm274XrHGchY57UNA1vpump</t>
  </si>
  <si>
    <t xml:space="preserve">SNAKE </t>
  </si>
  <si>
    <t>0.102 SOL</t>
  </si>
  <si>
    <t>2.07%</t>
  </si>
  <si>
    <t>29.10.2024 08:59:56</t>
  </si>
  <si>
    <t xml:space="preserve">         90K            90K             4K</t>
  </si>
  <si>
    <t>7xP9bo5H6PHYci64MbxZRUuESSSQEPnnwFNTFadrpump</t>
  </si>
  <si>
    <t>KOALZ</t>
  </si>
  <si>
    <t>0.151 SOL</t>
  </si>
  <si>
    <t>45.10%</t>
  </si>
  <si>
    <t>29.10.2024 08:56:41</t>
  </si>
  <si>
    <t xml:space="preserve">         39K            39K             5K</t>
  </si>
  <si>
    <t>KRG9RkAs7SjhLMgj6munGZ5HxtJfvotvJ8Dnr2Lpump</t>
  </si>
  <si>
    <t>Bats</t>
  </si>
  <si>
    <t>-21.64%</t>
  </si>
  <si>
    <t>29.10.2024 08:34:49</t>
  </si>
  <si>
    <t xml:space="preserve">         99K           153K             4K</t>
  </si>
  <si>
    <t>4eAAZNhcXrWkBj4c5T5k6CYDv8Un1Wgqp1B976Mopump</t>
  </si>
  <si>
    <t>LOOCEE</t>
  </si>
  <si>
    <t>-0.004 SOL</t>
  </si>
  <si>
    <t>-4.09%</t>
  </si>
  <si>
    <t>29.10.2024 08:32:01</t>
  </si>
  <si>
    <t xml:space="preserve">         81K           155K             4K</t>
  </si>
  <si>
    <t>3Yc2CDBBB6iew99m8FsXM4ZypuVD4EwowSDp8FWZpump</t>
  </si>
  <si>
    <t>MILA</t>
  </si>
  <si>
    <t>639,769</t>
  </si>
  <si>
    <t>29.10.2024 04:05:54</t>
  </si>
  <si>
    <t xml:space="preserve">         28K            28K             3K</t>
  </si>
  <si>
    <t>2GK7MQ5HpFY6NBYyNnoUMNwrt85doCeGg1qBLEhWpump</t>
  </si>
  <si>
    <t>324,786</t>
  </si>
  <si>
    <t>29.10.2024 04:04:29</t>
  </si>
  <si>
    <t xml:space="preserve">         55K            55K             5K</t>
  </si>
  <si>
    <t>ATamGjGr5SsCNeJMAGhSGMQkBiuySNevrCFb5c6dpump</t>
  </si>
  <si>
    <t>MADDIE</t>
  </si>
  <si>
    <t>151,049</t>
  </si>
  <si>
    <t>29.10.2024 03:19:47</t>
  </si>
  <si>
    <t xml:space="preserve">        116K           116K             3K</t>
  </si>
  <si>
    <t>4NESDJWK9dGhyY2KSPEVC6qgYx3sUAZPoyu2GDLRw83V</t>
  </si>
  <si>
    <t>DORK</t>
  </si>
  <si>
    <t>0.146 SOL</t>
  </si>
  <si>
    <t>46.12%</t>
  </si>
  <si>
    <t>29.10.2024 02:57:03</t>
  </si>
  <si>
    <t>48 min</t>
  </si>
  <si>
    <t xml:space="preserve">         88K            88K             4K</t>
  </si>
  <si>
    <t>DfBqGweEWB5GPXFCGrPD6ZZpcDY6Jqex6MbYfZM6pump</t>
  </si>
  <si>
    <t>CL</t>
  </si>
  <si>
    <t>0.062 SOL</t>
  </si>
  <si>
    <t>-0.038 SOL</t>
  </si>
  <si>
    <t>-37.69%</t>
  </si>
  <si>
    <t>29.10.2024 02:56:50</t>
  </si>
  <si>
    <t xml:space="preserve">        373K           373K             8K</t>
  </si>
  <si>
    <t>BDZzdwcgB1e2bdetk5cE2LRj1z6J9kKSkeAoVAEbpump</t>
  </si>
  <si>
    <t>i/Monkeys</t>
  </si>
  <si>
    <t>191,746</t>
  </si>
  <si>
    <t>29.10.2024 02:41:55</t>
  </si>
  <si>
    <t xml:space="preserve">         91K            91K             3K</t>
  </si>
  <si>
    <t>4zXZQ35c2pGa1fJSquw7f19ioAMRF7N8zdR7UmwPpump</t>
  </si>
  <si>
    <t>BOAI</t>
  </si>
  <si>
    <t>-5.51%</t>
  </si>
  <si>
    <t>29.10.2024 02:28:43</t>
  </si>
  <si>
    <t xml:space="preserve">         86K           162K             3K</t>
  </si>
  <si>
    <t>GXRfFhgW35oZn1hLAbcSsWhTu7a6WxHVZoWLagCZpump</t>
  </si>
  <si>
    <t>LAND</t>
  </si>
  <si>
    <t>0.133 SOL</t>
  </si>
  <si>
    <t>32.91%</t>
  </si>
  <si>
    <t>29.10.2024 02:24:32</t>
  </si>
  <si>
    <t xml:space="preserve">        193K           257K             3K</t>
  </si>
  <si>
    <t>3XDeFxhcKcn6NtEVM7T3vbBCxjxr3u9Mn2SvwQQdpump</t>
  </si>
  <si>
    <t>Goat123</t>
  </si>
  <si>
    <t>0.019 SOL</t>
  </si>
  <si>
    <t>-81.18%</t>
  </si>
  <si>
    <t>29.10.2024 02:15:02</t>
  </si>
  <si>
    <t xml:space="preserve">         86K            16K             4K</t>
  </si>
  <si>
    <t>66Yn3HoKojsWiaYyjL6Z8PvoQ8HsR7hjdcmP4pp5pump</t>
  </si>
  <si>
    <t xml:space="preserve">ghoul </t>
  </si>
  <si>
    <t>0.052 SOL</t>
  </si>
  <si>
    <t>-48.09%</t>
  </si>
  <si>
    <t>29.10.2024 02:10:54</t>
  </si>
  <si>
    <t xml:space="preserve">         69K            69K             6K</t>
  </si>
  <si>
    <t>EupmmrNQSewKNoP9T8hdLGH9jfyoqPGxrsVYU4qjpump</t>
  </si>
  <si>
    <t>HALLOWEEN</t>
  </si>
  <si>
    <t>0.015 SOL</t>
  </si>
  <si>
    <t>14.57%</t>
  </si>
  <si>
    <t>29.10.2024 02:06:37</t>
  </si>
  <si>
    <t>15 hours</t>
  </si>
  <si>
    <t xml:space="preserve">         83K           130K            33K</t>
  </si>
  <si>
    <t>DyeHc9qmeFmTVL7i9RGwap34dtHQhUWtHJMnYPbopump</t>
  </si>
  <si>
    <t>IB</t>
  </si>
  <si>
    <t>-0.040 SOL</t>
  </si>
  <si>
    <t>-39.75%</t>
  </si>
  <si>
    <t>29.10.2024 02:06:24</t>
  </si>
  <si>
    <t xml:space="preserve">         30K            18K             3K</t>
  </si>
  <si>
    <t>HDywuSHABFMmWot8YY2utXD3U2baky3mtCvEyRPnpump</t>
  </si>
  <si>
    <t>0.004 SOL</t>
  </si>
  <si>
    <t>29.10.2024 02:06:08</t>
  </si>
  <si>
    <t xml:space="preserve">        100K           100K            24K</t>
  </si>
  <si>
    <t>5igPsKHquNAYitDfDxwZFbr7iVPfuw3LVzwjX17zpump</t>
  </si>
  <si>
    <t>FERRIS</t>
  </si>
  <si>
    <t>-67.29%</t>
  </si>
  <si>
    <t>29.10.2024 02:05:47</t>
  </si>
  <si>
    <t xml:space="preserve">        149K            49K             4K</t>
  </si>
  <si>
    <t>7ZFmpe9zrBiNtjeU4C3U22hTTDTsndS9Lm1xu724pump</t>
  </si>
  <si>
    <t>Vitardio</t>
  </si>
  <si>
    <t>0.313 SOL</t>
  </si>
  <si>
    <t>56.59%</t>
  </si>
  <si>
    <t>29.10.2024 02:01:17</t>
  </si>
  <si>
    <t xml:space="preserve">         65K           141K             5K</t>
  </si>
  <si>
    <t>C82MCUQJq4BWyPV9E2QKmiLWsrzey6Kq6B7Ay2xapump</t>
  </si>
  <si>
    <t>TDK</t>
  </si>
  <si>
    <t>202,095</t>
  </si>
  <si>
    <t>29.10.2024 01:38:33</t>
  </si>
  <si>
    <t xml:space="preserve">         86K            86K             3K</t>
  </si>
  <si>
    <t>6FuA9X6D7NXkNNttaQ7yf8n5JbyWtUujkuN8D2gWpump</t>
  </si>
  <si>
    <t xml:space="preserve">TOAD </t>
  </si>
  <si>
    <t>0.203 SOL</t>
  </si>
  <si>
    <t>0.103 SOL</t>
  </si>
  <si>
    <t>102.52%</t>
  </si>
  <si>
    <t>29.10.2024 01:21:10</t>
  </si>
  <si>
    <t>14 hours</t>
  </si>
  <si>
    <t xml:space="preserve">        116K           211K            36K</t>
  </si>
  <si>
    <t>6QaZjD1aRmfyCWS31r4GTMq5ULKNLHDkPudUd3oYpump</t>
  </si>
  <si>
    <t>FomoAI</t>
  </si>
  <si>
    <t>0.087 SOL</t>
  </si>
  <si>
    <t>-16.05%</t>
  </si>
  <si>
    <t>28.10.2024 23:31:05</t>
  </si>
  <si>
    <t>FgLkC3x8US7UScQqjbqAbwSxb5gfcf8c5CCT6Gk7pump</t>
  </si>
  <si>
    <t>0.000330</t>
  </si>
  <si>
    <t>15.726 SOL</t>
  </si>
  <si>
    <t>15.525 SOL</t>
  </si>
  <si>
    <t>7749.81%</t>
  </si>
  <si>
    <t>28.10.2024 14:04:01</t>
  </si>
  <si>
    <t xml:space="preserve">          3M            42K           212K</t>
  </si>
  <si>
    <t>VESPERA</t>
  </si>
  <si>
    <t>0.175 SOL</t>
  </si>
  <si>
    <t>0.074 SOL</t>
  </si>
  <si>
    <t>74.38%</t>
  </si>
  <si>
    <t>28.10.2024 14:01:43</t>
  </si>
  <si>
    <t xml:space="preserve">         54K           192K             4K</t>
  </si>
  <si>
    <t>8ogBUvzZNPzo7FcsGHi6LCVBHrmL94ZVz7DynnTRpump</t>
  </si>
  <si>
    <t>MAGADOG</t>
  </si>
  <si>
    <t>128,916</t>
  </si>
  <si>
    <t>28.10.2024 13:58:03</t>
  </si>
  <si>
    <t xml:space="preserve">        137K           137K             3K</t>
  </si>
  <si>
    <t>7n1y1dwSQdfZLH45t3LqbYfK74Ewn1s1eL2ozDgupump</t>
  </si>
  <si>
    <t>ABE</t>
  </si>
  <si>
    <t>260,186</t>
  </si>
  <si>
    <t>28.10.2024 13:54:22</t>
  </si>
  <si>
    <t xml:space="preserve">         67K            67K             3K</t>
  </si>
  <si>
    <t>QWpJTGdrPnjJpqDBrC5onXwRPtyZhwEvwrbUYxHpump</t>
  </si>
  <si>
    <t>Rik</t>
  </si>
  <si>
    <t>485,976</t>
  </si>
  <si>
    <t>28.10.2024 12:41:04</t>
  </si>
  <si>
    <t xml:space="preserve">         72K            72K             4K</t>
  </si>
  <si>
    <t>3qYVvs3NT2tvBwYe5KSmDMZDWwVbAsJq6aTAC95opump</t>
  </si>
  <si>
    <t>0.281 SOL</t>
  </si>
  <si>
    <t>0.180 SOL</t>
  </si>
  <si>
    <t>180.13%</t>
  </si>
  <si>
    <t>28.10.2024 12:35:51</t>
  </si>
  <si>
    <t xml:space="preserve">        115K           292K             9K</t>
  </si>
  <si>
    <t>realtardio</t>
  </si>
  <si>
    <t>275,630</t>
  </si>
  <si>
    <t>28.10.2024 12:30:47</t>
  </si>
  <si>
    <t xml:space="preserve">         63K            63K             4K</t>
  </si>
  <si>
    <t>D2As5feEj3kJ1BKJwakNasNh9XD8emb5791RuU8Apump</t>
  </si>
  <si>
    <t>Jefry</t>
  </si>
  <si>
    <t>188,323</t>
  </si>
  <si>
    <t>28.10.2024 10:49:04</t>
  </si>
  <si>
    <t xml:space="preserve">         93K            93K             4K</t>
  </si>
  <si>
    <t>AcB7DtVYAejFpajuvRgyQoHcdSrVzypbVDvG7Avcpump</t>
  </si>
  <si>
    <t>OKAYEG</t>
  </si>
  <si>
    <t>185,712</t>
  </si>
  <si>
    <t>28.10.2024 10:38:42</t>
  </si>
  <si>
    <t xml:space="preserve">         95K            95K             4K</t>
  </si>
  <si>
    <t>BMtTHjGCpkz1fRtfoTDyvhdB5vo1imxZv8RkpT93pump</t>
  </si>
  <si>
    <t>ai.exe</t>
  </si>
  <si>
    <t>500,703</t>
  </si>
  <si>
    <t>28.10.2024 07:47:46</t>
  </si>
  <si>
    <t>EdBp881A1DrBdZYJuQqtDC8DxwaepBEh6uuvjXvMpump</t>
  </si>
  <si>
    <t>BIRDIE</t>
  </si>
  <si>
    <t>159,622</t>
  </si>
  <si>
    <t>28.10.2024 07:43:39</t>
  </si>
  <si>
    <t xml:space="preserve">        111K           111K             3K</t>
  </si>
  <si>
    <t>3Dwg9MtA8rSsXQUDYv67KA63g6yWDGgrFzYKQ4z7pump</t>
  </si>
  <si>
    <t>SCAT</t>
  </si>
  <si>
    <t>45,746</t>
  </si>
  <si>
    <t>28.10.2024 07:01:59</t>
  </si>
  <si>
    <t xml:space="preserve">        385K           385K             4K</t>
  </si>
  <si>
    <t>EEvAzgVykroPTytRm1NxR4pJrVdT4784CMXbMneMpump</t>
  </si>
  <si>
    <t>BITCHBOT</t>
  </si>
  <si>
    <t>0.091 SOL</t>
  </si>
  <si>
    <t>-0.009 SOL</t>
  </si>
  <si>
    <t>-9.36%</t>
  </si>
  <si>
    <t>28.10.2024 06:46:59</t>
  </si>
  <si>
    <t xml:space="preserve">        120K           216K            18K</t>
  </si>
  <si>
    <t>6ec1k1xF46XRdCupyc44MzcmL2Yi4WVP3F9NC4Snpump</t>
  </si>
  <si>
    <t>DarkSMA</t>
  </si>
  <si>
    <t>0.154 SOL</t>
  </si>
  <si>
    <t>0.054 SOL</t>
  </si>
  <si>
    <t>54.10%</t>
  </si>
  <si>
    <t>28.10.2024 06:42:04</t>
  </si>
  <si>
    <t xml:space="preserve">        134K           197K            40K</t>
  </si>
  <si>
    <t>ABSLrvYqSfJKhXJGnigaNaEB7rmgsGQH4VZY8Nf2pump</t>
  </si>
  <si>
    <t>27.50%</t>
  </si>
  <si>
    <t>28.10.2024 06:29:10</t>
  </si>
  <si>
    <t xml:space="preserve">         77K           195K             7K</t>
  </si>
  <si>
    <t>ACro3rVwnm78KTw2ZChs3xP9Z5VEzMaS3r9PZR2DFEuL</t>
  </si>
  <si>
    <t>124,949</t>
  </si>
  <si>
    <t>28.10.2024 06:28:20</t>
  </si>
  <si>
    <t xml:space="preserve">        141K           141K             6K</t>
  </si>
  <si>
    <t>EtSwvU5SyAsYZqoJ4MXM45APMgTgzp1g3a1dDc6Spump</t>
  </si>
  <si>
    <t>MTI</t>
  </si>
  <si>
    <t>113,621</t>
  </si>
  <si>
    <t>28.10.2024 06:18:11</t>
  </si>
  <si>
    <t xml:space="preserve">        155K           155K             4K</t>
  </si>
  <si>
    <t>67x3kZxv9uW2joveNJTUcA4NhD54XeArVrT1pJ1Cpump</t>
  </si>
  <si>
    <t>MemeAi</t>
  </si>
  <si>
    <t>1.26%</t>
  </si>
  <si>
    <t>28.10.2024 05:44:15</t>
  </si>
  <si>
    <t xml:space="preserve">         47K            95K             4K</t>
  </si>
  <si>
    <t>14b2PNaerPw218YqJj763rsSe9cESu8CfUXe8M7cpump</t>
  </si>
  <si>
    <t xml:space="preserve">ALTERA </t>
  </si>
  <si>
    <t>233.72%</t>
  </si>
  <si>
    <t>28.10.2024 05:43:28</t>
  </si>
  <si>
    <t xml:space="preserve">         16K            32K             7K</t>
  </si>
  <si>
    <t>8gvfbUZ1X7RbkD8Z1PLFgDJHoft1jNeweBu97JiWpump</t>
  </si>
  <si>
    <t>AAA</t>
  </si>
  <si>
    <t>200,319</t>
  </si>
  <si>
    <t>28.10.2024 03:54:47</t>
  </si>
  <si>
    <t xml:space="preserve">         88K            88K             3K</t>
  </si>
  <si>
    <t>F87HPcxdor2M51kdAMAnQpXmYbP1WJAx1N7qf4wFpump</t>
  </si>
  <si>
    <t>LOOPY</t>
  </si>
  <si>
    <t>195,833</t>
  </si>
  <si>
    <t>28.10.2024 03:28:37</t>
  </si>
  <si>
    <t>3RCpUT1yN5bLKsKqy2vcNidogbvPnzp3hvv8MFvBpump</t>
  </si>
  <si>
    <t>874,572</t>
  </si>
  <si>
    <t>28.10.2024 03:21:29</t>
  </si>
  <si>
    <t xml:space="preserve">         19K            19K             3K</t>
  </si>
  <si>
    <t>A4K24HRdxpJcaBJYHkaLacB8PfxX8DkF7SLBkiKFpump</t>
  </si>
  <si>
    <t>828,734</t>
  </si>
  <si>
    <t>28.10.2024 03:00:41</t>
  </si>
  <si>
    <t>GA48z727YVddKJY83N2o6rpFPDq3NGibGCu7XThHpump</t>
  </si>
  <si>
    <t>HODL</t>
  </si>
  <si>
    <t>1.09%</t>
  </si>
  <si>
    <t>28.10.2024 02:42:52</t>
  </si>
  <si>
    <t xml:space="preserve">         39K            39K            24K</t>
  </si>
  <si>
    <t>4H2kQgC4hdt35AryM4NjB6RoNuuX4WR6fRMQ4cqcg1zr</t>
  </si>
  <si>
    <t>HULK</t>
  </si>
  <si>
    <t>106,758</t>
  </si>
  <si>
    <t>28.10.2024 02:33:16</t>
  </si>
  <si>
    <t xml:space="preserve">        165K           165K             7K</t>
  </si>
  <si>
    <t>3tEp4x3wJVan8VRrsaiyqnL1AgeUsE251PifaGVFpump</t>
  </si>
  <si>
    <t>usag</t>
  </si>
  <si>
    <t>188,906</t>
  </si>
  <si>
    <t>28.10.2024 02:18:54</t>
  </si>
  <si>
    <t>3DnjL3j5UZmmiUoDMKcN98gSKwkqkm7gSj7APgYzpump</t>
  </si>
  <si>
    <t>Clifford</t>
  </si>
  <si>
    <t>-8.86%</t>
  </si>
  <si>
    <t>28.10.2024 02:10:10</t>
  </si>
  <si>
    <t xml:space="preserve">         88K           160K             4K</t>
  </si>
  <si>
    <t>HDmA5XhTeDfkkFA7a9zXwF7bZTk1QooQFzzciuJ4pump</t>
  </si>
  <si>
    <t>gigadoge</t>
  </si>
  <si>
    <t>0.094 SOL</t>
  </si>
  <si>
    <t>-0.406 SOL</t>
  </si>
  <si>
    <t>-81.11%</t>
  </si>
  <si>
    <t>28.10.2024 02:04:46</t>
  </si>
  <si>
    <t xml:space="preserve">        113K            25K             4K</t>
  </si>
  <si>
    <t>3yaZcrCe2SFzjwx66Z8VUXde97DkZPicBXmd8C3zpump</t>
  </si>
  <si>
    <t>WokeAI</t>
  </si>
  <si>
    <t>165,223</t>
  </si>
  <si>
    <t>28.10.2024 01:14:22</t>
  </si>
  <si>
    <t xml:space="preserve">        107K           107K             5K</t>
  </si>
  <si>
    <t>3tHs2TJN5cKkLy9fFggqcAm5PxwdXvheEiidrTqopump</t>
  </si>
  <si>
    <t>-61.87%</t>
  </si>
  <si>
    <t>28.10.2024 01:01:01</t>
  </si>
  <si>
    <t xml:space="preserve">         72K            72K            14K</t>
  </si>
  <si>
    <t>WOKE</t>
  </si>
  <si>
    <t>0.226 SOL</t>
  </si>
  <si>
    <t>0.125 SOL</t>
  </si>
  <si>
    <t>125.13%</t>
  </si>
  <si>
    <t>28.10.2024 00:58:46</t>
  </si>
  <si>
    <t xml:space="preserve">         44K            97K           316K</t>
  </si>
  <si>
    <t>BTEjmkqmbBufmQtve8GoYYaTgVauuwgj6jh4JSEXpump</t>
  </si>
  <si>
    <t>drill</t>
  </si>
  <si>
    <t>0.084 SOL</t>
  </si>
  <si>
    <t>-19.17%</t>
  </si>
  <si>
    <t>28.10.2024 00:58:29</t>
  </si>
  <si>
    <t>7aWg9byG12eCs7wftnQcjppAA2xAb41fkJyxTyyWpump</t>
  </si>
  <si>
    <t>confucio</t>
  </si>
  <si>
    <t>-0.046 SOL</t>
  </si>
  <si>
    <t>-46.20%</t>
  </si>
  <si>
    <t>27.10.2024 23:38:06</t>
  </si>
  <si>
    <t xml:space="preserve">          9K             5K             3K</t>
  </si>
  <si>
    <t>EhG22KykyRwvFist258V14pDiUuW8eBcZjynz7PKpump</t>
  </si>
  <si>
    <t>$AOS</t>
  </si>
  <si>
    <t>225,982</t>
  </si>
  <si>
    <t>27.10.2024 23:33:58</t>
  </si>
  <si>
    <t xml:space="preserve">         77K            77K             4K</t>
  </si>
  <si>
    <t>3yQzngtoYvfzLZg4swkf4degmY8cPpC44fV7taxspump</t>
  </si>
  <si>
    <t>stickbug</t>
  </si>
  <si>
    <t>0.545 SOL</t>
  </si>
  <si>
    <t>81.52%</t>
  </si>
  <si>
    <t>27.10.2024 23:30:40</t>
  </si>
  <si>
    <t xml:space="preserve">        138K            51K           146K</t>
  </si>
  <si>
    <t>Ehxi6CznHg8VnnqTRdRkiLT7cuniYaVS3f4wK5Dhpump</t>
  </si>
  <si>
    <t>CHALCIS</t>
  </si>
  <si>
    <t>0.006 SOL</t>
  </si>
  <si>
    <t>6.32%</t>
  </si>
  <si>
    <t>27.10.2024 16:08:03</t>
  </si>
  <si>
    <t xml:space="preserve">         42K            42K             5K</t>
  </si>
  <si>
    <t>AJLLXE78sr7uYXM1JSFdMMJ8UdxiXutGGqsK6eZ3pump</t>
  </si>
  <si>
    <t>117,981</t>
  </si>
  <si>
    <t>27.10.2024 15:23:35</t>
  </si>
  <si>
    <t xml:space="preserve">        150K           150K             6K</t>
  </si>
  <si>
    <t>PUMPAI</t>
  </si>
  <si>
    <t>0.243 SOL</t>
  </si>
  <si>
    <t>242.54%</t>
  </si>
  <si>
    <t>27.10.2024 15:13:12</t>
  </si>
  <si>
    <t xml:space="preserve">        179K           500K            32K</t>
  </si>
  <si>
    <t>hf8aYwMK2cYv7t4uUhUAqpdwTS3sja2z9RJMQZ2pump</t>
  </si>
  <si>
    <t>236,618</t>
  </si>
  <si>
    <t>27.10.2024 13:35:13</t>
  </si>
  <si>
    <t xml:space="preserve">         74K            74K             3K</t>
  </si>
  <si>
    <t>95obaZENTFCTKoK7ntRbtN5sfECDzcnh7m5ZJPjDpump</t>
  </si>
  <si>
    <t>Dalmy</t>
  </si>
  <si>
    <t>202,255</t>
  </si>
  <si>
    <t>27.10.2024 08:46:53</t>
  </si>
  <si>
    <t>9KK8oX8UZdkdqiuDncVBuBvQYEr314NEhEHzcaKNpump</t>
  </si>
  <si>
    <t>BOBO</t>
  </si>
  <si>
    <t>185,786</t>
  </si>
  <si>
    <t>27.10.2024 07:49:12</t>
  </si>
  <si>
    <t xml:space="preserve">         95K            95K             3K</t>
  </si>
  <si>
    <t>CAbxMU9xP68JSnFW6JvRY6uHiQGMhhBNYuPVbbxspump</t>
  </si>
  <si>
    <t>monalisa</t>
  </si>
  <si>
    <t>330,583</t>
  </si>
  <si>
    <t>27.10.2024 07:41:04</t>
  </si>
  <si>
    <t xml:space="preserve">         53K            53K             4K</t>
  </si>
  <si>
    <t>8T9Km5VFPXPjCYp1A28UuUpZsKEHKJ4D2UraTbwXpump</t>
  </si>
  <si>
    <t>Edmond</t>
  </si>
  <si>
    <t>395,347</t>
  </si>
  <si>
    <t>27.10.2024 07:40:22</t>
  </si>
  <si>
    <t xml:space="preserve">         42K            42K             3K</t>
  </si>
  <si>
    <t>526EzgCsXB2L2Fu5ruyk8A2PDC89o3cTdeL7LFmpump</t>
  </si>
  <si>
    <t>a16z</t>
  </si>
  <si>
    <t>338,916</t>
  </si>
  <si>
    <t>27.10.2024 03:02:58</t>
  </si>
  <si>
    <t>2eifyf1ogN7QbUT2j7MEujtbQr3CstiiRZvnc4vrKXGs</t>
  </si>
  <si>
    <t>LEGO</t>
  </si>
  <si>
    <t>298,767</t>
  </si>
  <si>
    <t>27.10.2024 02:55:12</t>
  </si>
  <si>
    <t>EVJ4pJufCyfC5SLTGry6kRN9TzRxmWq2s955Hzpzpump</t>
  </si>
  <si>
    <t>Exocortex</t>
  </si>
  <si>
    <t>36,510</t>
  </si>
  <si>
    <t>27.10.2024 01:52:23</t>
  </si>
  <si>
    <t xml:space="preserve">        482K           482K             9K</t>
  </si>
  <si>
    <t>8afnLWPRCjvNfPPT8jP3R9DMiwE89pizGVtRw36Apump</t>
  </si>
  <si>
    <t>SOLANO</t>
  </si>
  <si>
    <t>-0.104 SOL</t>
  </si>
  <si>
    <t>1,537,182</t>
  </si>
  <si>
    <t>27.10.2024 01:44:33</t>
  </si>
  <si>
    <t xml:space="preserve">         12K            12K             5K</t>
  </si>
  <si>
    <t>AfwwNNsrDKMxujntsvaKG6XoWpz5gqiE2YXXM4Gpump</t>
  </si>
  <si>
    <t>PHEI</t>
  </si>
  <si>
    <t>-0.011 SOL</t>
  </si>
  <si>
    <t>-11.01%</t>
  </si>
  <si>
    <t>27.10.2024 01:43:48</t>
  </si>
  <si>
    <t xml:space="preserve">         90K           158K             4K</t>
  </si>
  <si>
    <t>95uzY9RSBZHwexTcLXrf9DZNao2JUVxakWWhpUxGpump</t>
  </si>
  <si>
    <t>ERROR</t>
  </si>
  <si>
    <t>0.051 SOL</t>
  </si>
  <si>
    <t>-74.33%</t>
  </si>
  <si>
    <t>27.10.2024 01:12:54</t>
  </si>
  <si>
    <t>4Cr1JQHduEPaVN9qE9PiErfNaqwZjLyg3QmegBLGpump</t>
  </si>
  <si>
    <t>Dan</t>
  </si>
  <si>
    <t>438,214</t>
  </si>
  <si>
    <t>26.10.2024 14:50:14</t>
  </si>
  <si>
    <t xml:space="preserve">         42K            42K             7K</t>
  </si>
  <si>
    <t>HE99z2j6EDKzMnscbxbYdipiWQyRDkx8kyDcpWKSUWSm</t>
  </si>
  <si>
    <t>95,454</t>
  </si>
  <si>
    <t>26.10.2024 14:44:16</t>
  </si>
  <si>
    <t xml:space="preserve">        185K           185K            14K</t>
  </si>
  <si>
    <t>Van</t>
  </si>
  <si>
    <t>113,278</t>
  </si>
  <si>
    <t>26.10.2024 14:28:21</t>
  </si>
  <si>
    <t xml:space="preserve">        155K           155K            20K</t>
  </si>
  <si>
    <t>3kq81R8jQ2njDUB5sX46WPDmamgJbNUfZf2h1DsYpump</t>
  </si>
  <si>
    <t>139,942</t>
  </si>
  <si>
    <t>26.10.2024 14:25:59</t>
  </si>
  <si>
    <t xml:space="preserve">        125K           125K            15K</t>
  </si>
  <si>
    <t>ELEGANS</t>
  </si>
  <si>
    <t>190,131</t>
  </si>
  <si>
    <t>26.10.2024 14:05:01</t>
  </si>
  <si>
    <t xml:space="preserve">         79K            79K             5K</t>
  </si>
  <si>
    <t>FaK5G1HPUDxs5guJoQnfDa64R3EMwTJ6qAByoymbpump</t>
  </si>
  <si>
    <t>KTVGIRL</t>
  </si>
  <si>
    <t>236,726</t>
  </si>
  <si>
    <t>26.10.2024 14:00:15</t>
  </si>
  <si>
    <t>4XudNQkZ6TkE6qwT1z9pZUfUCMw9xPrZZVDWmfntpump</t>
  </si>
  <si>
    <t>FATCOIN</t>
  </si>
  <si>
    <t>171,088</t>
  </si>
  <si>
    <t>26.10.2024 13:54:51</t>
  </si>
  <si>
    <t>2ZmaFdN4ZiHCE2S7MrxmftJpCWK3qKL3FQyPjXcWpump</t>
  </si>
  <si>
    <t>KYUUJA</t>
  </si>
  <si>
    <t>0.150 SOL</t>
  </si>
  <si>
    <t>0.070 SOL</t>
  </si>
  <si>
    <t>-0.080 SOL</t>
  </si>
  <si>
    <t>-53.30%</t>
  </si>
  <si>
    <t>26.10.2024 04:51:15</t>
  </si>
  <si>
    <t xml:space="preserve">         55K            51K            13K</t>
  </si>
  <si>
    <t>6BbsRCdCSN5ta2MaFmfuzsbu7FKrNHTvT656Bntzpump</t>
  </si>
  <si>
    <t>BOD</t>
  </si>
  <si>
    <t>0.829 SOL</t>
  </si>
  <si>
    <t>452.35%</t>
  </si>
  <si>
    <t>26.10.2024 04:38:36</t>
  </si>
  <si>
    <t xml:space="preserve">         81K           644K             6K</t>
  </si>
  <si>
    <t>De46TR1cNTF5D4GxVHMQkTnmZ6oUXHyXkxqWvUdwpump</t>
  </si>
  <si>
    <t>0.261 SOL</t>
  </si>
  <si>
    <t>0.061 SOL</t>
  </si>
  <si>
    <t>30.59%</t>
  </si>
  <si>
    <t>26.10.2024 04:34:12</t>
  </si>
  <si>
    <t xml:space="preserve">        320K           542K             7K</t>
  </si>
  <si>
    <t>gerber</t>
  </si>
  <si>
    <t>-0.003 SOL</t>
  </si>
  <si>
    <t>-3.46%</t>
  </si>
  <si>
    <t>26.10.2024 04:24:59</t>
  </si>
  <si>
    <t xml:space="preserve">         63K           121K             5K</t>
  </si>
  <si>
    <t>BhPngtgrDBdpmZrjfKBtcmQSP4RBmhzA1pAyUe3Kpump</t>
  </si>
  <si>
    <t>PS5</t>
  </si>
  <si>
    <t>-0.150 SOL</t>
  </si>
  <si>
    <t>465,384</t>
  </si>
  <si>
    <t>26.10.2024 03:28:08</t>
  </si>
  <si>
    <t xml:space="preserve">         56K            56K             3K</t>
  </si>
  <si>
    <t>APiR8o9A1884CLLRAqoj6q1JEHyd415upTkL7HH8pump</t>
  </si>
  <si>
    <t>Ralof</t>
  </si>
  <si>
    <t>642,448</t>
  </si>
  <si>
    <t>26.10.2024 03:24:32</t>
  </si>
  <si>
    <t>4ZkPRpZESieCSmBonquEQyK4L4f3PMhsjgu6yGTTpump</t>
  </si>
  <si>
    <t>EVIL</t>
  </si>
  <si>
    <t>0.063 SOL</t>
  </si>
  <si>
    <t>62.96%</t>
  </si>
  <si>
    <t>26.10.2024 03:16:57</t>
  </si>
  <si>
    <t>14LtyH1iZc9SkXJEvCSyzqb9iRHrSo3bBj8tu7m8pump</t>
  </si>
  <si>
    <t>WHISPER</t>
  </si>
  <si>
    <t>6.24%</t>
  </si>
  <si>
    <t>26.10.2024 03:09:52</t>
  </si>
  <si>
    <t xml:space="preserve">          1M             3M             4K</t>
  </si>
  <si>
    <t>BjkLiXHxastxjBQiJn9cmJFQqNBM8HdRcYPPrUSMpump</t>
  </si>
  <si>
    <t>RICHI</t>
  </si>
  <si>
    <t>385,854</t>
  </si>
  <si>
    <t>26.10.2024 03:07:47</t>
  </si>
  <si>
    <t xml:space="preserve">         46K            46K             5K</t>
  </si>
  <si>
    <t>8bwRUtqWF56c75rjqBt95V3zHELpF5E9THk1YCNKpump</t>
  </si>
  <si>
    <t>Doge</t>
  </si>
  <si>
    <t>171,244</t>
  </si>
  <si>
    <t>26.10.2024 02:42:22</t>
  </si>
  <si>
    <t xml:space="preserve">        102K           102K             3K</t>
  </si>
  <si>
    <t>7FDm8kuQZRNs1QWma5jHPrJFZZWhiZGUKTYaPPLZgUKM</t>
  </si>
  <si>
    <t>Tchoupie</t>
  </si>
  <si>
    <t>666,278</t>
  </si>
  <si>
    <t>25.10.2024 16:04:49</t>
  </si>
  <si>
    <t xml:space="preserve">         26K            26K            11K</t>
  </si>
  <si>
    <t>74Yhhcbga2N1TTw87rNb8C3p8iHxyGEUKGhjFjkgpump</t>
  </si>
  <si>
    <t>dola</t>
  </si>
  <si>
    <t>312,177</t>
  </si>
  <si>
    <t>25.10.2024 15:03:16</t>
  </si>
  <si>
    <t>3A5ZHYwLj7mRWbb2eMvXxPyFQwYhrprnnXyB2HiSpump</t>
  </si>
  <si>
    <t>mint</t>
  </si>
  <si>
    <t>0.093 SOL</t>
  </si>
  <si>
    <t>25.10.2024 14:15:09</t>
  </si>
  <si>
    <t xml:space="preserve">        250K           466K            12K</t>
  </si>
  <si>
    <t>2TXwAQ3jCicGS4SdoS1huXT3hEk64ybREaqT1jtkpump</t>
  </si>
  <si>
    <t>SNOWY</t>
  </si>
  <si>
    <t>646,577</t>
  </si>
  <si>
    <t>25.10.2024 14:05:09</t>
  </si>
  <si>
    <t xml:space="preserve">         26K            26K             3K</t>
  </si>
  <si>
    <t>DDtTW7vqbhVnjN6mW2ihgqMYY9zCJt9hnaKBH66Tpump</t>
  </si>
  <si>
    <t>anatta</t>
  </si>
  <si>
    <t>-0.48%</t>
  </si>
  <si>
    <t>25.10.2024 14:03:13</t>
  </si>
  <si>
    <t xml:space="preserve">         95K            95K             7K</t>
  </si>
  <si>
    <t>3D1JFwhsrhm1TXBj2gkeY3KE3FTDRnVcNHweZrc7pump</t>
  </si>
  <si>
    <t>TOA</t>
  </si>
  <si>
    <t>0.192 SOL</t>
  </si>
  <si>
    <t>0.092 SOL</t>
  </si>
  <si>
    <t>92.14%</t>
  </si>
  <si>
    <t>25.10.2024 13:55:18</t>
  </si>
  <si>
    <t xml:space="preserve">         89K           344K             4K</t>
  </si>
  <si>
    <t>Bj3ZTeAaSeukvvNDbTVRZpb8MtVKa31nirA5pWyppump</t>
  </si>
  <si>
    <t>Sol ai</t>
  </si>
  <si>
    <t>-3.98%</t>
  </si>
  <si>
    <t>25.10.2024 13:43:36</t>
  </si>
  <si>
    <t xml:space="preserve">        186K           357K             4K</t>
  </si>
  <si>
    <t>AxQFgQFSThwMcYRb19sauF4G9uD8f8i2YS2KBS2Apump</t>
  </si>
  <si>
    <t>🐸</t>
  </si>
  <si>
    <t>-0.300 SOL</t>
  </si>
  <si>
    <t>79,713</t>
  </si>
  <si>
    <t>25.10.2024 09:45:08</t>
  </si>
  <si>
    <t xml:space="preserve">        325K           934K           212K</t>
  </si>
  <si>
    <t>9WwQBoPS38sv5ZPXaGy6kTzdYbNeHZzm27hkfXrJpump</t>
  </si>
  <si>
    <t>Mini</t>
  </si>
  <si>
    <t>0.461 SOL</t>
  </si>
  <si>
    <t>130.47%</t>
  </si>
  <si>
    <t>25.10.2024 09:17:33</t>
  </si>
  <si>
    <t>25 min</t>
  </si>
  <si>
    <t xml:space="preserve">         74K           380K             6K</t>
  </si>
  <si>
    <t>FNLCYiZzc6dcpNNekZyMUpmQNQLx4LscTi7h5mCYpump</t>
  </si>
  <si>
    <t>MEMES</t>
  </si>
  <si>
    <t>0.337 SOL</t>
  </si>
  <si>
    <t>168.46%</t>
  </si>
  <si>
    <t>25.10.2024 09:16:51</t>
  </si>
  <si>
    <t xml:space="preserve">         77K           485K             4K</t>
  </si>
  <si>
    <t>3ng7uAiJ1vehnAiPi2JWUPNJANRhpcGf8dpiiQsjpump</t>
  </si>
  <si>
    <t>randoms</t>
  </si>
  <si>
    <t>386,434</t>
  </si>
  <si>
    <t>25.10.2024 09:02:37</t>
  </si>
  <si>
    <t>E6v2M1AXZbiPGb1PsppeoF1fiHA6UqzweTjUZcJApump</t>
  </si>
  <si>
    <t>DBUFF</t>
  </si>
  <si>
    <t>0.400 SOL</t>
  </si>
  <si>
    <t>0.182 SOL</t>
  </si>
  <si>
    <t>-0.218 SOL</t>
  </si>
  <si>
    <t>-54.44%</t>
  </si>
  <si>
    <t>25.10.2024 08:36:40</t>
  </si>
  <si>
    <t xml:space="preserve">        113K           104K             3K</t>
  </si>
  <si>
    <t>DxfMrEKo2YTJv4KvevybmutjUTcQybAe9ULZxJ5Npump</t>
  </si>
  <si>
    <t>MAI</t>
  </si>
  <si>
    <t>0.309 SOL</t>
  </si>
  <si>
    <t>54.28%</t>
  </si>
  <si>
    <t>25.10.2024 08:19:06</t>
  </si>
  <si>
    <t>Ge8HiSKhq5YRDX9XBVdcdTSF5KTA7hr5M5qk9b99pump</t>
  </si>
  <si>
    <t>0.508 SOL</t>
  </si>
  <si>
    <t>0.308 SOL</t>
  </si>
  <si>
    <t>153.69%</t>
  </si>
  <si>
    <t>25.10.2024 08:04:58</t>
  </si>
  <si>
    <t xml:space="preserve">         77K           176K            10K</t>
  </si>
  <si>
    <t>YURI</t>
  </si>
  <si>
    <t>-11.54%</t>
  </si>
  <si>
    <t>25.10.2024 06:28:20</t>
  </si>
  <si>
    <t xml:space="preserve">        112K           112K             6K</t>
  </si>
  <si>
    <t>9zGjSYsr44zi6kjYbSoKsPx9YQ5y6xFZRhj2nignpump</t>
  </si>
  <si>
    <t>AICAT</t>
  </si>
  <si>
    <t>241,419</t>
  </si>
  <si>
    <t>25.10.2024 03:25:13</t>
  </si>
  <si>
    <t xml:space="preserve">         72K            72K             6K</t>
  </si>
  <si>
    <t>LbX8DLypZ9DwUBJKHvzsKphx3CCatsCSTAT8wympump</t>
  </si>
  <si>
    <t>TRUESPACE</t>
  </si>
  <si>
    <t>264,138</t>
  </si>
  <si>
    <t>25.10.2024 02:22:56</t>
  </si>
  <si>
    <t xml:space="preserve">        134K           134K             4K</t>
  </si>
  <si>
    <t>FQFVPBxDLDpXorBrgoLcvEWhGg6NxLhcE2q93pGtpump</t>
  </si>
  <si>
    <t>TrueSpace</t>
  </si>
  <si>
    <t>427,479</t>
  </si>
  <si>
    <t>25.10.2024 02:19:52</t>
  </si>
  <si>
    <t xml:space="preserve">         83K            83K             6K</t>
  </si>
  <si>
    <t>2j48qpWJpWNHoWhsmWsdmaA1wKP7qaoYJfwhAbrkpump</t>
  </si>
  <si>
    <t xml:space="preserve">Kira </t>
  </si>
  <si>
    <t>0.360 SOL</t>
  </si>
  <si>
    <t>0.260 SOL</t>
  </si>
  <si>
    <t>259.34%</t>
  </si>
  <si>
    <t>25.10.2024 02:08:03</t>
  </si>
  <si>
    <t>20 min</t>
  </si>
  <si>
    <t xml:space="preserve">        116K             1M            12K</t>
  </si>
  <si>
    <t>wpU56BR9qLyA9bxxF2uLtULERVZFvtuLtcXdL9xpump</t>
  </si>
  <si>
    <t>AURORA</t>
  </si>
  <si>
    <t>161,932</t>
  </si>
  <si>
    <t>25.10.2024 01:39:49</t>
  </si>
  <si>
    <t xml:space="preserve">        109K           109K             3K</t>
  </si>
  <si>
    <t>14NcHGnyF7eF4ydW9AhFnCiUNsXZkUbuSNTZxYRvpump</t>
  </si>
  <si>
    <t>noPets</t>
  </si>
  <si>
    <t>1.05%</t>
  </si>
  <si>
    <t>25.10.2024 01:28:50</t>
  </si>
  <si>
    <t xml:space="preserve">         40K            81K             4K</t>
  </si>
  <si>
    <t>Hb2vZbkeZA8woGeH7gUpuqMeQj5vWD9Nnj7C9KYhe4y5</t>
  </si>
  <si>
    <t>theoracle</t>
  </si>
  <si>
    <t>269,961</t>
  </si>
  <si>
    <t>25.10.2024 01:09:48</t>
  </si>
  <si>
    <t xml:space="preserve">         63K            63K             3K</t>
  </si>
  <si>
    <t>BLthhcBfFJrySVhK7oSJrCfNJ6TnUEVfG7s3Ek8spump</t>
  </si>
  <si>
    <t>flora</t>
  </si>
  <si>
    <t>1,987,044</t>
  </si>
  <si>
    <t>25.10.2024 00:16:54</t>
  </si>
  <si>
    <t xml:space="preserve">         16K            21K             3K</t>
  </si>
  <si>
    <t>ATvnHoe4Gt7rGRWoqkstSTwpbuF6ni3sUfxYkrNJpump</t>
  </si>
  <si>
    <t>ChatGPT</t>
  </si>
  <si>
    <t>397,005</t>
  </si>
  <si>
    <t>25.10.2024 00:13:42</t>
  </si>
  <si>
    <t>EQsug4jsK5gZBYuiTTa6XSubCHCMjJouxRLSqR8spump</t>
  </si>
  <si>
    <t>APEIN</t>
  </si>
  <si>
    <t>184,202</t>
  </si>
  <si>
    <t>24.10.2024 23:52:07</t>
  </si>
  <si>
    <t xml:space="preserve">        192K           192K             4K</t>
  </si>
  <si>
    <t>E4JQwDUmokvkWz7Q9XJb7ZKXUWLoZQteSt6Ekmedpump</t>
  </si>
  <si>
    <t>FATAO</t>
  </si>
  <si>
    <t>0.099 SOL</t>
  </si>
  <si>
    <t>-0.001 SOL</t>
  </si>
  <si>
    <t>-1.20%</t>
  </si>
  <si>
    <t>24.10.2024 23:49:28</t>
  </si>
  <si>
    <t xml:space="preserve">         28K            55K             3K</t>
  </si>
  <si>
    <t>9oCqvUkK7W9ViGZuQCJ6LzL7718EWLwKuVSW7kJpump</t>
  </si>
  <si>
    <t>702,916</t>
  </si>
  <si>
    <t>24.10.2024 23:43:08</t>
  </si>
  <si>
    <t xml:space="preserve">         39K            69K             3K</t>
  </si>
  <si>
    <t>Fpp6L1ehDxTbzVcEtqdb59wQH4ozREX7NowYscnupump</t>
  </si>
  <si>
    <t>Project89</t>
  </si>
  <si>
    <t>4.603 SOL</t>
  </si>
  <si>
    <t>4.503 SOL</t>
  </si>
  <si>
    <t>4493.21%</t>
  </si>
  <si>
    <t>24.10.2024 23:33:45</t>
  </si>
  <si>
    <t xml:space="preserve">        102K             1M             8M</t>
  </si>
  <si>
    <t>Bz4MhmVRQENiCou7ZpJ575wpjNFjBjVBSiVhuNg1pump</t>
  </si>
  <si>
    <t>0.123 SOL</t>
  </si>
  <si>
    <t>0.022 SOL</t>
  </si>
  <si>
    <t>24.10.2024 19:32:05</t>
  </si>
  <si>
    <t xml:space="preserve">        628K           628K            53K</t>
  </si>
  <si>
    <t>46KirRwaHxiVhLCapkqPj1M7urYChzmkGLRNyuuzpump</t>
  </si>
  <si>
    <t>HYPR</t>
  </si>
  <si>
    <t>83,885</t>
  </si>
  <si>
    <t>24.10.2024 15:58:49</t>
  </si>
  <si>
    <t xml:space="preserve">        209K           209K            14K</t>
  </si>
  <si>
    <t>BSpYpMSwubM9uRNRqX4n8vedvGJ1pij8dFc5aZeqpump</t>
  </si>
  <si>
    <t>KIRA</t>
  </si>
  <si>
    <t>428,808</t>
  </si>
  <si>
    <t>24.10.2024 15:54:50</t>
  </si>
  <si>
    <t xml:space="preserve">         62K            62K             3K</t>
  </si>
  <si>
    <t>8E2M2Hdt31sANJpBFSAKU42erpKLrEYQyyapsUbApump</t>
  </si>
  <si>
    <t>JIZZCOIN</t>
  </si>
  <si>
    <t>83,079</t>
  </si>
  <si>
    <t>24.10.2024 15:11:22</t>
  </si>
  <si>
    <t xml:space="preserve">        211K           211K             5K</t>
  </si>
  <si>
    <t>3qrEHV8zMR8BySfkQUCVQRnqjSDaCr9str6gRgRspump</t>
  </si>
  <si>
    <t>TOH</t>
  </si>
  <si>
    <t>0.350 SOL</t>
  </si>
  <si>
    <t>0.250 SOL</t>
  </si>
  <si>
    <t>249.10%</t>
  </si>
  <si>
    <t>24.10.2024 15:10:35</t>
  </si>
  <si>
    <t xml:space="preserve">         30K           290K             4K</t>
  </si>
  <si>
    <t>2aPiXF1oruhA75AJUTUwPE8N5vW2a2sjnMvJdmpopump</t>
  </si>
  <si>
    <t>ANON</t>
  </si>
  <si>
    <t>635,436</t>
  </si>
  <si>
    <t>24.10.2024 14:58:39</t>
  </si>
  <si>
    <t>wZonEuZGCGT5QXKKvVZs7vu8uH5HKDsnZei9F24pump</t>
  </si>
  <si>
    <t>MOMSEUS</t>
  </si>
  <si>
    <t>358.86%</t>
  </si>
  <si>
    <t>24.10.2024 14:50:26</t>
  </si>
  <si>
    <t xml:space="preserve">        104K           104K             4K</t>
  </si>
  <si>
    <t>2CiAmompjNUhCMv4snMMVu55g1CFzNuqbrbaYVnCpump</t>
  </si>
  <si>
    <t>luna</t>
  </si>
  <si>
    <t>0.079 SOL</t>
  </si>
  <si>
    <t>-0.021 SOL</t>
  </si>
  <si>
    <t>-21.11%</t>
  </si>
  <si>
    <t>24.10.2024 14:41:58</t>
  </si>
  <si>
    <t xml:space="preserve">         37K            58K             4K</t>
  </si>
  <si>
    <t>7iPV4Q6RpvjY1jNx9brKV3R8UiYr6MXfLrbah7Krpump</t>
  </si>
  <si>
    <t>GIGAI</t>
  </si>
  <si>
    <t>299,621</t>
  </si>
  <si>
    <t>24.10.2024 14:36:32</t>
  </si>
  <si>
    <t xml:space="preserve">         58K            58K             6K</t>
  </si>
  <si>
    <t>fqrLRxCe1j5c44WJzLQnMcsjSNivwgTdvoAu9J3pump</t>
  </si>
  <si>
    <t>🇺🇸</t>
  </si>
  <si>
    <t>2.100 SOL</t>
  </si>
  <si>
    <t>2.343 SOL</t>
  </si>
  <si>
    <t>11.57%</t>
  </si>
  <si>
    <t>24.10.2024 14:31:09</t>
  </si>
  <si>
    <t>20 days</t>
  </si>
  <si>
    <t xml:space="preserve">        432K            19K           415K</t>
  </si>
  <si>
    <t>GSXvsGygcMcbByTnGZqBtML9Ntj373bJtNXEfRrppump</t>
  </si>
  <si>
    <t>RNT-AI</t>
  </si>
  <si>
    <t>0.066 SOL</t>
  </si>
  <si>
    <t>65.72%</t>
  </si>
  <si>
    <t>24.10.2024 14:24:07</t>
  </si>
  <si>
    <t xml:space="preserve">         55K           123K             9K</t>
  </si>
  <si>
    <t>CeDdQ9q6wXQiRWKQBvoY2sF6hQn3r2AKq1TGHFFgWbPn</t>
  </si>
  <si>
    <t>JOI</t>
  </si>
  <si>
    <t>-0.072 SOL</t>
  </si>
  <si>
    <t>-71.99%</t>
  </si>
  <si>
    <t>24.10.2024 14:23:58</t>
  </si>
  <si>
    <t xml:space="preserve">         19K             5K             3K</t>
  </si>
  <si>
    <t>2jdDQocnt8CXbavdx5CLWgf3M8wzVGijKt22hwgspump</t>
  </si>
  <si>
    <t>HELGA</t>
  </si>
  <si>
    <t>34.47%</t>
  </si>
  <si>
    <t>24.10.2024 14:23:47</t>
  </si>
  <si>
    <t xml:space="preserve">         84K           174K             4K</t>
  </si>
  <si>
    <t>EijUb7SgZgoyCe2KF8BzTsyrPH7DrAaZYNVD67SGpump</t>
  </si>
  <si>
    <t>3300</t>
  </si>
  <si>
    <t>-2.90%</t>
  </si>
  <si>
    <t>24.10.2024 10:51:24</t>
  </si>
  <si>
    <t xml:space="preserve">         90K           172K             7K</t>
  </si>
  <si>
    <t>DMro6sb9KXzRsHo4qqxiTQweTLcapHYFvAeDzqYBpump</t>
  </si>
  <si>
    <t xml:space="preserve">Bats </t>
  </si>
  <si>
    <t>156,706</t>
  </si>
  <si>
    <t>24.10.2024 10:39:03</t>
  </si>
  <si>
    <t xml:space="preserve">        113K           113K             3K</t>
  </si>
  <si>
    <t>H1tqLeomYW71YgHa9Zsm5DDnHnCngGAmkejVMHT7pump</t>
  </si>
  <si>
    <t>EMILIA</t>
  </si>
  <si>
    <t>0.116 SOL</t>
  </si>
  <si>
    <t>15.40%</t>
  </si>
  <si>
    <t>24.10.2024 10:38:26</t>
  </si>
  <si>
    <t xml:space="preserve">         79K           181K             4K</t>
  </si>
  <si>
    <t>DiVdD5yfwQ3v2aHwUU6VUQEaLn89BpPWXaveMY1Wpump</t>
  </si>
  <si>
    <t>DaddyAI</t>
  </si>
  <si>
    <t>0.406 SOL</t>
  </si>
  <si>
    <t>305.55%</t>
  </si>
  <si>
    <t>24.10.2024 10:34:40</t>
  </si>
  <si>
    <t>56 min</t>
  </si>
  <si>
    <t xml:space="preserve">         88K           218K            16K</t>
  </si>
  <si>
    <t>BxJ1rwhiiLfWQ9DFfsu8DVUHLkfkW3VH1hnJQP1xDcpq</t>
  </si>
  <si>
    <t>TATERM</t>
  </si>
  <si>
    <t>283,722</t>
  </si>
  <si>
    <t>24.10.2024 10:13:08</t>
  </si>
  <si>
    <t>6Zscc1zS3YemZMCx1QmUoQKmX7V5oZJ9MZ5vZb7Xpump</t>
  </si>
  <si>
    <t>TT</t>
  </si>
  <si>
    <t>0.321 SOL</t>
  </si>
  <si>
    <t>0.221 SOL</t>
  </si>
  <si>
    <t>220.69%</t>
  </si>
  <si>
    <t>24.10.2024 09:52:20</t>
  </si>
  <si>
    <t xml:space="preserve">        419K             1M            42K</t>
  </si>
  <si>
    <t>B2tekTmmhg9vQt5fofya5qP3j4CXsC26TFnez5Wnpump</t>
  </si>
  <si>
    <t>BONGO</t>
  </si>
  <si>
    <t>211,145</t>
  </si>
  <si>
    <t>24.10.2024 08:37:02</t>
  </si>
  <si>
    <t xml:space="preserve">         83K            83K             3K</t>
  </si>
  <si>
    <t>6LzfE2aoeKqz1BWCv1CWW8hZx992dEEKHbtjNLVJpump</t>
  </si>
  <si>
    <t>TATE</t>
  </si>
  <si>
    <t>440,866</t>
  </si>
  <si>
    <t>24.10.2024 08:27:06</t>
  </si>
  <si>
    <t>Mj8x7aV7bwrkZ4fLr3gC4MJmq8jmMyMCJLHCBbFpump</t>
  </si>
  <si>
    <t>🇨🇳</t>
  </si>
  <si>
    <t>0.000280</t>
  </si>
  <si>
    <t>0.46%</t>
  </si>
  <si>
    <t>24.10.2024 06:58:21</t>
  </si>
  <si>
    <t xml:space="preserve">         42K            26K            44K</t>
  </si>
  <si>
    <t>H4as6Btk8xycJSSES4hhLEYvcbEnHiqD1xGsMU8Bpump</t>
  </si>
  <si>
    <t>PLAYFUL</t>
  </si>
  <si>
    <t>0.210 SOL</t>
  </si>
  <si>
    <t>0.114 SOL</t>
  </si>
  <si>
    <t>-45.65%</t>
  </si>
  <si>
    <t>24.10.2024 00:50:23</t>
  </si>
  <si>
    <t>uFFzWZ9t9D5VECS291E6QHR4MygbCJTjtaDyDgwpump</t>
  </si>
  <si>
    <t>sophia</t>
  </si>
  <si>
    <t>0.069 SOL</t>
  </si>
  <si>
    <t>-0.031 SOL</t>
  </si>
  <si>
    <t>-31.11%</t>
  </si>
  <si>
    <t>24.10.2024 00:50:08</t>
  </si>
  <si>
    <t xml:space="preserve">         28K            19K             7K</t>
  </si>
  <si>
    <t>7DssKRwQJyyu93pwzMYA1bYMU7fTjbtkKQyLCdpppump</t>
  </si>
  <si>
    <t>DOTTIE</t>
  </si>
  <si>
    <t>0.032 SOL</t>
  </si>
  <si>
    <t>23.10.2024 08:31:44</t>
  </si>
  <si>
    <t xml:space="preserve">        104K            33K             5K</t>
  </si>
  <si>
    <t>fXrocZXTrfUQ6ocGbM2z89ZXSZ5k6nxqM3Np1pZpump</t>
  </si>
  <si>
    <t>Katsuaki</t>
  </si>
  <si>
    <t>-0.023 SOL</t>
  </si>
  <si>
    <t>-21.86%</t>
  </si>
  <si>
    <t>23.10.2024 08:26:31</t>
  </si>
  <si>
    <t>34 min</t>
  </si>
  <si>
    <t xml:space="preserve">         55K            42K             5K</t>
  </si>
  <si>
    <t>8xgCqhHtEi5tmd3X6oQ4zcCQjEAnTVazy5UkD5MApump</t>
  </si>
  <si>
    <t>VDE</t>
  </si>
  <si>
    <t>0.044 SOL</t>
  </si>
  <si>
    <t>-57.74%</t>
  </si>
  <si>
    <t>23.10.2024 07:52:54</t>
  </si>
  <si>
    <t>31 min</t>
  </si>
  <si>
    <t>GSUvDq9EBbPsA58N6BLTBZP6oor96dZSDu2X7Zo4pump</t>
  </si>
  <si>
    <t>Gebo</t>
  </si>
  <si>
    <t>0.020 SOL</t>
  </si>
  <si>
    <t>-0.085 SOL</t>
  </si>
  <si>
    <t>-81.21%</t>
  </si>
  <si>
    <t>23.10.2024 06:59:31</t>
  </si>
  <si>
    <t xml:space="preserve">         28K            28K             5K</t>
  </si>
  <si>
    <t>3mkNHqzKhEic7dbqDZeLRdNwxZVKBnP14HSVMVzwpump</t>
  </si>
  <si>
    <t>88022</t>
  </si>
  <si>
    <t>-61.49%</t>
  </si>
  <si>
    <t>23.10.2024 06:58:47</t>
  </si>
  <si>
    <t>FXQdys3HGuX1vWwLDivTmBCzpVrsBn3CQdebKVtQpump</t>
  </si>
  <si>
    <t>0.077 SOL</t>
  </si>
  <si>
    <t>-22.84%</t>
  </si>
  <si>
    <t>23.10.2024 06:58:16</t>
  </si>
  <si>
    <t xml:space="preserve">        751K           581K            38K</t>
  </si>
  <si>
    <t>ASTROLOGY</t>
  </si>
  <si>
    <t>0.520 SOL</t>
  </si>
  <si>
    <t>0.409 SOL</t>
  </si>
  <si>
    <t>368.51%</t>
  </si>
  <si>
    <t>23.10.2024 04:17:44</t>
  </si>
  <si>
    <t xml:space="preserve">         14K            21K             4K</t>
  </si>
  <si>
    <t>29Jy4A9X8gS1JDroW21JdGgT4bM4Wv5Q7ydXPZJ9pump</t>
  </si>
  <si>
    <t>WMM</t>
  </si>
  <si>
    <t>53.70%</t>
  </si>
  <si>
    <t>22.10.2024 23:52:50</t>
  </si>
  <si>
    <t>17 hours</t>
  </si>
  <si>
    <t xml:space="preserve">          4M             4M             4M</t>
  </si>
  <si>
    <t>9pWPUXoZKWNPWyaegPQeR3Kn8aFz9nrGtm5jeAFzpump</t>
  </si>
  <si>
    <t>Dog</t>
  </si>
  <si>
    <t>-0.027 SOL</t>
  </si>
  <si>
    <t>-26.88%</t>
  </si>
  <si>
    <t>22.10.2024 06:04:50</t>
  </si>
  <si>
    <t>G46yFYDNPDeHsmnJhaZfsYnAm2VEcn6tmPTMHhFgpump</t>
  </si>
  <si>
    <t>ILY</t>
  </si>
  <si>
    <t>114,282</t>
  </si>
  <si>
    <t>22.10.2024 03:06:38</t>
  </si>
  <si>
    <t>BBBgdpBJhdm8qFTAEfyRRaCpmJ9Qecachc7YuqQRpump</t>
  </si>
  <si>
    <t>🦛</t>
  </si>
  <si>
    <t>-23.06%</t>
  </si>
  <si>
    <t>22.10.2024 03:03:46</t>
  </si>
  <si>
    <t xml:space="preserve">         98K            40K            27K</t>
  </si>
  <si>
    <t>5LdiRaZWFwazmYN7KLb1BHk78s6dhjRsnft7Cb5Apump</t>
  </si>
  <si>
    <t>0.056 SOL</t>
  </si>
  <si>
    <t>-0.145 SOL</t>
  </si>
  <si>
    <t>-72.22%</t>
  </si>
  <si>
    <t>22.10.2024 03:02:48</t>
  </si>
  <si>
    <t xml:space="preserve">        271K            35K             6K</t>
  </si>
  <si>
    <t>🫂</t>
  </si>
  <si>
    <t>0.137 SOL</t>
  </si>
  <si>
    <t>0.037 SOL</t>
  </si>
  <si>
    <t>36.68%</t>
  </si>
  <si>
    <t>22.10.2024 02:53:56</t>
  </si>
  <si>
    <t xml:space="preserve">         25K            25K            16K</t>
  </si>
  <si>
    <t>HVqkGQhJZdL1NK15TCipwooDV7TQ1mSfjfUW6fMBpump</t>
  </si>
  <si>
    <t>god</t>
  </si>
  <si>
    <t>-35.78%</t>
  </si>
  <si>
    <t>22.10.2024 02:53:15</t>
  </si>
  <si>
    <t xml:space="preserve">        109K            70K             6K</t>
  </si>
  <si>
    <t>DUm61kKfaRfeTTUueYyf67ZYWVWKDDiZKxde765ipump</t>
  </si>
  <si>
    <t>🗿</t>
  </si>
  <si>
    <t>-0.035 SOL</t>
  </si>
  <si>
    <t>-35.22%</t>
  </si>
  <si>
    <t>22.10.2024 01:43:29</t>
  </si>
  <si>
    <t xml:space="preserve">         25K            25K             9K</t>
  </si>
  <si>
    <t>4cRkQ2dntpusYag6Zmvco8T78WxK9Jqh1eEZJox8pump</t>
  </si>
  <si>
    <t>McMind</t>
  </si>
  <si>
    <t>122,970</t>
  </si>
  <si>
    <t>21.10.2024 15:15:45</t>
  </si>
  <si>
    <t>7WKV854wEXTPywYE9UTECtVRLkH9Cqf86PEBzRfgpump</t>
  </si>
  <si>
    <t>Q*</t>
  </si>
  <si>
    <t>81,969</t>
  </si>
  <si>
    <t>21.10.2024 14:56:51</t>
  </si>
  <si>
    <t xml:space="preserve">        214K           214K             5K</t>
  </si>
  <si>
    <t>4NBfgeyFkYgEB85xKpMJkXUrqLKTxinS2CnvQMrWpump</t>
  </si>
  <si>
    <t>mcnugget</t>
  </si>
  <si>
    <t>-36.14%</t>
  </si>
  <si>
    <t>21.10.2024 08:32:29</t>
  </si>
  <si>
    <t xml:space="preserve">         28K            18K             4K</t>
  </si>
  <si>
    <t>F56CBPrnvvbs88zqnno97r9ybnh58RSeSxz63eoapump</t>
  </si>
  <si>
    <t>FLAWED</t>
  </si>
  <si>
    <t>347,059</t>
  </si>
  <si>
    <t>21.10.2024 08:31:02</t>
  </si>
  <si>
    <t>YcRmYguNXBLH4ZBLGn26MifpEpX3uUcVPnRLmKWpump</t>
  </si>
  <si>
    <t>BULL</t>
  </si>
  <si>
    <t>523,672</t>
  </si>
  <si>
    <t>21.10.2024 08:10:07</t>
  </si>
  <si>
    <t>vftr14mBtnsH393oS7Zy5M6pyofE7VbeAgnM4GbbuLL</t>
  </si>
  <si>
    <t>CABBAGE</t>
  </si>
  <si>
    <t>265,697</t>
  </si>
  <si>
    <t>21.10.2024 01:56:08</t>
  </si>
  <si>
    <t>B25eZveFnJds8gkfv8n7YddPVg3qSCRQXMr4cop6pump</t>
  </si>
  <si>
    <t>FACT</t>
  </si>
  <si>
    <t>521,075</t>
  </si>
  <si>
    <t>20.10.2024 13:55:15</t>
  </si>
  <si>
    <t xml:space="preserve">         67K            67K             4K</t>
  </si>
  <si>
    <t>A5WfQoua5C7YRag9BfEsPz9E8K9ctpodiezUabiSpump</t>
  </si>
  <si>
    <t>Glitch</t>
  </si>
  <si>
    <t>-0.008 SOL</t>
  </si>
  <si>
    <t>-8.19%</t>
  </si>
  <si>
    <t>20.10.2024 13:48:57</t>
  </si>
  <si>
    <t xml:space="preserve">         95K            88K             4K</t>
  </si>
  <si>
    <t>9WHuDHkgrKCzdzBjg2LzGyyNvXvHBkChSoTRtFnxpump</t>
  </si>
  <si>
    <t>ΔΔ</t>
  </si>
  <si>
    <t>-55.69%</t>
  </si>
  <si>
    <t>20.10.2024 13:42:41</t>
  </si>
  <si>
    <t xml:space="preserve">         11K             5K             5K</t>
  </si>
  <si>
    <t>Eb9431kXGR1UhgrqKgiUhj4jpygZHvznAL3BTL8epump</t>
  </si>
  <si>
    <t>TOS</t>
  </si>
  <si>
    <t>-4.21%</t>
  </si>
  <si>
    <t>20.10.2024 13:22:55</t>
  </si>
  <si>
    <t xml:space="preserve">         77K           148K             4K</t>
  </si>
  <si>
    <t>8Yw6DLo78azt2ihFsSTCiPUJuzvbN7f2EG89NjdEpump</t>
  </si>
  <si>
    <t>??</t>
  </si>
  <si>
    <t>401,847</t>
  </si>
  <si>
    <t>20.10.2024 13:18:36</t>
  </si>
  <si>
    <t>AZdrMvw6sMTHNZZJepQZTJhxRCRBmfo8JENA8GJM9uYD</t>
  </si>
  <si>
    <t>pupper</t>
  </si>
  <si>
    <t>0.290 SOL</t>
  </si>
  <si>
    <t>0.190 SOL</t>
  </si>
  <si>
    <t>189.74%</t>
  </si>
  <si>
    <t>20.10.2024 13:14:47</t>
  </si>
  <si>
    <t xml:space="preserve">        125K           362K             8K</t>
  </si>
  <si>
    <t>7rHkp4hUV7UfER7Ng7m6FqKkq5oviFcijsya79tPpump</t>
  </si>
  <si>
    <t>anthrupad</t>
  </si>
  <si>
    <t>167,368</t>
  </si>
  <si>
    <t>20.10.2024 12:40:00</t>
  </si>
  <si>
    <t xml:space="preserve">        105K           105K             5K</t>
  </si>
  <si>
    <t>Dn7xPGxiVwWvau9Qyb129WGtqQQm3XwNEURZhpCEpump</t>
  </si>
  <si>
    <t>IMMA</t>
  </si>
  <si>
    <t>265,270</t>
  </si>
  <si>
    <t>20.10.2024 10:30:26</t>
  </si>
  <si>
    <t>4319jaoNp824niQryL3dfkW3qZNV8K5cd5mt7b2Fpump</t>
  </si>
  <si>
    <t>FUCKAI</t>
  </si>
  <si>
    <t>0.085 SOL</t>
  </si>
  <si>
    <t>-15.01%</t>
  </si>
  <si>
    <t>20.10.2024 09:54:01</t>
  </si>
  <si>
    <t xml:space="preserve">        179K           306K             5K</t>
  </si>
  <si>
    <t>CQJ8XFfWUpTS7qCWmzJi6Vy3UxdWWDr5rB42LmeXpump</t>
  </si>
  <si>
    <t>HUMANITY</t>
  </si>
  <si>
    <t>0.005 SOL</t>
  </si>
  <si>
    <t>5.03%</t>
  </si>
  <si>
    <t>20.10.2024 09:39:19</t>
  </si>
  <si>
    <t xml:space="preserve">        149K           157K             9K</t>
  </si>
  <si>
    <t>6ipq59qkwJVECtYBwe4qfz3NprvQ5FtQY7THvXWFpump</t>
  </si>
  <si>
    <t>MOOB</t>
  </si>
  <si>
    <t>-0.073 SOL</t>
  </si>
  <si>
    <t>-69.97%</t>
  </si>
  <si>
    <t>20.10.2024 01:59:08</t>
  </si>
  <si>
    <t>39xuLk7eAoAy4st7PQgimsbTJDHffqwR9h21y864pump</t>
  </si>
  <si>
    <t>eigenrobot</t>
  </si>
  <si>
    <t>-0.078 SOL</t>
  </si>
  <si>
    <t>-74.64%</t>
  </si>
  <si>
    <t>20.10.2024 01:57:43</t>
  </si>
  <si>
    <t xml:space="preserve">         19K             5K             5K</t>
  </si>
  <si>
    <t>GphUCBiQm58KUwmfrx2ZaSBTRChQSEbJMkX7iey5pump</t>
  </si>
  <si>
    <t>(???)</t>
  </si>
  <si>
    <t>0.276 SOL</t>
  </si>
  <si>
    <t>0.167 SOL</t>
  </si>
  <si>
    <t>153.78%</t>
  </si>
  <si>
    <t>20.10.2024 01:54:32</t>
  </si>
  <si>
    <t xml:space="preserve">         19K            51K             5K</t>
  </si>
  <si>
    <t>FtrUz4JX53vJadxcAWqG2FrwjLUixVCeyypeYCXtBPj7</t>
  </si>
  <si>
    <t>karkat</t>
  </si>
  <si>
    <t>-0.054 SOL</t>
  </si>
  <si>
    <t>-54.08%</t>
  </si>
  <si>
    <t>20.10.2024 01:48:58</t>
  </si>
  <si>
    <t xml:space="preserve">        172K            79K             8K</t>
  </si>
  <si>
    <t>2jMqFewHv11qiRfupKLe1JoT63yJ34ePULZkZnx2pump</t>
  </si>
  <si>
    <t>$BOND</t>
  </si>
  <si>
    <t>298,143</t>
  </si>
  <si>
    <t>19.10.2024 14:54:25</t>
  </si>
  <si>
    <t xml:space="preserve">         62K            62K             5K</t>
  </si>
  <si>
    <t>DjArMw9tkFW14iHAMb1sDRux5PSRMobwgXNT8XX2siuf</t>
  </si>
  <si>
    <t>QUBIT</t>
  </si>
  <si>
    <t>43,106</t>
  </si>
  <si>
    <t>19.10.2024 14:38:03</t>
  </si>
  <si>
    <t xml:space="preserve">        408K           408K             5K</t>
  </si>
  <si>
    <t>BmoisRvhTBiFWuPLNrtEPZEAkdeDNyZgTmQ9jg1Bpump</t>
  </si>
  <si>
    <t>black</t>
  </si>
  <si>
    <t>-0.053 SOL</t>
  </si>
  <si>
    <t>-53.38%</t>
  </si>
  <si>
    <t>19.10.2024 06:08:52</t>
  </si>
  <si>
    <t xml:space="preserve">        271K           127K             9K</t>
  </si>
  <si>
    <t>AdJYM1s7vdTpBKx4c6LJvH4jWUXu4qypuzVj2Nw7ZtWv</t>
  </si>
  <si>
    <t>MOONWOLF</t>
  </si>
  <si>
    <t>219,605</t>
  </si>
  <si>
    <t>19.10.2024 05:16:58</t>
  </si>
  <si>
    <t xml:space="preserve">         81K            81K             3K</t>
  </si>
  <si>
    <t>EyBoHaoLJUyEHmndL2uzUpMguZZ2pjzXYphnVbhypump</t>
  </si>
  <si>
    <t>🌕</t>
  </si>
  <si>
    <t>0.159 SOL</t>
  </si>
  <si>
    <t>58.50%</t>
  </si>
  <si>
    <t>18.10.2024 06:55:37</t>
  </si>
  <si>
    <t xml:space="preserve">        252K           514K           147K</t>
  </si>
  <si>
    <t>FZEWxnkkVM4Eqvrt8Shipj6MJsnGptZNgM7bZwPmpump</t>
  </si>
  <si>
    <t>WojakAI</t>
  </si>
  <si>
    <t>200,237</t>
  </si>
  <si>
    <t>17.10.2024 23:32:38</t>
  </si>
  <si>
    <t>EiX8zhiYZB51JDXTM36ELxaTAgRscvYCUjqj6Bn1pump</t>
  </si>
  <si>
    <t>YiJianlian</t>
  </si>
  <si>
    <t>0.388 SOL</t>
  </si>
  <si>
    <t>-6.00%</t>
  </si>
  <si>
    <t>17.10.2024 13:18:21</t>
  </si>
  <si>
    <t>9Xk2P6QvLsWBBHd3hPSRG1d6UWHfjfKKWX8bvitWpump</t>
  </si>
  <si>
    <t>NOKS</t>
  </si>
  <si>
    <t>46.67%</t>
  </si>
  <si>
    <t>17.10.2024 02:41:55</t>
  </si>
  <si>
    <t xml:space="preserve">         90K           179K            63K</t>
  </si>
  <si>
    <t>6knS2iQca2b7r6uNxEh65CG5Wpt9g7vy5nNmTLk6pump</t>
  </si>
  <si>
    <t>JENNY</t>
  </si>
  <si>
    <t>0.194 SOL</t>
  </si>
  <si>
    <t>93.69%</t>
  </si>
  <si>
    <t>16.10.2024 15:34:30</t>
  </si>
  <si>
    <t xml:space="preserve">          1M             5M             1M</t>
  </si>
  <si>
    <t>fDJVuPCzsi4pfc5wBEan5PEUDPvtvcTWm5gjLAtpump</t>
  </si>
  <si>
    <t>0.050 SOL</t>
  </si>
  <si>
    <t>-50.04%</t>
  </si>
  <si>
    <t>16.10.2024 05:16:58</t>
  </si>
  <si>
    <t>52 min</t>
  </si>
  <si>
    <t xml:space="preserve">        192K            97K            49K</t>
  </si>
  <si>
    <t>TAI</t>
  </si>
  <si>
    <t>831,003</t>
  </si>
  <si>
    <t>16.10.2024 03:51:28</t>
  </si>
  <si>
    <t>Bp7KskfHLByExoKMBwtRmTT1tqRMzBcLswamu41wpump</t>
  </si>
  <si>
    <t>👻</t>
  </si>
  <si>
    <t>16.10.2024 01:59:58</t>
  </si>
  <si>
    <t>D3WzfhioY7YKeTKbegoPq9mEuYUjko4MCatGtMJipump</t>
  </si>
  <si>
    <t>CAT</t>
  </si>
  <si>
    <t>-5.67%</t>
  </si>
  <si>
    <t>14.10.2024 13:52:28</t>
  </si>
  <si>
    <t xml:space="preserve">         95K           299K             6K</t>
  </si>
  <si>
    <t>7QPazeNDzoyMdxb1ACwcDWwb91Rtxu15CV3GWQQXpump</t>
  </si>
  <si>
    <t>🐈</t>
  </si>
  <si>
    <t>0.49%</t>
  </si>
  <si>
    <t>13.10.2024 09:35:14</t>
  </si>
  <si>
    <t xml:space="preserve">          4M             4M           367K</t>
  </si>
  <si>
    <t>DFwxYdmfLJsPTyrNJCapGadF58Y74e2TFpVAyhbgpump</t>
  </si>
  <si>
    <t>1.82%</t>
  </si>
  <si>
    <t>13.10.2024 06:21:04</t>
  </si>
  <si>
    <t xml:space="preserve">         63K            19K            11K</t>
  </si>
  <si>
    <t>5qZ4Ns4QsAKoshJMa4aqKxGpzsyhskL4x23kWpHypump</t>
  </si>
  <si>
    <t>KITLER</t>
  </si>
  <si>
    <t>158,871</t>
  </si>
  <si>
    <t>12.10.2024 13:06:12</t>
  </si>
  <si>
    <t xml:space="preserve">        111K           111K             8K</t>
  </si>
  <si>
    <t>6DZkrKBPrRWou1oS7P8WLDawwrXhLCKgt1cr7mabpump</t>
  </si>
  <si>
    <t>NFS</t>
  </si>
  <si>
    <t>-3.27%</t>
  </si>
  <si>
    <t>12.10.2024 09:20:39</t>
  </si>
  <si>
    <t xml:space="preserve">         97K           236K             6K</t>
  </si>
  <si>
    <t>EaVwRAXqe2Cbesm9dQs4AeeQP1X6VB8dczZHmXuDpump</t>
  </si>
  <si>
    <t>1:1</t>
  </si>
  <si>
    <t>289,864</t>
  </si>
  <si>
    <t>12.10.2024 09:20:08</t>
  </si>
  <si>
    <t>hAyE4s1cFWht6GvRgzG23VcqGfVR7mF9iLCZ9yrpump</t>
  </si>
  <si>
    <t>Wick</t>
  </si>
  <si>
    <t>-57.58%</t>
  </si>
  <si>
    <t>12.10.2024 05:24:39</t>
  </si>
  <si>
    <t>Grq9dmH9X8LDuGGx25fL6DNfYbHnx3PP3wZwFidopump</t>
  </si>
  <si>
    <t>💹</t>
  </si>
  <si>
    <t>31,983</t>
  </si>
  <si>
    <t>11.10.2024 23:34:35</t>
  </si>
  <si>
    <t xml:space="preserve">        550K           550K             5K</t>
  </si>
  <si>
    <t>Er2TBmNnXzbKWHNTdcfVW41MtqkR4FDuocBLWXgvpump</t>
  </si>
  <si>
    <t>CyberVan</t>
  </si>
  <si>
    <t>18.94%</t>
  </si>
  <si>
    <t>11.10.2024 15:09:49</t>
  </si>
  <si>
    <t xml:space="preserve">         42K            49K             4K</t>
  </si>
  <si>
    <t>6ARWffTGt4Vf3rRxjBc6gWtfScm7JycdEmkuTYpjpump</t>
  </si>
  <si>
    <t>KFC</t>
  </si>
  <si>
    <t>169,821</t>
  </si>
  <si>
    <t>11.10.2024 14:38:53</t>
  </si>
  <si>
    <t>HHXLehamQT94qDBL3K6tmHVbw8QQTK5TCrkaQJQ1DjAz</t>
  </si>
  <si>
    <t>157,972</t>
  </si>
  <si>
    <t>11.10.2024 14:00:46</t>
  </si>
  <si>
    <t xml:space="preserve">        111K           111K             5K</t>
  </si>
  <si>
    <t>B43WbANTe76SSdNj6VWRGgz6fouhsXXbwFNSXb9tpump</t>
  </si>
  <si>
    <t>Orbdog</t>
  </si>
  <si>
    <t>0.961 SOL</t>
  </si>
  <si>
    <t>0.760 SOL</t>
  </si>
  <si>
    <t>379.62%</t>
  </si>
  <si>
    <t>11.10.2024 12:47:12</t>
  </si>
  <si>
    <t xml:space="preserve">         60K           763K            16K</t>
  </si>
  <si>
    <t>AnLQDZ8jAuFCohsPWisgWqkfkG5iw7zUfBC7imrdpump</t>
  </si>
  <si>
    <t>SEEDO</t>
  </si>
  <si>
    <t>176,005</t>
  </si>
  <si>
    <t>11.10.2024 08:40:35</t>
  </si>
  <si>
    <t xml:space="preserve">        100K           100K             4K</t>
  </si>
  <si>
    <t>2Q4CYvXNooY1QNtGJVRkokYrBow2mHsRP4EQ3j2Npump</t>
  </si>
  <si>
    <t>SCM</t>
  </si>
  <si>
    <t>-4.85%</t>
  </si>
  <si>
    <t>11.10.2024 07:31:17</t>
  </si>
  <si>
    <t xml:space="preserve">         79K           188K             6K</t>
  </si>
  <si>
    <t>5sb2VHyP9bawbg4xp9stVGxr2MyP5jhKamTQgzwHpump</t>
  </si>
  <si>
    <t>hikari</t>
  </si>
  <si>
    <t>5.06%</t>
  </si>
  <si>
    <t>11.10.2024 00:33:20</t>
  </si>
  <si>
    <t xml:space="preserve">         95K           200K             4K</t>
  </si>
  <si>
    <t>2UqCZ7w3LM9rcgaqqMWG5RbpUFNVDevxRh1gJHHRpump</t>
  </si>
  <si>
    <t>ZOOTED</t>
  </si>
  <si>
    <t>-39.61%</t>
  </si>
  <si>
    <t>10.10.2024 23:40:54</t>
  </si>
  <si>
    <t xml:space="preserve">         97K            58K             4K</t>
  </si>
  <si>
    <t>Gk26fwqc9eVyYodEMteRF1Cac7h1hkur9DXAgPVepump</t>
  </si>
  <si>
    <t>KEKE</t>
  </si>
  <si>
    <t>-0.013 SOL</t>
  </si>
  <si>
    <t>-12.89%</t>
  </si>
  <si>
    <t>10.10.2024 23:32:56</t>
  </si>
  <si>
    <t xml:space="preserve">         72K            63K             7K</t>
  </si>
  <si>
    <t>6qfu4eTUHCyjpTooFaasHXZsUbLapRWPWXP2igpepump</t>
  </si>
  <si>
    <t>OVERDOSED</t>
  </si>
  <si>
    <t>104,044</t>
  </si>
  <si>
    <t>10.10.2024 13:07:47</t>
  </si>
  <si>
    <t xml:space="preserve">        146K           146K             5K</t>
  </si>
  <si>
    <t>7f9DEetSYKkRx5sLmVduaCdH1Qpyqxv3AJzJW8GGpump</t>
  </si>
  <si>
    <t>OHH</t>
  </si>
  <si>
    <t>443,418</t>
  </si>
  <si>
    <t>10.10.2024 10:13:31</t>
  </si>
  <si>
    <t>5zmrqBV8hCBnnahyUt89DG15P67PB2gPyuDQDsJKpump</t>
  </si>
  <si>
    <t>LINABELL</t>
  </si>
  <si>
    <t>125,204</t>
  </si>
  <si>
    <t>10.10.2024 10:09:34</t>
  </si>
  <si>
    <t xml:space="preserve">        141K           141K             7K</t>
  </si>
  <si>
    <t>EN8YG7UW8r1gt2UXecStgVyjigm9neDAJnBBXoX5pump</t>
  </si>
  <si>
    <t>$DAN</t>
  </si>
  <si>
    <t>0.503 SOL</t>
  </si>
  <si>
    <t>0.402 SOL</t>
  </si>
  <si>
    <t>401.68%</t>
  </si>
  <si>
    <t>10.10.2024 06:28:59</t>
  </si>
  <si>
    <t xml:space="preserve">        109K           837K            11K</t>
  </si>
  <si>
    <t>3ytQ1uY1XVJMuXcA5ndjpjA1aQ7etcHQCyqzuZxupump</t>
  </si>
  <si>
    <t>fin</t>
  </si>
  <si>
    <t>0.803 SOL</t>
  </si>
  <si>
    <t>0.703 SOL</t>
  </si>
  <si>
    <t>701.15%</t>
  </si>
  <si>
    <t>09.10.2024 23:05:07</t>
  </si>
  <si>
    <t xml:space="preserve">        157K             1M           129K</t>
  </si>
  <si>
    <t>5NSLkhKomR9YUE99W9i9xbxwuoCvqEXwEhAAeN2mpump</t>
  </si>
  <si>
    <t>MTV</t>
  </si>
  <si>
    <t>165,204</t>
  </si>
  <si>
    <t>09.10.2024 14:36:41</t>
  </si>
  <si>
    <t xml:space="preserve">        107K           107K             3K</t>
  </si>
  <si>
    <t>9MRoXj6wRvfgaWeQcJgAk3MvfFJSURi6N6YueUVopump</t>
  </si>
  <si>
    <t>Tudd</t>
  </si>
  <si>
    <t>145,169</t>
  </si>
  <si>
    <t>09.10.2024 02:09:36</t>
  </si>
  <si>
    <t xml:space="preserve">        121K           121K             5K</t>
  </si>
  <si>
    <t>8PEX9dovL3RGocHDr6Q2HNzyrN2VJXFi9YDJUFtdpump</t>
  </si>
  <si>
    <t>Shoko</t>
  </si>
  <si>
    <t>111,638</t>
  </si>
  <si>
    <t>08.10.2024 23:31:18</t>
  </si>
  <si>
    <t xml:space="preserve">        158K           158K            11K</t>
  </si>
  <si>
    <t>DWKScU3qJvo3he2qtuULDHWq726aEhvCuuCu266opump</t>
  </si>
  <si>
    <t>copy</t>
  </si>
  <si>
    <t>0.011 SOL</t>
  </si>
  <si>
    <t>10.84%</t>
  </si>
  <si>
    <t>08.10.2024 16:07:33</t>
  </si>
  <si>
    <t xml:space="preserve">        112K           250K             5K</t>
  </si>
  <si>
    <t>qriANWB3NHrsEBXwYbkkNFaZUMf9K1ef4HZ5Xg4pump</t>
  </si>
  <si>
    <t>MURK</t>
  </si>
  <si>
    <t>292,297</t>
  </si>
  <si>
    <t>08.10.2024 13:27:01</t>
  </si>
  <si>
    <t>CMFhy8pTV8tDV4pjhUz2EH6cNVRPwjLi5gjZEMMqump</t>
  </si>
  <si>
    <t>MOJO</t>
  </si>
  <si>
    <t>195,490</t>
  </si>
  <si>
    <t>08.10.2024 01:41:28</t>
  </si>
  <si>
    <t xml:space="preserve">         90K            90K             3K</t>
  </si>
  <si>
    <t>48PVXhpm46eQSSQcXjwVBeeSkML28FpYs9vWirSnpump</t>
  </si>
  <si>
    <t>suchi</t>
  </si>
  <si>
    <t>176,680</t>
  </si>
  <si>
    <t>07.10.2024 23:53:32</t>
  </si>
  <si>
    <t xml:space="preserve">        100K           100K             5K</t>
  </si>
  <si>
    <t>bhoXRxtgM9ozxjqepkdJPmRFaN1e145JCgTUMfkpump</t>
  </si>
  <si>
    <t>CARDI</t>
  </si>
  <si>
    <t>62,489</t>
  </si>
  <si>
    <t>07.10.2024 23:47:30</t>
  </si>
  <si>
    <t xml:space="preserve">        281K           281K             3K</t>
  </si>
  <si>
    <t>B2PstkcpxLNT7FmpFrSpnmXn2Dy4q9MZ21erqus4pump</t>
  </si>
  <si>
    <t>fimo</t>
  </si>
  <si>
    <t>201,623</t>
  </si>
  <si>
    <t>07.10.2024 23:33:39</t>
  </si>
  <si>
    <t>H6naGfqfo4gMv6TfVrzH3S7konVNf3ToE5CCVXP1pump</t>
  </si>
  <si>
    <t>Nukumutu</t>
  </si>
  <si>
    <t>0.605 SOL</t>
  </si>
  <si>
    <t>503.21%</t>
  </si>
  <si>
    <t>07.10.2024 15:58:26</t>
  </si>
  <si>
    <t xml:space="preserve">         89K           484K            28K</t>
  </si>
  <si>
    <t>J8xQyfH2pG7jQod18a1KsAqXGmBWtn3VmGMEuGqCpump</t>
  </si>
  <si>
    <t>aDoG</t>
  </si>
  <si>
    <t>331,741</t>
  </si>
  <si>
    <t>07.10.2024 15:56:37</t>
  </si>
  <si>
    <t>8B7jitEP6p926H3CvBrcBJsLZzkhNqESC2ebyaiWpump</t>
  </si>
  <si>
    <t>LUNES</t>
  </si>
  <si>
    <t>179,178</t>
  </si>
  <si>
    <t>07.10.2024 08:46:10</t>
  </si>
  <si>
    <t xml:space="preserve">         98K            98K             4K</t>
  </si>
  <si>
    <t>HKjAzdghQxo5fRb7n8RAwoEgoSgQFiuDMdFCd1s6pump</t>
  </si>
  <si>
    <t>#protolol</t>
  </si>
  <si>
    <t>155,034</t>
  </si>
  <si>
    <t>05.10.2024 14:10:23</t>
  </si>
  <si>
    <t xml:space="preserve">        114K           114K             4K</t>
  </si>
  <si>
    <t>6Vg95p4aHXfa7oZes5ACWeGH2oLmr26cavTRJu1Jpump</t>
  </si>
  <si>
    <t>SOLG</t>
  </si>
  <si>
    <t>0.297 SOL</t>
  </si>
  <si>
    <t>04.10.2024 15:15:52</t>
  </si>
  <si>
    <t>2by9PprEcB6cXV3FdwvEtkxztHYAZuat2crbDTAmpump</t>
  </si>
  <si>
    <t>NAKIMO</t>
  </si>
  <si>
    <t>0.068 SOL</t>
  </si>
  <si>
    <t>-34.75%</t>
  </si>
  <si>
    <t>02.10.2024 09:23:57</t>
  </si>
  <si>
    <t>DL4FC8fcAZKVGG7XMmqTWaYdPAVRKpbvoYntmVvJpump</t>
  </si>
  <si>
    <t>RFWOG</t>
  </si>
  <si>
    <t>-22.65%</t>
  </si>
  <si>
    <t>02.10.2024 09:23:43</t>
  </si>
  <si>
    <t>AXTRHYbtdWtBwsAg2NY8ZMmwGJw5JNUcBGR3K4sVpump</t>
  </si>
  <si>
    <t>Bombloong</t>
  </si>
  <si>
    <t>-22.45%</t>
  </si>
  <si>
    <t>02.10.2024 09:22:05</t>
  </si>
  <si>
    <t xml:space="preserve">         39K            30K             7K</t>
  </si>
  <si>
    <t>7Mpe737ffdYsKAc2GqU1X4TWs249yYMypsbGfxthpump</t>
  </si>
  <si>
    <t>BTC</t>
  </si>
  <si>
    <t>0.506 SOL</t>
  </si>
  <si>
    <t>152.71%</t>
  </si>
  <si>
    <t>02.10.2024 09:07:12</t>
  </si>
  <si>
    <t xml:space="preserve">         46K           158K            36K</t>
  </si>
  <si>
    <t>7J3FRKz5PSzQS1uUBATgBY6qtfNwBQwyRmZZFC7Tpump</t>
  </si>
  <si>
    <t>KIKY</t>
  </si>
  <si>
    <t>-0.089 SOL</t>
  </si>
  <si>
    <t>-85.82%</t>
  </si>
  <si>
    <t>02.10.2024 09:06:52</t>
  </si>
  <si>
    <t xml:space="preserve">         25K             4K             3K</t>
  </si>
  <si>
    <t>3xzqBcfS48mtQbgLaiNovQerGNuRySmjK6tr2F2Fpump</t>
  </si>
  <si>
    <t>VCDOG</t>
  </si>
  <si>
    <t>0.021 SOL</t>
  </si>
  <si>
    <t>-80.71%</t>
  </si>
  <si>
    <t>02.10.2024 09:06:17</t>
  </si>
  <si>
    <t>7zK9p57m8zgJocuYjFmbukkeq2HAq3j4abRNQnX4pump</t>
  </si>
  <si>
    <t>fdoge</t>
  </si>
  <si>
    <t>-0.077 SOL</t>
  </si>
  <si>
    <t>-75.01%</t>
  </si>
  <si>
    <t>02.10.2024 09:05:54</t>
  </si>
  <si>
    <t>FdahSjYcs2mzRsSe3S4G7ChNe4i5UBuFnUtGqnJdpump</t>
  </si>
  <si>
    <t>404</t>
  </si>
  <si>
    <t>-78.48%</t>
  </si>
  <si>
    <t>02.10.2024 09:04:36</t>
  </si>
  <si>
    <t>FKg6tyeBcWmEaEs5TT1SHQS2fQe6BPbqM2j9AuZ3pump</t>
  </si>
  <si>
    <t>WEF</t>
  </si>
  <si>
    <t>0.029 SOL</t>
  </si>
  <si>
    <t>-72.02%</t>
  </si>
  <si>
    <t>02.10.2024 09:03:55</t>
  </si>
  <si>
    <t>gqh3suBHo21HFH8kEeBiBoe6qDWyCNUZKjPYcuLpump</t>
  </si>
  <si>
    <t>WASP</t>
  </si>
  <si>
    <t>0.042 SOL</t>
  </si>
  <si>
    <t>-59.36%</t>
  </si>
  <si>
    <t>02.10.2024 09:03:07</t>
  </si>
  <si>
    <t>DyhmS4ebJd8zDWLYwwtyvKbCAL6rvZDj83GvW1SBpump</t>
  </si>
  <si>
    <t>LOL</t>
  </si>
  <si>
    <t>0.023 SOL</t>
  </si>
  <si>
    <t>-78.38%</t>
  </si>
  <si>
    <t>02.10.2024 09:02:26</t>
  </si>
  <si>
    <t>7K54c1JbC4dR2Sy72avpSFV29HJhKDLPUDQj2aTLoLs</t>
  </si>
  <si>
    <t>Rango</t>
  </si>
  <si>
    <t>-19.82%</t>
  </si>
  <si>
    <t>02.10.2024 09:01:42</t>
  </si>
  <si>
    <t>4aKDnx889jwZhSLSZV6N8PV5pQ7WU6n4ZR8sFut6A4cw</t>
  </si>
  <si>
    <t>momo</t>
  </si>
  <si>
    <t>-5.33%</t>
  </si>
  <si>
    <t>02.10.2024 06:46:30</t>
  </si>
  <si>
    <t>GYW7C5tUjF8xrw7mURKmySXp3GSRNgDcuqi3F6R1jNKh</t>
  </si>
  <si>
    <t>1TRUMP</t>
  </si>
  <si>
    <t>9.64%</t>
  </si>
  <si>
    <t>01.10.2024 13:25:46</t>
  </si>
  <si>
    <t xml:space="preserve">         63K             5K             3K</t>
  </si>
  <si>
    <t>2PwBPoJuFueNwvUEC9PZwtM5wvbtCoxhFbecurxjpump</t>
  </si>
  <si>
    <t>OGDOG</t>
  </si>
  <si>
    <t>0.162 SOL</t>
  </si>
  <si>
    <t>0.058 SOL</t>
  </si>
  <si>
    <t>55.55%</t>
  </si>
  <si>
    <t>30.09.2024 16:13:00</t>
  </si>
  <si>
    <t>55 min</t>
  </si>
  <si>
    <t xml:space="preserve">         28K            44K             3K</t>
  </si>
  <si>
    <t>Dm7NbpSnjHM4JebxjvPeon29i1GH7ED2mfjiqQgepump</t>
  </si>
  <si>
    <t>PCAT</t>
  </si>
  <si>
    <t>80.09%</t>
  </si>
  <si>
    <t>30.09.2024 14:55:24</t>
  </si>
  <si>
    <t xml:space="preserve">         25K            44K             4K</t>
  </si>
  <si>
    <t>2kwFRwLwD5asTtURjDj2TruJ3jy5KoMQS5gVS6nHpump</t>
  </si>
  <si>
    <t>FMOODENG</t>
  </si>
  <si>
    <t>343,738</t>
  </si>
  <si>
    <t>30.09.2024 05:32:27</t>
  </si>
  <si>
    <t>8zasFf83gLpuLz9QoKMwwgN34pcQUpzpNzXvbnmfpump</t>
  </si>
  <si>
    <t>MIHARU</t>
  </si>
  <si>
    <t>353,477</t>
  </si>
  <si>
    <t>30.09.2024 05:20:54</t>
  </si>
  <si>
    <t xml:space="preserve">         51K            51K             6K</t>
  </si>
  <si>
    <t>7XjWdZcp7MKAMQZPgYPcjYq5SwLBCD42qTgMerNhpump</t>
  </si>
  <si>
    <t>DC</t>
  </si>
  <si>
    <t>-0.099 SOL</t>
  </si>
  <si>
    <t>326,165</t>
  </si>
  <si>
    <t>30.09.2024 01:16:37</t>
  </si>
  <si>
    <t>Esw5SgDiweTfKGTtAsG1TaaihhXzDP6MGWdeSE73pump</t>
  </si>
  <si>
    <t>RPEPE</t>
  </si>
  <si>
    <t>0.107 SOL</t>
  </si>
  <si>
    <t>112.81%</t>
  </si>
  <si>
    <t>29.09.2024 15:11:01</t>
  </si>
  <si>
    <t xml:space="preserve">         42K            81K             5K</t>
  </si>
  <si>
    <t>EgxEnP82FzkeokZKh11WqLwS2zE9Zj7M8FKGvMSKpump</t>
  </si>
  <si>
    <t>Ruby</t>
  </si>
  <si>
    <t>0.090 SOL</t>
  </si>
  <si>
    <t>-13.42%</t>
  </si>
  <si>
    <t>29.09.2024 15:10:10</t>
  </si>
  <si>
    <t xml:space="preserve">         32K            53K             5K</t>
  </si>
  <si>
    <t>9oViXX8qGRShJNYao1hpssjFL36fqG53Nqj2Pt2Spump</t>
  </si>
  <si>
    <t>MANO</t>
  </si>
  <si>
    <t>1,949,967</t>
  </si>
  <si>
    <t>29.09.2024 13:58:45</t>
  </si>
  <si>
    <t>9NCip6dBDUgTF6WoqoHaJsDq4kTRNLHcn1zA6T3Epump</t>
  </si>
  <si>
    <t>TAOW</t>
  </si>
  <si>
    <t>641,298</t>
  </si>
  <si>
    <t>29.09.2024 13:18:22</t>
  </si>
  <si>
    <t>3pp3vAeJcp51AkaVVCkBi51x9wtZZXtWn1ewBvf8x6pS</t>
  </si>
  <si>
    <t>RCAT</t>
  </si>
  <si>
    <t>0.373 SOL</t>
  </si>
  <si>
    <t>0.273 SOL</t>
  </si>
  <si>
    <t>272.68%</t>
  </si>
  <si>
    <t>29.09.2024 13:03:05</t>
  </si>
  <si>
    <t xml:space="preserve">         70K           294K            13K</t>
  </si>
  <si>
    <t>2YR72Qtd4Z4odM9TNXLbdJRCsyYQj13p7FcfNBR8pump</t>
  </si>
  <si>
    <t>OG</t>
  </si>
  <si>
    <t>-11.41%</t>
  </si>
  <si>
    <t>29.09.2024 11:28:44</t>
  </si>
  <si>
    <t>32 min</t>
  </si>
  <si>
    <t>6iBaDX9R9W6ZySntWsnp429HcqfqAC1VJmEbxEW3pump</t>
  </si>
  <si>
    <t>LOLDOG</t>
  </si>
  <si>
    <t>198,223</t>
  </si>
  <si>
    <t>29.09.2024 07:22:15</t>
  </si>
  <si>
    <t xml:space="preserve">         88K            88K             5K</t>
  </si>
  <si>
    <t>H8LW3afnmHYhvhLydBPsFNfUF1JTPpNt6VoeYzutpump</t>
  </si>
  <si>
    <t>UPVOTE</t>
  </si>
  <si>
    <t>183,232</t>
  </si>
  <si>
    <t>29.09.2024 06:49:23</t>
  </si>
  <si>
    <t xml:space="preserve">         97K            97K             3K</t>
  </si>
  <si>
    <t>EXMWcgM2HqhLTC7TR11rgLmtdtLPu6dNfPntbJGYpump</t>
  </si>
  <si>
    <t>MIFI</t>
  </si>
  <si>
    <t>0.043 SOL</t>
  </si>
  <si>
    <t>-0.057 SOL</t>
  </si>
  <si>
    <t>-57.04%</t>
  </si>
  <si>
    <t>29.09.2024 06:44:54</t>
  </si>
  <si>
    <t xml:space="preserve">         62K            26K             4K</t>
  </si>
  <si>
    <t>91ayhZzF7wvJEqkodNJrDabUzUTQzojjoyyWfzBykxEt</t>
  </si>
  <si>
    <t>Boba</t>
  </si>
  <si>
    <t>-48.15%</t>
  </si>
  <si>
    <t>29.09.2024 06:44:40</t>
  </si>
  <si>
    <t>35 min</t>
  </si>
  <si>
    <t xml:space="preserve">         56K            30K             4K</t>
  </si>
  <si>
    <t>CZAYiTHWfHWjh4Ag7JcZPPMKFeEdkpLNYtELRyxdpump</t>
  </si>
  <si>
    <t>$April</t>
  </si>
  <si>
    <t>0.161 SOL</t>
  </si>
  <si>
    <t>160.98%</t>
  </si>
  <si>
    <t>29.09.2024 06:36:25</t>
  </si>
  <si>
    <t xml:space="preserve">         83K           170K             4K</t>
  </si>
  <si>
    <t>28QTTGj9yV32xu9HWzzAHd2RiQmeQztyQUytX7krpump</t>
  </si>
  <si>
    <t>RACHIDOU</t>
  </si>
  <si>
    <t>0.000170</t>
  </si>
  <si>
    <t>0.238 SOL</t>
  </si>
  <si>
    <t>0.138 SOL</t>
  </si>
  <si>
    <t>138.02%</t>
  </si>
  <si>
    <t>29.09.2024 03:37:26</t>
  </si>
  <si>
    <t xml:space="preserve">         76K           364K             4K</t>
  </si>
  <si>
    <t>BW2CTev9vM821NsEZYZifbdyMMY122eq827xr6G8pump</t>
  </si>
  <si>
    <t xml:space="preserve">ID </t>
  </si>
  <si>
    <t>0.000120</t>
  </si>
  <si>
    <t>41.06%</t>
  </si>
  <si>
    <t>29.09.2024 03:03:22</t>
  </si>
  <si>
    <t xml:space="preserve">         62K           174K             4K</t>
  </si>
  <si>
    <t>BmRh5KG7varzXM5KEzPYS7h6Ymon8efkcgsefhDFpump</t>
  </si>
  <si>
    <t>LOLCAT</t>
  </si>
  <si>
    <t>0.489 SOL</t>
  </si>
  <si>
    <t>0.389 SOL</t>
  </si>
  <si>
    <t>388.43%</t>
  </si>
  <si>
    <t>28.09.2024 16:41:26</t>
  </si>
  <si>
    <t xml:space="preserve">         70K           464K            36K</t>
  </si>
  <si>
    <t>FNLK4bSwHNrVCeCXCKjY5y6ZCbYM25saKLD6cHhBpump</t>
  </si>
  <si>
    <t>nala</t>
  </si>
  <si>
    <t>74.32%</t>
  </si>
  <si>
    <t>28.09.2024 15:57:18</t>
  </si>
  <si>
    <t xml:space="preserve">        315K           526K            12K</t>
  </si>
  <si>
    <t>11W8vakvavnP9aryEK8jmDDsdeWE6S6SGu8Fjkipump</t>
  </si>
  <si>
    <t>Fiona</t>
  </si>
  <si>
    <t>194,498</t>
  </si>
  <si>
    <t>28.09.2024 13:42:27</t>
  </si>
  <si>
    <t>EiXzPeaVRggVERLuXgbM919tHVfo3MKKuUnWT9Nppump</t>
  </si>
  <si>
    <t>moodeng</t>
  </si>
  <si>
    <t>-0.019 SOL</t>
  </si>
  <si>
    <t>-18.23%</t>
  </si>
  <si>
    <t>28.09.2024 03:05:45</t>
  </si>
  <si>
    <t xml:space="preserve">         60K            49K            11K</t>
  </si>
  <si>
    <t>BmFJfcX69jFkVqsyLeNkSaBJzmss2uWw9CEKyZNfpump</t>
  </si>
  <si>
    <t>PINJU</t>
  </si>
  <si>
    <t>145,915</t>
  </si>
  <si>
    <t>27.09.2024 16:55:58</t>
  </si>
  <si>
    <t xml:space="preserve">        117K           117K             4K</t>
  </si>
  <si>
    <t>H7pRPRmbg7YkUUJ2AakDUKuVRvZ5aEdvcyrgBG9Tpump</t>
  </si>
  <si>
    <t>6ryJGyrRDAcWLAmASkMVUWSX7D51pw4A3wvuYYNhQ5D8</t>
  </si>
  <si>
    <t>574.78 SOL</t>
  </si>
  <si>
    <t>49%</t>
  </si>
  <si>
    <t>72%</t>
  </si>
  <si>
    <t>1305.47 SOL</t>
  </si>
  <si>
    <t>44 (27%)</t>
  </si>
  <si>
    <t>79 days</t>
  </si>
  <si>
    <t>-3.49%</t>
  </si>
  <si>
    <t>1.58 SOL</t>
  </si>
  <si>
    <t>80</t>
  </si>
  <si>
    <t>3.7%</t>
  </si>
  <si>
    <t>10.6%</t>
  </si>
  <si>
    <t>11.2%</t>
  </si>
  <si>
    <t>23.6%</t>
  </si>
  <si>
    <t>22.4%</t>
  </si>
  <si>
    <t>47</t>
  </si>
  <si>
    <t>1090.6 SOL</t>
  </si>
  <si>
    <t>460.7 SOL</t>
  </si>
  <si>
    <t>153.2 SOL</t>
  </si>
  <si>
    <t>78.5 SOL</t>
  </si>
  <si>
    <t>-117.7 SOL</t>
  </si>
  <si>
    <t>-359.9 SOL</t>
  </si>
  <si>
    <t>60</t>
  </si>
  <si>
    <t>35</t>
  </si>
  <si>
    <t>54.0K</t>
  </si>
  <si>
    <t>LL</t>
  </si>
  <si>
    <t>0.235010</t>
  </si>
  <si>
    <t>6.512 SOL</t>
  </si>
  <si>
    <t>2.740 SOL</t>
  </si>
  <si>
    <t>-4.007 SOL</t>
  </si>
  <si>
    <t>-59.38%</t>
  </si>
  <si>
    <t>30.10.2024 20:02:26</t>
  </si>
  <si>
    <t>H2f5eXf7YSxmFYyCGmSk4ofTMtJGfyhSps5GhTemrGWm</t>
  </si>
  <si>
    <t>0.715110</t>
  </si>
  <si>
    <t>39.600 SOL</t>
  </si>
  <si>
    <t>67.918 SOL</t>
  </si>
  <si>
    <t>27.603 SOL</t>
  </si>
  <si>
    <t>68.47%</t>
  </si>
  <si>
    <t>30.10.2024 19:44:36</t>
  </si>
  <si>
    <t xml:space="preserve">        194K             1M            35K</t>
  </si>
  <si>
    <t>Y2K</t>
  </si>
  <si>
    <t>4.129 SOL</t>
  </si>
  <si>
    <t>-2.618 SOL</t>
  </si>
  <si>
    <t>-38.80%</t>
  </si>
  <si>
    <t>30.10.2024 19:30:06</t>
  </si>
  <si>
    <t xml:space="preserve">         49K            32K            25K</t>
  </si>
  <si>
    <t>8YiB8B43EwDeSx5Jp91VQjgBU4mfCgVvyNahadtzpump</t>
  </si>
  <si>
    <t>H5N1</t>
  </si>
  <si>
    <t>0.134010</t>
  </si>
  <si>
    <t>3.257 SOL</t>
  </si>
  <si>
    <t>3.273 SOL</t>
  </si>
  <si>
    <t>-0.118 SOL</t>
  </si>
  <si>
    <t>30.10.2024 19:10:14</t>
  </si>
  <si>
    <t xml:space="preserve">         21K            19K             7K</t>
  </si>
  <si>
    <t>GZzHeuJ9Ap3gzSGZ1uES5eQ2LXPYP9dKxkneytyrpump</t>
  </si>
  <si>
    <t>GRIDCOIN</t>
  </si>
  <si>
    <t>0.323020</t>
  </si>
  <si>
    <t>8.684 SOL</t>
  </si>
  <si>
    <t>2.483 SOL</t>
  </si>
  <si>
    <t>-6.524 SOL</t>
  </si>
  <si>
    <t>-72.43%</t>
  </si>
  <si>
    <t>30.10.2024 18:42:59</t>
  </si>
  <si>
    <t xml:space="preserve">         58K            49K             6K</t>
  </si>
  <si>
    <t>BfB7d1jd5ptf5QZWUX5eKPKd1iRmsofF3sjbYBC6pump</t>
  </si>
  <si>
    <t>SAGE</t>
  </si>
  <si>
    <t>0.121020</t>
  </si>
  <si>
    <t>10.174 SOL</t>
  </si>
  <si>
    <t>158.318 SOL</t>
  </si>
  <si>
    <t>148.023 SOL</t>
  </si>
  <si>
    <t>1437.81%</t>
  </si>
  <si>
    <t>30.10.2024 17:40:57</t>
  </si>
  <si>
    <t xml:space="preserve">         65K            65K             7K</t>
  </si>
  <si>
    <t>2qYuPd799Uz6QHGCDbRdsuM8Gb37d9HgY6HRHGV9pump</t>
  </si>
  <si>
    <t>SAGEAI</t>
  </si>
  <si>
    <t>5.174 SOL</t>
  </si>
  <si>
    <t>5.675 SOL</t>
  </si>
  <si>
    <t>0.391 SOL</t>
  </si>
  <si>
    <t>7.39%</t>
  </si>
  <si>
    <t>30.10.2024 17:19:06</t>
  </si>
  <si>
    <t>G4CciyZZmWefP79DkWmqWUqZ5SxDwGt6BpNRBX4Wpump</t>
  </si>
  <si>
    <t>0.385030</t>
  </si>
  <si>
    <t>17.820 SOL</t>
  </si>
  <si>
    <t>16.682 SOL</t>
  </si>
  <si>
    <t>-1.523 SOL</t>
  </si>
  <si>
    <t>-8.37%</t>
  </si>
  <si>
    <t>30.10.2024 17:17:12</t>
  </si>
  <si>
    <t>43 min</t>
  </si>
  <si>
    <t xml:space="preserve">         26K           100K             9K</t>
  </si>
  <si>
    <t>0.211020</t>
  </si>
  <si>
    <t>2.429 SOL</t>
  </si>
  <si>
    <t>2.685 SOL</t>
  </si>
  <si>
    <t>0.045 SOL</t>
  </si>
  <si>
    <t>1.69%</t>
  </si>
  <si>
    <t>30.10.2024 12:41:19</t>
  </si>
  <si>
    <t>D3wdKFpXZ4HP4Uu1T5VifoqwRZhNkR9yLmuogwQnpump</t>
  </si>
  <si>
    <t>0.187010</t>
  </si>
  <si>
    <t>9.900 SOL</t>
  </si>
  <si>
    <t>7.530 SOL</t>
  </si>
  <si>
    <t>-2.557 SOL</t>
  </si>
  <si>
    <t>30.10.2024 04:03:30</t>
  </si>
  <si>
    <t xml:space="preserve">         79K            56K             5K</t>
  </si>
  <si>
    <t>REBIRTH</t>
  </si>
  <si>
    <t>0.099010</t>
  </si>
  <si>
    <t>4.144 SOL</t>
  </si>
  <si>
    <t>-0.905 SOL</t>
  </si>
  <si>
    <t>-17.92%</t>
  </si>
  <si>
    <t>29.10.2024 23:03:25</t>
  </si>
  <si>
    <t xml:space="preserve">         63K            53K             4K</t>
  </si>
  <si>
    <t>6DEeyuTLVyw241SU555iQjCotKVY8Vzd4bhGa7w5pump</t>
  </si>
  <si>
    <t>LOSS</t>
  </si>
  <si>
    <t>5.802 SOL</t>
  </si>
  <si>
    <t>0.753 SOL</t>
  </si>
  <si>
    <t>14.92%</t>
  </si>
  <si>
    <t>29.10.2024 22:29:37</t>
  </si>
  <si>
    <t xml:space="preserve">         44K            53K             3K</t>
  </si>
  <si>
    <t>3XbtXJTwrApeEy9kthjpwBaR158ydaGgHnyEE1bipump</t>
  </si>
  <si>
    <t>Shitcoin</t>
  </si>
  <si>
    <t>0.275020</t>
  </si>
  <si>
    <t>19.800 SOL</t>
  </si>
  <si>
    <t>8.779 SOL</t>
  </si>
  <si>
    <t>-11.296 SOL</t>
  </si>
  <si>
    <t>-56.27%</t>
  </si>
  <si>
    <t>29.10.2024 21:51:13</t>
  </si>
  <si>
    <t xml:space="preserve">        121K            44K             5K</t>
  </si>
  <si>
    <t>9Q3no5oBzJW37TgcBP22F6SVZCtsc3G3RHELSbbgpump</t>
  </si>
  <si>
    <t>SKELLY</t>
  </si>
  <si>
    <t>0.123010</t>
  </si>
  <si>
    <t>2.257 SOL</t>
  </si>
  <si>
    <t>1.361 SOL</t>
  </si>
  <si>
    <t>-1.019 SOL</t>
  </si>
  <si>
    <t>-42.80%</t>
  </si>
  <si>
    <t>29.10.2024 20:14:21</t>
  </si>
  <si>
    <t>8WxmZnV1aqNbNBjWvpjhZwmFp4teNzs94A9RUNKSpump</t>
  </si>
  <si>
    <t>♱</t>
  </si>
  <si>
    <t>0.310020</t>
  </si>
  <si>
    <t>9.197 SOL</t>
  </si>
  <si>
    <t>7.045 SOL</t>
  </si>
  <si>
    <t>-2.462 SOL</t>
  </si>
  <si>
    <t>-25.90%</t>
  </si>
  <si>
    <t>29.10.2024 16:55:45</t>
  </si>
  <si>
    <t xml:space="preserve">         14K             9K             4K</t>
  </si>
  <si>
    <t>HB9XUyKQRyM7pwBGZd3s63nfHPjgsa3a3ziQrX6iCYQ4</t>
  </si>
  <si>
    <t>WOAT</t>
  </si>
  <si>
    <t>0.695040</t>
  </si>
  <si>
    <t>25.740 SOL</t>
  </si>
  <si>
    <t>36.016 SOL</t>
  </si>
  <si>
    <t>9.581 SOL</t>
  </si>
  <si>
    <t>36.24%</t>
  </si>
  <si>
    <t>29.10.2024 05:22:31</t>
  </si>
  <si>
    <t xml:space="preserve">        183K           304K            11K</t>
  </si>
  <si>
    <t>6qocE7eQhug7pE7CggAvdNJJMtkHjKaVYRSND7Bwpump</t>
  </si>
  <si>
    <t>DWB</t>
  </si>
  <si>
    <t>0.171010</t>
  </si>
  <si>
    <t>3.322 SOL</t>
  </si>
  <si>
    <t>3.040 SOL</t>
  </si>
  <si>
    <t>-0.453 SOL</t>
  </si>
  <si>
    <t>-12.97%</t>
  </si>
  <si>
    <t>29.10.2024 04:09:39</t>
  </si>
  <si>
    <t>BMA8W1PhZx91mxsopF6sVzPQk6UerGWFhvCssfbVpump</t>
  </si>
  <si>
    <t>0.101630</t>
  </si>
  <si>
    <t>2.970 SOL</t>
  </si>
  <si>
    <t>13.005 SOL</t>
  </si>
  <si>
    <t>9.933 SOL</t>
  </si>
  <si>
    <t>323.38%</t>
  </si>
  <si>
    <t>29.10.2024 03:43:57</t>
  </si>
  <si>
    <t xml:space="preserve">         21K           135K            20K</t>
  </si>
  <si>
    <t>TAY</t>
  </si>
  <si>
    <t>0.117820</t>
  </si>
  <si>
    <t>14.850 SOL</t>
  </si>
  <si>
    <t>12.367 SOL</t>
  </si>
  <si>
    <t>-2.601 SOL</t>
  </si>
  <si>
    <t>-17.37%</t>
  </si>
  <si>
    <t>29.10.2024 03:28:58</t>
  </si>
  <si>
    <t xml:space="preserve">        218K           139K             7K</t>
  </si>
  <si>
    <t>9FyvApf4t4BXhtT35LqHCeX2oewR1tcP2cNBbqkhpump</t>
  </si>
  <si>
    <t>GIUBYLEO</t>
  </si>
  <si>
    <t>0.217620</t>
  </si>
  <si>
    <t>5.394 SOL</t>
  </si>
  <si>
    <t>3.698 SOL</t>
  </si>
  <si>
    <t>-1.913 SOL</t>
  </si>
  <si>
    <t>-34.09%</t>
  </si>
  <si>
    <t>29.10.2024 02:10:03</t>
  </si>
  <si>
    <t xml:space="preserve">         18K             7K             5K</t>
  </si>
  <si>
    <t>9gheHBoCSkWS6BLo8vUCqfSekaVHWAB4rM1DazCypump</t>
  </si>
  <si>
    <t>0.811030</t>
  </si>
  <si>
    <t>31.680 SOL</t>
  </si>
  <si>
    <t>183.496 SOL</t>
  </si>
  <si>
    <t>151.005 SOL</t>
  </si>
  <si>
    <t>464.76%</t>
  </si>
  <si>
    <t>29.10.2024 01:55:03</t>
  </si>
  <si>
    <t xml:space="preserve">          1M            16M           393K</t>
  </si>
  <si>
    <t>4J5HoZWoKcbo2JQxEEVCKRBfUQtEroY1QdRrKtZFpump</t>
  </si>
  <si>
    <t>Darkstar</t>
  </si>
  <si>
    <t>0.104220</t>
  </si>
  <si>
    <t>11.422 SOL</t>
  </si>
  <si>
    <t>1.418 SOL</t>
  </si>
  <si>
    <t>14.17%</t>
  </si>
  <si>
    <t>29.10.2024 00:53:06</t>
  </si>
  <si>
    <t xml:space="preserve">        155K           144K             4K</t>
  </si>
  <si>
    <t>9ZxqCYUSrUqznG5hGyywodRxvm4YTmYNRvdt5X97pump</t>
  </si>
  <si>
    <t>Shalom</t>
  </si>
  <si>
    <t>0.046610</t>
  </si>
  <si>
    <t>3.074 SOL</t>
  </si>
  <si>
    <t>7.414 SOL</t>
  </si>
  <si>
    <t>4.294 SOL</t>
  </si>
  <si>
    <t>137.62%</t>
  </si>
  <si>
    <t>29.10.2024 00:46:58</t>
  </si>
  <si>
    <t xml:space="preserve">         28K            69K             4K</t>
  </si>
  <si>
    <t>7SbeiewVUEuVcJzGuFQuYpLUSjUyD7m9Sdez7NJdpump</t>
  </si>
  <si>
    <t>ECHO</t>
  </si>
  <si>
    <t>0.182020</t>
  </si>
  <si>
    <t>5.788 SOL</t>
  </si>
  <si>
    <t>2.284 SOL</t>
  </si>
  <si>
    <t>65.19%</t>
  </si>
  <si>
    <t>28.10.2024 23:38:27</t>
  </si>
  <si>
    <t xml:space="preserve">         28K            47K             3K</t>
  </si>
  <si>
    <t>7aaqdaNk2xsF143Xa3qrPsDN6Y7WgX2fzCZxwxj1pump</t>
  </si>
  <si>
    <t>HAWK</t>
  </si>
  <si>
    <t>3.037 SOL</t>
  </si>
  <si>
    <t>-0.456 SOL</t>
  </si>
  <si>
    <t>-13.06%</t>
  </si>
  <si>
    <t>28.10.2024 23:23:11</t>
  </si>
  <si>
    <t>8Rq1NyTZeyP6uaTpJxMgt5US9EZgV2HEbyFYsnUMpump</t>
  </si>
  <si>
    <t>OMG</t>
  </si>
  <si>
    <t>5.074 SOL</t>
  </si>
  <si>
    <t>5.878 SOL</t>
  </si>
  <si>
    <t>0.758 SOL</t>
  </si>
  <si>
    <t>14.80%</t>
  </si>
  <si>
    <t>28.10.2024 23:00:52</t>
  </si>
  <si>
    <t xml:space="preserve">         14K            18K             6K</t>
  </si>
  <si>
    <t>63ueWVRMBawnYwthAk8emSSu3xaie24cXw5Lh8eKpump</t>
  </si>
  <si>
    <t>SOUL</t>
  </si>
  <si>
    <t>15.222 SOL</t>
  </si>
  <si>
    <t>19.940 SOL</t>
  </si>
  <si>
    <t>4.500 SOL</t>
  </si>
  <si>
    <t>29.15%</t>
  </si>
  <si>
    <t>28.10.2024 22:42:46</t>
  </si>
  <si>
    <t xml:space="preserve">         65K            58K             4K</t>
  </si>
  <si>
    <t>5mpkZuXwNxig6orRdqghFcuUKbFpnCA2XvTqLLk8pump</t>
  </si>
  <si>
    <t>Fantoumi</t>
  </si>
  <si>
    <t>1.929 SOL</t>
  </si>
  <si>
    <t>-1.564 SOL</t>
  </si>
  <si>
    <t>-44.79%</t>
  </si>
  <si>
    <t>28.10.2024 22:38:21</t>
  </si>
  <si>
    <t>kg25jpW5N5UKVQAFHCrGJCZyZ5ttDvwXhmEp6C3pump</t>
  </si>
  <si>
    <t>DAOAI</t>
  </si>
  <si>
    <t>0.057610</t>
  </si>
  <si>
    <t>8.921 SOL</t>
  </si>
  <si>
    <t>3.790 SOL</t>
  </si>
  <si>
    <t>73.85%</t>
  </si>
  <si>
    <t>28.10.2024 22:15:39</t>
  </si>
  <si>
    <t>6uydwYx7yZg41o9yZL2F1nfTryaHuY1wufHGpcscpump</t>
  </si>
  <si>
    <t>EXPOSED</t>
  </si>
  <si>
    <t>4.972 SOL</t>
  </si>
  <si>
    <t>1.852 SOL</t>
  </si>
  <si>
    <t>59.36%</t>
  </si>
  <si>
    <t>28.10.2024 22:01:18</t>
  </si>
  <si>
    <t>7hDZRGJY8S1gG35JK9nNBr1ZxcVx8vHWV2tKWaAHpump</t>
  </si>
  <si>
    <t>Dove</t>
  </si>
  <si>
    <t>0.264230</t>
  </si>
  <si>
    <t>5.465 SOL</t>
  </si>
  <si>
    <t>7.919 SOL</t>
  </si>
  <si>
    <t>2.190 SOL</t>
  </si>
  <si>
    <t>38.22%</t>
  </si>
  <si>
    <t>28.10.2024 21:17:24</t>
  </si>
  <si>
    <t xml:space="preserve">          9K            11K             6K</t>
  </si>
  <si>
    <t>G9yF7M7y65xt8ELvQe9EVnV196YYVGmwW18sUWrTpump</t>
  </si>
  <si>
    <t>TRINITY</t>
  </si>
  <si>
    <t>1.074 SOL</t>
  </si>
  <si>
    <t>0.918 SOL</t>
  </si>
  <si>
    <t>-18.01%</t>
  </si>
  <si>
    <t>28.10.2024 20:29:51</t>
  </si>
  <si>
    <t>2gHNTegyWr9WBoGbcyLJYDmgPap8rnnK7DS7dgC76qQp</t>
  </si>
  <si>
    <t xml:space="preserve">Trinity </t>
  </si>
  <si>
    <t>1.980 SOL</t>
  </si>
  <si>
    <t>1.113 SOL</t>
  </si>
  <si>
    <t>-0.913 SOL</t>
  </si>
  <si>
    <t>-45.06%</t>
  </si>
  <si>
    <t>28.10.2024 20:29:31</t>
  </si>
  <si>
    <t>8X27VsdKTmx24TyGrmFT86fa7ewKM9BSyXmRQEu1CnAN</t>
  </si>
  <si>
    <t>Santino</t>
  </si>
  <si>
    <t>0.238870</t>
  </si>
  <si>
    <t>24.750 SOL</t>
  </si>
  <si>
    <t>54.510 SOL</t>
  </si>
  <si>
    <t>29.521 SOL</t>
  </si>
  <si>
    <t>118.14%</t>
  </si>
  <si>
    <t>28.10.2024 20:28:52</t>
  </si>
  <si>
    <t xml:space="preserve">        162K           218K           708K</t>
  </si>
  <si>
    <t>Fof1DyVSYiQGCnT3uTbmq8kQMPdwL35x1bD82NaTs9mM</t>
  </si>
  <si>
    <t>🧙</t>
  </si>
  <si>
    <t>5.322 SOL</t>
  </si>
  <si>
    <t>5.778 SOL</t>
  </si>
  <si>
    <t>0.285 SOL</t>
  </si>
  <si>
    <t>5.20%</t>
  </si>
  <si>
    <t>28.10.2024 19:51:41</t>
  </si>
  <si>
    <t xml:space="preserve">         26K            28K             4K</t>
  </si>
  <si>
    <t>FJXC6Y5HVkNQjHzRbUDiXMEmdXZe7mP7snS5yJmUpump</t>
  </si>
  <si>
    <t>Ping</t>
  </si>
  <si>
    <t>0.331020</t>
  </si>
  <si>
    <t>6.642 SOL</t>
  </si>
  <si>
    <t>2.330 SOL</t>
  </si>
  <si>
    <t>-4.643 SOL</t>
  </si>
  <si>
    <t>-66.58%</t>
  </si>
  <si>
    <t>28.10.2024 18:20:11</t>
  </si>
  <si>
    <t xml:space="preserve">         55K            19K             6K</t>
  </si>
  <si>
    <t>tz94YhkdgQ3MW4PY688wYrVxWmAhUuBUgGHZM6Wpump</t>
  </si>
  <si>
    <t>milu</t>
  </si>
  <si>
    <t>10.322 SOL</t>
  </si>
  <si>
    <t>5.945 SOL</t>
  </si>
  <si>
    <t>-4.548 SOL</t>
  </si>
  <si>
    <t>-43.35%</t>
  </si>
  <si>
    <t>28.10.2024 17:06:05</t>
  </si>
  <si>
    <t>GFZL1DpV3HxDxZ6YehsoC9ETnjGyUCQA5PrtpsGqpump</t>
  </si>
  <si>
    <t>Ziggy</t>
  </si>
  <si>
    <t>0.093220</t>
  </si>
  <si>
    <t>28.613 SOL</t>
  </si>
  <si>
    <t>13.669 SOL</t>
  </si>
  <si>
    <t>91.48%</t>
  </si>
  <si>
    <t>28.10.2024 16:50:17</t>
  </si>
  <si>
    <t xml:space="preserve">         32K            65K             4K</t>
  </si>
  <si>
    <t>9wBdGejMb6UJeXDdTSfvRhhECCCNi74vmzLFQixjpump</t>
  </si>
  <si>
    <t>0.171020</t>
  </si>
  <si>
    <t>6.324 SOL</t>
  </si>
  <si>
    <t>1.281 SOL</t>
  </si>
  <si>
    <t>-5.214 SOL</t>
  </si>
  <si>
    <t>-80.27%</t>
  </si>
  <si>
    <t>28.10.2024 15:50:26</t>
  </si>
  <si>
    <t xml:space="preserve">         53K            12K             5K</t>
  </si>
  <si>
    <t>B4bK8zsktFQQ8t2XSf1DA9obn2chFPE7HAvvvdqKpump</t>
  </si>
  <si>
    <t>0.152420</t>
  </si>
  <si>
    <t>8.861 SOL</t>
  </si>
  <si>
    <t>-16.041 SOL</t>
  </si>
  <si>
    <t>-64.42%</t>
  </si>
  <si>
    <t>28.10.2024 03:15:20</t>
  </si>
  <si>
    <t xml:space="preserve">         87K           222K           303K</t>
  </si>
  <si>
    <t>Quanta</t>
  </si>
  <si>
    <t>11.964 SOL</t>
  </si>
  <si>
    <t>8.936 SOL</t>
  </si>
  <si>
    <t>295.15%</t>
  </si>
  <si>
    <t>28.10.2024 01:36:47</t>
  </si>
  <si>
    <t xml:space="preserve">         67K           265K             5K</t>
  </si>
  <si>
    <t>3jUJuQz8cFweejpxAHCyWwSGAF8BDhr9bDvNhmPLpump</t>
  </si>
  <si>
    <t>impact</t>
  </si>
  <si>
    <t>5.940 SOL</t>
  </si>
  <si>
    <t>-2.591 SOL</t>
  </si>
  <si>
    <t>-42.77%</t>
  </si>
  <si>
    <t>27.10.2024 17:42:21</t>
  </si>
  <si>
    <t xml:space="preserve">         26K            12K             3K</t>
  </si>
  <si>
    <t>D77rLo6Npg23ZzjN1g7d2En1a9A61CAaxTDwiZeHpump</t>
  </si>
  <si>
    <t>LOST</t>
  </si>
  <si>
    <t>6.071 SOL</t>
  </si>
  <si>
    <t>21.51%</t>
  </si>
  <si>
    <t>27.10.2024 17:19:44</t>
  </si>
  <si>
    <t xml:space="preserve">         45K            55K             9K</t>
  </si>
  <si>
    <t>8hzBoKRvpHQEfMfUqzzPQyxtcBtekEmgoC5Q61pUpump</t>
  </si>
  <si>
    <t>AIART</t>
  </si>
  <si>
    <t>0.082210</t>
  </si>
  <si>
    <t>2.585 SOL</t>
  </si>
  <si>
    <t>-7.397 SOL</t>
  </si>
  <si>
    <t>-74.10%</t>
  </si>
  <si>
    <t>27.10.2024 17:13:25</t>
  </si>
  <si>
    <t xml:space="preserve">         58K            19K             3K</t>
  </si>
  <si>
    <t>AmCxWKcuoDckZmrDjn4psvXakWoTu7mCgLYfhNimpump</t>
  </si>
  <si>
    <t>௵</t>
  </si>
  <si>
    <t>3.572 SOL</t>
  </si>
  <si>
    <t>1.545 SOL</t>
  </si>
  <si>
    <t>76.23%</t>
  </si>
  <si>
    <t>27.10.2024 17:01:01</t>
  </si>
  <si>
    <t xml:space="preserve">         14K            14K             7K</t>
  </si>
  <si>
    <t>5htRq8A33EaivheAGtuBTWwM6UA18NR9JL3MjkfLpump</t>
  </si>
  <si>
    <t>10.074 SOL</t>
  </si>
  <si>
    <t>11.988 SOL</t>
  </si>
  <si>
    <t>1.867 SOL</t>
  </si>
  <si>
    <t>18.45%</t>
  </si>
  <si>
    <t>27.10.2024 16:50:20</t>
  </si>
  <si>
    <t xml:space="preserve">         49K            58K             3K</t>
  </si>
  <si>
    <t>2aWFmQ2QfErGobU8RWbr9Bw6evjN5vGXbWo17J1wpump</t>
  </si>
  <si>
    <t>0.148240</t>
  </si>
  <si>
    <t>9.801 SOL</t>
  </si>
  <si>
    <t>20.182 SOL</t>
  </si>
  <si>
    <t>10.233 SOL</t>
  </si>
  <si>
    <t>102.85%</t>
  </si>
  <si>
    <t>27.10.2024 16:28:01</t>
  </si>
  <si>
    <t xml:space="preserve">        107K            87K             9K</t>
  </si>
  <si>
    <t>6.145 SOL</t>
  </si>
  <si>
    <t>2.587 SOL</t>
  </si>
  <si>
    <t>-3.640 SOL</t>
  </si>
  <si>
    <t>-58.46%</t>
  </si>
  <si>
    <t>27.10.2024 16:15:45</t>
  </si>
  <si>
    <t xml:space="preserve">         60K            28K             3K</t>
  </si>
  <si>
    <t>15.755 SOL</t>
  </si>
  <si>
    <t>5.751 SOL</t>
  </si>
  <si>
    <t>57.49%</t>
  </si>
  <si>
    <t>27.10.2024 16:14:51</t>
  </si>
  <si>
    <t xml:space="preserve">        118K           135K             6K</t>
  </si>
  <si>
    <t>SKYLINES</t>
  </si>
  <si>
    <t>0.183850</t>
  </si>
  <si>
    <t>12.870 SOL</t>
  </si>
  <si>
    <t>25.015 SOL</t>
  </si>
  <si>
    <t>11.961 SOL</t>
  </si>
  <si>
    <t>91.63%</t>
  </si>
  <si>
    <t>27.10.2024 15:38:28</t>
  </si>
  <si>
    <t xml:space="preserve">         21K           158K             7K</t>
  </si>
  <si>
    <t>Hx2u67DY8EgtZppfCYQyWz68Syp8xJsRX1nDAMRbpump</t>
  </si>
  <si>
    <t>SAD</t>
  </si>
  <si>
    <t>18.529 SOL</t>
  </si>
  <si>
    <t>8.458 SOL</t>
  </si>
  <si>
    <t>83.98%</t>
  </si>
  <si>
    <t>27.10.2024 15:25:49</t>
  </si>
  <si>
    <t xml:space="preserve">        891K             2M            58K</t>
  </si>
  <si>
    <t>321tt4d8ZCGAdUB9PdB2cMtEL3uaJV4MaCzY2pTQpump</t>
  </si>
  <si>
    <t>defective</t>
  </si>
  <si>
    <t>11.880 SOL</t>
  </si>
  <si>
    <t>7.532 SOL</t>
  </si>
  <si>
    <t>-4.466 SOL</t>
  </si>
  <si>
    <t>-37.22%</t>
  </si>
  <si>
    <t>27.10.2024 14:43:18</t>
  </si>
  <si>
    <t xml:space="preserve">         83K           116K             5K</t>
  </si>
  <si>
    <t>PLg1yQLLtEXWiffVmwMUmtzeFRpvTuXF1Rh5ERopump</t>
  </si>
  <si>
    <t>DONT BUY !</t>
  </si>
  <si>
    <t>9.561 SOL</t>
  </si>
  <si>
    <t>-0.559 SOL</t>
  </si>
  <si>
    <t>-5.53%</t>
  </si>
  <si>
    <t>27.10.2024 13:05:33</t>
  </si>
  <si>
    <t>CKJy727ufuVQVm9bPkyjMGBVsrrvSAdQX3DwCEmboQbM</t>
  </si>
  <si>
    <t>MI</t>
  </si>
  <si>
    <t>3.387 SOL</t>
  </si>
  <si>
    <t>-45.61%</t>
  </si>
  <si>
    <t>27.10.2024 02:06:17</t>
  </si>
  <si>
    <t xml:space="preserve">         47K            28K             3K</t>
  </si>
  <si>
    <t>DVsEuAZrPWwuBZHMe71QpFQ6bbbUMjNWs8RASwXFpump</t>
  </si>
  <si>
    <t>MALAKAI</t>
  </si>
  <si>
    <t>0.293250</t>
  </si>
  <si>
    <t>28.587 SOL</t>
  </si>
  <si>
    <t>-3.387 SOL</t>
  </si>
  <si>
    <t>-10.59%</t>
  </si>
  <si>
    <t>27.10.2024 01:03:26</t>
  </si>
  <si>
    <t xml:space="preserve">        453K            42K             6K</t>
  </si>
  <si>
    <t>HEDfSqcMpEWbTGYpiLcmqM7SFJ9iSbjCn96n4xFfpump</t>
  </si>
  <si>
    <t xml:space="preserve">Seraphin </t>
  </si>
  <si>
    <t>-0.181 SOL</t>
  </si>
  <si>
    <t>-5.80%</t>
  </si>
  <si>
    <t>26.10.2024 23:09:52</t>
  </si>
  <si>
    <t>BrorNnhWcT3bVGivTBNzAebG7ZybSLxYXG9aj3JPpump</t>
  </si>
  <si>
    <t>cart</t>
  </si>
  <si>
    <t>1.091 SOL</t>
  </si>
  <si>
    <t>-2.029 SOL</t>
  </si>
  <si>
    <t>-65.04%</t>
  </si>
  <si>
    <t>26.10.2024 22:12:38</t>
  </si>
  <si>
    <t xml:space="preserve">         28K            11K             5K</t>
  </si>
  <si>
    <t>DuFbV54dxdyWZxC2tSiL8T9ScnZW3tojaFptcm5Apump</t>
  </si>
  <si>
    <t>MOSHI</t>
  </si>
  <si>
    <t>0.189030</t>
  </si>
  <si>
    <t>17.924 SOL</t>
  </si>
  <si>
    <t>1.722 SOL</t>
  </si>
  <si>
    <t>-16.390 SOL</t>
  </si>
  <si>
    <t>-90.49%</t>
  </si>
  <si>
    <t>26.10.2024 21:04:29</t>
  </si>
  <si>
    <t xml:space="preserve">         88K           165K             4K</t>
  </si>
  <si>
    <t>865rmR4TFRhV6hPX9kq3MfxhYwFoRzuS5SKWWJuGgSUf</t>
  </si>
  <si>
    <t>Toy</t>
  </si>
  <si>
    <t>1.326 SOL</t>
  </si>
  <si>
    <t>-3.794 SOL</t>
  </si>
  <si>
    <t>-74.09%</t>
  </si>
  <si>
    <t>26.10.2024 17:01:16</t>
  </si>
  <si>
    <t>C9NCtMHHUkEjWbP4VYHJVUfps9HKWfR16SVsXqvQpump</t>
  </si>
  <si>
    <t>MinecrafVR</t>
  </si>
  <si>
    <t>3.345 SOL</t>
  </si>
  <si>
    <t>7.19%</t>
  </si>
  <si>
    <t>26.10.2024 16:18:49</t>
  </si>
  <si>
    <t>Gqn8q3wHe7QWbuuBzYqmYjbxTH9f3iAyxdmD1sCWpump</t>
  </si>
  <si>
    <t>3.155 SOL</t>
  </si>
  <si>
    <t>1.11%</t>
  </si>
  <si>
    <t>26.10.2024 16:07:35</t>
  </si>
  <si>
    <t>57 sec</t>
  </si>
  <si>
    <t>9GTy6MHt6LePMb62BKwuM3uPGu2L8GBF3Aatutbapump</t>
  </si>
  <si>
    <t>8.318 SOL</t>
  </si>
  <si>
    <t>3.321 SOL</t>
  </si>
  <si>
    <t>66.47%</t>
  </si>
  <si>
    <t>26.10.2024 14:47:39</t>
  </si>
  <si>
    <t xml:space="preserve">         91K           153K             5K</t>
  </si>
  <si>
    <t>NIKA</t>
  </si>
  <si>
    <t>10.092 SOL</t>
  </si>
  <si>
    <t>1.46%</t>
  </si>
  <si>
    <t>26.10.2024 13:51:55</t>
  </si>
  <si>
    <t xml:space="preserve">        162K           165K             9K</t>
  </si>
  <si>
    <t>3d6B22xL1Jmi4sXkYgU27V4CXQ8Ut7nHdhaMa4yepump</t>
  </si>
  <si>
    <t>5.758 SOL</t>
  </si>
  <si>
    <t>-4.189 SOL</t>
  </si>
  <si>
    <t>-42.11%</t>
  </si>
  <si>
    <t>26.10.2024 13:01:22</t>
  </si>
  <si>
    <t xml:space="preserve">        280K           162K            11K</t>
  </si>
  <si>
    <t>AUSTIN</t>
  </si>
  <si>
    <t>6.930 SOL</t>
  </si>
  <si>
    <t>2.401 SOL</t>
  </si>
  <si>
    <t>-4.611 SOL</t>
  </si>
  <si>
    <t>-65.76%</t>
  </si>
  <si>
    <t>26.10.2024 02:06:47</t>
  </si>
  <si>
    <t xml:space="preserve">         46K            12K             4K</t>
  </si>
  <si>
    <t>63KJR2r65sSP2c9o37X3aQLcn3BX2ECAeu6o2h9Tpump</t>
  </si>
  <si>
    <t>ETH</t>
  </si>
  <si>
    <t>4.248 SOL</t>
  </si>
  <si>
    <t>-0.872 SOL</t>
  </si>
  <si>
    <t>-17.03%</t>
  </si>
  <si>
    <t>26.10.2024 00:12:47</t>
  </si>
  <si>
    <t xml:space="preserve">         14K            11K             5K</t>
  </si>
  <si>
    <t>EzLC8aLftXk2RXMZkBvG8d9QygJg6WvcEsdPzyrWpump</t>
  </si>
  <si>
    <t>RUSTY</t>
  </si>
  <si>
    <t>3.723 SOL</t>
  </si>
  <si>
    <t>0.602 SOL</t>
  </si>
  <si>
    <t>19.30%</t>
  </si>
  <si>
    <t>26.10.2024 00:06:05</t>
  </si>
  <si>
    <t>C2CamiXPmNn2AoUg5sacch3WohUaQv3eHdU3oGJ5pump</t>
  </si>
  <si>
    <t>FrrOG</t>
  </si>
  <si>
    <t>15.145 SOL</t>
  </si>
  <si>
    <t>9.888 SOL</t>
  </si>
  <si>
    <t>-5.350 SOL</t>
  </si>
  <si>
    <t>-35.11%</t>
  </si>
  <si>
    <t>26.10.2024 00:04:46</t>
  </si>
  <si>
    <t xml:space="preserve">         50K            35K             8K</t>
  </si>
  <si>
    <t>31pZHW7dJaRY1jCzytgnU4auTtYWtXDfFNMcWfW4pump</t>
  </si>
  <si>
    <t>LULU</t>
  </si>
  <si>
    <t>6.442 SOL</t>
  </si>
  <si>
    <t>28.92%</t>
  </si>
  <si>
    <t>25.10.2024 22:38:15</t>
  </si>
  <si>
    <t xml:space="preserve">         42K            55K             4K</t>
  </si>
  <si>
    <t>9SuoX2v4mgqJQJauTJhamjRWWWCn4cPoFhhxBfRopump</t>
  </si>
  <si>
    <t>TrumpT</t>
  </si>
  <si>
    <t>4.637 SOL</t>
  </si>
  <si>
    <t>-0.360 SOL</t>
  </si>
  <si>
    <t>-7.20%</t>
  </si>
  <si>
    <t>25.10.2024 22:13:15</t>
  </si>
  <si>
    <t xml:space="preserve">         53K            49K            11K</t>
  </si>
  <si>
    <t>9qQKtsBiBPk3U6aJLUrrq5zXEQ1JGuYWCkaL6Ge2HizD</t>
  </si>
  <si>
    <t>$SHONIC</t>
  </si>
  <si>
    <t>10.690 SOL</t>
  </si>
  <si>
    <t>0.744 SOL</t>
  </si>
  <si>
    <t>7.48%</t>
  </si>
  <si>
    <t>25.10.2024 21:59:27</t>
  </si>
  <si>
    <t xml:space="preserve">        125K           125K             4K</t>
  </si>
  <si>
    <t>peJxGuFUB79mo4Bp4gBwGHAgWyP9GeZtkaPU5t4pump</t>
  </si>
  <si>
    <t>OPAW</t>
  </si>
  <si>
    <t>0.711 SOL</t>
  </si>
  <si>
    <t>-4.409 SOL</t>
  </si>
  <si>
    <t>-86.11%</t>
  </si>
  <si>
    <t>25.10.2024 19:41:07</t>
  </si>
  <si>
    <t xml:space="preserve">         35K             5K             5K</t>
  </si>
  <si>
    <t>DAcSDJ795ptCxFTKgGnfCmqpp98i3ZHbVEovgNG6NxUx</t>
  </si>
  <si>
    <t>DREAM</t>
  </si>
  <si>
    <t>4.429 SOL</t>
  </si>
  <si>
    <t>1.309 SOL</t>
  </si>
  <si>
    <t>41.95%</t>
  </si>
  <si>
    <t>25.10.2024 18:41:14</t>
  </si>
  <si>
    <t>DXgtbBG2tiZHc1HYTt7gBXUyMnrvUcLEVDk3KRQQpump</t>
  </si>
  <si>
    <t>3.219 SOL</t>
  </si>
  <si>
    <t>3.18%</t>
  </si>
  <si>
    <t>25.10.2024 02:59:36</t>
  </si>
  <si>
    <t>FbvakvU7eezvbCXCKKJNE2XhD7B7TUdMoNFk1Bs4pump</t>
  </si>
  <si>
    <t>27.650 SOL</t>
  </si>
  <si>
    <t>7.756 SOL</t>
  </si>
  <si>
    <t>38.99%</t>
  </si>
  <si>
    <t>25.10.2024 02:42:30</t>
  </si>
  <si>
    <t xml:space="preserve">         63K           204K            10K</t>
  </si>
  <si>
    <t>Strawberry</t>
  </si>
  <si>
    <t>9.217 SOL</t>
  </si>
  <si>
    <t>3.492 SOL</t>
  </si>
  <si>
    <t>-5.842 SOL</t>
  </si>
  <si>
    <t>-62.59%</t>
  </si>
  <si>
    <t>25.10.2024 00:23:13</t>
  </si>
  <si>
    <t xml:space="preserve">         65K            25K             3K</t>
  </si>
  <si>
    <t>CYcNodDUdXawNKQSzWdAX8Mf4uGSCvJwcYDoKc8Hpump</t>
  </si>
  <si>
    <t>CHOO</t>
  </si>
  <si>
    <t>1.907 SOL</t>
  </si>
  <si>
    <t>-1.213 SOL</t>
  </si>
  <si>
    <t>-38.88%</t>
  </si>
  <si>
    <t>25.10.2024 00:20:35</t>
  </si>
  <si>
    <t>4iV95ZWPMnP32NnVCHGmZycn4VPY25VndFVWgvNnpump</t>
  </si>
  <si>
    <t>1.008580</t>
  </si>
  <si>
    <t>34.650 SOL</t>
  </si>
  <si>
    <t>414.083 SOL</t>
  </si>
  <si>
    <t>378.425 SOL</t>
  </si>
  <si>
    <t>1061.24%</t>
  </si>
  <si>
    <t>24.10.2024 22:55:00</t>
  </si>
  <si>
    <t xml:space="preserve">        378K           544K             8M</t>
  </si>
  <si>
    <t>GINA</t>
  </si>
  <si>
    <t>6.793 SOL</t>
  </si>
  <si>
    <t>1.797 SOL</t>
  </si>
  <si>
    <t>35.96%</t>
  </si>
  <si>
    <t>24.10.2024 22:33:43</t>
  </si>
  <si>
    <t xml:space="preserve">         32K            32K            14K</t>
  </si>
  <si>
    <t>Ec2SNUVJAvh3ko81rMZ9NuzZMEg17GXB4zb1dWgspump</t>
  </si>
  <si>
    <t>LUCID</t>
  </si>
  <si>
    <t>0.219450</t>
  </si>
  <si>
    <t>38.194 SOL</t>
  </si>
  <si>
    <t>20.154 SOL</t>
  </si>
  <si>
    <t>111.72%</t>
  </si>
  <si>
    <t>24.10.2024 20:22:09</t>
  </si>
  <si>
    <t xml:space="preserve">        148K           700K            14K</t>
  </si>
  <si>
    <t>FiQSxRdBzBgskvWcxFYZUrYdcZ55Qzci9dtrSH54pump</t>
  </si>
  <si>
    <t>emily</t>
  </si>
  <si>
    <t>0.123640</t>
  </si>
  <si>
    <t>26.732 SOL</t>
  </si>
  <si>
    <t>21.658 SOL</t>
  </si>
  <si>
    <t>426.87%</t>
  </si>
  <si>
    <t>24.10.2024 18:13:40</t>
  </si>
  <si>
    <t xml:space="preserve">         77K           366K           208K</t>
  </si>
  <si>
    <t>82zJt2MhzxHejfUDyubm8Qvhko6BGdgUcZnVZvKrpump</t>
  </si>
  <si>
    <t>DAWG</t>
  </si>
  <si>
    <t>6.239 SOL</t>
  </si>
  <si>
    <t>3.119 SOL</t>
  </si>
  <si>
    <t>99.94%</t>
  </si>
  <si>
    <t>24.10.2024 15:34:29</t>
  </si>
  <si>
    <t xml:space="preserve">          9K            16K             5K</t>
  </si>
  <si>
    <t>EV3YbAdZfxbwG9rFQQ4qF2oekxiH3HS86b82uWPhpump</t>
  </si>
  <si>
    <t>0.134650</t>
  </si>
  <si>
    <t>61.575 SOL</t>
  </si>
  <si>
    <t>58.367 SOL</t>
  </si>
  <si>
    <t>1819.26%</t>
  </si>
  <si>
    <t>24.10.2024 15:11:14</t>
  </si>
  <si>
    <t xml:space="preserve">         11K           232K             5K</t>
  </si>
  <si>
    <t>89</t>
  </si>
  <si>
    <t>2.391 SOL</t>
  </si>
  <si>
    <t>-0.730 SOL</t>
  </si>
  <si>
    <t>-23.38%</t>
  </si>
  <si>
    <t>24.10.2024 14:49:45</t>
  </si>
  <si>
    <t xml:space="preserve">         65K            51K             4K</t>
  </si>
  <si>
    <t>83gsCWUMLMjeThg6yQBEcX1HUGH5AqvnrWBvX7DNpump</t>
  </si>
  <si>
    <t>0912</t>
  </si>
  <si>
    <t>7.322 SOL</t>
  </si>
  <si>
    <t>-17.546 SOL</t>
  </si>
  <si>
    <t>-70.56%</t>
  </si>
  <si>
    <t>24.10.2024 05:43:03</t>
  </si>
  <si>
    <t xml:space="preserve">        623K           128K             6K</t>
  </si>
  <si>
    <t>CqtHQESkE9au6vGjzyf4BCLUQ5bVTgctsrbi1Zf4pump</t>
  </si>
  <si>
    <t>MEMETOKEN</t>
  </si>
  <si>
    <t>0.164430</t>
  </si>
  <si>
    <t>12.805 SOL</t>
  </si>
  <si>
    <t>-22.010 SOL</t>
  </si>
  <si>
    <t>-63.22%</t>
  </si>
  <si>
    <t>24.10.2024 05:37:11</t>
  </si>
  <si>
    <t xml:space="preserve">        482K            28K             5K</t>
  </si>
  <si>
    <t>HRiALt5uPXTHe4YRVeTSY7ngch2HUNzksVDYrcGSpump</t>
  </si>
  <si>
    <t>13.497 SOL</t>
  </si>
  <si>
    <t>3.550 SOL</t>
  </si>
  <si>
    <t>35.69%</t>
  </si>
  <si>
    <t>24.10.2024 04:51:35</t>
  </si>
  <si>
    <t xml:space="preserve">        408K           557K             8K</t>
  </si>
  <si>
    <t>NEO</t>
  </si>
  <si>
    <t>0.277070</t>
  </si>
  <si>
    <t>49.500 SOL</t>
  </si>
  <si>
    <t>53.451 SOL</t>
  </si>
  <si>
    <t>3.673 SOL</t>
  </si>
  <si>
    <t>7.38%</t>
  </si>
  <si>
    <t>24.10.2024 04:24:59</t>
  </si>
  <si>
    <t xml:space="preserve">          1M           556K            18K</t>
  </si>
  <si>
    <t>E5B5yyJWgNSQCHELcPWHsHPmpxj97rTnifNo28RXpump</t>
  </si>
  <si>
    <t>Reality</t>
  </si>
  <si>
    <t>13.145 SOL</t>
  </si>
  <si>
    <t>9.600 SOL</t>
  </si>
  <si>
    <t>-3.638 SOL</t>
  </si>
  <si>
    <t>-27.48%</t>
  </si>
  <si>
    <t>24.10.2024 04:03:30</t>
  </si>
  <si>
    <t xml:space="preserve">         32K            14K             3K</t>
  </si>
  <si>
    <t>2ShHf7YwQ1ci7S46h27LuF2so2wa4e4p65muoo8bpump</t>
  </si>
  <si>
    <t>CLAWD</t>
  </si>
  <si>
    <t>0.175430</t>
  </si>
  <si>
    <t>12.974 SOL</t>
  </si>
  <si>
    <t>7.164 SOL</t>
  </si>
  <si>
    <t>-5.985 SOL</t>
  </si>
  <si>
    <t>-45.51%</t>
  </si>
  <si>
    <t>24.10.2024 03:43:15</t>
  </si>
  <si>
    <t xml:space="preserve">         16K            11K             3K</t>
  </si>
  <si>
    <t>6DvfVfWnY1C2Nz2r4vi3qmAgjtFBHZxPcAetNfMGpump</t>
  </si>
  <si>
    <t>ANT</t>
  </si>
  <si>
    <t>0.079630</t>
  </si>
  <si>
    <t>24.863 SOL</t>
  </si>
  <si>
    <t>14.883 SOL</t>
  </si>
  <si>
    <t>149.13%</t>
  </si>
  <si>
    <t>24.10.2024 02:35:16</t>
  </si>
  <si>
    <t xml:space="preserve">        672K             2M           169K</t>
  </si>
  <si>
    <t>7PLFUMueEkMDc9dNoCnL5kG3aoLixML1iG5nA9ojpump</t>
  </si>
  <si>
    <t>x-Delta</t>
  </si>
  <si>
    <t>10.145 SOL</t>
  </si>
  <si>
    <t>11.128 SOL</t>
  </si>
  <si>
    <t>0.901 SOL</t>
  </si>
  <si>
    <t>8.81%</t>
  </si>
  <si>
    <t>24.10.2024 01:55:21</t>
  </si>
  <si>
    <t xml:space="preserve">         49K            58K             4K</t>
  </si>
  <si>
    <t>HV13kKRbKvCB341gqDt6YugkSo93RCmHDoALeHuspump</t>
  </si>
  <si>
    <t>TOLLM</t>
  </si>
  <si>
    <t>4.817 SOL</t>
  </si>
  <si>
    <t>-7.181 SOL</t>
  </si>
  <si>
    <t>-59.85%</t>
  </si>
  <si>
    <t>24.10.2024 00:36:36</t>
  </si>
  <si>
    <t xml:space="preserve">         97K            32K             3K</t>
  </si>
  <si>
    <t>CuLAhJ8EdTRkiuhEj2f8cxvuKJbYhdYRsj2fiNhSpump</t>
  </si>
  <si>
    <t>MESSIAI</t>
  </si>
  <si>
    <t>2.074 SOL</t>
  </si>
  <si>
    <t>2.171 SOL</t>
  </si>
  <si>
    <t>2.41%</t>
  </si>
  <si>
    <t>24.10.2024 00:19:05</t>
  </si>
  <si>
    <t>GhBsk44D9QSNLhbvp8mGSn7h5stiAtDmXX6Ffd6ppump</t>
  </si>
  <si>
    <t>TIM</t>
  </si>
  <si>
    <t>7.127 SOL</t>
  </si>
  <si>
    <t>2.130 SOL</t>
  </si>
  <si>
    <t>42.64%</t>
  </si>
  <si>
    <t>23.10.2024 23:40:51</t>
  </si>
  <si>
    <t xml:space="preserve">        294K           424K            21K</t>
  </si>
  <si>
    <t>AnnG2PnH4ijFrbAf6G6MWXHtrwUxT8bkyd5MJNnCpump</t>
  </si>
  <si>
    <t>HTA</t>
  </si>
  <si>
    <t>7.973 SOL</t>
  </si>
  <si>
    <t>-2.009 SOL</t>
  </si>
  <si>
    <t>-20.13%</t>
  </si>
  <si>
    <t>23.10.2024 22:53:16</t>
  </si>
  <si>
    <t xml:space="preserve">        132K            79K             4K</t>
  </si>
  <si>
    <t>EovyfqMetoWpCm2hck1xBsgmaQHqyjrkSCQMiSA9pump</t>
  </si>
  <si>
    <t xml:space="preserve">spoof </t>
  </si>
  <si>
    <t>0.068620</t>
  </si>
  <si>
    <t>16.936 SOL</t>
  </si>
  <si>
    <t>6.794 SOL</t>
  </si>
  <si>
    <t>66.99%</t>
  </si>
  <si>
    <t>23.10.2024 22:37:18</t>
  </si>
  <si>
    <t xml:space="preserve">         56K            86K             4K</t>
  </si>
  <si>
    <t>2u4p6KLLNo1kARvq4oxtgbTCbZnogUpVgdmqnuYApump</t>
  </si>
  <si>
    <t>TOSHIAI</t>
  </si>
  <si>
    <t>4.145 SOL</t>
  </si>
  <si>
    <t>6.972 SOL</t>
  </si>
  <si>
    <t>2.734 SOL</t>
  </si>
  <si>
    <t>64.49%</t>
  </si>
  <si>
    <t>23.10.2024 21:59:52</t>
  </si>
  <si>
    <t xml:space="preserve">         33K            53K             3K</t>
  </si>
  <si>
    <t>CPgwCPN5tBQWaMpuiueYk1iq4urMW47nRLBJduK8pump</t>
  </si>
  <si>
    <t>0.188440</t>
  </si>
  <si>
    <t>59.400 SOL</t>
  </si>
  <si>
    <t>25.529 SOL</t>
  </si>
  <si>
    <t>-34.060 SOL</t>
  </si>
  <si>
    <t>-57.16%</t>
  </si>
  <si>
    <t>23.10.2024 21:16:28</t>
  </si>
  <si>
    <t xml:space="preserve">        285K            38K            12K</t>
  </si>
  <si>
    <t>Corru</t>
  </si>
  <si>
    <t>1.510 SOL</t>
  </si>
  <si>
    <t>-3.487 SOL</t>
  </si>
  <si>
    <t>-69.79%</t>
  </si>
  <si>
    <t>23.10.2024 20:42:26</t>
  </si>
  <si>
    <t xml:space="preserve">         72K            21K             4K</t>
  </si>
  <si>
    <t>2UYfshiF9YMwcFAzfxYhDqv4CahF2MidZ68VwVsfpump</t>
  </si>
  <si>
    <t>JULIA</t>
  </si>
  <si>
    <t>0.016010</t>
  </si>
  <si>
    <t>5.726 SOL</t>
  </si>
  <si>
    <t>-4.190 SOL</t>
  </si>
  <si>
    <t>-42.25%</t>
  </si>
  <si>
    <t>23.10.2024 17:59:26</t>
  </si>
  <si>
    <t xml:space="preserve">         16K             9K             3K</t>
  </si>
  <si>
    <t>E59BxRBHr75Qw6z9sCEbzWyLt2CVJWX3Sidn4mAcpump</t>
  </si>
  <si>
    <t>0.024020</t>
  </si>
  <si>
    <t>5.290 SOL</t>
  </si>
  <si>
    <t>-9.585 SOL</t>
  </si>
  <si>
    <t>-64.44%</t>
  </si>
  <si>
    <t>23.10.2024 17:46:09</t>
  </si>
  <si>
    <t xml:space="preserve">        137K            46K             3K</t>
  </si>
  <si>
    <t>8k5iWeStCBUpwGUTnsKejKhLcUhiWMHfduuTbp2npump</t>
  </si>
  <si>
    <t>󠅔</t>
  </si>
  <si>
    <t>0.072040</t>
  </si>
  <si>
    <t>32.343 SOL</t>
  </si>
  <si>
    <t>22.371 SOL</t>
  </si>
  <si>
    <t>224.33%</t>
  </si>
  <si>
    <t>23.10.2024 17:17:07</t>
  </si>
  <si>
    <t xml:space="preserve">        137K           195K             5K</t>
  </si>
  <si>
    <t>KgGKSwPvhBDZbeN7hsvi7Bjx9VfKekqLRCMB6VBpump</t>
  </si>
  <si>
    <t xml:space="preserve">SKYNET </t>
  </si>
  <si>
    <t>5.022 SOL</t>
  </si>
  <si>
    <t>3.191 SOL</t>
  </si>
  <si>
    <t>-1.847 SOL</t>
  </si>
  <si>
    <t>-36.67%</t>
  </si>
  <si>
    <t>23.10.2024 04:12:42</t>
  </si>
  <si>
    <t xml:space="preserve">         18K            12K             5K</t>
  </si>
  <si>
    <t>8FN6m5kPEUv2WuzZbqR2GtGvaCSkvZaH8rhGC2oWpump</t>
  </si>
  <si>
    <t>TG-/AI</t>
  </si>
  <si>
    <t>1.791 SOL</t>
  </si>
  <si>
    <t>-3.175 SOL</t>
  </si>
  <si>
    <t>-63.93%</t>
  </si>
  <si>
    <t>23.10.2024 01:28:29</t>
  </si>
  <si>
    <t xml:space="preserve">         19K             7K             3K</t>
  </si>
  <si>
    <t>87t6YkcaJCDauvDBSRvE1AJySuHtQhsodD8C8AQHpump</t>
  </si>
  <si>
    <t>Rogue</t>
  </si>
  <si>
    <t>0.040020</t>
  </si>
  <si>
    <t>26.092 SOL</t>
  </si>
  <si>
    <t>16.151 SOL</t>
  </si>
  <si>
    <t>162.49%</t>
  </si>
  <si>
    <t>23.10.2024 00:28:19</t>
  </si>
  <si>
    <t xml:space="preserve">        283K           882K             8K</t>
  </si>
  <si>
    <t>EyVpWuxegaFCpHBXbXLwK6rTL7cT6VyrfteJrnSspump</t>
  </si>
  <si>
    <t>MOAB</t>
  </si>
  <si>
    <t>0.008000</t>
  </si>
  <si>
    <t>-4.958 SOL</t>
  </si>
  <si>
    <t>21,489,474</t>
  </si>
  <si>
    <t>23.10.2024 00:06:01</t>
  </si>
  <si>
    <t xml:space="preserve">         40K            40K             5K</t>
  </si>
  <si>
    <t>4Y4gsGEMgEGwhPXr1eXywergE7xNch1c8VJa9KAzpump</t>
  </si>
  <si>
    <t>antiaella</t>
  </si>
  <si>
    <t>2.750 SOL</t>
  </si>
  <si>
    <t>-2.216 SOL</t>
  </si>
  <si>
    <t>-44.62%</t>
  </si>
  <si>
    <t>22.10.2024 23:30:56</t>
  </si>
  <si>
    <t>DDkAN3E5KbaSa8bcwBewHioM78Ns2v7E6Z8vNfp1pump</t>
  </si>
  <si>
    <t>$LYNX</t>
  </si>
  <si>
    <t>0.032020</t>
  </si>
  <si>
    <t>19.366 SOL</t>
  </si>
  <si>
    <t>9.434 SOL</t>
  </si>
  <si>
    <t>94.98%</t>
  </si>
  <si>
    <t>22.10.2024 23:07:01</t>
  </si>
  <si>
    <t xml:space="preserve">          1M             2M            21K</t>
  </si>
  <si>
    <t>HYTWunEns5k3CBBrr8gTJjNqA93avuEPB3RB1Kud3MWg</t>
  </si>
  <si>
    <t>CHASER</t>
  </si>
  <si>
    <t>2.486 SOL</t>
  </si>
  <si>
    <t>-22.296 SOL</t>
  </si>
  <si>
    <t>-89.97%</t>
  </si>
  <si>
    <t>22.10.2024 23:03:38</t>
  </si>
  <si>
    <t xml:space="preserve">        107K             9K             4K</t>
  </si>
  <si>
    <t>FgPJPKGHYv89pDfK1VdxR7UvEW9NpPTZaVpxCxZKpump</t>
  </si>
  <si>
    <t>CIPHER</t>
  </si>
  <si>
    <t>2.842 SOL</t>
  </si>
  <si>
    <t>-2.124 SOL</t>
  </si>
  <si>
    <t>22.10.2024 22:34:33</t>
  </si>
  <si>
    <t xml:space="preserve">         33K            19K             4K</t>
  </si>
  <si>
    <t>BfMi2JkFUJmSjRJ8j4KGH9AoX8wN4pLBxChH2Yjypump</t>
  </si>
  <si>
    <t>HANA</t>
  </si>
  <si>
    <t>17.137 SOL</t>
  </si>
  <si>
    <t>2.263 SOL</t>
  </si>
  <si>
    <t>15.21%</t>
  </si>
  <si>
    <t>22.10.2024 22:03:11</t>
  </si>
  <si>
    <t xml:space="preserve">        718K           814K            28K</t>
  </si>
  <si>
    <t>7CCCwcyjrNv4mHjgv8fVx95MqpV7224CKnAQrcLwpump</t>
  </si>
  <si>
    <t>GAB</t>
  </si>
  <si>
    <t>2.944 SOL</t>
  </si>
  <si>
    <t>-21.838 SOL</t>
  </si>
  <si>
    <t>-88.12%</t>
  </si>
  <si>
    <t>22.10.2024 18:23:45</t>
  </si>
  <si>
    <t xml:space="preserve">        197K            23K             4K</t>
  </si>
  <si>
    <t>HWkLw5JSAZDeeu8kuCVFotsyQSKQDGTxEY8LgKrpump</t>
  </si>
  <si>
    <t>Diddy</t>
  </si>
  <si>
    <t>2.022 SOL</t>
  </si>
  <si>
    <t>2.059 SOL</t>
  </si>
  <si>
    <t>22.10.2024 17:08:54</t>
  </si>
  <si>
    <t>HLMpmUmZDdQLKFJTK3yrKpi3C5ehEcmZ5m7KcGoKpump</t>
  </si>
  <si>
    <t>Orakaro</t>
  </si>
  <si>
    <t>0.021010</t>
  </si>
  <si>
    <t>3.050 SOL</t>
  </si>
  <si>
    <t>1.298 SOL</t>
  </si>
  <si>
    <t>-1.773 SOL</t>
  </si>
  <si>
    <t>-57.73%</t>
  </si>
  <si>
    <t>22.10.2024 17:05:02</t>
  </si>
  <si>
    <t>F55Brfjpd3QLttNt34Mk9Cak4SPzhWpP44FuxhCcpump</t>
  </si>
  <si>
    <t>LARP</t>
  </si>
  <si>
    <t>0.026010</t>
  </si>
  <si>
    <t>4.236 SOL</t>
  </si>
  <si>
    <t>-10.640 SOL</t>
  </si>
  <si>
    <t>-71.53%</t>
  </si>
  <si>
    <t>22.10.2024 16:29:05</t>
  </si>
  <si>
    <t xml:space="preserve">         85K            24K             8K</t>
  </si>
  <si>
    <t>EWQZj3fteHnkfad7oK46pES5QixJm7nbL8izM3xfzAHx</t>
  </si>
  <si>
    <t>6.003 SOL</t>
  </si>
  <si>
    <t>20.89%</t>
  </si>
  <si>
    <t>22.10.2024 16:06:27</t>
  </si>
  <si>
    <t xml:space="preserve">         35K            42K             3K</t>
  </si>
  <si>
    <t>AN61DrubJTP6sJhnvnwaQkvJpVq1KMoFEZjCQYC6pump</t>
  </si>
  <si>
    <t>transhiba</t>
  </si>
  <si>
    <t>0.104060</t>
  </si>
  <si>
    <t>50.403 SOL</t>
  </si>
  <si>
    <t>25.549 SOL</t>
  </si>
  <si>
    <t>102.80%</t>
  </si>
  <si>
    <t>22.10.2024 04:25:15</t>
  </si>
  <si>
    <t xml:space="preserve">        125K           211K            13K</t>
  </si>
  <si>
    <t>2kAK2CWY78zLGtx4msG53HfsCJ59FAeYFWeSvDY7pump</t>
  </si>
  <si>
    <t>0.037020</t>
  </si>
  <si>
    <t>8.980 SOL</t>
  </si>
  <si>
    <t>3.667 SOL</t>
  </si>
  <si>
    <t>-59.33%</t>
  </si>
  <si>
    <t>22.10.2024 02:11:43</t>
  </si>
  <si>
    <t xml:space="preserve">         51K            28K             4K</t>
  </si>
  <si>
    <t>HN5u8ZZMvmw6MhARv9VPpeTvK3Bs3R5FTpU6AGAzpump</t>
  </si>
  <si>
    <t>JANET</t>
  </si>
  <si>
    <t>0.048030</t>
  </si>
  <si>
    <t>36.790 SOL</t>
  </si>
  <si>
    <t>16.942 SOL</t>
  </si>
  <si>
    <t>85.36%</t>
  </si>
  <si>
    <t>21.10.2024 22:26:06</t>
  </si>
  <si>
    <t xml:space="preserve">         65K            70K             7K</t>
  </si>
  <si>
    <t>G8ZgBbTkQHEWFFesz246E4d4TpcwTuoXXafzebuipump</t>
  </si>
  <si>
    <t>God</t>
  </si>
  <si>
    <t>1.778 SOL</t>
  </si>
  <si>
    <t>-0.260 SOL</t>
  </si>
  <si>
    <t>-12.78%</t>
  </si>
  <si>
    <t>21.10.2024 20:06:37</t>
  </si>
  <si>
    <t xml:space="preserve">         14K            12K             4K</t>
  </si>
  <si>
    <t>GxEtaiM7h4NxrwjEr26xBvUj54QWCmrQSqpv4yApump</t>
  </si>
  <si>
    <t>xAI</t>
  </si>
  <si>
    <t>2.050 SOL</t>
  </si>
  <si>
    <t>5.507 SOL</t>
  </si>
  <si>
    <t>3.436 SOL</t>
  </si>
  <si>
    <t>165.89%</t>
  </si>
  <si>
    <t>21.10.2024 16:21:52</t>
  </si>
  <si>
    <t xml:space="preserve">         14K            39K             8K</t>
  </si>
  <si>
    <t>8DPuPcwfJmszdjRoC6fUdobnqcQtVoDizLn3vAVVpump</t>
  </si>
  <si>
    <t>joe</t>
  </si>
  <si>
    <t>3.660 SOL</t>
  </si>
  <si>
    <t>1.589 SOL</t>
  </si>
  <si>
    <t>76.72%</t>
  </si>
  <si>
    <t>21.10.2024 16:20:49</t>
  </si>
  <si>
    <t xml:space="preserve">         26K            46K             5K</t>
  </si>
  <si>
    <t>8A46cZs9a8qQxbzPhBR3ZJ7jGnvGAZGH56bf73obpump</t>
  </si>
  <si>
    <t>BASI</t>
  </si>
  <si>
    <t>10.042 SOL</t>
  </si>
  <si>
    <t>0.802 SOL</t>
  </si>
  <si>
    <t>-9.264 SOL</t>
  </si>
  <si>
    <t>-92.03%</t>
  </si>
  <si>
    <t>21.10.2024 14:24:59</t>
  </si>
  <si>
    <t xml:space="preserve">         58K            69K             5K</t>
  </si>
  <si>
    <t>2JvhBTPPS5cRoHxX71YYmrh2EYfLwQ4RMsXnomAPRJjk</t>
  </si>
  <si>
    <t>-1.874 SOL</t>
  </si>
  <si>
    <t>-37.74%</t>
  </si>
  <si>
    <t>21.10.2024 14:14:31</t>
  </si>
  <si>
    <t xml:space="preserve">         33K            21K             5K</t>
  </si>
  <si>
    <t>0.080050</t>
  </si>
  <si>
    <t>41.580 SOL</t>
  </si>
  <si>
    <t>17.566 SOL</t>
  </si>
  <si>
    <t>-24.094 SOL</t>
  </si>
  <si>
    <t>-57.83%</t>
  </si>
  <si>
    <t>21.10.2024 02:22:58</t>
  </si>
  <si>
    <t xml:space="preserve">        261K           299K           295K</t>
  </si>
  <si>
    <t>14.620 SOL</t>
  </si>
  <si>
    <t>4.672 SOL</t>
  </si>
  <si>
    <t>46.96%</t>
  </si>
  <si>
    <t>20.10.2024 23:25:55</t>
  </si>
  <si>
    <t xml:space="preserve">        141K            58K             5K</t>
  </si>
  <si>
    <t>E4GzbKkMrHChcmJCvKUayjG3PtD8CjhEipxq3v4Gt832</t>
  </si>
  <si>
    <t>∅</t>
  </si>
  <si>
    <t>47.326 SOL</t>
  </si>
  <si>
    <t>37.386 SOL</t>
  </si>
  <si>
    <t>376.11%</t>
  </si>
  <si>
    <t>20.10.2024 22:37:01</t>
  </si>
  <si>
    <t>49 min</t>
  </si>
  <si>
    <t xml:space="preserve">         46K            62K             9K</t>
  </si>
  <si>
    <t>ExocdWVMKbZBsMo21M6c6SCj7n4k4s7vmUVz3mGvpump</t>
  </si>
  <si>
    <t>KHA</t>
  </si>
  <si>
    <t>12.675 SOL</t>
  </si>
  <si>
    <t>2.751 SOL</t>
  </si>
  <si>
    <t>27.72%</t>
  </si>
  <si>
    <t>20.10.2024 21:18:21</t>
  </si>
  <si>
    <t xml:space="preserve">        158K           197K            28K</t>
  </si>
  <si>
    <t>eSKEaSVP4fZRSbsZD4yVoRKbSWaTbmpMDq2dUQ9pump</t>
  </si>
  <si>
    <t>√⌥</t>
  </si>
  <si>
    <t>6.180 SOL</t>
  </si>
  <si>
    <t>-3.736 SOL</t>
  </si>
  <si>
    <t>-37.67%</t>
  </si>
  <si>
    <t>20.10.2024 19:16:50</t>
  </si>
  <si>
    <t xml:space="preserve">        232K           144K             4K</t>
  </si>
  <si>
    <t>87XVG3DbMpxMHWi1Lc1VZAKTHHCh5sdyPkmrahMnpump</t>
  </si>
  <si>
    <t>tini</t>
  </si>
  <si>
    <t>14.922 SOL</t>
  </si>
  <si>
    <t>9.872 SOL</t>
  </si>
  <si>
    <t>-5.082 SOL</t>
  </si>
  <si>
    <t>-33.98%</t>
  </si>
  <si>
    <t>20.10.2024 02:51:31</t>
  </si>
  <si>
    <t xml:space="preserve">         67K            44K             5K</t>
  </si>
  <si>
    <t>2Bvd4cNBFfmvEMGDz9bW2NrCaFpyAFEh4HGmMrm5pump</t>
  </si>
  <si>
    <t>OPRUS</t>
  </si>
  <si>
    <t>0.034020</t>
  </si>
  <si>
    <t>5.107 SOL</t>
  </si>
  <si>
    <t>-4.827 SOL</t>
  </si>
  <si>
    <t>-48.59%</t>
  </si>
  <si>
    <t>19.10.2024 23:08:13</t>
  </si>
  <si>
    <t xml:space="preserve">         49K            26K             3K</t>
  </si>
  <si>
    <t>HGhjU7F1s1WBFFcmq4ZrgrRsLiHJt6Ko2ZDQgSwbpump</t>
  </si>
  <si>
    <t>concat</t>
  </si>
  <si>
    <t>0.110050</t>
  </si>
  <si>
    <t>29.279 SOL</t>
  </si>
  <si>
    <t>9.369 SOL</t>
  </si>
  <si>
    <t>47.06%</t>
  </si>
  <si>
    <t>19.10.2024 22:58:11</t>
  </si>
  <si>
    <t xml:space="preserve">         49K            23K             4K</t>
  </si>
  <si>
    <t>A6iKjoHsLiicmVM4DiAv6oDrJFUYeysxMJSUteappump</t>
  </si>
  <si>
    <t>0.120050</t>
  </si>
  <si>
    <t>24.923 SOL</t>
  </si>
  <si>
    <t>0.053 SOL</t>
  </si>
  <si>
    <t>0.21%</t>
  </si>
  <si>
    <t>19.10.2024 21:08:40</t>
  </si>
  <si>
    <t xml:space="preserve">        994K           848K            37K</t>
  </si>
  <si>
    <t>TTT</t>
  </si>
  <si>
    <t>0.136060</t>
  </si>
  <si>
    <t>47.249 SOL</t>
  </si>
  <si>
    <t>37.213 SOL</t>
  </si>
  <si>
    <t>370.79%</t>
  </si>
  <si>
    <t>19.10.2024 15:24:39</t>
  </si>
  <si>
    <t xml:space="preserve">         49K            83K            82K</t>
  </si>
  <si>
    <t>LBkz8mkiyhNeJspzs6rtFYrSc62j369kahEGuuNtYo5</t>
  </si>
  <si>
    <t>MOLITA</t>
  </si>
  <si>
    <t>0.090040</t>
  </si>
  <si>
    <t>5.050 SOL</t>
  </si>
  <si>
    <t>31.189 SOL</t>
  </si>
  <si>
    <t>26.049 SOL</t>
  </si>
  <si>
    <t>506.77%</t>
  </si>
  <si>
    <t>18.10.2024 22:40:48</t>
  </si>
  <si>
    <t xml:space="preserve">         26K           123K             4K</t>
  </si>
  <si>
    <t>FftrFmdB4uEDxWj7h6Xqrwn5ukk7cpTehq6xLLCcpump</t>
  </si>
  <si>
    <t>EED</t>
  </si>
  <si>
    <t>0.024010</t>
  </si>
  <si>
    <t>1.906 SOL</t>
  </si>
  <si>
    <t>-0.168 SOL</t>
  </si>
  <si>
    <t>-8.09%</t>
  </si>
  <si>
    <t>18.10.2024 18:32:43</t>
  </si>
  <si>
    <t xml:space="preserve">          9K             7K             3K</t>
  </si>
  <si>
    <t>JATgQ2HF1cGxqD8gVoL1ogQM6DDkAo7vj7zMA1bHpump</t>
  </si>
  <si>
    <t>lulo</t>
  </si>
  <si>
    <t>0.048020</t>
  </si>
  <si>
    <t>2.898 SOL</t>
  </si>
  <si>
    <t>-16.950 SOL</t>
  </si>
  <si>
    <t>-85.40%</t>
  </si>
  <si>
    <t>18.10.2024 15:27:37</t>
  </si>
  <si>
    <t xml:space="preserve">        283K            37K             4K</t>
  </si>
  <si>
    <t>6MCG6QNB2Bp2KRqsstYo8GxcjcGeb2DC3DS7kXX9pump</t>
  </si>
  <si>
    <t>voice99999</t>
  </si>
  <si>
    <t>0.128080</t>
  </si>
  <si>
    <t>79.029 SOL</t>
  </si>
  <si>
    <t>69.001 SOL</t>
  </si>
  <si>
    <t>688.07%</t>
  </si>
  <si>
    <t>18.10.2024 01:28:33</t>
  </si>
  <si>
    <t xml:space="preserve">        146K             1M            17K</t>
  </si>
  <si>
    <t>2ymAjUoJdiNZgKy6vKfJ2WQ6AExck3cZbAX26g6Qpump</t>
  </si>
  <si>
    <t>Birb</t>
  </si>
  <si>
    <t>19.345 SOL</t>
  </si>
  <si>
    <t>14.363 SOL</t>
  </si>
  <si>
    <t>288.29%</t>
  </si>
  <si>
    <t>18.10.2024 01:26:20</t>
  </si>
  <si>
    <t xml:space="preserve">         33K            70K             5K</t>
  </si>
  <si>
    <t>4aXBgz6gWMWu9CK8UUHNsBUcF3CXxy9TwSF4fwGmpump</t>
  </si>
  <si>
    <t>13.170 SOL</t>
  </si>
  <si>
    <t>0.252 SOL</t>
  </si>
  <si>
    <t>1.95%</t>
  </si>
  <si>
    <t>18.10.2024 01:17:31</t>
  </si>
  <si>
    <t xml:space="preserve">         47K            18K             4K</t>
  </si>
  <si>
    <t>3hzrbfjwozMFp3pGojLV19KE3rZffHCKJ5tUww6Bpump</t>
  </si>
  <si>
    <t>PROUD</t>
  </si>
  <si>
    <t>9.786 SOL</t>
  </si>
  <si>
    <t>-0.130 SOL</t>
  </si>
  <si>
    <t>-1.31%</t>
  </si>
  <si>
    <t>17.10.2024 14:38:23</t>
  </si>
  <si>
    <t xml:space="preserve">        107K           105K             5K</t>
  </si>
  <si>
    <t>AH7RKKZbjsneJyLTMsQxtCKDAEA19iBGRQBj3nwzpump</t>
  </si>
  <si>
    <t>K9BORIS</t>
  </si>
  <si>
    <t>2.142 SOL</t>
  </si>
  <si>
    <t>-2.896 SOL</t>
  </si>
  <si>
    <t>-57.49%</t>
  </si>
  <si>
    <t>17.10.2024 14:37:05</t>
  </si>
  <si>
    <t xml:space="preserve">         25K            11K             5K</t>
  </si>
  <si>
    <t>GxeWjVEUGBVAsAGpqNcq1g4Uikb5jGre1C6UyPa8pump</t>
  </si>
  <si>
    <t>MOCK</t>
  </si>
  <si>
    <t>12.660 SOL</t>
  </si>
  <si>
    <t>2.736 SOL</t>
  </si>
  <si>
    <t>27.57%</t>
  </si>
  <si>
    <t>17.10.2024 12:40:30</t>
  </si>
  <si>
    <t xml:space="preserve">        158K           197K             4K</t>
  </si>
  <si>
    <t>9B4A2wwJWPtHKhvXYCr9qdP5FiSTmsQJcQtv9Ewipump</t>
  </si>
  <si>
    <t>Umi-chan</t>
  </si>
  <si>
    <t>3.149 SOL</t>
  </si>
  <si>
    <t>-6.767 SOL</t>
  </si>
  <si>
    <t>-68.24%</t>
  </si>
  <si>
    <t>16.10.2024 23:00:04</t>
  </si>
  <si>
    <t xml:space="preserve">        123K            39K             3K</t>
  </si>
  <si>
    <t>34DTALkqFLjgWYPnPWdS5ayYtWgWybM8rjG8vgucpump</t>
  </si>
  <si>
    <t>18.524 SOL</t>
  </si>
  <si>
    <t>-6.266 SOL</t>
  </si>
  <si>
    <t>-25.28%</t>
  </si>
  <si>
    <t>16.10.2024 13:18:39</t>
  </si>
  <si>
    <t>59 min</t>
  </si>
  <si>
    <t xml:space="preserve">        577K           429K             7K</t>
  </si>
  <si>
    <t>🧲</t>
  </si>
  <si>
    <t>42.717 SOL</t>
  </si>
  <si>
    <t>-16.755 SOL</t>
  </si>
  <si>
    <t>-28.17%</t>
  </si>
  <si>
    <t>15.10.2024 20:13:25</t>
  </si>
  <si>
    <t xml:space="preserve">          4M             5M             1M</t>
  </si>
  <si>
    <t>8iWsK2WH3AGviQwAnt43zvc8yLy6QMUSuv8PK2A7pump</t>
  </si>
  <si>
    <t>Echo</t>
  </si>
  <si>
    <t>5.772 SOL</t>
  </si>
  <si>
    <t>0.726 SOL</t>
  </si>
  <si>
    <t>15.10.2024 16:17:58</t>
  </si>
  <si>
    <t xml:space="preserve">         37K            21K             3K</t>
  </si>
  <si>
    <t>794yvVZibBxeHtuFunrC8ZMKuSK9ssRqW1YfhVYepump</t>
  </si>
  <si>
    <t>EMA</t>
  </si>
  <si>
    <t>3.383 SOL</t>
  </si>
  <si>
    <t>-16.457 SOL</t>
  </si>
  <si>
    <t>-82.95%</t>
  </si>
  <si>
    <t>14.10.2024 16:38:49</t>
  </si>
  <si>
    <t xml:space="preserve">        165K            25K             3K</t>
  </si>
  <si>
    <t>6hqDaZ1CD9WjEiM6VFTX9WWsb3yGsEcJo9iWF34Kpump</t>
  </si>
  <si>
    <t>0.056030</t>
  </si>
  <si>
    <t>21.880 SOL</t>
  </si>
  <si>
    <t>6.974 SOL</t>
  </si>
  <si>
    <t>46.79%</t>
  </si>
  <si>
    <t>14.10.2024 00:27:35</t>
  </si>
  <si>
    <t xml:space="preserve">        216K           357K            12M</t>
  </si>
  <si>
    <t>BHOR</t>
  </si>
  <si>
    <t>7.341 SOL</t>
  </si>
  <si>
    <t>2.756 SOL</t>
  </si>
  <si>
    <t>60.11%</t>
  </si>
  <si>
    <t>13.10.2024 23:31:37</t>
  </si>
  <si>
    <t xml:space="preserve">         35K            23K             6K</t>
  </si>
  <si>
    <t>AZKnzTsquVrhhitxKJu2XPZA4H6eHchhPCGP9wAipump</t>
  </si>
  <si>
    <t>HANK</t>
  </si>
  <si>
    <t>4.289 SOL</t>
  </si>
  <si>
    <t>-13.571 SOL</t>
  </si>
  <si>
    <t>-75.99%</t>
  </si>
  <si>
    <t>13.10.2024 21:55:48</t>
  </si>
  <si>
    <t xml:space="preserve">        199K            33K             4K</t>
  </si>
  <si>
    <t>GEE1tba8m9n7QKvXt4scfUunQ7YhduuxwBFKHQ2cpump</t>
  </si>
  <si>
    <t>GOAT</t>
  </si>
  <si>
    <t>0.464290</t>
  </si>
  <si>
    <t>452.829 SOL</t>
  </si>
  <si>
    <t>410.785 SOL</t>
  </si>
  <si>
    <t>977.03%</t>
  </si>
  <si>
    <t>13.10.2024 08:50:40</t>
  </si>
  <si>
    <t xml:space="preserve">          9M             4M           582M</t>
  </si>
  <si>
    <t>CzLSujWBLFsSjncfkh59rUFqvafWcY5tzedWJSuypump</t>
  </si>
  <si>
    <t>BTCDUCK</t>
  </si>
  <si>
    <t>2.127 SOL</t>
  </si>
  <si>
    <t>-2.839 SOL</t>
  </si>
  <si>
    <t>10.10.2024 23:22:56</t>
  </si>
  <si>
    <t xml:space="preserve">         72K            32K             3K</t>
  </si>
  <si>
    <t>Z66hT2YpBCqFtQQNSMzpDSW5avRqCRsJQznBPzBysPs</t>
  </si>
  <si>
    <t>Bella</t>
  </si>
  <si>
    <t>0.112070</t>
  </si>
  <si>
    <t>45.616 SOL</t>
  </si>
  <si>
    <t>33.624 SOL</t>
  </si>
  <si>
    <t>280.39%</t>
  </si>
  <si>
    <t>10.10.2024 20:00:20</t>
  </si>
  <si>
    <t xml:space="preserve">         49K           370K             9K</t>
  </si>
  <si>
    <t>CJA4R4Bibxnvthy4fNqmdcsaUjG58QKHxY2GtS91pump</t>
  </si>
  <si>
    <t>BELLA</t>
  </si>
  <si>
    <t>8.043 SOL</t>
  </si>
  <si>
    <t>-1.881 SOL</t>
  </si>
  <si>
    <t>-18.95%</t>
  </si>
  <si>
    <t>10.10.2024 19:31:39</t>
  </si>
  <si>
    <t xml:space="preserve">        659K           541K             8K</t>
  </si>
  <si>
    <t>7vkg4p2JGtmGYnTj6t3LBHzTfMb8HiULnA1WpteRpump</t>
  </si>
  <si>
    <t>SOL</t>
  </si>
  <si>
    <t>0.200130</t>
  </si>
  <si>
    <t>29.700 SOL</t>
  </si>
  <si>
    <t>59.455 SOL</t>
  </si>
  <si>
    <t>29.555 SOL</t>
  </si>
  <si>
    <t>98.85%</t>
  </si>
  <si>
    <t>21.09.2024 03:30:42</t>
  </si>
  <si>
    <t>EaEQT3gJnUfeXNwigth29BSdv9oR4YtPzLTkEDzrpump</t>
  </si>
  <si>
    <t>BFF</t>
  </si>
  <si>
    <t>5.297 SOL</t>
  </si>
  <si>
    <t>0.331 SOL</t>
  </si>
  <si>
    <t>6.67%</t>
  </si>
  <si>
    <t>20.09.2024 17:26:36</t>
  </si>
  <si>
    <t xml:space="preserve">         66K            71K             3K</t>
  </si>
  <si>
    <t>7tXoL8BQUQGPCtA9pnZfiKmYtDQAReyCrYsM3nuspump</t>
  </si>
  <si>
    <t>Pengu</t>
  </si>
  <si>
    <t>11.952 SOL</t>
  </si>
  <si>
    <t>4.704 SOL</t>
  </si>
  <si>
    <t>-7.280 SOL</t>
  </si>
  <si>
    <t>-60.75%</t>
  </si>
  <si>
    <t>19.09.2024 13:53:41</t>
  </si>
  <si>
    <t>54 min</t>
  </si>
  <si>
    <t xml:space="preserve">         57K            23K             4K</t>
  </si>
  <si>
    <t>5jXAHxKjvyXNDEMQ7cQjJAifqwFHNXR5E6FpoTvp64dz</t>
  </si>
  <si>
    <t>deer</t>
  </si>
  <si>
    <t>2.832 SOL</t>
  </si>
  <si>
    <t>-2.150 SOL</t>
  </si>
  <si>
    <t>-43.16%</t>
  </si>
  <si>
    <t>18.09.2024 09:31:38</t>
  </si>
  <si>
    <t xml:space="preserve">        195K            91K            33K</t>
  </si>
  <si>
    <t>4rpR4A42oNs9NfQJ8JKEVUKb2NcUXJ8CZpBKkaJquzZ8</t>
  </si>
  <si>
    <t>DOWNBAD</t>
  </si>
  <si>
    <t>9.943 SOL</t>
  </si>
  <si>
    <t>-1.969 SOL</t>
  </si>
  <si>
    <t>-16.53%</t>
  </si>
  <si>
    <t>12.08.2024 12:50:35</t>
  </si>
  <si>
    <t xml:space="preserve">        158K           134K             7K</t>
  </si>
  <si>
    <t>8giod8nJQPhQ2gSLoEs8wkgKGmvbab3UQxj1pxVLpump</t>
  </si>
  <si>
    <t>Ds4SNt8tBu6JHfhbFJSb9bZdBvNzuzFz1VEpTzZhyRn5</t>
  </si>
  <si>
    <t>4.21 SOL</t>
  </si>
  <si>
    <t>41%</t>
  </si>
  <si>
    <t>64%</t>
  </si>
  <si>
    <t>412.10 SOL</t>
  </si>
  <si>
    <t>26 (21%)</t>
  </si>
  <si>
    <t>12%</t>
  </si>
  <si>
    <t>13</t>
  </si>
  <si>
    <t>1.7 SOL</t>
  </si>
  <si>
    <t>3.3%</t>
  </si>
  <si>
    <t>8.3%</t>
  </si>
  <si>
    <t>5.8%</t>
  </si>
  <si>
    <t>24.0%</t>
  </si>
  <si>
    <t>47.1%</t>
  </si>
  <si>
    <t>11.6%</t>
  </si>
  <si>
    <t>66</t>
  </si>
  <si>
    <t>388.6 SOL</t>
  </si>
  <si>
    <t>94.1 SOL</t>
  </si>
  <si>
    <t>21.1 SOL</t>
  </si>
  <si>
    <t>22.9 SOL</t>
  </si>
  <si>
    <t>-64.2 SOL</t>
  </si>
  <si>
    <t>-50.5 SOL</t>
  </si>
  <si>
    <t>24.0K</t>
  </si>
  <si>
    <t>1v1</t>
  </si>
  <si>
    <t>0.000490</t>
  </si>
  <si>
    <t>1.168 SOL</t>
  </si>
  <si>
    <t>14.34%</t>
  </si>
  <si>
    <t>30.10.2024 12:00:46</t>
  </si>
  <si>
    <t>8YQn99fdno4hCx3YwFe9QERbuvdeeADrSn7p9jtUpump</t>
  </si>
  <si>
    <t>$CLAR</t>
  </si>
  <si>
    <t>5.82%</t>
  </si>
  <si>
    <t>30.10.2024 10:11:05</t>
  </si>
  <si>
    <t>Bpbp1z1X4P7rQAbvMLrc6BY452rjuZRY1uzUYCmSpump</t>
  </si>
  <si>
    <t>Tokkuma</t>
  </si>
  <si>
    <t>3.112 SOL</t>
  </si>
  <si>
    <t>2.326 SOL</t>
  </si>
  <si>
    <t>-0.786 SOL</t>
  </si>
  <si>
    <t>-25.24%</t>
  </si>
  <si>
    <t>30.10.2024 09:42:40</t>
  </si>
  <si>
    <t xml:space="preserve">         32K            23K             6K</t>
  </si>
  <si>
    <t>fH4ExPBcsv3bHjLUDz6gN33G7UTnFetcjoYCwXZpump</t>
  </si>
  <si>
    <t>BASED</t>
  </si>
  <si>
    <t>3.665 SOL</t>
  </si>
  <si>
    <t>-0.414 SOL</t>
  </si>
  <si>
    <t>-10.15%</t>
  </si>
  <si>
    <t>30.10.2024 09:40:13</t>
  </si>
  <si>
    <t xml:space="preserve">         60K            53K             7K</t>
  </si>
  <si>
    <t>2Ti3KMBHuugQ1PHA2wD4ZhgaMLTuG5N5nXm7KMaQpump</t>
  </si>
  <si>
    <t>mondo</t>
  </si>
  <si>
    <t>2.091 SOL</t>
  </si>
  <si>
    <t>2.369 SOL</t>
  </si>
  <si>
    <t>0.278 SOL</t>
  </si>
  <si>
    <t>13.30%</t>
  </si>
  <si>
    <t>30.10.2024 09:34:18</t>
  </si>
  <si>
    <t>FRXJVChFgUTLYLnH2AgByPuMAocmRZ6cRhWvcYPnpump</t>
  </si>
  <si>
    <t>SR</t>
  </si>
  <si>
    <t>0.000980</t>
  </si>
  <si>
    <t>2.004 SOL</t>
  </si>
  <si>
    <t>-1.84%</t>
  </si>
  <si>
    <t>30.10.2024 09:31:14</t>
  </si>
  <si>
    <t>APL6S8UZYa1CJGoe3FXpaiqYoVHwYNzMu3qgvr4gpump</t>
  </si>
  <si>
    <t>marc</t>
  </si>
  <si>
    <t>0.003430</t>
  </si>
  <si>
    <t>19.384 SOL</t>
  </si>
  <si>
    <t>15.509 SOL</t>
  </si>
  <si>
    <t>-3.878 SOL</t>
  </si>
  <si>
    <t>-20.00%</t>
  </si>
  <si>
    <t>30.10.2024 09:31:08</t>
  </si>
  <si>
    <t>44 min</t>
  </si>
  <si>
    <t xml:space="preserve">         47K            11K             6K</t>
  </si>
  <si>
    <t>AKXZczQNhotQyHM4AJNu2FU1ooESKEbapeoT1E8spump</t>
  </si>
  <si>
    <t>shib</t>
  </si>
  <si>
    <t>1.474 SOL</t>
  </si>
  <si>
    <t>-0.600 SOL</t>
  </si>
  <si>
    <t>-28.93%</t>
  </si>
  <si>
    <t>30.10.2024 09:09:57</t>
  </si>
  <si>
    <t>6ABTab27fUs4UgsdT6bwGkP4rxoqjw9x56tErMw8pump</t>
  </si>
  <si>
    <t>HEE</t>
  </si>
  <si>
    <t>5.012 SOL</t>
  </si>
  <si>
    <t>4.482 SOL</t>
  </si>
  <si>
    <t>-0.530 SOL</t>
  </si>
  <si>
    <t>-10.58%</t>
  </si>
  <si>
    <t>30.10.2024 09:09:01</t>
  </si>
  <si>
    <t xml:space="preserve">         25K            21K             4K</t>
  </si>
  <si>
    <t>AZq9WGGJqTEifbAq3svbidrjgAMYBFmqgsVQXkYPpump</t>
  </si>
  <si>
    <t>ROBO</t>
  </si>
  <si>
    <t>9.628 SOL</t>
  </si>
  <si>
    <t>8.732 SOL</t>
  </si>
  <si>
    <t>-0.898 SOL</t>
  </si>
  <si>
    <t>-9.32%</t>
  </si>
  <si>
    <t>30.10.2024 09:06:36</t>
  </si>
  <si>
    <t xml:space="preserve">         35K            33K             6K</t>
  </si>
  <si>
    <t>BEU9QchHmNuZLTSJVxtK8tmnEbM3YVebd1ht5Z6bpump</t>
  </si>
  <si>
    <t>TRIFECTA</t>
  </si>
  <si>
    <t>1.120 SOL</t>
  </si>
  <si>
    <t>10.66%</t>
  </si>
  <si>
    <t>30.10.2024 09:05:02</t>
  </si>
  <si>
    <t>EbtmfmgnscquhRj8a4sVgASMHDDwAf86fWcefm94pump</t>
  </si>
  <si>
    <t>DAFUQ</t>
  </si>
  <si>
    <t>0.002450</t>
  </si>
  <si>
    <t>17.139 SOL</t>
  </si>
  <si>
    <t>15.153 SOL</t>
  </si>
  <si>
    <t>-1.989 SOL</t>
  </si>
  <si>
    <t>-11.60%</t>
  </si>
  <si>
    <t>30.10.2024 09:01:19</t>
  </si>
  <si>
    <t xml:space="preserve">         49K            32K             9K</t>
  </si>
  <si>
    <t>4qRf1yLjAxQdxybjy56Tgcki7iBBJ26dsN7MsypUpump</t>
  </si>
  <si>
    <t>3.227 SOL</t>
  </si>
  <si>
    <t>0.186 SOL</t>
  </si>
  <si>
    <t>6.13%</t>
  </si>
  <si>
    <t>30.10.2024 08:32:01</t>
  </si>
  <si>
    <t>43 sec</t>
  </si>
  <si>
    <t>enigma</t>
  </si>
  <si>
    <t>0.008250</t>
  </si>
  <si>
    <t>5.919 SOL</t>
  </si>
  <si>
    <t>1.526 SOL</t>
  </si>
  <si>
    <t>-4.401 SOL</t>
  </si>
  <si>
    <t>-74.25%</t>
  </si>
  <si>
    <t>28.10.2024 23:22:56</t>
  </si>
  <si>
    <t>7rdULJY6gTuxfsC2o6hqrCFZDxKyTssA9MfXDJjmpump</t>
  </si>
  <si>
    <t>WANG</t>
  </si>
  <si>
    <t>6.962 SOL</t>
  </si>
  <si>
    <t>2.230 SOL</t>
  </si>
  <si>
    <t>-4.733 SOL</t>
  </si>
  <si>
    <t>-67.97%</t>
  </si>
  <si>
    <t>28.10.2024 23:16:44</t>
  </si>
  <si>
    <t>6X433eaa8tEecixdqjoTsdQV2fQToMRqfVbqu7FYpump</t>
  </si>
  <si>
    <t>0.008500</t>
  </si>
  <si>
    <t>8.773 SOL</t>
  </si>
  <si>
    <t>-1.236 SOL</t>
  </si>
  <si>
    <t>-12.35%</t>
  </si>
  <si>
    <t>28.10.2024 23:04:40</t>
  </si>
  <si>
    <t xml:space="preserve">        102K           102K            78K</t>
  </si>
  <si>
    <t>9cYtbLySmHq7A6e3qCFAB3WdXMqSEoEbiKgaN32apump</t>
  </si>
  <si>
    <t>Thalasya</t>
  </si>
  <si>
    <t>1.225 SOL</t>
  </si>
  <si>
    <t>1.306 SOL</t>
  </si>
  <si>
    <t>6.56%</t>
  </si>
  <si>
    <t>28.10.2024 17:39:45</t>
  </si>
  <si>
    <t>BJ9QsmnRPdE2j11d8H1aevTPBXXcgGDiQb7iqb65pump</t>
  </si>
  <si>
    <t>TUSD</t>
  </si>
  <si>
    <t>1.742 SOL</t>
  </si>
  <si>
    <t>-0.930 SOL</t>
  </si>
  <si>
    <t>-53.37%</t>
  </si>
  <si>
    <t>28.10.2024 17:21:25</t>
  </si>
  <si>
    <t xml:space="preserve">         16K             7K             5K</t>
  </si>
  <si>
    <t>3xC81m3AmTACn368Bk827mPPneWeVwDkDwt5bsHhxWJp</t>
  </si>
  <si>
    <t>3.030 SOL</t>
  </si>
  <si>
    <t>3.348 SOL</t>
  </si>
  <si>
    <t>0.318 SOL</t>
  </si>
  <si>
    <t>10.48%</t>
  </si>
  <si>
    <t>28.10.2024 17:18:51</t>
  </si>
  <si>
    <t xml:space="preserve">         26K            30K             6K</t>
  </si>
  <si>
    <t>美しい</t>
  </si>
  <si>
    <t>1.173 SOL</t>
  </si>
  <si>
    <t>-1.377 SOL</t>
  </si>
  <si>
    <t>-53.99%</t>
  </si>
  <si>
    <t>28.10.2024 17:15:49</t>
  </si>
  <si>
    <t>5KagjqXgUrqcspsY3BffjUavg1wrv2jV7WpAegVmpump</t>
  </si>
  <si>
    <t>CATCULA</t>
  </si>
  <si>
    <t>1.429 SOL</t>
  </si>
  <si>
    <t>1.357 SOL</t>
  </si>
  <si>
    <t>-5.08%</t>
  </si>
  <si>
    <t>28.10.2024 16:34:51</t>
  </si>
  <si>
    <t>5q1cseQH3Kg5GeNVx1xHcFs5WDedbrUiUUroS539pump</t>
  </si>
  <si>
    <t>0.019200</t>
  </si>
  <si>
    <t>9.000 SOL</t>
  </si>
  <si>
    <t>105.674 SOL</t>
  </si>
  <si>
    <t>96.655 SOL</t>
  </si>
  <si>
    <t>1071.66%</t>
  </si>
  <si>
    <t>28.10.2024 04:33:57</t>
  </si>
  <si>
    <t>50 min</t>
  </si>
  <si>
    <t xml:space="preserve">        157K           325K            26K</t>
  </si>
  <si>
    <t>Q/สภ</t>
  </si>
  <si>
    <t>1.587 SOL</t>
  </si>
  <si>
    <t>-0.454 SOL</t>
  </si>
  <si>
    <t>-22.23%</t>
  </si>
  <si>
    <t>28.10.2024 04:08:39</t>
  </si>
  <si>
    <t>B7UdhEq6MiEKZu9K4ZF23Zvsrhw8xRehvL5UV7gTpump</t>
  </si>
  <si>
    <t>SD</t>
  </si>
  <si>
    <t>3.605 SOL</t>
  </si>
  <si>
    <t>-1.493 SOL</t>
  </si>
  <si>
    <t>-29.29%</t>
  </si>
  <si>
    <t>28.10.2024 03:36:16</t>
  </si>
  <si>
    <t>G6BTuhWVaCcC9oYPAivdkFToUbhdpECAik5j1XP1pump</t>
  </si>
  <si>
    <t>7.555 SOL</t>
  </si>
  <si>
    <t>-2.446 SOL</t>
  </si>
  <si>
    <t>-24.46%</t>
  </si>
  <si>
    <t>28.10.2024 03:23:52</t>
  </si>
  <si>
    <t xml:space="preserve">         26K            19K             3K</t>
  </si>
  <si>
    <t>SSF</t>
  </si>
  <si>
    <t>0.008740</t>
  </si>
  <si>
    <t>5.862 SOL</t>
  </si>
  <si>
    <t>5.545 SOL</t>
  </si>
  <si>
    <t>-0.326 SOL</t>
  </si>
  <si>
    <t>-5.55%</t>
  </si>
  <si>
    <t>28.10.2024 03:18:36</t>
  </si>
  <si>
    <t xml:space="preserve">         12K            11K             5K</t>
  </si>
  <si>
    <t>GkgJUe3oAKi7mYC2oF9tX6cDAxXj18xpQ8Rwkoowpump</t>
  </si>
  <si>
    <t>TDICK</t>
  </si>
  <si>
    <t>-32.82%</t>
  </si>
  <si>
    <t>28.10.2024 03:15:31</t>
  </si>
  <si>
    <t xml:space="preserve">         23K            16K             6K</t>
  </si>
  <si>
    <t>7d8KoPHrEVCu4m8Wn6ZqrjGNbW2PNrTShXCnyaCvpump</t>
  </si>
  <si>
    <t>C3</t>
  </si>
  <si>
    <t>1.350 SOL</t>
  </si>
  <si>
    <t>-1.709 SOL</t>
  </si>
  <si>
    <t>-55.87%</t>
  </si>
  <si>
    <t>28.10.2024 03:11:10</t>
  </si>
  <si>
    <t xml:space="preserve">         14K             5K             5K</t>
  </si>
  <si>
    <t>E88XfZFMAtBgeT7JgjYr5v1yRQS13NLdkDXrMkc4pump</t>
  </si>
  <si>
    <t>NUDE</t>
  </si>
  <si>
    <t>1.539 SOL</t>
  </si>
  <si>
    <t>-0.616 SOL</t>
  </si>
  <si>
    <t>-39.81%</t>
  </si>
  <si>
    <t>28.10.2024 03:08:33</t>
  </si>
  <si>
    <t>8HPtUFrvyCGWamT4NnVjdLzSbu1V8kvkGZErt5xCpump</t>
  </si>
  <si>
    <t>Soggy</t>
  </si>
  <si>
    <t>0.000740</t>
  </si>
  <si>
    <t>1.421 SOL</t>
  </si>
  <si>
    <t>1.448 SOL</t>
  </si>
  <si>
    <t>1.84%</t>
  </si>
  <si>
    <t>26.10.2024 21:14:39</t>
  </si>
  <si>
    <t xml:space="preserve">          7K            16K             5K</t>
  </si>
  <si>
    <t>6Lwdj3zfRahbJvLCG5g8cqnfYLv8vSeSdS1rVDnkpump</t>
  </si>
  <si>
    <t>sunghoon</t>
  </si>
  <si>
    <t>67.886 SOL</t>
  </si>
  <si>
    <t>62.786 SOL</t>
  </si>
  <si>
    <t>1231.17%</t>
  </si>
  <si>
    <t>26.10.2024 12:32:08</t>
  </si>
  <si>
    <t xml:space="preserve">         30K             1M            20K</t>
  </si>
  <si>
    <t>E7MzhPoCdDZuLUmwckqVkCtyWNpP1q3iEnn3vE3npump</t>
  </si>
  <si>
    <t>SOGGY</t>
  </si>
  <si>
    <t>0.009480</t>
  </si>
  <si>
    <t>1.641 SOL</t>
  </si>
  <si>
    <t>1.792 SOL</t>
  </si>
  <si>
    <t>8.56%</t>
  </si>
  <si>
    <t>25.10.2024 18:44:09</t>
  </si>
  <si>
    <t>43KLchW6FbbHrqYMkMgUDvyECd9vhKEYgVQ2AmxTpump</t>
  </si>
  <si>
    <t>QingBao</t>
  </si>
  <si>
    <t>5.417 SOL</t>
  </si>
  <si>
    <t>8.34%</t>
  </si>
  <si>
    <t>25.10.2024 11:58:17</t>
  </si>
  <si>
    <t xml:space="preserve">         39K            42K            23K</t>
  </si>
  <si>
    <t>4P4J3fWmyvPzQX4TeRqf5hhYKVxKwuDQa2SMtMdwpump</t>
  </si>
  <si>
    <t>0.001720</t>
  </si>
  <si>
    <t>11.168 SOL</t>
  </si>
  <si>
    <t>12.724 SOL</t>
  </si>
  <si>
    <t>1.554 SOL</t>
  </si>
  <si>
    <t>13.91%</t>
  </si>
  <si>
    <t>25.10.2024 11:56:25</t>
  </si>
  <si>
    <t>3.285 SOL</t>
  </si>
  <si>
    <t>0.284 SOL</t>
  </si>
  <si>
    <t>9.47%</t>
  </si>
  <si>
    <t>25.10.2024 11:17:17</t>
  </si>
  <si>
    <t xml:space="preserve">         18K            18K            15K</t>
  </si>
  <si>
    <t>Ff9aC2oKtHkyP9tit1zQrL6Cd7bFKtx2E8BAbd91Nc7E</t>
  </si>
  <si>
    <t>$BANE</t>
  </si>
  <si>
    <t>5.249 SOL</t>
  </si>
  <si>
    <t>0.249 SOL</t>
  </si>
  <si>
    <t>4.98%</t>
  </si>
  <si>
    <t>25.10.2024 11:17:10</t>
  </si>
  <si>
    <t xml:space="preserve">         62K            62K            53K</t>
  </si>
  <si>
    <t>BMocPvavt5CLXvJpQohTRbg17WhPMfkFxibHEQpSpump</t>
  </si>
  <si>
    <t>Azizi</t>
  </si>
  <si>
    <t>3.566 SOL</t>
  </si>
  <si>
    <t>-1.435 SOL</t>
  </si>
  <si>
    <t>-28.69%</t>
  </si>
  <si>
    <t>25.10.2024 10:52:49</t>
  </si>
  <si>
    <t xml:space="preserve">         86K            86K            36K</t>
  </si>
  <si>
    <t>4LDT8u5BcVf2acdWJsqz45yaFsXBCsjY79ERLXX6pump</t>
  </si>
  <si>
    <t>THEMENGI</t>
  </si>
  <si>
    <t>1.393 SOL</t>
  </si>
  <si>
    <t>23.10.2024 16:36:29</t>
  </si>
  <si>
    <t>EMHkx7y9L9CqTsa9zKApoBayT7q5aVwJGK9HFEQ9pump</t>
  </si>
  <si>
    <t>Claude</t>
  </si>
  <si>
    <t>0.024060</t>
  </si>
  <si>
    <t>6.259 SOL</t>
  </si>
  <si>
    <t>11.781 SOL</t>
  </si>
  <si>
    <t>5.498 SOL</t>
  </si>
  <si>
    <t>87.50%</t>
  </si>
  <si>
    <t>23.10.2024 11:55:32</t>
  </si>
  <si>
    <t xml:space="preserve">         23K             9K             8K</t>
  </si>
  <si>
    <t>HaL8cPcEZgwLaCbwyf6aAPh7rhw7iHck22zFXSNjpump</t>
  </si>
  <si>
    <t>hygiene</t>
  </si>
  <si>
    <t>0.008050</t>
  </si>
  <si>
    <t>5.855 SOL</t>
  </si>
  <si>
    <t>6.463 SOL</t>
  </si>
  <si>
    <t>10.24%</t>
  </si>
  <si>
    <t>22.10.2024 00:32:33</t>
  </si>
  <si>
    <t>HseW2A6sdFJwYpGx98z8d9FxmXxUUbczGtPdSPKwpump</t>
  </si>
  <si>
    <t>Crab Opus</t>
  </si>
  <si>
    <t>0.008070</t>
  </si>
  <si>
    <t>14.021 SOL</t>
  </si>
  <si>
    <t>11.486 SOL</t>
  </si>
  <si>
    <t>-2.543 SOL</t>
  </si>
  <si>
    <t>-18.13%</t>
  </si>
  <si>
    <t>21.10.2024 08:24:25</t>
  </si>
  <si>
    <t xml:space="preserve">          7K            12K             4K</t>
  </si>
  <si>
    <t>AQ9e6g5PNJfRax1K4xFqWDeZAgmr21aSPYNvfaHVpump</t>
  </si>
  <si>
    <t>crab</t>
  </si>
  <si>
    <t>0.008020</t>
  </si>
  <si>
    <t>1.057 SOL</t>
  </si>
  <si>
    <t>-2.60%</t>
  </si>
  <si>
    <t>21.10.2024 06:21:41</t>
  </si>
  <si>
    <t>2Do1vBHzRSbe49cFCRewhNKUJVJoGLPjtUuszVF3pump</t>
  </si>
  <si>
    <t>DOAKZ</t>
  </si>
  <si>
    <t>-0.404 SOL</t>
  </si>
  <si>
    <t>-26.42%</t>
  </si>
  <si>
    <t>20.10.2024 07:29:08</t>
  </si>
  <si>
    <t>25tmRouMX7XYpWJJEEDAVR5fijML6c7GyukABCSHpump</t>
  </si>
  <si>
    <t>MAXIMUM</t>
  </si>
  <si>
    <t>2.717 SOL</t>
  </si>
  <si>
    <t>0.941 SOL</t>
  </si>
  <si>
    <t>-1.776 SOL</t>
  </si>
  <si>
    <t>-65.37%</t>
  </si>
  <si>
    <t>20.10.2024 07:28:24</t>
  </si>
  <si>
    <t>2WiVuUPE3NT3qJ1Tpg2zZkriwnaEXsByrgdgkhG6pump</t>
  </si>
  <si>
    <t>aglart</t>
  </si>
  <si>
    <t>0.975 SOL</t>
  </si>
  <si>
    <t>-0.029 SOL</t>
  </si>
  <si>
    <t>-2.91%</t>
  </si>
  <si>
    <t>20.10.2024 07:26:30</t>
  </si>
  <si>
    <t>3NFtb8weRkcHZZfuxjxJeVX17fhdGqGE2wCXkkXYpump</t>
  </si>
  <si>
    <t>EOT</t>
  </si>
  <si>
    <t>4.936 SOL</t>
  </si>
  <si>
    <t>4.766 SOL</t>
  </si>
  <si>
    <t>-0.171 SOL</t>
  </si>
  <si>
    <t>20.10.2024 07:14:46</t>
  </si>
  <si>
    <t xml:space="preserve">         14K            12K             5K</t>
  </si>
  <si>
    <t>J9HRRQ6qErUXonw1EZdt7Y7TJFYSCPTAPDATyfWqpump</t>
  </si>
  <si>
    <t>TOC</t>
  </si>
  <si>
    <t>5.445 SOL</t>
  </si>
  <si>
    <t>2.386 SOL</t>
  </si>
  <si>
    <t>78.00%</t>
  </si>
  <si>
    <t>20.10.2024 07:08:21</t>
  </si>
  <si>
    <t xml:space="preserve">         18K            30K             4K</t>
  </si>
  <si>
    <t>Dqrb9v3dSapKtnQSpgaE7RNusPjYmRB6BQjqqrbJpump</t>
  </si>
  <si>
    <t>$cryptoids</t>
  </si>
  <si>
    <t>4.740 SOL</t>
  </si>
  <si>
    <t>3.894 SOL</t>
  </si>
  <si>
    <t>-0.846 SOL</t>
  </si>
  <si>
    <t>-17.85%</t>
  </si>
  <si>
    <t>20.10.2024 07:05:50</t>
  </si>
  <si>
    <t>49 sec</t>
  </si>
  <si>
    <t xml:space="preserve">         39K            32K             4K</t>
  </si>
  <si>
    <t>CxRBg5BSRujbu1WEcHQrwHHWytVo62jdxzWqtDj5pump</t>
  </si>
  <si>
    <t>QTL</t>
  </si>
  <si>
    <t>2.006 SOL</t>
  </si>
  <si>
    <t>-1.66%</t>
  </si>
  <si>
    <t>20.10.2024 07:03:05</t>
  </si>
  <si>
    <t>9UnbTHGCMMuMurzHoAWP3pJXZQUk7tk1rMzZgoEMpump</t>
  </si>
  <si>
    <t>PMX</t>
  </si>
  <si>
    <t>2.163 SOL</t>
  </si>
  <si>
    <t>1.251 SOL</t>
  </si>
  <si>
    <t>-0.920 SOL</t>
  </si>
  <si>
    <t>-42.38%</t>
  </si>
  <si>
    <t>20.10.2024 07:01:55</t>
  </si>
  <si>
    <t>J3UKhsf1sBb6NPsDdnRMDdLhDUie2ap34UReEMqHpump</t>
  </si>
  <si>
    <t>Raj</t>
  </si>
  <si>
    <t>1.327 SOL</t>
  </si>
  <si>
    <t>-15.09%</t>
  </si>
  <si>
    <t>20.10.2024 06:58:17</t>
  </si>
  <si>
    <t>Chxg8nWCpJwwM6NSkWR1R5hbKJB26FGbvCz1rqxdpump</t>
  </si>
  <si>
    <t>Knots</t>
  </si>
  <si>
    <t>1.339 SOL</t>
  </si>
  <si>
    <t>-0.27%</t>
  </si>
  <si>
    <t>20.10.2024 06:49:10</t>
  </si>
  <si>
    <t>6CkRSk34aanxdmyrY6BdEpDuDn5bWj1F5wdgvfMJpump</t>
  </si>
  <si>
    <t>C3O</t>
  </si>
  <si>
    <t>3.073 SOL</t>
  </si>
  <si>
    <t>6.546 SOL</t>
  </si>
  <si>
    <t>3.473 SOL</t>
  </si>
  <si>
    <t>113.01%</t>
  </si>
  <si>
    <t>20.10.2024 06:40:30</t>
  </si>
  <si>
    <t xml:space="preserve">         12K            23K            10K</t>
  </si>
  <si>
    <t>JrrfGbKSuctHyJU6iasT7HoRctEX6ta4iUw6VYQpump</t>
  </si>
  <si>
    <t>8.988 SOL</t>
  </si>
  <si>
    <t>5.666 SOL</t>
  </si>
  <si>
    <t>170.57%</t>
  </si>
  <si>
    <t>20.10.2024 06:10:59</t>
  </si>
  <si>
    <t xml:space="preserve">         14K            26K             3K</t>
  </si>
  <si>
    <t>4xK3xqSoM3HaET8H5KXbinWLGEG439BhL7GTJd9Ppump</t>
  </si>
  <si>
    <t>scrubkillr</t>
  </si>
  <si>
    <t>1.995 SOL</t>
  </si>
  <si>
    <t>-0.045 SOL</t>
  </si>
  <si>
    <t>-2.20%</t>
  </si>
  <si>
    <t>20.10.2024 06:06:47</t>
  </si>
  <si>
    <t>H5N3ov8zMHzvP473ZHzSN1dGncKKPcZvtrLGo29Bpump</t>
  </si>
  <si>
    <t>lotussutra</t>
  </si>
  <si>
    <t>1.196 SOL</t>
  </si>
  <si>
    <t>-0.882 SOL</t>
  </si>
  <si>
    <t>-42.46%</t>
  </si>
  <si>
    <t>20.10.2024 05:39:53</t>
  </si>
  <si>
    <t>a5TdomJNzY8bWkcoFJd4ZgNq829ALH18i81MrYqpump</t>
  </si>
  <si>
    <t>DOM</t>
  </si>
  <si>
    <t>0.000100</t>
  </si>
  <si>
    <t>11.097 SOL</t>
  </si>
  <si>
    <t>14.525 SOL</t>
  </si>
  <si>
    <t>3.428 SOL</t>
  </si>
  <si>
    <t>30.89%</t>
  </si>
  <si>
    <t>20.10.2024 05:05:16</t>
  </si>
  <si>
    <t xml:space="preserve">         49K            58K             5K</t>
  </si>
  <si>
    <t>Gp7hF14qT6275Sz71bb5aaYXDTcngyFR5RPrjjuapump</t>
  </si>
  <si>
    <t>0.815 SOL</t>
  </si>
  <si>
    <t>-0.206 SOL</t>
  </si>
  <si>
    <t>-20.20%</t>
  </si>
  <si>
    <t>20.10.2024 05:05:06</t>
  </si>
  <si>
    <t>Hi9KK1W5qyQqbgha9cKmCtKNPZjSixM32zx4erZipump</t>
  </si>
  <si>
    <t>DIOGENES</t>
  </si>
  <si>
    <t>5.562 SOL</t>
  </si>
  <si>
    <t>8.327 SOL</t>
  </si>
  <si>
    <t>2.765 SOL</t>
  </si>
  <si>
    <t>49.71%</t>
  </si>
  <si>
    <t>20.10.2024 05:04:27</t>
  </si>
  <si>
    <t xml:space="preserve">         35K            39K             4K</t>
  </si>
  <si>
    <t>3LcDvRgQjekhz8dBCfsfCLSzxAKc32r6nAxoT8aXpump</t>
  </si>
  <si>
    <t>ACOLYTE</t>
  </si>
  <si>
    <t>3.172 SOL</t>
  </si>
  <si>
    <t>1.612 SOL</t>
  </si>
  <si>
    <t>-1.560 SOL</t>
  </si>
  <si>
    <t>-49.18%</t>
  </si>
  <si>
    <t>20.10.2024 04:53:46</t>
  </si>
  <si>
    <t>3dWEJjc5m8hyKUCjWmDHCcDCvkSazPVC8PZT2JJvpump</t>
  </si>
  <si>
    <t>TAofU</t>
  </si>
  <si>
    <t>5.239 SOL</t>
  </si>
  <si>
    <t>34.812 SOL</t>
  </si>
  <si>
    <t>29.573 SOL</t>
  </si>
  <si>
    <t>564.52%</t>
  </si>
  <si>
    <t>20.10.2024 04:51:52</t>
  </si>
  <si>
    <t xml:space="preserve">         30K           369K            14K</t>
  </si>
  <si>
    <t>FnQMnE5aC59t3obZK1qfDKHVYKtU2tCPHN63ovuypump</t>
  </si>
  <si>
    <t>Miya</t>
  </si>
  <si>
    <t>5.626 SOL</t>
  </si>
  <si>
    <t>5.961 SOL</t>
  </si>
  <si>
    <t>0.336 SOL</t>
  </si>
  <si>
    <t>5.97%</t>
  </si>
  <si>
    <t>20.10.2024 04:10:42</t>
  </si>
  <si>
    <t xml:space="preserve">         50K            53K           240K</t>
  </si>
  <si>
    <t>964ssiZnVnZJrjCDvCbBuwgsozW13gmGtJdPWTAwpump</t>
  </si>
  <si>
    <t>@truth</t>
  </si>
  <si>
    <t>-0.417 SOL</t>
  </si>
  <si>
    <t>-32.32%</t>
  </si>
  <si>
    <t>20.10.2024 04:05:49</t>
  </si>
  <si>
    <t>J83JGjNQDAKFHoXQc4oSNKHKm3X2x3AUi1YA8wdRpump</t>
  </si>
  <si>
    <t>FTW</t>
  </si>
  <si>
    <t>6.440 SOL</t>
  </si>
  <si>
    <t>-3.560 SOL</t>
  </si>
  <si>
    <t>-35.60%</t>
  </si>
  <si>
    <t>20.10.2024 04:05:21</t>
  </si>
  <si>
    <t xml:space="preserve">         76K            42K             6K</t>
  </si>
  <si>
    <t>DV5gbatSSygF1rpE5DuZeJfPoY9tVejw5WpcdDBPpump</t>
  </si>
  <si>
    <t>claude</t>
  </si>
  <si>
    <t>3.062 SOL</t>
  </si>
  <si>
    <t>20.10.2024 01:19:14</t>
  </si>
  <si>
    <t xml:space="preserve">         32K            33K            20K</t>
  </si>
  <si>
    <t>ARygRrYJhXq7srvGyNV5ZKqH3VK3Yybce2Z6nreBpump</t>
  </si>
  <si>
    <t>PNK</t>
  </si>
  <si>
    <t>0.008040</t>
  </si>
  <si>
    <t>4.067 SOL</t>
  </si>
  <si>
    <t>3.927 SOL</t>
  </si>
  <si>
    <t>-0.148 SOL</t>
  </si>
  <si>
    <t>-3.64%</t>
  </si>
  <si>
    <t>20.10.2024 01:09:56</t>
  </si>
  <si>
    <t>1kYNEuCzkzR2aZAxxhWycdBmrWgtHL9vPpqZcGi9pqA</t>
  </si>
  <si>
    <t>#͏</t>
  </si>
  <si>
    <t>0.811 SOL</t>
  </si>
  <si>
    <t>0.682 SOL</t>
  </si>
  <si>
    <t>-15.90%</t>
  </si>
  <si>
    <t>20.10.2024 00:25:37</t>
  </si>
  <si>
    <t>HwreCeDC7iYUaqFeQRGFSyK8qnTwZQquWVKhWBWPpump</t>
  </si>
  <si>
    <t>andyism</t>
  </si>
  <si>
    <t>9.074 SOL</t>
  </si>
  <si>
    <t>6.927 SOL</t>
  </si>
  <si>
    <t>322.67%</t>
  </si>
  <si>
    <t>20.10.2024 00:17:13</t>
  </si>
  <si>
    <t xml:space="preserve">         19K            81K             4K</t>
  </si>
  <si>
    <t>4eFHw54DV3cD6TmAPuGDo9L67kT8C4EaZ6Da5n4Ypump</t>
  </si>
  <si>
    <t>$AxSys</t>
  </si>
  <si>
    <t>5.721 SOL</t>
  </si>
  <si>
    <t>14.25%</t>
  </si>
  <si>
    <t>19.10.2024 23:53:39</t>
  </si>
  <si>
    <t xml:space="preserve">        141K           162K            15K</t>
  </si>
  <si>
    <t>BxBWLrR2qwkTqcyMqeCAAomi5SWu1HgJoiSJtD1vpump</t>
  </si>
  <si>
    <t>$bitchcoin</t>
  </si>
  <si>
    <t>0.000070</t>
  </si>
  <si>
    <t>-7.242 SOL</t>
  </si>
  <si>
    <t>-55.71%</t>
  </si>
  <si>
    <t>19.10.2024 23:32:28</t>
  </si>
  <si>
    <t xml:space="preserve">         58K            18K             6K</t>
  </si>
  <si>
    <t>9qra2v3rRm6BYdCgGyaxDQJ5gzwbTpWvrEWgaFwHpump</t>
  </si>
  <si>
    <t>PURPLE</t>
  </si>
  <si>
    <t>15.391 SOL</t>
  </si>
  <si>
    <t>10.391 SOL</t>
  </si>
  <si>
    <t>207.82%</t>
  </si>
  <si>
    <t>19.10.2024 23:17:44</t>
  </si>
  <si>
    <t xml:space="preserve">         32K            32K             9K</t>
  </si>
  <si>
    <t>Gw64W5Ef5G9zAerPzdMGW8LjMguAcerV3ApQjck1auk8</t>
  </si>
  <si>
    <t>MEMECORE</t>
  </si>
  <si>
    <t>3.683 SOL</t>
  </si>
  <si>
    <t>-1.317 SOL</t>
  </si>
  <si>
    <t>-26.35%</t>
  </si>
  <si>
    <t>19.10.2024 19:46:54</t>
  </si>
  <si>
    <t xml:space="preserve">         46K            33K            30K</t>
  </si>
  <si>
    <t>GpLF6vGzZvn2ZPdVxP7m1LTuAndbiKrpAbnFNVSEpump</t>
  </si>
  <si>
    <t>Samantha</t>
  </si>
  <si>
    <t>8.959 SOL</t>
  </si>
  <si>
    <t>7.779 SOL</t>
  </si>
  <si>
    <t>-1.188 SOL</t>
  </si>
  <si>
    <t>-13.25%</t>
  </si>
  <si>
    <t>19.10.2024 18:47:00</t>
  </si>
  <si>
    <t xml:space="preserve">         23K            32K             4K</t>
  </si>
  <si>
    <t>BWaMsm4AaCEpMXV9iQsyZtwRemVBty5z4HS8oxbApump</t>
  </si>
  <si>
    <t>FAUXLAUDE</t>
  </si>
  <si>
    <t>0.008060</t>
  </si>
  <si>
    <t>11.038 SOL</t>
  </si>
  <si>
    <t>12.004 SOL</t>
  </si>
  <si>
    <t>8.67%</t>
  </si>
  <si>
    <t>19.10.2024 18:40:39</t>
  </si>
  <si>
    <t xml:space="preserve">         51K            65K             4K</t>
  </si>
  <si>
    <t>7QDiFTtzBei1dKcv627g8YUZ2Ti1WkVUrDQQcqQppump</t>
  </si>
  <si>
    <t>A8B</t>
  </si>
  <si>
    <t>0.016030</t>
  </si>
  <si>
    <t>-5.471 SOL</t>
  </si>
  <si>
    <t>-77.98%</t>
  </si>
  <si>
    <t>19.10.2024 18:28:20</t>
  </si>
  <si>
    <t xml:space="preserve">        135K            25K             3K</t>
  </si>
  <si>
    <t>CbBo33sSN6Q6fJ5zJUaXGzak6Q4xvmcUvGnFsqmfpump</t>
  </si>
  <si>
    <t>0.040070</t>
  </si>
  <si>
    <t>8.143 SOL</t>
  </si>
  <si>
    <t>-3.897 SOL</t>
  </si>
  <si>
    <t>-32.37%</t>
  </si>
  <si>
    <t>19.10.2024 18:19:26</t>
  </si>
  <si>
    <t xml:space="preserve">        144K            79K             7K</t>
  </si>
  <si>
    <t>8Y4p6DWMnZToNiyiLrbLU4K3XpLX5TM93VAvmokdpump</t>
  </si>
  <si>
    <t>ORANGE</t>
  </si>
  <si>
    <t>5.425 SOL</t>
  </si>
  <si>
    <t>2.366 SOL</t>
  </si>
  <si>
    <t>77.34%</t>
  </si>
  <si>
    <t>19.10.2024 18:11:45</t>
  </si>
  <si>
    <t xml:space="preserve">         16K            28K             5K</t>
  </si>
  <si>
    <t>3aATtVmNwy9W6SawPHiFocRMLcVYWY1AQ5F4Y4ckPebD</t>
  </si>
  <si>
    <t>11.584 SOL</t>
  </si>
  <si>
    <t>7.608 SOL</t>
  </si>
  <si>
    <t>-3.977 SOL</t>
  </si>
  <si>
    <t>-34.33%</t>
  </si>
  <si>
    <t>19.10.2024 18:10:57</t>
  </si>
  <si>
    <t xml:space="preserve">         40K            21K             3K</t>
  </si>
  <si>
    <t>GAI</t>
  </si>
  <si>
    <t>-1.595 SOL</t>
  </si>
  <si>
    <t>-39.12%</t>
  </si>
  <si>
    <t>19.10.2024 17:40:00</t>
  </si>
  <si>
    <t>AAKaSZxfnNGEuPLsV9jmTTZyEMrwYtfFMkALcQG448P3</t>
  </si>
  <si>
    <t>HYPER</t>
  </si>
  <si>
    <t>2.967 SOL</t>
  </si>
  <si>
    <t>2.875 SOL</t>
  </si>
  <si>
    <t>-3.08%</t>
  </si>
  <si>
    <t>19.10.2024 17:29:56</t>
  </si>
  <si>
    <t>sM27wMQJjx9EcPjtdDpHzKYZq5urZ268tvY1QdApump</t>
  </si>
  <si>
    <t>sentient</t>
  </si>
  <si>
    <t>14.916 SOL</t>
  </si>
  <si>
    <t>2.908 SOL</t>
  </si>
  <si>
    <t>24.22%</t>
  </si>
  <si>
    <t>19.10.2024 15:37:20</t>
  </si>
  <si>
    <t xml:space="preserve">         86K            65K             8K</t>
  </si>
  <si>
    <t>8dS6o1xgFe7eKRZY7SpefhsjbVuivhA3uwVuAERSpump</t>
  </si>
  <si>
    <t>thebes</t>
  </si>
  <si>
    <t>4.057 SOL</t>
  </si>
  <si>
    <t>-5.943 SOL</t>
  </si>
  <si>
    <t>-59.43%</t>
  </si>
  <si>
    <t>19.10.2024 06:22:05</t>
  </si>
  <si>
    <t xml:space="preserve">        442K           179K            23K</t>
  </si>
  <si>
    <t>9QD2oEzrMAnXkBkruNSKFnHzvPJ4bWkyrtVEwcyfpump</t>
  </si>
  <si>
    <t>Thebes</t>
  </si>
  <si>
    <t>0.000270</t>
  </si>
  <si>
    <t>15.462 SOL</t>
  </si>
  <si>
    <t>215.088 SOL</t>
  </si>
  <si>
    <t>199.625 SOL</t>
  </si>
  <si>
    <t>1291.03%</t>
  </si>
  <si>
    <t>19.10.2024 06:11:38</t>
  </si>
  <si>
    <t xml:space="preserve">         49K           137K            64K</t>
  </si>
  <si>
    <t>AgHg9Q1s9aUhU7YNMH7c5pvCghFVSFcnCEJ4ePKjrDZg</t>
  </si>
  <si>
    <t>0.465 SOL</t>
  </si>
  <si>
    <t>9.30%</t>
  </si>
  <si>
    <t>19.10.2024 06:06:36</t>
  </si>
  <si>
    <t xml:space="preserve">         26K            30K             5K</t>
  </si>
  <si>
    <t>79zER84VHcQKmmnsjaHtZ6T5sDFsejy9z6YWR5smpump</t>
  </si>
  <si>
    <t>GAPEAPE</t>
  </si>
  <si>
    <t>1.886 SOL</t>
  </si>
  <si>
    <t>-8.02%</t>
  </si>
  <si>
    <t>19.10.2024 05:47:36</t>
  </si>
  <si>
    <t>61f8haafArVqSMhhLzDY4inqfsiySVwJM93NYAjCpump</t>
  </si>
  <si>
    <t>10.192 SOL</t>
  </si>
  <si>
    <t>10.023 SOL</t>
  </si>
  <si>
    <t>19.10.2024 05:43:24</t>
  </si>
  <si>
    <t xml:space="preserve">         90K            90K            29K</t>
  </si>
  <si>
    <t>MILADY</t>
  </si>
  <si>
    <t>3.996 SOL</t>
  </si>
  <si>
    <t>1.956 SOL</t>
  </si>
  <si>
    <t>95.89%</t>
  </si>
  <si>
    <t>19.10.2024 01:00:40</t>
  </si>
  <si>
    <t xml:space="preserve">         14K            19K             5K</t>
  </si>
  <si>
    <t>FMBKDjA19kqDTikh9UPTeZc94j8ZGSNUTFs2pikG5Acd</t>
  </si>
  <si>
    <t>TEREZA</t>
  </si>
  <si>
    <t>3.168 SOL</t>
  </si>
  <si>
    <t>1.618 SOL</t>
  </si>
  <si>
    <t>104.45%</t>
  </si>
  <si>
    <t>19.10.2024 00:03:24</t>
  </si>
  <si>
    <t xml:space="preserve">         11K            19K             5K</t>
  </si>
  <si>
    <t>BR8jp8W6H8ud2kY5ThmZZbTBZeAqjkXR8BshR2itpump</t>
  </si>
  <si>
    <t>Yuumi</t>
  </si>
  <si>
    <t>18.10.2024 23:46:26</t>
  </si>
  <si>
    <t xml:space="preserve">         21K            14K             5K</t>
  </si>
  <si>
    <t>3FZpufixjm8vsKGiR4iaQ8QqEa7YyKnnJFa2DpuDpump</t>
  </si>
  <si>
    <t>SOL2</t>
  </si>
  <si>
    <t>-0.144 SOL</t>
  </si>
  <si>
    <t>-2.82%</t>
  </si>
  <si>
    <t>18.10.2024 23:21:24</t>
  </si>
  <si>
    <t>BFLC4qgMJjWcMkqUG22M4uMw6NeVZp3d8N1644zupump</t>
  </si>
  <si>
    <t>18.000 SOL</t>
  </si>
  <si>
    <t>38.501 SOL</t>
  </si>
  <si>
    <t>20.501 SOL</t>
  </si>
  <si>
    <t>113.90%</t>
  </si>
  <si>
    <t>18.10.2024 22:03:46</t>
  </si>
  <si>
    <t xml:space="preserve">        234K           412K            22K</t>
  </si>
  <si>
    <t>cyber</t>
  </si>
  <si>
    <t>2.904 SOL</t>
  </si>
  <si>
    <t>3.162 SOL</t>
  </si>
  <si>
    <t>0.258 SOL</t>
  </si>
  <si>
    <t>8.87%</t>
  </si>
  <si>
    <t>18.10.2024 19:27:56</t>
  </si>
  <si>
    <t xml:space="preserve">         26K            28K             5K</t>
  </si>
  <si>
    <t>4nbVWAUr71HbYkqfQwpSKfdbwbp8whQY36PmZQYbpump</t>
  </si>
  <si>
    <t>🐝</t>
  </si>
  <si>
    <t>3.416 SOL</t>
  </si>
  <si>
    <t>-2.454 SOL</t>
  </si>
  <si>
    <t>-41.81%</t>
  </si>
  <si>
    <t>18.10.2024 19:10:03</t>
  </si>
  <si>
    <t>BJ2t6q8awP7TWnahAXhF4oPFn2FhnCgYr3EJtkr9A2er</t>
  </si>
  <si>
    <t>$SolTerm</t>
  </si>
  <si>
    <t>2.735 SOL</t>
  </si>
  <si>
    <t>-0.790 SOL</t>
  </si>
  <si>
    <t>-22.42%</t>
  </si>
  <si>
    <t>18.10.2024 19:08:59</t>
  </si>
  <si>
    <t>2oVeT8QjsnHgWdxaqBSkQDPpMPUDVCm31sh6wypT7tYU</t>
  </si>
  <si>
    <t>HERE</t>
  </si>
  <si>
    <t>3.159 SOL</t>
  </si>
  <si>
    <t>-1.841 SOL</t>
  </si>
  <si>
    <t>-36.81%</t>
  </si>
  <si>
    <t>18.10.2024 16:57:10</t>
  </si>
  <si>
    <t xml:space="preserve">        135K            86K             6K</t>
  </si>
  <si>
    <t>Bn4PNbFSeiifT4AP3SXoo8ybzuFTTzPmtWJK3Pq94RNv</t>
  </si>
  <si>
    <t>$BOTT</t>
  </si>
  <si>
    <t>-2.306 SOL</t>
  </si>
  <si>
    <t>-76.87%</t>
  </si>
  <si>
    <t>18.10.2024 07:13:49</t>
  </si>
  <si>
    <t xml:space="preserve">         26K             5K             4K</t>
  </si>
  <si>
    <t>4N6umHtz67BuwpMkNru8DP47yNBkqFrsCQw3GUvApump</t>
  </si>
  <si>
    <t>INTERLINK</t>
  </si>
  <si>
    <t>2.009 SOL</t>
  </si>
  <si>
    <t>8.224 SOL</t>
  </si>
  <si>
    <t>6.215 SOL</t>
  </si>
  <si>
    <t>309.37%</t>
  </si>
  <si>
    <t>18.10.2024 07:12:48</t>
  </si>
  <si>
    <t xml:space="preserve">         14K            56K             5K</t>
  </si>
  <si>
    <t>4y4zH37GfK9kSfayEtrUXDBxLmT9fRa9T6fPKmGDpump</t>
  </si>
  <si>
    <t>HIVE</t>
  </si>
  <si>
    <t>4.750 SOL</t>
  </si>
  <si>
    <t>-6.250 SOL</t>
  </si>
  <si>
    <t>-56.81%</t>
  </si>
  <si>
    <t>18.10.2024 07:02:13</t>
  </si>
  <si>
    <t xml:space="preserve">        125K            16K             4K</t>
  </si>
  <si>
    <t>7fMp3AWSeaDX63wMZCR74q4qQFAvaKKgF5okLiNzpump</t>
  </si>
  <si>
    <t>2b2t</t>
  </si>
  <si>
    <t>5.130 SOL</t>
  </si>
  <si>
    <t>2.930 SOL</t>
  </si>
  <si>
    <t>-2.200 SOL</t>
  </si>
  <si>
    <t>-42.89%</t>
  </si>
  <si>
    <t>18.10.2024 06:55:48</t>
  </si>
  <si>
    <t xml:space="preserve">         51K            30K             8K</t>
  </si>
  <si>
    <t>EY1Q2sHznXkQZ3iJSTwEai6q4p9SWHxTLkytonrnpump</t>
  </si>
  <si>
    <t>ABYSS</t>
  </si>
  <si>
    <t>7.399 SOL</t>
  </si>
  <si>
    <t>10.980 SOL</t>
  </si>
  <si>
    <t>3.581 SOL</t>
  </si>
  <si>
    <t>48.39%</t>
  </si>
  <si>
    <t>18.10.2024 06:47:39</t>
  </si>
  <si>
    <t xml:space="preserve">         26K             7K             3K</t>
  </si>
  <si>
    <t>27WT4WAfX7uUYm4TQiztvM2ZPwHZJWxzkDLggxB4pump</t>
  </si>
  <si>
    <t>APU</t>
  </si>
  <si>
    <t>13.418 SOL</t>
  </si>
  <si>
    <t>-6.598 SOL</t>
  </si>
  <si>
    <t>-32.96%</t>
  </si>
  <si>
    <t>18.10.2024 06:31:29</t>
  </si>
  <si>
    <t>AhPo2fs5cfUyDhG7cvR67wwKg9UeFsF7mng368EB4oCn</t>
  </si>
  <si>
    <t>abyss</t>
  </si>
  <si>
    <t>3.158 SOL</t>
  </si>
  <si>
    <t>3.24%</t>
  </si>
  <si>
    <t>18.10.2024 06:21:46</t>
  </si>
  <si>
    <t>B3Fg1muvT58Pdvmbh8FUh9pdymXbfpEP7ANDcxpQpump</t>
  </si>
  <si>
    <t>GOO</t>
  </si>
  <si>
    <t>0.000050</t>
  </si>
  <si>
    <t>2.863 SOL</t>
  </si>
  <si>
    <t>4.491 SOL</t>
  </si>
  <si>
    <t>1.628 SOL</t>
  </si>
  <si>
    <t>56.87%</t>
  </si>
  <si>
    <t>18.10.2024 02:30:25</t>
  </si>
  <si>
    <t>4JbkQgCuij1ZhE9Pt2kMF7Xbq6vrpgq2j2F5aoMrpump</t>
  </si>
  <si>
    <t>40.513 SOL</t>
  </si>
  <si>
    <t>20.513 SOL</t>
  </si>
  <si>
    <t>102.57%</t>
  </si>
  <si>
    <t>18.10.2024 01:23:35</t>
  </si>
  <si>
    <t xml:space="preserve">         46K            93K             5K</t>
  </si>
  <si>
    <t>7.352 SOL</t>
  </si>
  <si>
    <t>-2.648 SOL</t>
  </si>
  <si>
    <t>-26.48%</t>
  </si>
  <si>
    <t>18.10.2024 01:06:36</t>
  </si>
  <si>
    <t xml:space="preserve">        294K           215K             4K</t>
  </si>
  <si>
    <t>BMURJhACcf1VjzrGkqDr45uyTb15MpDWTUr9GoDUpump</t>
  </si>
  <si>
    <t>5.125 SOL</t>
  </si>
  <si>
    <t>8.591 SOL</t>
  </si>
  <si>
    <t>3.465 SOL</t>
  </si>
  <si>
    <t>67.61%</t>
  </si>
  <si>
    <t>18.10.2024 00:27:52</t>
  </si>
  <si>
    <t xml:space="preserve">         35K            60K             4K</t>
  </si>
  <si>
    <t>ABkTrLfPEf8Yj5o6WB5xf5Pj322SbhZUzy1WxyvYpump</t>
  </si>
  <si>
    <t>ECHOX</t>
  </si>
  <si>
    <t>5.214 SOL</t>
  </si>
  <si>
    <t>6.652 SOL</t>
  </si>
  <si>
    <t>1.438 SOL</t>
  </si>
  <si>
    <t>18.10.2024 00:16:46</t>
  </si>
  <si>
    <t xml:space="preserve">         46K            58K             4K</t>
  </si>
  <si>
    <t>7FeY74oYe3kXeiP7X42hJoi8acK1aFisGRP8SPs4pump</t>
  </si>
  <si>
    <t>NEXUS</t>
  </si>
  <si>
    <t>4.641 SOL</t>
  </si>
  <si>
    <t>-0.359 SOL</t>
  </si>
  <si>
    <t>-7.17%</t>
  </si>
  <si>
    <t>18.10.2024 00:09:44</t>
  </si>
  <si>
    <t xml:space="preserve">        118K           109K             6K</t>
  </si>
  <si>
    <t>En96UGmVX1ck8j3ZujAUsTjm89DNDgcnbjfPJ3DQpump</t>
  </si>
  <si>
    <t>CHAOS</t>
  </si>
  <si>
    <t>7.513 SOL</t>
  </si>
  <si>
    <t>-2.488 SOL</t>
  </si>
  <si>
    <t>-24.88%</t>
  </si>
  <si>
    <t>18.10.2024 00:07:05</t>
  </si>
  <si>
    <t xml:space="preserve">         84K            62K             5K</t>
  </si>
  <si>
    <t>uq9z3BVmRw7RqZGzxHuP5PngvcPU7h1GTjuyCa2pump</t>
  </si>
  <si>
    <t>SIMO</t>
  </si>
  <si>
    <t>22.760 SOL</t>
  </si>
  <si>
    <t>12.760 SOL</t>
  </si>
  <si>
    <t>127.60%</t>
  </si>
  <si>
    <t>17.10.2024 19:09:10</t>
  </si>
  <si>
    <t xml:space="preserve">        172K           149K             7K</t>
  </si>
  <si>
    <t>DDx5JAMUxeLFx6u28f8FmxRnfdQkYVBYhqipPc8Kpump</t>
  </si>
  <si>
    <t>Luis</t>
  </si>
  <si>
    <t>0.229 SOL</t>
  </si>
  <si>
    <t>20.35%</t>
  </si>
  <si>
    <t>17.10.2024 17:41:42</t>
  </si>
  <si>
    <t>WLETaoWgumDjgsfy1dCvggoTQZkxSsivuduzYSdpump</t>
  </si>
  <si>
    <t>Luis Simo</t>
  </si>
  <si>
    <t>4.058 SOL</t>
  </si>
  <si>
    <t>0.788 SOL</t>
  </si>
  <si>
    <t>-3.271 SOL</t>
  </si>
  <si>
    <t>-80.59%</t>
  </si>
  <si>
    <t>17.10.2024 17:40:12</t>
  </si>
  <si>
    <t xml:space="preserve">         69K            12K             3K</t>
  </si>
  <si>
    <t>5j2sn474JVJh2Emy2oUQGsaQQaBD2SVSt9GuQ69Jpump</t>
  </si>
  <si>
    <t>1.997 SOL</t>
  </si>
  <si>
    <t>-0.662 SOL</t>
  </si>
  <si>
    <t>-33.13%</t>
  </si>
  <si>
    <t>17.10.2024 17:29:19</t>
  </si>
  <si>
    <t>7r4gPJ4jK6pA1cxcQpTkMqMGyuRFkeu3MqzDCsL3pump</t>
  </si>
  <si>
    <t>WASTED</t>
  </si>
  <si>
    <t>3.058 SOL</t>
  </si>
  <si>
    <t>1.305 SOL</t>
  </si>
  <si>
    <t>-1.753 SOL</t>
  </si>
  <si>
    <t>17.10.2024 15:17:54</t>
  </si>
  <si>
    <t>6aC3PwS8LDdVQZCGcDb9PxDzziHHXUyezn9shhDSpump</t>
  </si>
  <si>
    <t>JUNGLE</t>
  </si>
  <si>
    <t>0.008030</t>
  </si>
  <si>
    <t>2.448 SOL</t>
  </si>
  <si>
    <t>3.580 SOL</t>
  </si>
  <si>
    <t>1.124 SOL</t>
  </si>
  <si>
    <t>45.79%</t>
  </si>
  <si>
    <t>17.10.2024 04:26:49</t>
  </si>
  <si>
    <t xml:space="preserve">         14K            16K             4K</t>
  </si>
  <si>
    <t>2odV5BF8ZgmtRTa5kCbiJosfBzSnE9orZ6aj2oeupump</t>
  </si>
  <si>
    <t>trenchard</t>
  </si>
  <si>
    <t>5.083 SOL</t>
  </si>
  <si>
    <t>-0.016 SOL</t>
  </si>
  <si>
    <t>-0.31%</t>
  </si>
  <si>
    <t>17.10.2024 00:15:48</t>
  </si>
  <si>
    <t>76qJsxo4u6VtY3vLt3M3j7xpmquewqT4u7VR9DjYvz3w</t>
  </si>
  <si>
    <t>DRAKE</t>
  </si>
  <si>
    <t>2.637 SOL</t>
  </si>
  <si>
    <t>-3.363 SOL</t>
  </si>
  <si>
    <t>-56.05%</t>
  </si>
  <si>
    <t>17.10.2024 00:00:12</t>
  </si>
  <si>
    <t xml:space="preserve">        100K            44K             4K</t>
  </si>
  <si>
    <t>BJyBRvQZst91TQWkwthJFqwufMyt9hhMQmHg2Kx3wCbu</t>
  </si>
  <si>
    <t>OMEGA</t>
  </si>
  <si>
    <t>11.040 SOL</t>
  </si>
  <si>
    <t>6.032 SOL</t>
  </si>
  <si>
    <t>120.45%</t>
  </si>
  <si>
    <t>16.10.2024 23:55:32</t>
  </si>
  <si>
    <t>51 min</t>
  </si>
  <si>
    <t xml:space="preserve">         58K            28K             6K</t>
  </si>
  <si>
    <t>2RxYYfGMgwGeF1Q6dMRXfmZzAV6j3cQvmjsBdsy9pump</t>
  </si>
  <si>
    <t>CHUDAI</t>
  </si>
  <si>
    <t>8.850 SOL</t>
  </si>
  <si>
    <t>3.847 SOL</t>
  </si>
  <si>
    <t>76.90%</t>
  </si>
  <si>
    <t>16.10.2024 23:54:23</t>
  </si>
  <si>
    <t xml:space="preserve">         47K            84K             4K</t>
  </si>
  <si>
    <t>2fBagmngdKkpkQtvh2CgKWASq26kchSF97kRv93npump</t>
  </si>
  <si>
    <t>omega</t>
  </si>
  <si>
    <t>0.120 SOL</t>
  </si>
  <si>
    <t>12.03%</t>
  </si>
  <si>
    <t>16.10.2024 23:05:29</t>
  </si>
  <si>
    <t xml:space="preserve">         39K            42K            22K</t>
  </si>
  <si>
    <t>7Pn1htyhP1ecSAtmDZyoJZzjCNhsMAFr37VeZkdvpump</t>
  </si>
  <si>
    <t>SLAP</t>
  </si>
  <si>
    <t>2.034 SOL</t>
  </si>
  <si>
    <t>-4.39%</t>
  </si>
  <si>
    <t>16.10.2024 22:59:21</t>
  </si>
  <si>
    <t>EUSkjMF4SFzMVUfrdxGQpvtAV43EdJDv8tqmQzrypump</t>
  </si>
  <si>
    <t>FpMt3dFhCydtRpP5jBgab4WzU8fh8Pau6ZbsesTwmLPG</t>
  </si>
  <si>
    <t>75.86 SOL</t>
  </si>
  <si>
    <t>79%</t>
  </si>
  <si>
    <t>61%</t>
  </si>
  <si>
    <t>52.33 SOL</t>
  </si>
  <si>
    <t>9 (47%)</t>
  </si>
  <si>
    <t>20.82%</t>
  </si>
  <si>
    <t>16%</t>
  </si>
  <si>
    <t>5%</t>
  </si>
  <si>
    <t>3.92 SOL</t>
  </si>
  <si>
    <t>2</t>
  </si>
  <si>
    <t>1.2 SOL</t>
  </si>
  <si>
    <t>5.3%</t>
  </si>
  <si>
    <t>10.5%</t>
  </si>
  <si>
    <t>57.9%</t>
  </si>
  <si>
    <t>21.1%</t>
  </si>
  <si>
    <t>25.4 SOL</t>
  </si>
  <si>
    <t>11.5 SOL</t>
  </si>
  <si>
    <t>-0.4 SOL</t>
  </si>
  <si>
    <t>9.5K</t>
  </si>
  <si>
    <t>Badtz</t>
  </si>
  <si>
    <t>2.467 SOL</t>
  </si>
  <si>
    <t>0.425 SOL</t>
  </si>
  <si>
    <t>30.10.2024 14:34:51</t>
  </si>
  <si>
    <t>BBd19woaVHU38BhkSLr3a6eJDhUWjEw8xCh71Zgdpump</t>
  </si>
  <si>
    <t>r/snoofi</t>
  </si>
  <si>
    <t>5.102 SOL</t>
  </si>
  <si>
    <t>4.900 SOL</t>
  </si>
  <si>
    <t>-3.96%</t>
  </si>
  <si>
    <t>30.10.2024 12:38:21</t>
  </si>
  <si>
    <t>DQZWo5PfTq3BC13cpF3V2aQ2zWbAfiwYxUoEtLQnpump</t>
  </si>
  <si>
    <t>5.897 SOL</t>
  </si>
  <si>
    <t>15.58%</t>
  </si>
  <si>
    <t>30.10.2024 12:38:02</t>
  </si>
  <si>
    <t>G2Hy6wEe2XgdYmooXbLj7tVp7m4ztohc1iETJZLvpump</t>
  </si>
  <si>
    <t>MrBroc</t>
  </si>
  <si>
    <t>6.126 SOL</t>
  </si>
  <si>
    <t>1.024 SOL</t>
  </si>
  <si>
    <t>20.07%</t>
  </si>
  <si>
    <t>30.10.2024 12:37:25</t>
  </si>
  <si>
    <t>A6DjbgmoZGXpTVL2zTz2ZrCcq4cXk1tigYrsGWztpump</t>
  </si>
  <si>
    <t>ASE</t>
  </si>
  <si>
    <t>10.202 SOL</t>
  </si>
  <si>
    <t>11.532 SOL</t>
  </si>
  <si>
    <t>1.330 SOL</t>
  </si>
  <si>
    <t>13.04%</t>
  </si>
  <si>
    <t>30.10.2024 12:36:46</t>
  </si>
  <si>
    <t>DnvsmLTFedL4t8kaCa3w76ejTnA8bv8n3z84tKxpump</t>
  </si>
  <si>
    <t>AFOG</t>
  </si>
  <si>
    <t>6.176 SOL</t>
  </si>
  <si>
    <t>21.04%</t>
  </si>
  <si>
    <t>30.10.2024 12:36:26</t>
  </si>
  <si>
    <t>NuBXMJFHMkXNHKvzciMsyp6DwsqWa97c39xXz6Tpump</t>
  </si>
  <si>
    <t>$FTMOM</t>
  </si>
  <si>
    <t>5.915 SOL</t>
  </si>
  <si>
    <t>15.93%</t>
  </si>
  <si>
    <t>30.10.2024 12:36:02</t>
  </si>
  <si>
    <t>5rTJz9xnbnTwmQjrvyLzLE4i1GKq5ZYuxHRF6EvCpump</t>
  </si>
  <si>
    <t>SC</t>
  </si>
  <si>
    <t>6.369 SOL</t>
  </si>
  <si>
    <t>1.267 SOL</t>
  </si>
  <si>
    <t>24.83%</t>
  </si>
  <si>
    <t>30.10.2024 12:35:35</t>
  </si>
  <si>
    <t>kZBD2XokGtPf7oAxQ66y6NXyMxzmrBXeA2icyeMpump</t>
  </si>
  <si>
    <t>HOLYGOAT</t>
  </si>
  <si>
    <t>7.581 SOL</t>
  </si>
  <si>
    <t>2.479 SOL</t>
  </si>
  <si>
    <t>48.59%</t>
  </si>
  <si>
    <t>30.10.2024 12:35:08</t>
  </si>
  <si>
    <t>75asWW7pWAZD7Lhue4Ygy4nrvjNBwwCrVDGYNQX2c5UY</t>
  </si>
  <si>
    <t>AVAX</t>
  </si>
  <si>
    <t>2.780 SOL</t>
  </si>
  <si>
    <t>2.770 SOL</t>
  </si>
  <si>
    <t>-0.38%</t>
  </si>
  <si>
    <t>30.10.2024 12:34:46</t>
  </si>
  <si>
    <t xml:space="preserve">         18K            18K             6K</t>
  </si>
  <si>
    <t>3WHscTXHnYuzUm94Q9jQK8UGQSTQwyfauf3t8oy4pump</t>
  </si>
  <si>
    <t>6.523 SOL</t>
  </si>
  <si>
    <t>4.481 SOL</t>
  </si>
  <si>
    <t>219.40%</t>
  </si>
  <si>
    <t>30.10.2024 06:18:03</t>
  </si>
  <si>
    <t xml:space="preserve">         16K            16K            40K</t>
  </si>
  <si>
    <t>CHAD AI</t>
  </si>
  <si>
    <t>3.857 SOL</t>
  </si>
  <si>
    <t>0.794 SOL</t>
  </si>
  <si>
    <t>25.94%</t>
  </si>
  <si>
    <t>30.10.2024 03:17:48</t>
  </si>
  <si>
    <t xml:space="preserve">         14K            18K             5K</t>
  </si>
  <si>
    <t>7c1WtkUP7ub9mCEUbTd7SSRq3jT53p9Akoo5h6j4pump</t>
  </si>
  <si>
    <t>noskin</t>
  </si>
  <si>
    <t>6.113 SOL</t>
  </si>
  <si>
    <t>7.525 SOL</t>
  </si>
  <si>
    <t>1.412 SOL</t>
  </si>
  <si>
    <t>23.09%</t>
  </si>
  <si>
    <t>29.10.2024 13:47:02</t>
  </si>
  <si>
    <t xml:space="preserve">         25K            15K             6K</t>
  </si>
  <si>
    <t>CQoAjBzKLCrhHjTqDLZkpWiiFVTcUZyfoiDXQ4PYpump</t>
  </si>
  <si>
    <t>GRUK</t>
  </si>
  <si>
    <t>6.122 SOL</t>
  </si>
  <si>
    <t>12.897 SOL</t>
  </si>
  <si>
    <t>6.774 SOL</t>
  </si>
  <si>
    <t>110.65%</t>
  </si>
  <si>
    <t>29.10.2024 02:39:17</t>
  </si>
  <si>
    <t xml:space="preserve">         42K           246K             4K</t>
  </si>
  <si>
    <t>JSf4nPeF2Wet12reEukHjGmvRmPdkWLxRELdEn6pump</t>
  </si>
  <si>
    <t>bubbacat</t>
  </si>
  <si>
    <t>9.570 SOL</t>
  </si>
  <si>
    <t>4.570 SOL</t>
  </si>
  <si>
    <t>91.40%</t>
  </si>
  <si>
    <t>29.10.2024 00:46:29</t>
  </si>
  <si>
    <t xml:space="preserve">         97K           185K           500K</t>
  </si>
  <si>
    <t>418QJC9cHmUXYFDEg78bAZE765WS4PX9Kxwznx2Hpump</t>
  </si>
  <si>
    <t>FANTOUMI</t>
  </si>
  <si>
    <t>1.378 SOL</t>
  </si>
  <si>
    <t>-10.06%</t>
  </si>
  <si>
    <t>28.10.2024 22:35:35</t>
  </si>
  <si>
    <t xml:space="preserve">          5K             5K             9K</t>
  </si>
  <si>
    <t>C8Y2WqCM4XKQETd2WaFR63gK2T58YSBRAnGZtghUpump</t>
  </si>
  <si>
    <t>AUTISTIO</t>
  </si>
  <si>
    <t>3.150 SOL</t>
  </si>
  <si>
    <t>2.87%</t>
  </si>
  <si>
    <t>28.10.2024 22:32:36</t>
  </si>
  <si>
    <t>jC4jq2AgZQhV9UqJxs95GbpQWRs4t6Ntsew942Mpump</t>
  </si>
  <si>
    <t>0.000610</t>
  </si>
  <si>
    <t>30.459 SOL</t>
  </si>
  <si>
    <t>25.415 SOL</t>
  </si>
  <si>
    <t>503.85%</t>
  </si>
  <si>
    <t>28.10.2024 10:35:18</t>
  </si>
  <si>
    <t xml:space="preserve">         39K           164K            27K</t>
  </si>
  <si>
    <t>3.014 SOL</t>
  </si>
  <si>
    <t>-1.57%</t>
  </si>
  <si>
    <t>28.10.2024 09:50:13</t>
  </si>
  <si>
    <t xml:space="preserve">         16K            16K            34K</t>
  </si>
  <si>
    <t>3Zpn7YBPGa4yu7paHCT7UTC6ezSvnC4qZQMTeYJNpump</t>
  </si>
  <si>
    <t>2qd2jvuzk5TMkKSpg8TcAuGCmm4YNdCSHhLEuM1BeEaz</t>
  </si>
  <si>
    <t>51.19 SOL</t>
  </si>
  <si>
    <t>47%</t>
  </si>
  <si>
    <t>65%</t>
  </si>
  <si>
    <t>30.40 SOL</t>
  </si>
  <si>
    <t>1 (5%)</t>
  </si>
  <si>
    <t>-2.93%</t>
  </si>
  <si>
    <t>11%</t>
  </si>
  <si>
    <t>1.5 SOL</t>
  </si>
  <si>
    <t>36.8%</t>
  </si>
  <si>
    <t>26.3%</t>
  </si>
  <si>
    <t>4</t>
  </si>
  <si>
    <t>20.0 SOL</t>
  </si>
  <si>
    <t>11.9 SOL</t>
  </si>
  <si>
    <t>7.6 SOL</t>
  </si>
  <si>
    <t>-1.5 SOL</t>
  </si>
  <si>
    <t>-7.6 SOL</t>
  </si>
  <si>
    <t>10</t>
  </si>
  <si>
    <t>49.0K</t>
  </si>
  <si>
    <t>0.002010</t>
  </si>
  <si>
    <t>3.354 SOL</t>
  </si>
  <si>
    <t>4.873 SOL</t>
  </si>
  <si>
    <t>1.517 SOL</t>
  </si>
  <si>
    <t>45.22%</t>
  </si>
  <si>
    <t>30.10.2024 18:21:34</t>
  </si>
  <si>
    <t xml:space="preserve">         32K            42K            32K</t>
  </si>
  <si>
    <t>4ujouAR7AWi3z6r795C5m1WhdTZuN86tsxndL3yapump</t>
  </si>
  <si>
    <t>SPETEFY</t>
  </si>
  <si>
    <t>0.002020</t>
  </si>
  <si>
    <t>4.279 SOL</t>
  </si>
  <si>
    <t>4.155 SOL</t>
  </si>
  <si>
    <t>30.10.2024 18:12:43</t>
  </si>
  <si>
    <t xml:space="preserve">        190K           178K             8K</t>
  </si>
  <si>
    <t>Ga3j8U26vf2VYk6pCFR8Pq2hmhZytFfQc53GsGKppump</t>
  </si>
  <si>
    <t>3.328 SOL</t>
  </si>
  <si>
    <t>0.510 SOL</t>
  </si>
  <si>
    <t>-2.820 SOL</t>
  </si>
  <si>
    <t>-84.69%</t>
  </si>
  <si>
    <t>30.10.2024 17:46:48</t>
  </si>
  <si>
    <t xml:space="preserve">         86K            76K            11K</t>
  </si>
  <si>
    <t>CkDJ8d1SvoVAariA8YkH1uthoeHELyxHkfwDLv9pump</t>
  </si>
  <si>
    <t>1.440 SOL</t>
  </si>
  <si>
    <t>1.743 SOL</t>
  </si>
  <si>
    <t>20.83%</t>
  </si>
  <si>
    <t>30.10.2024 05:29:39</t>
  </si>
  <si>
    <t xml:space="preserve">         72K            86K             6K</t>
  </si>
  <si>
    <t>Finn</t>
  </si>
  <si>
    <t>1.443 SOL</t>
  </si>
  <si>
    <t>0.07%</t>
  </si>
  <si>
    <t>30.10.2024 05:19:07</t>
  </si>
  <si>
    <t>FzZu8zgTvkhkYG7LLTZR2TC9B4X4shaimUvGnmgMpump</t>
  </si>
  <si>
    <t>Dogenes</t>
  </si>
  <si>
    <t>5.387 SOL</t>
  </si>
  <si>
    <t>7.210 SOL</t>
  </si>
  <si>
    <t>1.821 SOL</t>
  </si>
  <si>
    <t>33.80%</t>
  </si>
  <si>
    <t>30.10.2024 02:40:47</t>
  </si>
  <si>
    <t xml:space="preserve">        487K           755K           211K</t>
  </si>
  <si>
    <t>E6N1aagrUTAqtAe6DnV4bctib37tCERbr2TPiHzrpump</t>
  </si>
  <si>
    <t>BorgoBot</t>
  </si>
  <si>
    <t>2.878 SOL</t>
  </si>
  <si>
    <t>2.219 SOL</t>
  </si>
  <si>
    <t>-0.661 SOL</t>
  </si>
  <si>
    <t>-22.96%</t>
  </si>
  <si>
    <t>30.10.2024 01:52:44</t>
  </si>
  <si>
    <t xml:space="preserve">         44K            39K             3K</t>
  </si>
  <si>
    <t>AReHDp38ySrnQoSde2bK88uxUtsWsNSHbHfyzRvKpump</t>
  </si>
  <si>
    <t>7.921 SOL</t>
  </si>
  <si>
    <t>11.706 SOL</t>
  </si>
  <si>
    <t>3.777 SOL</t>
  </si>
  <si>
    <t>47.64%</t>
  </si>
  <si>
    <t>29.10.2024 21:53:52</t>
  </si>
  <si>
    <t>22 hours</t>
  </si>
  <si>
    <t xml:space="preserve">          3M           837K             7M</t>
  </si>
  <si>
    <t>1.467 SOL</t>
  </si>
  <si>
    <t>29.10.2024 21:52:24</t>
  </si>
  <si>
    <t xml:space="preserve">         65K            19K             5K</t>
  </si>
  <si>
    <t>DOGE</t>
  </si>
  <si>
    <t>0.334 SOL</t>
  </si>
  <si>
    <t>-1.106 SOL</t>
  </si>
  <si>
    <t>-76.79%</t>
  </si>
  <si>
    <t>29.10.2024 19:58:20</t>
  </si>
  <si>
    <t>7vFMckYWw31EhjrK9CSf7FtLm3wKwyuBNQodHHdMpump</t>
  </si>
  <si>
    <t>-1.316 SOL</t>
  </si>
  <si>
    <t>-91.34%</t>
  </si>
  <si>
    <t>29.10.2024 19:58:17</t>
  </si>
  <si>
    <t xml:space="preserve">         58K            58K             5K</t>
  </si>
  <si>
    <t>4Ks9LNspmDEibfdfc5aaGbdAbaGFdzJRnTXFXPc1pump</t>
  </si>
  <si>
    <t>Human</t>
  </si>
  <si>
    <t>0.951 SOL</t>
  </si>
  <si>
    <t>0.821 SOL</t>
  </si>
  <si>
    <t>-0.131 SOL</t>
  </si>
  <si>
    <t>-13.79%</t>
  </si>
  <si>
    <t>29.10.2024 18:35:56</t>
  </si>
  <si>
    <t xml:space="preserve">         42K            37K             5K</t>
  </si>
  <si>
    <t>DueyXorV4VwtTF35PxUWBQXaZgm7ukyRcFMp6135pump</t>
  </si>
  <si>
    <t>0.000410</t>
  </si>
  <si>
    <t>1.902 SOL</t>
  </si>
  <si>
    <t>-1.500 SOL</t>
  </si>
  <si>
    <t>-78.87%</t>
  </si>
  <si>
    <t>29.10.2024 11:03:14</t>
  </si>
  <si>
    <t xml:space="preserve">         30K            30K             5K</t>
  </si>
  <si>
    <t>0.010410</t>
  </si>
  <si>
    <t>21.455 SOL</t>
  </si>
  <si>
    <t>20.005 SOL</t>
  </si>
  <si>
    <t>1379.02%</t>
  </si>
  <si>
    <t>29.10.2024 11:02:22</t>
  </si>
  <si>
    <t xml:space="preserve">         26K             1M            20K</t>
  </si>
  <si>
    <t>2.852 SOL</t>
  </si>
  <si>
    <t>14.798 SOL</t>
  </si>
  <si>
    <t>11.943 SOL</t>
  </si>
  <si>
    <t>418.41%</t>
  </si>
  <si>
    <t>29.10.2024 02:00:02</t>
  </si>
  <si>
    <t xml:space="preserve">        859K             5M           393K</t>
  </si>
  <si>
    <t>1.161 SOL</t>
  </si>
  <si>
    <t>-0.281 SOL</t>
  </si>
  <si>
    <t>29.10.2024 01:39:55</t>
  </si>
  <si>
    <t xml:space="preserve">         42K            33K             4K</t>
  </si>
  <si>
    <t>1.639 SOL</t>
  </si>
  <si>
    <t>-0.343 SOL</t>
  </si>
  <si>
    <t>-17.32%</t>
  </si>
  <si>
    <t>29.10.2024 00:27:35</t>
  </si>
  <si>
    <t xml:space="preserve">        711K           588K            26K</t>
  </si>
  <si>
    <t>GOLD</t>
  </si>
  <si>
    <t>0.965 SOL</t>
  </si>
  <si>
    <t>0.142 SOL</t>
  </si>
  <si>
    <t>-0.825 SOL</t>
  </si>
  <si>
    <t>-85.35%</t>
  </si>
  <si>
    <t>28.10.2024 21:56:14</t>
  </si>
  <si>
    <t xml:space="preserve">         37K             5K             5K</t>
  </si>
  <si>
    <t>DxMUBUbs1EofR6pkkpoN9qSxS6euUgC9o8jNQSSpump</t>
  </si>
  <si>
    <t>GOGO</t>
  </si>
  <si>
    <t>1.082 SOL</t>
  </si>
  <si>
    <t>11.93%</t>
  </si>
  <si>
    <t>28.10.2024 18:57:57</t>
  </si>
  <si>
    <t xml:space="preserve">         49K            56K             5K</t>
  </si>
  <si>
    <t>GJmxFKMcQVVLmMuzUUaAC2izAQVjoW3McbjJu3V3pump</t>
  </si>
  <si>
    <t>CDby5yqdWRUbtUyzaVqiqiQvBBaSFfciGMAz5hCTeDo4</t>
  </si>
  <si>
    <t>414.06 SOL</t>
  </si>
  <si>
    <t>69%</t>
  </si>
  <si>
    <t>272.01 SOL</t>
  </si>
  <si>
    <t>112 (84%)</t>
  </si>
  <si>
    <t>32.20%</t>
  </si>
  <si>
    <t>30%</t>
  </si>
  <si>
    <t>3%</t>
  </si>
  <si>
    <t>11.69 SOL</t>
  </si>
  <si>
    <t>1.5%</t>
  </si>
  <si>
    <t>12.0%</t>
  </si>
  <si>
    <t>27.1%</t>
  </si>
  <si>
    <t>24.8%</t>
  </si>
  <si>
    <t>6.0%</t>
  </si>
  <si>
    <t>119</t>
  </si>
  <si>
    <t>28.7 SOL</t>
  </si>
  <si>
    <t>218.5 SOL</t>
  </si>
  <si>
    <t>30.0 SOL</t>
  </si>
  <si>
    <t>24.6 SOL</t>
  </si>
  <si>
    <t>-20.4 SOL</t>
  </si>
  <si>
    <t>-9.3 SOL</t>
  </si>
  <si>
    <t>7.0K</t>
  </si>
  <si>
    <t>0.001810</t>
  </si>
  <si>
    <t>13.667 SOL</t>
  </si>
  <si>
    <t>12.666 SOL</t>
  </si>
  <si>
    <t>1264.28%</t>
  </si>
  <si>
    <t>30.10.2024 18:15:49</t>
  </si>
  <si>
    <t xml:space="preserve">        651K             9M            37M</t>
  </si>
  <si>
    <t>DRTeDJXZYYZxmq3tmgSPvLi3ef5E51cRH1KzzwXvC5M7</t>
  </si>
  <si>
    <t>send</t>
  </si>
  <si>
    <t>0.001440</t>
  </si>
  <si>
    <t>2.514 SOL</t>
  </si>
  <si>
    <t>2.480 SOL</t>
  </si>
  <si>
    <t>-1.42%</t>
  </si>
  <si>
    <t>30.10.2024 17:48:23</t>
  </si>
  <si>
    <t>7TRK4VkEFeWDyYRJQxswQ9gcsCsuASTdmmCS5Sogpump</t>
  </si>
  <si>
    <t>BUCKY</t>
  </si>
  <si>
    <t>0.001340</t>
  </si>
  <si>
    <t>3.376 SOL</t>
  </si>
  <si>
    <t>34.40%</t>
  </si>
  <si>
    <t>30.10.2024 17:38:23</t>
  </si>
  <si>
    <t xml:space="preserve">          7K             9K             4K</t>
  </si>
  <si>
    <t>CMTNpPgqu3bkxm6ggZcMWjksno8EW4zHAYvG7uXZpump</t>
  </si>
  <si>
    <t>getcrockd</t>
  </si>
  <si>
    <t>0.001360</t>
  </si>
  <si>
    <t>2.376 SOL</t>
  </si>
  <si>
    <t>3.326 SOL</t>
  </si>
  <si>
    <t>0.948 SOL</t>
  </si>
  <si>
    <t>39.86%</t>
  </si>
  <si>
    <t>30.10.2024 17:28:16</t>
  </si>
  <si>
    <t>8a83am9J1zTyuL8g8n8hb7DiWYB9bKVWmg55qtrppump</t>
  </si>
  <si>
    <t>PHO</t>
  </si>
  <si>
    <t>0.001330</t>
  </si>
  <si>
    <t>3.499 SOL</t>
  </si>
  <si>
    <t>3.843 SOL</t>
  </si>
  <si>
    <t>0.342 SOL</t>
  </si>
  <si>
    <t>9.78%</t>
  </si>
  <si>
    <t>30.10.2024 17:04:32</t>
  </si>
  <si>
    <t>3uvc6PNHgPHaW4xcfffs979hqttrc2QzcJyVhMAfpump</t>
  </si>
  <si>
    <t>GLC</t>
  </si>
  <si>
    <t>0.001380</t>
  </si>
  <si>
    <t>3.694 SOL</t>
  </si>
  <si>
    <t>3.986 SOL</t>
  </si>
  <si>
    <t>0.291 SOL</t>
  </si>
  <si>
    <t>7.87%</t>
  </si>
  <si>
    <t>30.10.2024 16:59:41</t>
  </si>
  <si>
    <t>3cXZAS1fwqUqQ4Wj7MHXHh47CDTKmgCMNq9g28qEpump</t>
  </si>
  <si>
    <t>GIT</t>
  </si>
  <si>
    <t>2.701 SOL</t>
  </si>
  <si>
    <t>1.891 SOL</t>
  </si>
  <si>
    <t>-0.811 SOL</t>
  </si>
  <si>
    <t>-30.02%</t>
  </si>
  <si>
    <t>30.10.2024 16:50:33</t>
  </si>
  <si>
    <t>6NunKAsau8LGYSdNVe4zaZtLXqVmzbziLFhxZRdPpump</t>
  </si>
  <si>
    <t>Stader</t>
  </si>
  <si>
    <t>3.659 SOL</t>
  </si>
  <si>
    <t>3.689 SOL</t>
  </si>
  <si>
    <t>0.78%</t>
  </si>
  <si>
    <t>30.10.2024 16:48:35</t>
  </si>
  <si>
    <t>DAsdNS8JVuVQErUbYdADM75LgBmKYumdsLtgxteXpump</t>
  </si>
  <si>
    <t>3.684 SOL</t>
  </si>
  <si>
    <t>8.436 SOL</t>
  </si>
  <si>
    <t>128.88%</t>
  </si>
  <si>
    <t>30.10.2024 16:45:00</t>
  </si>
  <si>
    <t>3wWAQK8fAy3iRwsneeAFysDJyA33P6p7tABi3eTLKZP4</t>
  </si>
  <si>
    <t>shork</t>
  </si>
  <si>
    <t>2.598 SOL</t>
  </si>
  <si>
    <t>5.902 SOL</t>
  </si>
  <si>
    <t>3.303 SOL</t>
  </si>
  <si>
    <t>127.05%</t>
  </si>
  <si>
    <t>30.10.2024 16:35:33</t>
  </si>
  <si>
    <t>4QPeRnMrdNdPtTTg6YqQD1Qn6yyQ46ctGKTYYDndpump</t>
  </si>
  <si>
    <t>POPDOG</t>
  </si>
  <si>
    <t>2.308 SOL</t>
  </si>
  <si>
    <t>1.895 SOL</t>
  </si>
  <si>
    <t>30.10.2024 16:29:45</t>
  </si>
  <si>
    <t>Ai3sknWs9ULV8Edfckz2gWqwkNb3JjzQ3DNBSWqvRQXh</t>
  </si>
  <si>
    <t>BLUE</t>
  </si>
  <si>
    <t>0.001410</t>
  </si>
  <si>
    <t>2.311 SOL</t>
  </si>
  <si>
    <t>7.316 SOL</t>
  </si>
  <si>
    <t>216.34%</t>
  </si>
  <si>
    <t>30.10.2024 16:20:52</t>
  </si>
  <si>
    <t>JE5zMmRGq4dhjeFxV9JsAcoDEgMQ3riGPXUBELsBpump</t>
  </si>
  <si>
    <t>3.545 SOL</t>
  </si>
  <si>
    <t>11.199 SOL</t>
  </si>
  <si>
    <t>7.653 SOL</t>
  </si>
  <si>
    <t>215.76%</t>
  </si>
  <si>
    <t>30.10.2024 16:01:59</t>
  </si>
  <si>
    <t xml:space="preserve">         10K            30K             6K</t>
  </si>
  <si>
    <t>GAOTU</t>
  </si>
  <si>
    <t>5.773 SOL</t>
  </si>
  <si>
    <t>3.262 SOL</t>
  </si>
  <si>
    <t>129.89%</t>
  </si>
  <si>
    <t>30.10.2024 16:01:11</t>
  </si>
  <si>
    <t xml:space="preserve">          7K            16K             4K</t>
  </si>
  <si>
    <t>4ctFgiP8ewkiayWaqWGzArv1PjMNLQvDcqM6BvZ9pump</t>
  </si>
  <si>
    <t>2.883 SOL</t>
  </si>
  <si>
    <t>24.87%</t>
  </si>
  <si>
    <t>30.10.2024 15:39:55</t>
  </si>
  <si>
    <t>GgJPREPbVQzuNnPpnTGhTC9Q28QMfE4qyV1Ewukmpump</t>
  </si>
  <si>
    <t>DOMINION</t>
  </si>
  <si>
    <t>2.879 SOL</t>
  </si>
  <si>
    <t>24.66%</t>
  </si>
  <si>
    <t>30.10.2024 15:13:44</t>
  </si>
  <si>
    <t>J89Sq5LARNT1mK2SHu8obr5U2JtTgR3JVc24TNbFpump</t>
  </si>
  <si>
    <t>MCAI</t>
  </si>
  <si>
    <t>10.462 SOL</t>
  </si>
  <si>
    <t>8.150 SOL</t>
  </si>
  <si>
    <t>352.39%</t>
  </si>
  <si>
    <t>30.10.2024 14:43:47</t>
  </si>
  <si>
    <t xml:space="preserve">          7K            30K             5K</t>
  </si>
  <si>
    <t>7hUmL7xHWmwpYGdtVfQckPXgGuKxEBhywqZF4WPB5da7</t>
  </si>
  <si>
    <t>gang</t>
  </si>
  <si>
    <t>0.001370</t>
  </si>
  <si>
    <t>3.197 SOL</t>
  </si>
  <si>
    <t>138.23%</t>
  </si>
  <si>
    <t>30.10.2024 14:21:08</t>
  </si>
  <si>
    <t>5ecf1RTtEJSrVjUhjT5uLCWF1v3bSMgxagvhYc9spump</t>
  </si>
  <si>
    <t>ELIPWVOR</t>
  </si>
  <si>
    <t>2.356 SOL</t>
  </si>
  <si>
    <t>1.893 SOL</t>
  </si>
  <si>
    <t>-0.464 SOL</t>
  </si>
  <si>
    <t>-19.68%</t>
  </si>
  <si>
    <t>30.10.2024 04:14:37</t>
  </si>
  <si>
    <t>GxS1Uv83DwXYMVWxxnN5ZNUGtCfKyNMnww3Wx2ctpump</t>
  </si>
  <si>
    <t>CFA</t>
  </si>
  <si>
    <t>2.499 SOL</t>
  </si>
  <si>
    <t>122.46%</t>
  </si>
  <si>
    <t>29.10.2024 18:09:15</t>
  </si>
  <si>
    <t>EXUuK8NXYVAwipWro4z5JGEvQFTSbbDPCAKFXgn1pdE</t>
  </si>
  <si>
    <t>MOLOSSIAN</t>
  </si>
  <si>
    <t>0.001480</t>
  </si>
  <si>
    <t>3.458 SOL</t>
  </si>
  <si>
    <t>4.898 SOL</t>
  </si>
  <si>
    <t>1.439 SOL</t>
  </si>
  <si>
    <t>41.61%</t>
  </si>
  <si>
    <t>29.10.2024 17:57:52</t>
  </si>
  <si>
    <t>7SwHsMU98HKJauLHZ5Jvw7WMraABesPFoqrfAsPHpump</t>
  </si>
  <si>
    <t>HANNO</t>
  </si>
  <si>
    <t>2.490 SOL</t>
  </si>
  <si>
    <t>3.953 SOL</t>
  </si>
  <si>
    <t>1.462 SOL</t>
  </si>
  <si>
    <t>58.69%</t>
  </si>
  <si>
    <t>29.10.2024 17:44:18</t>
  </si>
  <si>
    <t xml:space="preserve">          7K            11K             5K</t>
  </si>
  <si>
    <t>6ET4HW2dTY7CZpDKxShm1Mt86NvnXyE4Hn3w2tHEpump</t>
  </si>
  <si>
    <t>LEO</t>
  </si>
  <si>
    <t>2.440 SOL</t>
  </si>
  <si>
    <t>8.226 SOL</t>
  </si>
  <si>
    <t>5.785 SOL</t>
  </si>
  <si>
    <t>237.00%</t>
  </si>
  <si>
    <t>29.10.2024 17:29:11</t>
  </si>
  <si>
    <t>8rvoBUYgd3pXKEfh1EY6vJnoWspsMebLgmufhQXFaYYG</t>
  </si>
  <si>
    <t>PHROG</t>
  </si>
  <si>
    <t>0.001610</t>
  </si>
  <si>
    <t>3.759 SOL</t>
  </si>
  <si>
    <t>0.879 SOL</t>
  </si>
  <si>
    <t>30.54%</t>
  </si>
  <si>
    <t>29.10.2024 17:11:03</t>
  </si>
  <si>
    <t xml:space="preserve">         11K            14K            16K</t>
  </si>
  <si>
    <t>2yPfaQuvHtM7ztvjKnfRB6vPhtwwFF1AqzKVNaJoNiM1</t>
  </si>
  <si>
    <t>Monte</t>
  </si>
  <si>
    <t>0.002310</t>
  </si>
  <si>
    <t>2.512 SOL</t>
  </si>
  <si>
    <t>5.783 SOL</t>
  </si>
  <si>
    <t>3.269 SOL</t>
  </si>
  <si>
    <t>130.05%</t>
  </si>
  <si>
    <t>29.10.2024 16:19:07</t>
  </si>
  <si>
    <t>HTxyMvAL5wJLeb1AjhBtQm9CzxdSFziy1yq9aqLVpump</t>
  </si>
  <si>
    <t>MOONAGE</t>
  </si>
  <si>
    <t>11.465 SOL</t>
  </si>
  <si>
    <t>9.152 SOL</t>
  </si>
  <si>
    <t>395.74%</t>
  </si>
  <si>
    <t>29.10.2024 16:08:57</t>
  </si>
  <si>
    <t xml:space="preserve">          7K            33K             5K</t>
  </si>
  <si>
    <t>5Fpoz1xn1dBCD5gLtajVafG8fjqtydLmYYPvz3Pxpump</t>
  </si>
  <si>
    <t>LACE</t>
  </si>
  <si>
    <t>6.232 SOL</t>
  </si>
  <si>
    <t>3.919 SOL</t>
  </si>
  <si>
    <t>169.48%</t>
  </si>
  <si>
    <t>29.10.2024 16:04:25</t>
  </si>
  <si>
    <t xml:space="preserve">          7K            18K             4K</t>
  </si>
  <si>
    <t>7hBjxCZyYmP7GzTLtaYw6uovHP1CXDayHg2LdPjVpump</t>
  </si>
  <si>
    <t>THRONE</t>
  </si>
  <si>
    <t>2.889 SOL</t>
  </si>
  <si>
    <t>5.085 SOL</t>
  </si>
  <si>
    <t>75.95%</t>
  </si>
  <si>
    <t>29.10.2024 15:13:27</t>
  </si>
  <si>
    <t xml:space="preserve">          9K            16K             4K</t>
  </si>
  <si>
    <t>BcnQmjHhapKwGCeWTZD8R9gHHFLqPwx8EdxmXmJCpump</t>
  </si>
  <si>
    <t>TOKIDOKI</t>
  </si>
  <si>
    <t>0.001390</t>
  </si>
  <si>
    <t>2.503 SOL</t>
  </si>
  <si>
    <t>2.282 SOL</t>
  </si>
  <si>
    <t>29.10.2024 14:56:49</t>
  </si>
  <si>
    <t>2qDqvYA2Hr2k4LVyVaFrZZED4BguakjpybJKTg51pump</t>
  </si>
  <si>
    <t>HBR</t>
  </si>
  <si>
    <t>0.001350</t>
  </si>
  <si>
    <t>2.799 SOL</t>
  </si>
  <si>
    <t>8.943 SOL</t>
  </si>
  <si>
    <t>6.143 SOL</t>
  </si>
  <si>
    <t>219.41%</t>
  </si>
  <si>
    <t>29.10.2024 14:30:58</t>
  </si>
  <si>
    <t xml:space="preserve">          7K            25K             3K</t>
  </si>
  <si>
    <t>5wpT2AWfaBmeD4jf78FGttJysr6coDFWs5YqJabLpump</t>
  </si>
  <si>
    <t>Sparky</t>
  </si>
  <si>
    <t>2.306 SOL</t>
  </si>
  <si>
    <t>2.256 SOL</t>
  </si>
  <si>
    <t>-2.23%</t>
  </si>
  <si>
    <t>29.10.2024 14:09:19</t>
  </si>
  <si>
    <t>CYM5QjvJz6JmKJayMniJCPvPAz6JaDDwP3FbVcrUpump</t>
  </si>
  <si>
    <t>DANCE</t>
  </si>
  <si>
    <t>2.310 SOL</t>
  </si>
  <si>
    <t>2.655 SOL</t>
  </si>
  <si>
    <t>0.344 SOL</t>
  </si>
  <si>
    <t>14.87%</t>
  </si>
  <si>
    <t>29.10.2024 14:01:00</t>
  </si>
  <si>
    <t>7EKgYC3QYvp1eiM5v1iephXvf4B7C6eVAqxBay7apump</t>
  </si>
  <si>
    <t>COGNIX</t>
  </si>
  <si>
    <t>2.423 SOL</t>
  </si>
  <si>
    <t>3.296 SOL</t>
  </si>
  <si>
    <t>0.871 SOL</t>
  </si>
  <si>
    <t>35.94%</t>
  </si>
  <si>
    <t>29.10.2024 07:38:17</t>
  </si>
  <si>
    <t>AwsA7gMGfJrXqkm7bZKFQGPMboPWDoo1jhBxVuLUpump</t>
  </si>
  <si>
    <t>✤</t>
  </si>
  <si>
    <t>0.001420</t>
  </si>
  <si>
    <t>3.786 SOL</t>
  </si>
  <si>
    <t>-1.732 SOL</t>
  </si>
  <si>
    <t>-45.72%</t>
  </si>
  <si>
    <t>29.10.2024 07:08:58</t>
  </si>
  <si>
    <t>DYnvLMsQunW2JHpfJRAwG4g7ozr3oYJsL5nG8qECpump</t>
  </si>
  <si>
    <t>Brylar</t>
  </si>
  <si>
    <t>0.006310</t>
  </si>
  <si>
    <t>2.631 SOL</t>
  </si>
  <si>
    <t>9.340 SOL</t>
  </si>
  <si>
    <t>6.703 SOL</t>
  </si>
  <si>
    <t>254.17%</t>
  </si>
  <si>
    <t>29.10.2024 03:02:57</t>
  </si>
  <si>
    <t xml:space="preserve">          7K            28K            13K</t>
  </si>
  <si>
    <t>BXEDLp7LmZwswbyFWMCDXvv4KSYLwwEXudFLHpUvpump</t>
  </si>
  <si>
    <t>AIDS</t>
  </si>
  <si>
    <t>0.470 SOL</t>
  </si>
  <si>
    <t>20.27%</t>
  </si>
  <si>
    <t>29.10.2024 02:32:07</t>
  </si>
  <si>
    <t>4mvGLpZQAYxHTWdrDczfAvR7BtGSn47srJ5AFvR2pump</t>
  </si>
  <si>
    <t>3.656 SOL</t>
  </si>
  <si>
    <t>6.633 SOL</t>
  </si>
  <si>
    <t>2.971 SOL</t>
  </si>
  <si>
    <t>81.13%</t>
  </si>
  <si>
    <t>29.10.2024 02:25:30</t>
  </si>
  <si>
    <t>rQKMLk9vDq7pjhcFey6UR4oQttR3cah233zA4Cepump</t>
  </si>
  <si>
    <t>clay</t>
  </si>
  <si>
    <t>6.026 SOL</t>
  </si>
  <si>
    <t>7.226 SOL</t>
  </si>
  <si>
    <t>19.78%</t>
  </si>
  <si>
    <t>28.10.2024 17:24:03</t>
  </si>
  <si>
    <t>8ZLasVo9eoqKuiuw28dsGUQ8aiBxhSPW5FDbwr4cp6VB</t>
  </si>
  <si>
    <t>MIKO</t>
  </si>
  <si>
    <t>18.387 SOL</t>
  </si>
  <si>
    <t>16.008 SOL</t>
  </si>
  <si>
    <t>673.16%</t>
  </si>
  <si>
    <t>28.10.2024 17:16:26</t>
  </si>
  <si>
    <t xml:space="preserve">          7K             7K             3K</t>
  </si>
  <si>
    <t>HfzGsxgb5oXoWoWw2UBxAVstCEDusV7RuGyotVsRpump</t>
  </si>
  <si>
    <t>PUMPBILLY</t>
  </si>
  <si>
    <t>3.027 SOL</t>
  </si>
  <si>
    <t>-0.647 SOL</t>
  </si>
  <si>
    <t>-21.34%</t>
  </si>
  <si>
    <t>28.10.2024 17:13:06</t>
  </si>
  <si>
    <t>DWViTFBQV2k7U8QhTdweA6EoUnepyYR96xwooTX6UpEA</t>
  </si>
  <si>
    <t>$GOAT</t>
  </si>
  <si>
    <t>3.520 SOL</t>
  </si>
  <si>
    <t>1.203 SOL</t>
  </si>
  <si>
    <t>51.90%</t>
  </si>
  <si>
    <t>28.10.2024 17:09:43</t>
  </si>
  <si>
    <t>85y6NsB1me3G1ATBVkzuWURfyuAtEtAsCCUZdbVdpump</t>
  </si>
  <si>
    <t>4.778 SOL</t>
  </si>
  <si>
    <t>2.269 SOL</t>
  </si>
  <si>
    <t>90.45%</t>
  </si>
  <si>
    <t>28.10.2024 17:08:11</t>
  </si>
  <si>
    <t>4kczD6Km2XD8zmCiNRgp5eq6EimyG221yskSNmygpump</t>
  </si>
  <si>
    <t>santiago</t>
  </si>
  <si>
    <t>3.800 SOL</t>
  </si>
  <si>
    <t>2.921 SOL</t>
  </si>
  <si>
    <t>-0.886 SOL</t>
  </si>
  <si>
    <t>-23.27%</t>
  </si>
  <si>
    <t>28.10.2024 16:54:15</t>
  </si>
  <si>
    <t>3Lk1Pwq1dhyiJ9hbokVw7zedouPBHCVUhxRTG489Lc2Y</t>
  </si>
  <si>
    <t>AYA</t>
  </si>
  <si>
    <t>9.735 SOL</t>
  </si>
  <si>
    <t>288.01%</t>
  </si>
  <si>
    <t>28.10.2024 16:23:11</t>
  </si>
  <si>
    <t xml:space="preserve">          7K            28K             3K</t>
  </si>
  <si>
    <t>4u78wkkEcFJ89Xnp61x7meJXcGmDngkMdTfTScRgpump</t>
  </si>
  <si>
    <t>Godsplan</t>
  </si>
  <si>
    <t>3.361 SOL</t>
  </si>
  <si>
    <t>1.047 SOL</t>
  </si>
  <si>
    <t>45.23%</t>
  </si>
  <si>
    <t>28.10.2024 16:23:00</t>
  </si>
  <si>
    <t>DVSXhYDgtt9nUGwnrMzyN8tcsiz5WMS5wg5gxSFsjp9e</t>
  </si>
  <si>
    <t>CYBERTRUCK</t>
  </si>
  <si>
    <t>3.317 SOL</t>
  </si>
  <si>
    <t>9.391 SOL</t>
  </si>
  <si>
    <t>6.068 SOL</t>
  </si>
  <si>
    <t>182.61%</t>
  </si>
  <si>
    <t>28.10.2024 16:20:12</t>
  </si>
  <si>
    <t xml:space="preserve">          9K            26K             5K</t>
  </si>
  <si>
    <t>7tPX9Nr3Y6CHVuBfwFEa8dTgd76WwoWrenUsqPU4pump</t>
  </si>
  <si>
    <t>REIJU</t>
  </si>
  <si>
    <t>3.935 SOL</t>
  </si>
  <si>
    <t>5.286 SOL</t>
  </si>
  <si>
    <t>1.345 SOL</t>
  </si>
  <si>
    <t>34.11%</t>
  </si>
  <si>
    <t>28.10.2024 16:15:14</t>
  </si>
  <si>
    <t>AAzhF9d7dWWqkch3T89yw9aEq59PNE27oaaT9p8Kpump</t>
  </si>
  <si>
    <t>4.450 SOL</t>
  </si>
  <si>
    <t>1.058 SOL</t>
  </si>
  <si>
    <t>31.17%</t>
  </si>
  <si>
    <t>28.10.2024 16:07:54</t>
  </si>
  <si>
    <t>H29txsita4xdTbDB8cfWfsD7z4g7UgtUjHBvkdpApump</t>
  </si>
  <si>
    <t>LUCY</t>
  </si>
  <si>
    <t>23.88%</t>
  </si>
  <si>
    <t>28.10.2024 15:56:26</t>
  </si>
  <si>
    <t>56iVreYCT3E4Uz2H3mDYMEvaHKt5hSHr4m4YwYd2pump</t>
  </si>
  <si>
    <t>SirFloyd</t>
  </si>
  <si>
    <t>0.001910</t>
  </si>
  <si>
    <t>2.364 SOL</t>
  </si>
  <si>
    <t>4.595 SOL</t>
  </si>
  <si>
    <t>2.229 SOL</t>
  </si>
  <si>
    <t>94.21%</t>
  </si>
  <si>
    <t>28.10.2024 15:17:22</t>
  </si>
  <si>
    <t xml:space="preserve">          7K            12K             5K</t>
  </si>
  <si>
    <t>sjk6fNpHQEeWvk9sJrKEqTTLVZePbFqyeJSqB7kpump</t>
  </si>
  <si>
    <t>FRIED</t>
  </si>
  <si>
    <t>3.105 SOL</t>
  </si>
  <si>
    <t>2.470 SOL</t>
  </si>
  <si>
    <t>-0.642 SOL</t>
  </si>
  <si>
    <t>-20.62%</t>
  </si>
  <si>
    <t>28.10.2024 14:08:21</t>
  </si>
  <si>
    <t>CYxwBfFhwBUnKvosnSSRubm3VqttmwrqS6Ef5Y1Tpump</t>
  </si>
  <si>
    <t xml:space="preserve">🌍 </t>
  </si>
  <si>
    <t>2.644 SOL</t>
  </si>
  <si>
    <t>2.037 SOL</t>
  </si>
  <si>
    <t>-23.15%</t>
  </si>
  <si>
    <t>27.10.2024 18:32:49</t>
  </si>
  <si>
    <t>DtNVDPeJ5yH1apSHTYNfXPjPTVYg3zgJk2CESJj6pump</t>
  </si>
  <si>
    <t>ASAI</t>
  </si>
  <si>
    <t>3.762 SOL</t>
  </si>
  <si>
    <t>17.889 SOL</t>
  </si>
  <si>
    <t>14.121 SOL</t>
  </si>
  <si>
    <t>374.76%</t>
  </si>
  <si>
    <t>27.10.2024 18:16:54</t>
  </si>
  <si>
    <t xml:space="preserve">          9K            40K             3K</t>
  </si>
  <si>
    <t>DVp3pRSS6a8Tgf2RafQTjcgttN3gbMKdbktYB2Uhpump</t>
  </si>
  <si>
    <t>feet</t>
  </si>
  <si>
    <t>2.304 SOL</t>
  </si>
  <si>
    <t>2.532 SOL</t>
  </si>
  <si>
    <t>0.222 SOL</t>
  </si>
  <si>
    <t>9.59%</t>
  </si>
  <si>
    <t>27.10.2024 18:11:42</t>
  </si>
  <si>
    <t>9vKbZaoyAvdfbT8i9voZG4uBcoqpHijHaNDc18MDpump</t>
  </si>
  <si>
    <t>KATE</t>
  </si>
  <si>
    <t>0.810 SOL</t>
  </si>
  <si>
    <t>-1.192 SOL</t>
  </si>
  <si>
    <t>-59.55%</t>
  </si>
  <si>
    <t>27.10.2024 18:03:35</t>
  </si>
  <si>
    <t xml:space="preserve">        132K            53K             4K</t>
  </si>
  <si>
    <t>5DyDEtnf47iGNgb1Tqxc34BtPXo4M6Ta8L8cacMZpump</t>
  </si>
  <si>
    <t>(^u^)</t>
  </si>
  <si>
    <t>0.280 SOL</t>
  </si>
  <si>
    <t>-1.722 SOL</t>
  </si>
  <si>
    <t>-86.02%</t>
  </si>
  <si>
    <t>27.10.2024 18:01:17</t>
  </si>
  <si>
    <t xml:space="preserve">         60K             9K             3K</t>
  </si>
  <si>
    <t>4LWcsKw2sfWwngQQMPx6N5zrSqKe7wffrn86vHVqpump</t>
  </si>
  <si>
    <t>:(</t>
  </si>
  <si>
    <t>3.699 SOL</t>
  </si>
  <si>
    <t>-0.30%</t>
  </si>
  <si>
    <t>27.10.2024 17:55:20</t>
  </si>
  <si>
    <t>Ay7gPx3hYtQF44ymStaDLQWNbBsAdsrFksLYk3zZpWSS</t>
  </si>
  <si>
    <t>COUNCIL</t>
  </si>
  <si>
    <t>2.426 SOL</t>
  </si>
  <si>
    <t>0.472 SOL</t>
  </si>
  <si>
    <t>19.40%</t>
  </si>
  <si>
    <t>27.10.2024 17:54:09</t>
  </si>
  <si>
    <t>9ycHXuZDiP9J5mhckA4Ei6PF7dYKa1MNMKKy7UaGpump</t>
  </si>
  <si>
    <t>NBA</t>
  </si>
  <si>
    <t>2.506 SOL</t>
  </si>
  <si>
    <t>7.118 SOL</t>
  </si>
  <si>
    <t>183.38%</t>
  </si>
  <si>
    <t>27.10.2024 17:42:34</t>
  </si>
  <si>
    <t>4nEBepbFQDWW56jDbMbU6YmKVKvjTQTbv5RN86u1pump</t>
  </si>
  <si>
    <t>YUYU</t>
  </si>
  <si>
    <t>2.508 SOL</t>
  </si>
  <si>
    <t>2.196 SOL</t>
  </si>
  <si>
    <t>-0.318 SOL</t>
  </si>
  <si>
    <t>-12.66%</t>
  </si>
  <si>
    <t>27.10.2024 17:33:11</t>
  </si>
  <si>
    <t>4hGMvkMuSvquza8y4PmHzMKxQ7fSV3U5MJvUAPVCpump</t>
  </si>
  <si>
    <t>3.496 SOL</t>
  </si>
  <si>
    <t>4.305 SOL</t>
  </si>
  <si>
    <t>22.91%</t>
  </si>
  <si>
    <t>27.10.2024 17:21:30</t>
  </si>
  <si>
    <t xml:space="preserve">         11K            12K             6K</t>
  </si>
  <si>
    <t>EYjmfokaKHYr8kVkbmXHLS9MEqbHg77MtzdzBSpkpump</t>
  </si>
  <si>
    <t>Lilo</t>
  </si>
  <si>
    <t>5.770 SOL</t>
  </si>
  <si>
    <t>3.388 SOL</t>
  </si>
  <si>
    <t>142.17%</t>
  </si>
  <si>
    <t>27.10.2024 17:11:40</t>
  </si>
  <si>
    <t>AuZrxnrNt8oRjR2eCUdB5myKMmPhTwcfKz3mRwuCpump</t>
  </si>
  <si>
    <t>ART</t>
  </si>
  <si>
    <t>2.370 SOL</t>
  </si>
  <si>
    <t>2.771 SOL</t>
  </si>
  <si>
    <t>0.395 SOL</t>
  </si>
  <si>
    <t>16.61%</t>
  </si>
  <si>
    <t>27.10.2024 17:04:46</t>
  </si>
  <si>
    <t>artnVfevgrJbxSpw7QnCkmpnxhRVAG5oTu1y2TayWEw</t>
  </si>
  <si>
    <t>2.642 SOL</t>
  </si>
  <si>
    <t>3.474 SOL</t>
  </si>
  <si>
    <t>0.826 SOL</t>
  </si>
  <si>
    <t>31.18%</t>
  </si>
  <si>
    <t>27.10.2024 17:02:56</t>
  </si>
  <si>
    <t xml:space="preserve">          7K             9K             3K</t>
  </si>
  <si>
    <t>ARK</t>
  </si>
  <si>
    <t>2.296 SOL</t>
  </si>
  <si>
    <t>-17.63%</t>
  </si>
  <si>
    <t>27.10.2024 16:45:28</t>
  </si>
  <si>
    <t>44CKEAHvDAZvYPxThn3e71oUm26JUnj3W6P6XeGTpump</t>
  </si>
  <si>
    <t>WHIMSI</t>
  </si>
  <si>
    <t>3.083 SOL</t>
  </si>
  <si>
    <t>16.641 SOL</t>
  </si>
  <si>
    <t>13.551 SOL</t>
  </si>
  <si>
    <t>438.61%</t>
  </si>
  <si>
    <t>27.10.2024 16:39:36</t>
  </si>
  <si>
    <t xml:space="preserve">          9K            46K             3K</t>
  </si>
  <si>
    <t>DXMWiFYCd8RQmpncdtuFgYrdNkRbndNEu3KbVkWnpump</t>
  </si>
  <si>
    <t>ENCRYPTED</t>
  </si>
  <si>
    <t>2.476 SOL</t>
  </si>
  <si>
    <t>7.032 SOL</t>
  </si>
  <si>
    <t>4.549 SOL</t>
  </si>
  <si>
    <t>183.25%</t>
  </si>
  <si>
    <t>27.10.2024 16:19:41</t>
  </si>
  <si>
    <t>F36vFScA7M14HxHaEx37ANakG6J8c3FqQ2ZxGN3opump</t>
  </si>
  <si>
    <t>PDONUT</t>
  </si>
  <si>
    <t>3.876 SOL</t>
  </si>
  <si>
    <t>1.498 SOL</t>
  </si>
  <si>
    <t>62.99%</t>
  </si>
  <si>
    <t>27.10.2024 15:15:53</t>
  </si>
  <si>
    <t xml:space="preserve">          7K            10K             6K</t>
  </si>
  <si>
    <t>5M4cf2BL7DFmfyUyHASpeBqRzUvZvBQJoNGJbdDKpump</t>
  </si>
  <si>
    <t>LIMECAT</t>
  </si>
  <si>
    <t>2.466 SOL</t>
  </si>
  <si>
    <t>4.38%</t>
  </si>
  <si>
    <t>27.10.2024 15:06:37</t>
  </si>
  <si>
    <t>G2iLywZCoviVDMES7TSnPCEHAWvMk18EpdjTiS6vAU2N</t>
  </si>
  <si>
    <t>3.343 SOL</t>
  </si>
  <si>
    <t>5.547 SOL</t>
  </si>
  <si>
    <t>2.198 SOL</t>
  </si>
  <si>
    <t>65.61%</t>
  </si>
  <si>
    <t>27.10.2024 14:48:00</t>
  </si>
  <si>
    <t>AXJh9XJvkKVTSCq99c6GxTGQ1nwtwGTJvM9igaSAhw5</t>
  </si>
  <si>
    <t>LIZZERD</t>
  </si>
  <si>
    <t>2.462 SOL</t>
  </si>
  <si>
    <t>7.321 SOL</t>
  </si>
  <si>
    <t>4.853 SOL</t>
  </si>
  <si>
    <t>196.57%</t>
  </si>
  <si>
    <t>27.10.2024 14:08:24</t>
  </si>
  <si>
    <t xml:space="preserve">          7K            21K             4K</t>
  </si>
  <si>
    <t>7FisD5QTeFBCd2vbAVs5PQ89vefLqz9Qhaqja6XRpump</t>
  </si>
  <si>
    <t xml:space="preserve">Kuchi </t>
  </si>
  <si>
    <t>2.266 SOL</t>
  </si>
  <si>
    <t>0.559 SOL</t>
  </si>
  <si>
    <t>-1.714 SOL</t>
  </si>
  <si>
    <t>-75.42%</t>
  </si>
  <si>
    <t>27.10.2024 14:00:03</t>
  </si>
  <si>
    <t xml:space="preserve">         21K             5K             5K</t>
  </si>
  <si>
    <t>CMPu4jqvZmNG49VVm7EBdDHxWuqfuZievRn6m7LNpump</t>
  </si>
  <si>
    <t>PAINTED</t>
  </si>
  <si>
    <t>3.498 SOL</t>
  </si>
  <si>
    <t>45.32%</t>
  </si>
  <si>
    <t>27.10.2024 12:59:54</t>
  </si>
  <si>
    <t>41CDhCLk98age6CBZzvrBEbKBnequm1Ht2sGpAfLpump</t>
  </si>
  <si>
    <t>BD</t>
  </si>
  <si>
    <t>2.360 SOL</t>
  </si>
  <si>
    <t>3.242 SOL</t>
  </si>
  <si>
    <t>0.875 SOL</t>
  </si>
  <si>
    <t>37.00%</t>
  </si>
  <si>
    <t>27.10.2024 12:48:55</t>
  </si>
  <si>
    <t>Ay7j7Z9usczEuL4j4xZJR5xuNyffrXCSbaRHwWndpump</t>
  </si>
  <si>
    <t>GMOD</t>
  </si>
  <si>
    <t>2.307 SOL</t>
  </si>
  <si>
    <t>6.626 SOL</t>
  </si>
  <si>
    <t>4.312 SOL</t>
  </si>
  <si>
    <t>186.39%</t>
  </si>
  <si>
    <t>27.10.2024 05:04:27</t>
  </si>
  <si>
    <t>HCm8qH78iE7U74n4bseHbLWxapF6peza5Yr7D2REpump</t>
  </si>
  <si>
    <t>CREATOR</t>
  </si>
  <si>
    <t>2.943 SOL</t>
  </si>
  <si>
    <t>1.943 SOL</t>
  </si>
  <si>
    <t>-1.007 SOL</t>
  </si>
  <si>
    <t>-34.14%</t>
  </si>
  <si>
    <t>26.10.2024 16:06:57</t>
  </si>
  <si>
    <t>2xahh1cSxn4uF8S3HtxkjCEgVKStZUgyaAzZcoT5pump</t>
  </si>
  <si>
    <t>TAO</t>
  </si>
  <si>
    <t>57.62%</t>
  </si>
  <si>
    <t>26.10.2024 14:36:52</t>
  </si>
  <si>
    <t>29G1xZRSHJyXYHkDnPKiac8t4RVD1vWydewqaCh9pump</t>
  </si>
  <si>
    <t>Catooo</t>
  </si>
  <si>
    <t>2.870 SOL</t>
  </si>
  <si>
    <t>2.168 SOL</t>
  </si>
  <si>
    <t>-0.708 SOL</t>
  </si>
  <si>
    <t>-24.63%</t>
  </si>
  <si>
    <t>26.10.2024 14:17:44</t>
  </si>
  <si>
    <t>xzFziDxAg3BkspgGGHacu2GQRRpr2C4JtNkkcxNpump</t>
  </si>
  <si>
    <t>2.424 SOL</t>
  </si>
  <si>
    <t>9.157 SOL</t>
  </si>
  <si>
    <t>6.727 SOL</t>
  </si>
  <si>
    <t>276.82%</t>
  </si>
  <si>
    <t>26.10.2024 13:36:12</t>
  </si>
  <si>
    <t xml:space="preserve">          6K            25K             4K</t>
  </si>
  <si>
    <t>escape</t>
  </si>
  <si>
    <t>0.105010</t>
  </si>
  <si>
    <t>10.473 SOL</t>
  </si>
  <si>
    <t>7.256 SOL</t>
  </si>
  <si>
    <t>225.56%</t>
  </si>
  <si>
    <t>26.10.2024 09:03:18</t>
  </si>
  <si>
    <t xml:space="preserve">          9K            32K           112K</t>
  </si>
  <si>
    <t>6kc11KwEgT4fzubPEFvw8WCgLcVxV2Sk5Xx3eembpump</t>
  </si>
  <si>
    <t>RING</t>
  </si>
  <si>
    <t>2.292 SOL</t>
  </si>
  <si>
    <t>4.125 SOL</t>
  </si>
  <si>
    <t>1.826 SOL</t>
  </si>
  <si>
    <t>79.43%</t>
  </si>
  <si>
    <t>26.10.2024 03:17:38</t>
  </si>
  <si>
    <t xml:space="preserve">          7K            12K             6K</t>
  </si>
  <si>
    <t>AE3k8gxT5NKJymNRHWTDiEnJRrxthxC4wM2QXjoipump</t>
  </si>
  <si>
    <t>prosperity</t>
  </si>
  <si>
    <t>2.336 SOL</t>
  </si>
  <si>
    <t>2.001 SOL</t>
  </si>
  <si>
    <t>-0.341 SOL</t>
  </si>
  <si>
    <t>-14.56%</t>
  </si>
  <si>
    <t>26.10.2024 03:04:40</t>
  </si>
  <si>
    <t>59 sec</t>
  </si>
  <si>
    <t>AxD13aWrTtaYkG7QKWWbvxheyrnqaJ1xMiUVJr4Lpump</t>
  </si>
  <si>
    <t>4.624 SOL</t>
  </si>
  <si>
    <t>9.23%</t>
  </si>
  <si>
    <t>25.10.2024 17:37:54</t>
  </si>
  <si>
    <t xml:space="preserve">          9K             9K             3K</t>
  </si>
  <si>
    <t>6mjvhJv1dpsHs9tt6kix1YQVmRcTkf1d5EFS3uZgXdDn</t>
  </si>
  <si>
    <t>3.290 SOL</t>
  </si>
  <si>
    <t>4.886 SOL</t>
  </si>
  <si>
    <t>48.21%</t>
  </si>
  <si>
    <t>25.10.2024 17:31:33</t>
  </si>
  <si>
    <t>HvR3SbcEQqQu1P7FRnPBSPrK29PS4UAbEsgoKb1Tpump</t>
  </si>
  <si>
    <t>PLUH</t>
  </si>
  <si>
    <t>10.133 SOL</t>
  </si>
  <si>
    <t>6.837 SOL</t>
  </si>
  <si>
    <t>207.40%</t>
  </si>
  <si>
    <t>25.10.2024 15:47:02</t>
  </si>
  <si>
    <t>ARumG62Z9QGNtNsVAzgUTNjzjxyqJ8axAidg7ZPnpump</t>
  </si>
  <si>
    <t>FAIT</t>
  </si>
  <si>
    <t>12.791 SOL</t>
  </si>
  <si>
    <t>8.477 SOL</t>
  </si>
  <si>
    <t>196.51%</t>
  </si>
  <si>
    <t>25.10.2024 03:35:21</t>
  </si>
  <si>
    <t xml:space="preserve">         10K            29K             7K</t>
  </si>
  <si>
    <t>DrB5zvFT7k416h8d2dMsfv312sSnsxraKHEW1Hg5pump</t>
  </si>
  <si>
    <t>ANGELTIME</t>
  </si>
  <si>
    <t>0.088010</t>
  </si>
  <si>
    <t>2.065 SOL</t>
  </si>
  <si>
    <t>1.775 SOL</t>
  </si>
  <si>
    <t>-0.378 SOL</t>
  </si>
  <si>
    <t>-17.56%</t>
  </si>
  <si>
    <t>25.10.2024 03:30:00</t>
  </si>
  <si>
    <t>Dof6EJ7qk7CZMr5FwGGguBi57FTXWicDo7Bw6pFppump</t>
  </si>
  <si>
    <t>PUMPALOT</t>
  </si>
  <si>
    <t>0.005590</t>
  </si>
  <si>
    <t>2.825 SOL</t>
  </si>
  <si>
    <t>0.330 SOL</t>
  </si>
  <si>
    <t>11.66%</t>
  </si>
  <si>
    <t>24.10.2024 15:32:16</t>
  </si>
  <si>
    <t>6F98EAJA6bywghJVSifcwBuZCxhEa524MPdxxgAypump</t>
  </si>
  <si>
    <t>0.004310</t>
  </si>
  <si>
    <t>3.173 SOL</t>
  </si>
  <si>
    <t>10.909 SOL</t>
  </si>
  <si>
    <t>7.732 SOL</t>
  </si>
  <si>
    <t>243.31%</t>
  </si>
  <si>
    <t>24.10.2024 15:14:21</t>
  </si>
  <si>
    <t>2cVo1vP8kNCQG7Yc6SZqViWbJG2H5FTyHdF5hexNpump</t>
  </si>
  <si>
    <t>TOPGAI</t>
  </si>
  <si>
    <t>0.086010</t>
  </si>
  <si>
    <t>2.536 SOL</t>
  </si>
  <si>
    <t>-1.452 SOL</t>
  </si>
  <si>
    <t>-55.39%</t>
  </si>
  <si>
    <t>24.10.2024 14:09:38</t>
  </si>
  <si>
    <t xml:space="preserve">          9K             4K             3K</t>
  </si>
  <si>
    <t>AmqbYGJbek51L1Y4CafnAKGJMPjVVpYHuFZjv5KFpump</t>
  </si>
  <si>
    <t>Alien</t>
  </si>
  <si>
    <t>0.087160</t>
  </si>
  <si>
    <t>7.974 SOL</t>
  </si>
  <si>
    <t>4.887 SOL</t>
  </si>
  <si>
    <t>158.30%</t>
  </si>
  <si>
    <t>24.10.2024 03:20:38</t>
  </si>
  <si>
    <t xml:space="preserve">         26K            69K             4K</t>
  </si>
  <si>
    <t>HAFXFg7SSFauCP1A1bq4XadC3ywR6kz14mdmz3nvpump</t>
  </si>
  <si>
    <t>0.005310</t>
  </si>
  <si>
    <t>2.665 SOL</t>
  </si>
  <si>
    <t>3.530 SOL</t>
  </si>
  <si>
    <t>0.860 SOL</t>
  </si>
  <si>
    <t>24.10.2024 03:11:42</t>
  </si>
  <si>
    <t>C4u7qk6dAp385M9ijp3YvsZPGeXzU6X6QrxwXVwzpump</t>
  </si>
  <si>
    <t>END</t>
  </si>
  <si>
    <t>2.450 SOL</t>
  </si>
  <si>
    <t>12.492 SOL</t>
  </si>
  <si>
    <t>10.037 SOL</t>
  </si>
  <si>
    <t>408.95%</t>
  </si>
  <si>
    <t>24.10.2024 01:41:36</t>
  </si>
  <si>
    <t xml:space="preserve">          7K            37K             5K</t>
  </si>
  <si>
    <t>46DfKYkvPKqosZY7MR2bK4pdBhzDxnNSZf6ggnHXpump</t>
  </si>
  <si>
    <t>TOM</t>
  </si>
  <si>
    <t>3.693 SOL</t>
  </si>
  <si>
    <t>177.47%</t>
  </si>
  <si>
    <t>23.10.2024 16:01:47</t>
  </si>
  <si>
    <t xml:space="preserve">          7K            18K             5K</t>
  </si>
  <si>
    <t>BAgk93ESgfqBScWNex7kUMuFWx9iNvLrjyxw1awDpump</t>
  </si>
  <si>
    <t>flux</t>
  </si>
  <si>
    <t>0.002640</t>
  </si>
  <si>
    <t>1.918 SOL</t>
  </si>
  <si>
    <t>0.916 SOL</t>
  </si>
  <si>
    <t>91.32%</t>
  </si>
  <si>
    <t>23.10.2024 15:59:34</t>
  </si>
  <si>
    <t xml:space="preserve">        109K           209K            17K</t>
  </si>
  <si>
    <t>3xhDkG9BgTBnwM5D3PACpJxwtmJ1Py9LzpvmkD67pump</t>
  </si>
  <si>
    <t>ADAMUS</t>
  </si>
  <si>
    <t>3.171 SOL</t>
  </si>
  <si>
    <t>1.781 SOL</t>
  </si>
  <si>
    <t>-1.394 SOL</t>
  </si>
  <si>
    <t>-43.91%</t>
  </si>
  <si>
    <t>23.10.2024 15:49:05</t>
  </si>
  <si>
    <t>GCw5JF4LVZpp7wu584DH7XiTrFEPqEVqvuZ3mgBcpump</t>
  </si>
  <si>
    <t>FLIP</t>
  </si>
  <si>
    <t>0.053010</t>
  </si>
  <si>
    <t>2.963 SOL</t>
  </si>
  <si>
    <t>1.863 SOL</t>
  </si>
  <si>
    <t>-1.153 SOL</t>
  </si>
  <si>
    <t>-38.24%</t>
  </si>
  <si>
    <t>23.10.2024 15:16:48</t>
  </si>
  <si>
    <t>75LPrjPFFHoBvAUiRC4HH1UC6urTzLDd93sM9cAipump</t>
  </si>
  <si>
    <t>CST</t>
  </si>
  <si>
    <t>2.582 SOL</t>
  </si>
  <si>
    <t>2.492 SOL</t>
  </si>
  <si>
    <t>-0.143 SOL</t>
  </si>
  <si>
    <t>-5.42%</t>
  </si>
  <si>
    <t>22.10.2024 17:37:07</t>
  </si>
  <si>
    <t>dgX3btUShLa3NxwCE5b7VJoxV4fuxyXzmXVojLZpump</t>
  </si>
  <si>
    <t>Test</t>
  </si>
  <si>
    <t>1.349 SOL</t>
  </si>
  <si>
    <t>-1.008 SOL</t>
  </si>
  <si>
    <t>-42.76%</t>
  </si>
  <si>
    <t>22.10.2024 17:35:53</t>
  </si>
  <si>
    <t>FJEvnM7b4tFS8yochq6hksvTAxWWspW8ao9JHK3pump</t>
  </si>
  <si>
    <t>REAL</t>
  </si>
  <si>
    <t>2.561 SOL</t>
  </si>
  <si>
    <t>-0.700 SOL</t>
  </si>
  <si>
    <t>-21.48%</t>
  </si>
  <si>
    <t>22.10.2024 17:27:18</t>
  </si>
  <si>
    <t>GumJXLrrnpzuBKYkVmw56f1fmVtoBFHH7YNgNc47pump</t>
  </si>
  <si>
    <t>Alpha</t>
  </si>
  <si>
    <t>2.827 SOL</t>
  </si>
  <si>
    <t>5.126 SOL</t>
  </si>
  <si>
    <t>2.294 SOL</t>
  </si>
  <si>
    <t>81.03%</t>
  </si>
  <si>
    <t>22.10.2024 17:01:45</t>
  </si>
  <si>
    <t>FvDxfTfHatmzX6N9QeLfkHoSRHrkuKsr892gAzd2pump</t>
  </si>
  <si>
    <t>GOW</t>
  </si>
  <si>
    <t>4.152 SOL</t>
  </si>
  <si>
    <t>2.776 SOL</t>
  </si>
  <si>
    <t>-1.380 SOL</t>
  </si>
  <si>
    <t>-33.21%</t>
  </si>
  <si>
    <t>22.10.2024 15:19:05</t>
  </si>
  <si>
    <t>J4gxsdjbSXAyeyYMDPnBg5L6UiMdx2eD4mKKmZfcpump</t>
  </si>
  <si>
    <t>ENIS</t>
  </si>
  <si>
    <t>0.001460</t>
  </si>
  <si>
    <t>-0.490 SOL</t>
  </si>
  <si>
    <t>22.10.2024 04:20:58</t>
  </si>
  <si>
    <t xml:space="preserve">         97K            49K             6K</t>
  </si>
  <si>
    <t>yy7YgSrLgteSWm2sTRFAxkRztJ3fUjAGrzn1tQU94wG</t>
  </si>
  <si>
    <t>BEAR</t>
  </si>
  <si>
    <t>5.069 SOL</t>
  </si>
  <si>
    <t>1.065 SOL</t>
  </si>
  <si>
    <t>26.60%</t>
  </si>
  <si>
    <t>22.10.2024 03:59:23</t>
  </si>
  <si>
    <t xml:space="preserve">          7K            11K             3K</t>
  </si>
  <si>
    <t>GS3jFKXex4PtJE6jMMMdbpdSc5eYsDy7s9XsLPFapump</t>
  </si>
  <si>
    <t>BOBA</t>
  </si>
  <si>
    <t>3.079 SOL</t>
  </si>
  <si>
    <t>2.077 SOL</t>
  </si>
  <si>
    <t>207.42%</t>
  </si>
  <si>
    <t>22.10.2024 03:45:04</t>
  </si>
  <si>
    <t xml:space="preserve">         95K           294K             4K</t>
  </si>
  <si>
    <t>EuoSVMZbNMfTLVE9rRWtZe7ksCEXgJNW84a2P4LCpump</t>
  </si>
  <si>
    <t>TOYOTA</t>
  </si>
  <si>
    <t>0.007310</t>
  </si>
  <si>
    <t>2.287 SOL</t>
  </si>
  <si>
    <t>2.839 SOL</t>
  </si>
  <si>
    <t>0.544 SOL</t>
  </si>
  <si>
    <t>23.71%</t>
  </si>
  <si>
    <t>21.10.2024 16:33:52</t>
  </si>
  <si>
    <t>r6KcppXziRaCxY4ykn8DnBwX8Ls32W9b2AGHiVmpump</t>
  </si>
  <si>
    <t>Suffer</t>
  </si>
  <si>
    <t>0.004480</t>
  </si>
  <si>
    <t>3.165 SOL</t>
  </si>
  <si>
    <t>4.844 SOL</t>
  </si>
  <si>
    <t>1.674 SOL</t>
  </si>
  <si>
    <t>52.84%</t>
  </si>
  <si>
    <t>21.10.2024 16:26:02</t>
  </si>
  <si>
    <t>5osg7Uy1NFGEQWs8v4D7RiCiuTsHUVNrk8pWct6upump</t>
  </si>
  <si>
    <t>T113ST</t>
  </si>
  <si>
    <t>1.760 SOL</t>
  </si>
  <si>
    <t>-25.41%</t>
  </si>
  <si>
    <t>21.10.2024 15:22:28</t>
  </si>
  <si>
    <t>F4QE68GriXbEZis179nSCTvNpi7nKpoVu65hrhknpump</t>
  </si>
  <si>
    <t>6.049 SOL</t>
  </si>
  <si>
    <t>3.147 SOL</t>
  </si>
  <si>
    <t>108.43%</t>
  </si>
  <si>
    <t>21.10.2024 14:45:26</t>
  </si>
  <si>
    <t xml:space="preserve">          9K            18K             5K</t>
  </si>
  <si>
    <t>BaJdPWwxuSe3eiUZJKybPDeu2ZheVHfciEJkF1uRpump</t>
  </si>
  <si>
    <t>GLDOG</t>
  </si>
  <si>
    <t>3.087 SOL</t>
  </si>
  <si>
    <t>11.088 SOL</t>
  </si>
  <si>
    <t>7.997 SOL</t>
  </si>
  <si>
    <t>258.68%</t>
  </si>
  <si>
    <t>21.10.2024 13:51:44</t>
  </si>
  <si>
    <t xml:space="preserve">          9K            32K             4K</t>
  </si>
  <si>
    <t>HWReY8brdF1Lo5hwg9mcya4HgyBWRVEF2emGFaUCpump</t>
  </si>
  <si>
    <t>CONSOLE</t>
  </si>
  <si>
    <t>4.65%</t>
  </si>
  <si>
    <t>21.10.2024 03:14:37</t>
  </si>
  <si>
    <t>6jDMhGx3tnhhwHWnpbKxB1xXTLDbRhbAAjKdzQPSpump</t>
  </si>
  <si>
    <t>DRIZ</t>
  </si>
  <si>
    <t>2.589 SOL</t>
  </si>
  <si>
    <t>5.599 SOL</t>
  </si>
  <si>
    <t>3.006 SOL</t>
  </si>
  <si>
    <t>115.94%</t>
  </si>
  <si>
    <t>21.10.2024 02:54:59</t>
  </si>
  <si>
    <t>4skbHJr8PEfEYeydAADG4Yj4SgpiqgsjNenTv4apadnJ</t>
  </si>
  <si>
    <t>Kundalini</t>
  </si>
  <si>
    <t>3.447 SOL</t>
  </si>
  <si>
    <t>3.055 SOL</t>
  </si>
  <si>
    <t>-0.396 SOL</t>
  </si>
  <si>
    <t>-11.48%</t>
  </si>
  <si>
    <t>21.10.2024 02:45:32</t>
  </si>
  <si>
    <t>H6jd9FoLMt97B2mqGNx42dPY8cCY67qheKccR3Kgpump</t>
  </si>
  <si>
    <t>0.001300</t>
  </si>
  <si>
    <t>-1.001 SOL</t>
  </si>
  <si>
    <t>83,892,946,539,098</t>
  </si>
  <si>
    <t>20.10.2024 15:07:20</t>
  </si>
  <si>
    <t xml:space="preserve">        N/A           N/A           571K</t>
  </si>
  <si>
    <t>FAZXbk6XKNHWPFmPH3etNk9qHnpFDQKdagFUz2qPTYJX</t>
  </si>
  <si>
    <t>95,777,569,376,216</t>
  </si>
  <si>
    <t>20.10.2024 13:49:07</t>
  </si>
  <si>
    <t xml:space="preserve">        N/A           N/A             2M</t>
  </si>
  <si>
    <t>KoxsyspL7ujYg1vbYj3FQc31yj4v7cAJAfYGkZ6cf1j</t>
  </si>
  <si>
    <t>#12</t>
  </si>
  <si>
    <t>1.985 SOL</t>
  </si>
  <si>
    <t>0.800 SOL</t>
  </si>
  <si>
    <t>-1.186 SOL</t>
  </si>
  <si>
    <t>-59.70%</t>
  </si>
  <si>
    <t>19.10.2024 23:32:01</t>
  </si>
  <si>
    <t>DRipaydsEUQ31tbTcNiDSeMgvdJnu35qwDN2j7Bypump</t>
  </si>
  <si>
    <t>70b</t>
  </si>
  <si>
    <t>2.035 SOL</t>
  </si>
  <si>
    <t>1.702 SOL</t>
  </si>
  <si>
    <t>-16.57%</t>
  </si>
  <si>
    <t>19.10.2024 18:16:57</t>
  </si>
  <si>
    <t>8Eo48VHMPPTcYdycPsHyZ6KBuS5aoJ89ruvom9Ghpump</t>
  </si>
  <si>
    <t>NI</t>
  </si>
  <si>
    <t>0.007010</t>
  </si>
  <si>
    <t>-0.041 SOL</t>
  </si>
  <si>
    <t>19.10.2024 18:07:46</t>
  </si>
  <si>
    <t>YGenE1pFHnmaUVpPr9FVLCPcpRRWtLXU98QwEhppump</t>
  </si>
  <si>
    <t>(subtle)</t>
  </si>
  <si>
    <t>2.226 SOL</t>
  </si>
  <si>
    <t>2.477 SOL</t>
  </si>
  <si>
    <t>0.247 SOL</t>
  </si>
  <si>
    <t>11.07%</t>
  </si>
  <si>
    <t>19.10.2024 17:59:59</t>
  </si>
  <si>
    <t>6AJS1Pa3cDkRvqLH2hhNQygPxD2VVPpePSjJEG36pump</t>
  </si>
  <si>
    <t>EECC</t>
  </si>
  <si>
    <t>2.227 SOL</t>
  </si>
  <si>
    <t>-0.061 SOL</t>
  </si>
  <si>
    <t>-2.72%</t>
  </si>
  <si>
    <t>19.10.2024 17:24:01</t>
  </si>
  <si>
    <t>E6ATAeNeMrVR8ZRq1RLxVD928qUb5ZEUm24iZmwzpump</t>
  </si>
  <si>
    <t>C/ACC</t>
  </si>
  <si>
    <t>2.556 SOL</t>
  </si>
  <si>
    <t>3.064 SOL</t>
  </si>
  <si>
    <t>19.68%</t>
  </si>
  <si>
    <t>19.10.2024 17:16:04</t>
  </si>
  <si>
    <t>9VTpyFs4KReQzJcAAfbcX4BQ3KPUH7BT9kd3vQdAvcuz</t>
  </si>
  <si>
    <t>PaLM</t>
  </si>
  <si>
    <t>1.214 SOL</t>
  </si>
  <si>
    <t>116.32%</t>
  </si>
  <si>
    <t>19.10.2024 16:53:41</t>
  </si>
  <si>
    <t xml:space="preserve">         14K            32K             5K</t>
  </si>
  <si>
    <t>CZLMX2FuqNbEHzdYuammbt1YDHhuzGewQMv53Ynzpump</t>
  </si>
  <si>
    <t>SEAL</t>
  </si>
  <si>
    <t>2.591 SOL</t>
  </si>
  <si>
    <t>1.698 SOL</t>
  </si>
  <si>
    <t>-0.897 SOL</t>
  </si>
  <si>
    <t>-34.56%</t>
  </si>
  <si>
    <t>19.10.2024 16:53:05</t>
  </si>
  <si>
    <t>DDiXHfQocPzNXzZeRvykGc5kDYNVcsxERfKziJ9Npump</t>
  </si>
  <si>
    <t>TCA</t>
  </si>
  <si>
    <t>0.002730</t>
  </si>
  <si>
    <t>17.64%</t>
  </si>
  <si>
    <t>19.10.2024 15:11:00</t>
  </si>
  <si>
    <t xml:space="preserve">        128K           151K             5K</t>
  </si>
  <si>
    <t>BGa9RyRutfEPBQkxQJaMsYXAqUwmbFtvmiiZVMkCpump</t>
  </si>
  <si>
    <t>R2D2</t>
  </si>
  <si>
    <t>6.130 SOL</t>
  </si>
  <si>
    <t>2.626 SOL</t>
  </si>
  <si>
    <t>74.97%</t>
  </si>
  <si>
    <t>19.10.2024 14:58:09</t>
  </si>
  <si>
    <t>FAuy3oJbJxGVQJ5m7e32HUToZ2MTdVQvW57mMrvcpump</t>
  </si>
  <si>
    <t>raszbi</t>
  </si>
  <si>
    <t>3.707 SOL</t>
  </si>
  <si>
    <t>2.559 SOL</t>
  </si>
  <si>
    <t>-31.06%</t>
  </si>
  <si>
    <t>19.10.2024 14:56:06</t>
  </si>
  <si>
    <t>43VQH7YgNTF5JBpB34XXFDoa2YgfzAWKsUGKkvGhURTR</t>
  </si>
  <si>
    <t>WHOLE</t>
  </si>
  <si>
    <t>2.408 SOL</t>
  </si>
  <si>
    <t>4.086 SOL</t>
  </si>
  <si>
    <t>69.36%</t>
  </si>
  <si>
    <t>19.10.2024 14:55:01</t>
  </si>
  <si>
    <t>8d9HKEQBA2B4Qp3rgyGssiRA2xn7h5yoWsWYFAEpByeU</t>
  </si>
  <si>
    <t>LYCU</t>
  </si>
  <si>
    <t>2.586 SOL</t>
  </si>
  <si>
    <t>4.158 SOL</t>
  </si>
  <si>
    <t>60.54%</t>
  </si>
  <si>
    <t>19.10.2024 14:47:15</t>
  </si>
  <si>
    <t>435G4ELi2WigrQ94X3A6HKBDCC9pZxWjew2pmfH884YR</t>
  </si>
  <si>
    <t>3.195 SOL</t>
  </si>
  <si>
    <t>0.963 SOL</t>
  </si>
  <si>
    <t>43.16%</t>
  </si>
  <si>
    <t>19.10.2024 14:27:03</t>
  </si>
  <si>
    <t>ETzbfRqFr9jedXffRbKFGD4napeVkvtyQz2ruf6Epump</t>
  </si>
  <si>
    <t>2.902 SOL</t>
  </si>
  <si>
    <t>9.383 SOL</t>
  </si>
  <si>
    <t>6.476 SOL</t>
  </si>
  <si>
    <t>222.79%</t>
  </si>
  <si>
    <t>19.10.2024 14:18:11</t>
  </si>
  <si>
    <t>BLtk68PkPr3TwR8WMsrL7hRKTBunUJinDRmGojPLpump</t>
  </si>
  <si>
    <t>MEMERGPT</t>
  </si>
  <si>
    <t>3.775 SOL</t>
  </si>
  <si>
    <t>3.749 SOL</t>
  </si>
  <si>
    <t>-0.81%</t>
  </si>
  <si>
    <t>19.10.2024 02:52:41</t>
  </si>
  <si>
    <t>DVbN3YhR9nfbuebN3hkokZh7st7uFv6rpcKazEobpump</t>
  </si>
  <si>
    <t>FALSE</t>
  </si>
  <si>
    <t>3.692 SOL</t>
  </si>
  <si>
    <t>2.772 SOL</t>
  </si>
  <si>
    <t>-0.925 SOL</t>
  </si>
  <si>
    <t>-25.02%</t>
  </si>
  <si>
    <t>19.10.2024 02:48:51</t>
  </si>
  <si>
    <t>Eo26JGv6CjECGe6Gt8Vqv76PknPg3v8TjbWV9D7Tpump</t>
  </si>
  <si>
    <t>0.003310</t>
  </si>
  <si>
    <t>5.444 SOL</t>
  </si>
  <si>
    <t>2.948 SOL</t>
  </si>
  <si>
    <t>118.17%</t>
  </si>
  <si>
    <t>18.10.2024 07:06:15</t>
  </si>
  <si>
    <t>C4Gad31EVQjzmVo5Cs78ierb7k32PcuXa1DNeoiALzbY</t>
  </si>
  <si>
    <t>118.50 SOL</t>
  </si>
  <si>
    <t>65.73 SOL</t>
  </si>
  <si>
    <t>8.86%</t>
  </si>
  <si>
    <t>35.12 SOL</t>
  </si>
  <si>
    <t>2.7 SOL</t>
  </si>
  <si>
    <t>9.1%</t>
  </si>
  <si>
    <t>45.5%</t>
  </si>
  <si>
    <t>27.3%</t>
  </si>
  <si>
    <t>54.6 SOL</t>
  </si>
  <si>
    <t>5.4 SOL</t>
  </si>
  <si>
    <t>8.5 SOL</t>
  </si>
  <si>
    <t>-0.9 SOL</t>
  </si>
  <si>
    <t>-1.9 SOL</t>
  </si>
  <si>
    <t>9</t>
  </si>
  <si>
    <t>191.5K</t>
  </si>
  <si>
    <t>0.362720</t>
  </si>
  <si>
    <t>36.000 SOL</t>
  </si>
  <si>
    <t>39.821 SOL</t>
  </si>
  <si>
    <t>9.51%</t>
  </si>
  <si>
    <t>30.10.2024 11:31:49</t>
  </si>
  <si>
    <t xml:space="preserve">          2M           783K           144K</t>
  </si>
  <si>
    <t>0.270960</t>
  </si>
  <si>
    <t>6.786 SOL</t>
  </si>
  <si>
    <t>5.478 SOL</t>
  </si>
  <si>
    <t>418.66%</t>
  </si>
  <si>
    <t>30.10.2024 08:44:07</t>
  </si>
  <si>
    <t xml:space="preserve">         46K           362K           245K</t>
  </si>
  <si>
    <t>GARBAGE</t>
  </si>
  <si>
    <t>0.734 SOL</t>
  </si>
  <si>
    <t>43.27%</t>
  </si>
  <si>
    <t>30.10.2024 07:07:00</t>
  </si>
  <si>
    <t xml:space="preserve">         88K           118K            59K</t>
  </si>
  <si>
    <t>4bj1v8h1AdRiLvpUBTzPk1pKDCB6eSTFyZ9G1c8g8ayE</t>
  </si>
  <si>
    <t>0.263 SOL</t>
  </si>
  <si>
    <t>-0.245 SOL</t>
  </si>
  <si>
    <t>-48.18%</t>
  </si>
  <si>
    <t>29.10.2024 15:29:48</t>
  </si>
  <si>
    <t xml:space="preserve">         63K            33K             4K</t>
  </si>
  <si>
    <t>0.184110</t>
  </si>
  <si>
    <t>13.800 SOL</t>
  </si>
  <si>
    <t>63.102 SOL</t>
  </si>
  <si>
    <t>49.118 SOL</t>
  </si>
  <si>
    <t>351.24%</t>
  </si>
  <si>
    <t>29.10.2024 06:37:02</t>
  </si>
  <si>
    <t xml:space="preserve">          2M             5M            62M</t>
  </si>
  <si>
    <t>0.118550</t>
  </si>
  <si>
    <t>9.829 SOL</t>
  </si>
  <si>
    <t>0.710 SOL</t>
  </si>
  <si>
    <t>7.79%</t>
  </si>
  <si>
    <t>28.10.2024 18:03:25</t>
  </si>
  <si>
    <t>53 min</t>
  </si>
  <si>
    <t xml:space="preserve">        324K           171K           708K</t>
  </si>
  <si>
    <t>CLOUD</t>
  </si>
  <si>
    <t>0.050030</t>
  </si>
  <si>
    <t>5.095 SOL</t>
  </si>
  <si>
    <t>2.045 SOL</t>
  </si>
  <si>
    <t>67.03%</t>
  </si>
  <si>
    <t>28.10.2024 16:21:51</t>
  </si>
  <si>
    <t xml:space="preserve">        297K           418K             4K</t>
  </si>
  <si>
    <t>4C5xVRgUnA9jB1LSqEfv5XpPHth7SQrSyMCfqZaMJncm</t>
  </si>
  <si>
    <t>BABEL-AI</t>
  </si>
  <si>
    <t>0.080040</t>
  </si>
  <si>
    <t>9.430 SOL</t>
  </si>
  <si>
    <t>3.350 SOL</t>
  </si>
  <si>
    <t>28.10.2024 15:50:41</t>
  </si>
  <si>
    <t xml:space="preserve">        517K           422K            79K</t>
  </si>
  <si>
    <t>4QeK5x94xw6PrqJE6jjsVhswXN8qvsgCeqVyfokgpump</t>
  </si>
  <si>
    <t>grokeye</t>
  </si>
  <si>
    <t>0.014010</t>
  </si>
  <si>
    <t>0.240 SOL</t>
  </si>
  <si>
    <t>-52.84%</t>
  </si>
  <si>
    <t>28.10.2024 14:13:23</t>
  </si>
  <si>
    <t xml:space="preserve">         26K            14K             5K</t>
  </si>
  <si>
    <t>DNToJp8mxGSvkn7xiFJASueMkQXng4CAXafFvGHARXDc</t>
  </si>
  <si>
    <t>-1.805 SOL</t>
  </si>
  <si>
    <t>-88.07%</t>
  </si>
  <si>
    <t>28.10.2024 14:09:35</t>
  </si>
  <si>
    <t xml:space="preserve">        121K            16K             4K</t>
  </si>
  <si>
    <t>Deleuze</t>
  </si>
  <si>
    <t>-0.024 SOL</t>
  </si>
  <si>
    <t>-6.62%</t>
  </si>
  <si>
    <t>28.10.2024 13:09:27</t>
  </si>
  <si>
    <t xml:space="preserve">         81K            81K             7K</t>
  </si>
  <si>
    <t>91xG2naB6sSnfL5xRuqtXyfk3nKA1mj4xvzMcbfEpump</t>
  </si>
  <si>
    <t>0192</t>
  </si>
  <si>
    <t>0.030020</t>
  </si>
  <si>
    <t>0.612 SOL</t>
  </si>
  <si>
    <t>12.54%</t>
  </si>
  <si>
    <t>28.10.2024 08:43:30</t>
  </si>
  <si>
    <t xml:space="preserve">         42K            16K             4K</t>
  </si>
  <si>
    <t>cZAdM85JveqWcmFmzEEYLFDjkkdQoS7PVVskcefpump</t>
  </si>
  <si>
    <t>EYE</t>
  </si>
  <si>
    <t>0.110060</t>
  </si>
  <si>
    <t>9.200 SOL</t>
  </si>
  <si>
    <t>2.694 SOL</t>
  </si>
  <si>
    <t>28.93%</t>
  </si>
  <si>
    <t>28.10.2024 05:48:43</t>
  </si>
  <si>
    <t xml:space="preserve">          8M             4M           940K</t>
  </si>
  <si>
    <t>6MAWnfagDCzqmHQh88FVt9F1zzLqXpwGJpaL7zUTpump</t>
  </si>
  <si>
    <t>degenai</t>
  </si>
  <si>
    <t>3.268 SOL</t>
  </si>
  <si>
    <t>8.21%</t>
  </si>
  <si>
    <t>27.10.2024 20:16:21</t>
  </si>
  <si>
    <t xml:space="preserve">         19M            21M             7M</t>
  </si>
  <si>
    <t>Gu3LDkn7Vx3bmCzLafYNKcDxv2mH7YN44NJZFXnypump</t>
  </si>
  <si>
    <t>Sera</t>
  </si>
  <si>
    <t>0.060020</t>
  </si>
  <si>
    <t>3.502 SOL</t>
  </si>
  <si>
    <t>0.442 SOL</t>
  </si>
  <si>
    <t>27.10.2024 19:39:22</t>
  </si>
  <si>
    <t xml:space="preserve">        197K           132K             6K</t>
  </si>
  <si>
    <t>F93dc9CPunC1R7GX7eHWQ3zKEgixoGruaxLVyV83pump</t>
  </si>
  <si>
    <t>KAICHI</t>
  </si>
  <si>
    <t>0.385 SOL</t>
  </si>
  <si>
    <t>-26.01%</t>
  </si>
  <si>
    <t>27.10.2024 13:59:18</t>
  </si>
  <si>
    <t xml:space="preserve">        186K           144K             6K</t>
  </si>
  <si>
    <t>86fFGwkuMBvH4C8Dbtaw3rgqPUqSY7GeWySTN3D9pump</t>
  </si>
  <si>
    <t>-0.147 SOL</t>
  </si>
  <si>
    <t>-14.38%</t>
  </si>
  <si>
    <t>27.10.2024 12:19:58</t>
  </si>
  <si>
    <t xml:space="preserve">        121K           105K             5K</t>
  </si>
  <si>
    <t>7zarEzk4rXBVukPoU8wtNYbHnqaRXEkj1cijb8s4pump</t>
  </si>
  <si>
    <t>0.097430</t>
  </si>
  <si>
    <t>3.573 SOL</t>
  </si>
  <si>
    <t>0.476 SOL</t>
  </si>
  <si>
    <t>15.36%</t>
  </si>
  <si>
    <t>27.10.2024 11:52:00</t>
  </si>
  <si>
    <t xml:space="preserve">        607K           178K            86K</t>
  </si>
  <si>
    <t>0.042030</t>
  </si>
  <si>
    <t>3.768 SOL</t>
  </si>
  <si>
    <t>-0.274 SOL</t>
  </si>
  <si>
    <t>-6.78%</t>
  </si>
  <si>
    <t>27.10.2024 11:21:17</t>
  </si>
  <si>
    <t xml:space="preserve">          1M             1M            32K</t>
  </si>
  <si>
    <t>YES</t>
  </si>
  <si>
    <t>1.998 SOL</t>
  </si>
  <si>
    <t>2.159 SOL</t>
  </si>
  <si>
    <t>6.47%</t>
  </si>
  <si>
    <t>27.10.2024 11:04:00</t>
  </si>
  <si>
    <t xml:space="preserve">        616K           457K           314K</t>
  </si>
  <si>
    <t>32h846XXTSWGUaaKHMC5b2e39n1nwJD6UtDBppX5p4E9</t>
  </si>
  <si>
    <t>MosesPepe</t>
  </si>
  <si>
    <t>0.627 SOL</t>
  </si>
  <si>
    <t>18.39%</t>
  </si>
  <si>
    <t>27.10.2024 09:12:30</t>
  </si>
  <si>
    <t>2jrLcdWgkfkGpYPMUs94b9ER8nYBbWECwiF2mBjmpump</t>
  </si>
  <si>
    <t>Fountain</t>
  </si>
  <si>
    <t>-7.09%</t>
  </si>
  <si>
    <t>27.10.2024 08:49:58</t>
  </si>
  <si>
    <t xml:space="preserve">        134K           128K             6K</t>
  </si>
  <si>
    <t>86NLM27huRHcSRDZEs4iPUNhUTAxoXHQqHSWRcDbpump</t>
  </si>
  <si>
    <t>EwmkKJ3erM3pckey5gF37Yu7ySA6K6FwNx5NzUBiWnzU</t>
  </si>
  <si>
    <t>3.51 SOL</t>
  </si>
  <si>
    <t>50%</t>
  </si>
  <si>
    <t>1.55 SOL</t>
  </si>
  <si>
    <t>1 (17%)</t>
  </si>
  <si>
    <t>48.54%</t>
  </si>
  <si>
    <t>33.3%</t>
  </si>
  <si>
    <t>50.0%</t>
  </si>
  <si>
    <t>0.3 SOL</t>
  </si>
  <si>
    <t>-0.0 SOL</t>
  </si>
  <si>
    <t>56.5K</t>
  </si>
  <si>
    <t>SCREAM</t>
  </si>
  <si>
    <t>0.000660</t>
  </si>
  <si>
    <t>0.305 SOL</t>
  </si>
  <si>
    <t>-1.68%</t>
  </si>
  <si>
    <t>30.10.2024 06:14:57</t>
  </si>
  <si>
    <t xml:space="preserve">        128K           128K            13K</t>
  </si>
  <si>
    <t>3UhxA8jBKYEhJQxG9VzNYFFGkZ5brZtWMuTvbb4rpump</t>
  </si>
  <si>
    <t>0.001490</t>
  </si>
  <si>
    <t>0.408 SOL</t>
  </si>
  <si>
    <t>1.272 SOL</t>
  </si>
  <si>
    <t>0.863 SOL</t>
  </si>
  <si>
    <t>210.58%</t>
  </si>
  <si>
    <t>30.10.2024 00:48:59</t>
  </si>
  <si>
    <t xml:space="preserve">         51K            99K             4K</t>
  </si>
  <si>
    <t>SKY</t>
  </si>
  <si>
    <t>0.000710</t>
  </si>
  <si>
    <t>-4.41%</t>
  </si>
  <si>
    <t>29.10.2024 05:33:36</t>
  </si>
  <si>
    <t xml:space="preserve">         46K            44K             3K</t>
  </si>
  <si>
    <t>D79P9ULAfjFg8WxUvroDWpe5sXz4WsiFRRQcUVtwpump</t>
  </si>
  <si>
    <t>POPFISH</t>
  </si>
  <si>
    <t>0.000870</t>
  </si>
  <si>
    <t>0.357 SOL</t>
  </si>
  <si>
    <t>0.772 SOL</t>
  </si>
  <si>
    <t>0.414 SOL</t>
  </si>
  <si>
    <t>115.69%</t>
  </si>
  <si>
    <t>29.10.2024 01:11:27</t>
  </si>
  <si>
    <t xml:space="preserve">         62K           139K             9K</t>
  </si>
  <si>
    <t>AminyTTRX9HEMBNFdB7afYPUjZQJ4tpAGvv1VRXzpump</t>
  </si>
  <si>
    <t>0.319 SOL</t>
  </si>
  <si>
    <t>-3.13%</t>
  </si>
  <si>
    <t>29.10.2024 00:37:14</t>
  </si>
  <si>
    <t xml:space="preserve">         21K            19K             5K</t>
  </si>
  <si>
    <t>76NV425Uwe7Phw9pBXkAv65Mf4VVp87UHY8bGQ7qpump</t>
  </si>
  <si>
    <t>ASTRO</t>
  </si>
  <si>
    <t>0.000920</t>
  </si>
  <si>
    <t>0.307 SOL</t>
  </si>
  <si>
    <t>98.76%</t>
  </si>
  <si>
    <t>28.10.2024 13:10:21</t>
  </si>
  <si>
    <t xml:space="preserve">        234K           449K            11K</t>
  </si>
  <si>
    <t>J2XzFTMW4Pk72ktR3EScp6tjK27vE7oXuEzgykLdpump</t>
  </si>
  <si>
    <t>H9AcEk9znmS8ZHejkZyR8CZre3ca74PdAF34yNYPVFuy</t>
  </si>
  <si>
    <t>4.89 SOL</t>
  </si>
  <si>
    <t>-26%</t>
  </si>
  <si>
    <t>-75.83 SOL</t>
  </si>
  <si>
    <t>23 days</t>
  </si>
  <si>
    <t>9 h</t>
  </si>
  <si>
    <t>37.83 SOL</t>
  </si>
  <si>
    <t>122</t>
  </si>
  <si>
    <t>3.5%</t>
  </si>
  <si>
    <t>7.3%</t>
  </si>
  <si>
    <t>2.1%</t>
  </si>
  <si>
    <t>3.1%</t>
  </si>
  <si>
    <t>5.2%</t>
  </si>
  <si>
    <t>78.9%</t>
  </si>
  <si>
    <t>81.4 SOL</t>
  </si>
  <si>
    <t>58.0 SOL</t>
  </si>
  <si>
    <t>4.3 SOL</t>
  </si>
  <si>
    <t>-3.2 SOL</t>
  </si>
  <si>
    <t>-218.0 SOL</t>
  </si>
  <si>
    <t>92</t>
  </si>
  <si>
    <t>135.0K</t>
  </si>
  <si>
    <t>duck</t>
  </si>
  <si>
    <t>0.980 SOL</t>
  </si>
  <si>
    <t>-0.907 SOL</t>
  </si>
  <si>
    <t>-92.57%</t>
  </si>
  <si>
    <t>30.10.2024 21:09:08</t>
  </si>
  <si>
    <t xml:space="preserve">         76K            76K             6K</t>
  </si>
  <si>
    <t>DLhsuLGQMpfq4mZ6R5ng1Y8dmgZjTZLLUErwkKChdjBw</t>
  </si>
  <si>
    <t>POPGHOST</t>
  </si>
  <si>
    <t>-92.51%</t>
  </si>
  <si>
    <t>30.10.2024 20:48:11</t>
  </si>
  <si>
    <t>F5SJSDyYbCdHPrnzGnQwzTeUkVMBgV4mp1WnifJ4pump</t>
  </si>
  <si>
    <t>BBC</t>
  </si>
  <si>
    <t>0.606 SOL</t>
  </si>
  <si>
    <t>-0.374 SOL</t>
  </si>
  <si>
    <t>-38.13%</t>
  </si>
  <si>
    <t>30.10.2024 20:27:19</t>
  </si>
  <si>
    <t xml:space="preserve">        183K           183K           245K</t>
  </si>
  <si>
    <t>2HQNZnHC5uz9duy3YMWAp75KXQ3nSCymeJR7Yh3Mpump</t>
  </si>
  <si>
    <t>POPBAT</t>
  </si>
  <si>
    <t>-0.980 SOL</t>
  </si>
  <si>
    <t>1,956,234</t>
  </si>
  <si>
    <t>30.10.2024 20:15:33</t>
  </si>
  <si>
    <t>J12B5NaWzCn57tr2UKdvVnYbiAN5iH6zxsxD2GnHmKcj</t>
  </si>
  <si>
    <t>HENRY</t>
  </si>
  <si>
    <t>3,646,089</t>
  </si>
  <si>
    <t>30.10.2024 20:15:19</t>
  </si>
  <si>
    <t xml:space="preserve">         48K            48K            69K</t>
  </si>
  <si>
    <t>4dLCbmG6LRrW4DUgDnpuctayzzQVp3urQqBnLQSApump</t>
  </si>
  <si>
    <t>GOP</t>
  </si>
  <si>
    <t>-0.934 SOL</t>
  </si>
  <si>
    <t>-95.28%</t>
  </si>
  <si>
    <t>30.10.2024 19:34:11</t>
  </si>
  <si>
    <t xml:space="preserve">         93K            93K             5K</t>
  </si>
  <si>
    <t>m36WDe5v164ZSGz9s2bfBikiWGXzoT9ej8r9xrZpump</t>
  </si>
  <si>
    <t>1,093,839</t>
  </si>
  <si>
    <t>30.10.2024 19:24:16</t>
  </si>
  <si>
    <t xml:space="preserve">        158K           158K            15K</t>
  </si>
  <si>
    <t>-0.860 SOL</t>
  </si>
  <si>
    <t>-87.75%</t>
  </si>
  <si>
    <t>30.10.2024 19:04:12</t>
  </si>
  <si>
    <t xml:space="preserve">        412K           412K            52K</t>
  </si>
  <si>
    <t>EARL</t>
  </si>
  <si>
    <t>296,688</t>
  </si>
  <si>
    <t>30.10.2024 19:03:17</t>
  </si>
  <si>
    <t xml:space="preserve">        580K           580K           777K</t>
  </si>
  <si>
    <t>BjjvKX5k7gQoGRmvQAA5WMr7EkQ2cirGTSGxAznDpump</t>
  </si>
  <si>
    <t>-0.814 SOL</t>
  </si>
  <si>
    <t>30.10.2024 17:06:10</t>
  </si>
  <si>
    <t xml:space="preserve">        113K           113K             9K</t>
  </si>
  <si>
    <t>BIBIYAN</t>
  </si>
  <si>
    <t>2,728,850</t>
  </si>
  <si>
    <t>30.10.2024 15:51:22</t>
  </si>
  <si>
    <t xml:space="preserve">         63K            63K            16K</t>
  </si>
  <si>
    <t>3sgPgFo9RfvMufVKXpM7KDNiQnF4XsNN8JzW6Efypump</t>
  </si>
  <si>
    <t>Done</t>
  </si>
  <si>
    <t>-0.936 SOL</t>
  </si>
  <si>
    <t>-95.55%</t>
  </si>
  <si>
    <t>30.10.2024 15:47:12</t>
  </si>
  <si>
    <t xml:space="preserve">        178K           178K             8K</t>
  </si>
  <si>
    <t>S3K1pSwyavRze7uQksNHp4N9w9BqncvFq8SncQ5pump</t>
  </si>
  <si>
    <t>bbydev</t>
  </si>
  <si>
    <t>-42.57%</t>
  </si>
  <si>
    <t>30.10.2024 15:15:29</t>
  </si>
  <si>
    <t xml:space="preserve">        188K           188K           602K</t>
  </si>
  <si>
    <t>8YYrkf1hvL5aCacfLXDvhVfjWZ7ce5NdVt4iLPxYsmdh</t>
  </si>
  <si>
    <t>-95.49%</t>
  </si>
  <si>
    <t>30.10.2024 15:14:11</t>
  </si>
  <si>
    <t xml:space="preserve">        106K           106K             5K</t>
  </si>
  <si>
    <t>E83nfay8WhS9bKAQEdBbCi73XvSwmLeWGXUs5qHupump</t>
  </si>
  <si>
    <t>941,002</t>
  </si>
  <si>
    <t>30.10.2024 14:06:17</t>
  </si>
  <si>
    <t xml:space="preserve">        183K           183K            47K</t>
  </si>
  <si>
    <t>Amen</t>
  </si>
  <si>
    <t>11,646,746</t>
  </si>
  <si>
    <t>30.10.2024 13:42:16</t>
  </si>
  <si>
    <t>BhPUUAJKbEx4VaikuiPTvZcokZYnBKGoKuzTJrAJpump</t>
  </si>
  <si>
    <t>-0.933 SOL</t>
  </si>
  <si>
    <t>-95.15%</t>
  </si>
  <si>
    <t>30.10.2024 11:32:10</t>
  </si>
  <si>
    <t xml:space="preserve">        125K           125K             6K</t>
  </si>
  <si>
    <t>MORT</t>
  </si>
  <si>
    <t>1,303,666</t>
  </si>
  <si>
    <t>30.10.2024 09:57:21</t>
  </si>
  <si>
    <t xml:space="preserve">        128K           128K            41K</t>
  </si>
  <si>
    <t>BDF9vxbCbsRZS2DBCSgBQvb45uA2wjKmTHNXcfK7pump</t>
  </si>
  <si>
    <t>772,600</t>
  </si>
  <si>
    <t>30.10.2024 08:53:57</t>
  </si>
  <si>
    <t xml:space="preserve">        223K           223K            59K</t>
  </si>
  <si>
    <t>-94.37%</t>
  </si>
  <si>
    <t>30.10.2024 08:24:10</t>
  </si>
  <si>
    <t xml:space="preserve">        572K           572K            12K</t>
  </si>
  <si>
    <t>4,221,201</t>
  </si>
  <si>
    <t>30.10.2024 08:15:27</t>
  </si>
  <si>
    <t>3,332,238</t>
  </si>
  <si>
    <t>30.10.2024 08:03:18</t>
  </si>
  <si>
    <t xml:space="preserve">         51K            51K            11K</t>
  </si>
  <si>
    <t>7595tbPqDXijgZ3q2raR9aS311agcokwAJ21aczVpump</t>
  </si>
  <si>
    <t>-0.927 SOL</t>
  </si>
  <si>
    <t>-94.53%</t>
  </si>
  <si>
    <t>30.10.2024 07:48:10</t>
  </si>
  <si>
    <t xml:space="preserve">        197K           197K             6K</t>
  </si>
  <si>
    <t>AvtvsN1637RbMeRvZ2oagd5R5GVNfhj6jQubHcxjpump</t>
  </si>
  <si>
    <t>1,498,121</t>
  </si>
  <si>
    <t>30.10.2024 04:45:22</t>
  </si>
  <si>
    <t xml:space="preserve">        114K           114K            40K</t>
  </si>
  <si>
    <t>tee_hee_he</t>
  </si>
  <si>
    <t>0.783 SOL</t>
  </si>
  <si>
    <t>-20.06%</t>
  </si>
  <si>
    <t>30.10.2024 03:19:10</t>
  </si>
  <si>
    <t xml:space="preserve">         76K            76K            15K</t>
  </si>
  <si>
    <t>HAhiXodNYcpQU2EvvxdUpkP3EdbDpZiP4G3jrGeFmKhZ</t>
  </si>
  <si>
    <t>Jarvis</t>
  </si>
  <si>
    <t>1,183,241</t>
  </si>
  <si>
    <t>30.10.2024 03:03:14</t>
  </si>
  <si>
    <t xml:space="preserve">        144K           144K            17K</t>
  </si>
  <si>
    <t>CmpuL8k9KY3NrpfDRoJrVmuwd1zRMFRUxX55avyGpump</t>
  </si>
  <si>
    <t>CHUNK</t>
  </si>
  <si>
    <t>-0.917 SOL</t>
  </si>
  <si>
    <t>-93.56%</t>
  </si>
  <si>
    <t>30.10.2024 03:03:11</t>
  </si>
  <si>
    <t xml:space="preserve">        283K           283K            39K</t>
  </si>
  <si>
    <t>FBt8wpmyvhoTRmwcXUpmGh351Wt8fQMtptXsMWmWpump</t>
  </si>
  <si>
    <t>NUTBUTT</t>
  </si>
  <si>
    <t>960,390</t>
  </si>
  <si>
    <t>30.10.2024 02:21:17</t>
  </si>
  <si>
    <t xml:space="preserve">        179K           179K           606K</t>
  </si>
  <si>
    <t>CFBYjzT357obRmihT9F5uyCY3kqgksRvXKM3RJN1pump</t>
  </si>
  <si>
    <t>-0.893 SOL</t>
  </si>
  <si>
    <t>-91.14%</t>
  </si>
  <si>
    <t>30.10.2024 01:27:08</t>
  </si>
  <si>
    <t xml:space="preserve">        128K            12K             5K</t>
  </si>
  <si>
    <t>9tfZ7q7AePzusVRPTLejhtAT4fJos6cUtfr8uvg8pump</t>
  </si>
  <si>
    <t>Me</t>
  </si>
  <si>
    <t>1,563,233</t>
  </si>
  <si>
    <t>30.10.2024 01:18:26</t>
  </si>
  <si>
    <t xml:space="preserve">        111K           111K           155K</t>
  </si>
  <si>
    <t>4Y47LEufvcSSSbTFojcvW4Y6x2KZXrqG2urNBSvHpump</t>
  </si>
  <si>
    <t>1,032,820</t>
  </si>
  <si>
    <t>30.10.2024 01:18:15</t>
  </si>
  <si>
    <t xml:space="preserve">        167K           167K            14K</t>
  </si>
  <si>
    <t>BUIO</t>
  </si>
  <si>
    <t>4.352 SOL</t>
  </si>
  <si>
    <t>3.371 SOL</t>
  </si>
  <si>
    <t>343.98%</t>
  </si>
  <si>
    <t>30.10.2024 00:56:45</t>
  </si>
  <si>
    <t xml:space="preserve">        297K           996K             1M</t>
  </si>
  <si>
    <t>CaPS8EpC78RsnDdjNfZGd7Wjdg9156ijvC1aFcA1pump</t>
  </si>
  <si>
    <t>SENDISM</t>
  </si>
  <si>
    <t>785,559</t>
  </si>
  <si>
    <t>29.10.2024 22:57:27</t>
  </si>
  <si>
    <t xml:space="preserve">        218K           218K            48K</t>
  </si>
  <si>
    <t>AcR5GTb5YFrCXCbPBZBNwyJhcN1VjUokPwhL87wupump</t>
  </si>
  <si>
    <t>CT</t>
  </si>
  <si>
    <t>-91.55%</t>
  </si>
  <si>
    <t>29.10.2024 22:05:08</t>
  </si>
  <si>
    <t xml:space="preserve">         55K             5K             4K</t>
  </si>
  <si>
    <t>4EAbchR1spQ3UGq4AD2z6uScmQFenWYuGB15wPAapump</t>
  </si>
  <si>
    <t>FEET</t>
  </si>
  <si>
    <t>4,786,775</t>
  </si>
  <si>
    <t>29.10.2024 21:12:20</t>
  </si>
  <si>
    <t>EDDF6iM6Mgg4MntKTpkKQBBnZ8Up3ZtTxR6ijKocpump</t>
  </si>
  <si>
    <t>NetCoin</t>
  </si>
  <si>
    <t>1,878,878</t>
  </si>
  <si>
    <t>29.10.2024 21:03:15</t>
  </si>
  <si>
    <t xml:space="preserve">         82K            82K            62K</t>
  </si>
  <si>
    <t>uQpp5Beupw8xBev8WSxgyeUdgPT6hDBCEHjMjWspump</t>
  </si>
  <si>
    <t>BREAD</t>
  </si>
  <si>
    <t>1,588,576</t>
  </si>
  <si>
    <t>29.10.2024 20:09:15</t>
  </si>
  <si>
    <t>3R49ZACNKMPdzwtRb5eXfqNRmcHp9R4NppNhKtRhpump</t>
  </si>
  <si>
    <t>Gluon</t>
  </si>
  <si>
    <t>2,469,075</t>
  </si>
  <si>
    <t>29.10.2024 20:00:22</t>
  </si>
  <si>
    <t xml:space="preserve">         70K            70K             4K</t>
  </si>
  <si>
    <t>FJq2ZhJJMCZmdqQdkbBRBc48bmuTPLHwyQjamQCSpump</t>
  </si>
  <si>
    <t>😱</t>
  </si>
  <si>
    <t>0.006010</t>
  </si>
  <si>
    <t>-0.531 SOL</t>
  </si>
  <si>
    <t>-53.89%</t>
  </si>
  <si>
    <t>29.10.2024 18:43:59</t>
  </si>
  <si>
    <t xml:space="preserve">         60K            60K            31K</t>
  </si>
  <si>
    <t>GoQdiew2nNFjAVkuUZwz5sSZmpz3PY8b2n1iZbTJpump</t>
  </si>
  <si>
    <t>FUBB</t>
  </si>
  <si>
    <t>0.006410</t>
  </si>
  <si>
    <t>1.256 SOL</t>
  </si>
  <si>
    <t>0.270 SOL</t>
  </si>
  <si>
    <t>27.35%</t>
  </si>
  <si>
    <t>29.10.2024 18:43:29</t>
  </si>
  <si>
    <t xml:space="preserve">        439K           439K           402K</t>
  </si>
  <si>
    <t>5LgNLDTvjV6nKQHBEZ783VDoYN2PqGNAKDWPg8wCpump</t>
  </si>
  <si>
    <t>0.021430</t>
  </si>
  <si>
    <t>3.729 SOL</t>
  </si>
  <si>
    <t>372.33%</t>
  </si>
  <si>
    <t>29.10.2024 18:43:14</t>
  </si>
  <si>
    <t xml:space="preserve">        175K             1M           295K</t>
  </si>
  <si>
    <t xml:space="preserve">Fartcoin </t>
  </si>
  <si>
    <t>0.001020</t>
  </si>
  <si>
    <t>1.854 SOL</t>
  </si>
  <si>
    <t>0.853 SOL</t>
  </si>
  <si>
    <t>85.26%</t>
  </si>
  <si>
    <t>29.10.2024 18:43:04</t>
  </si>
  <si>
    <t xml:space="preserve">         10M            10M            24M</t>
  </si>
  <si>
    <t>9BB6NFEcjBCtnNLFko2FqVQBq8HHM13kCyYcdQbgpump</t>
  </si>
  <si>
    <t>Maxwell</t>
  </si>
  <si>
    <t>0.011020</t>
  </si>
  <si>
    <t>2.976 SOL</t>
  </si>
  <si>
    <t>194.33%</t>
  </si>
  <si>
    <t>29.10.2024 18:42:52</t>
  </si>
  <si>
    <t xml:space="preserve">        195K           195K           318K</t>
  </si>
  <si>
    <t>H84qihes12nVQarr8rzmw87hDXUbHtFKRm5joBcbpump</t>
  </si>
  <si>
    <t>7.843 SOL</t>
  </si>
  <si>
    <t>6.842 SOL</t>
  </si>
  <si>
    <t>683.15%</t>
  </si>
  <si>
    <t>29.10.2024 18:42:40</t>
  </si>
  <si>
    <t xml:space="preserve">         30K           222K            60K</t>
  </si>
  <si>
    <t xml:space="preserve">PEPEAI </t>
  </si>
  <si>
    <t>-0.940 SOL</t>
  </si>
  <si>
    <t>-95.88%</t>
  </si>
  <si>
    <t>28.10.2024 21:30:25</t>
  </si>
  <si>
    <t xml:space="preserve">         28K            28K             1K</t>
  </si>
  <si>
    <t>4nbKusKAdSkHHLaMwbZ6Lf2z7uLDgfM655mHfmAc1Bhd</t>
  </si>
  <si>
    <t>BABYGOAT</t>
  </si>
  <si>
    <t>11.756 SOL</t>
  </si>
  <si>
    <t>10.776 SOL</t>
  </si>
  <si>
    <t>1099.48%</t>
  </si>
  <si>
    <t>28.10.2024 15:25:11</t>
  </si>
  <si>
    <t xml:space="preserve">        245K           245K           250K</t>
  </si>
  <si>
    <t>F4aLcMxQy6CPcXAuER3J5QgB89n4fqBMs2bcrqQBpump</t>
  </si>
  <si>
    <t>-0.880 SOL</t>
  </si>
  <si>
    <t>-89.82%</t>
  </si>
  <si>
    <t>28.10.2024 10:03:12</t>
  </si>
  <si>
    <t xml:space="preserve">        308K           308K            14K</t>
  </si>
  <si>
    <t>-0.812 SOL</t>
  </si>
  <si>
    <t>-82.85%</t>
  </si>
  <si>
    <t>28.10.2024 05:27:10</t>
  </si>
  <si>
    <t xml:space="preserve">        850K           850K            32K</t>
  </si>
  <si>
    <t>MP</t>
  </si>
  <si>
    <t>-93.16%</t>
  </si>
  <si>
    <t>27.10.2024 23:45:16</t>
  </si>
  <si>
    <t>19 hours</t>
  </si>
  <si>
    <t xml:space="preserve">        186K           186K             8K</t>
  </si>
  <si>
    <t>B6X51M56VjmmTZ4sZ6tdPEWefSuqLp1GYSRrCzYpump</t>
  </si>
  <si>
    <t>Foomers</t>
  </si>
  <si>
    <t>-0.931 SOL</t>
  </si>
  <si>
    <t>-95.02%</t>
  </si>
  <si>
    <t>27.10.2024 12:17:09</t>
  </si>
  <si>
    <t xml:space="preserve">        137K           137K             6K</t>
  </si>
  <si>
    <t>996Bg4KQAZqoyhQ5UYZdmJ2TwSJnPtqyaTQ9C1Aipump</t>
  </si>
  <si>
    <t>ruby</t>
  </si>
  <si>
    <t>0.003510</t>
  </si>
  <si>
    <t>1.381 SOL</t>
  </si>
  <si>
    <t>0.397 SOL</t>
  </si>
  <si>
    <t>40.40%</t>
  </si>
  <si>
    <t>27.10.2024 02:42:53</t>
  </si>
  <si>
    <t xml:space="preserve">        223K           223K            58K</t>
  </si>
  <si>
    <t>ABHQGzXNoRbJ1sjUsCJ2TmTAo1uMx4EUpV1qYiSVpump</t>
  </si>
  <si>
    <t>things</t>
  </si>
  <si>
    <t>-0.911 SOL</t>
  </si>
  <si>
    <t>-92.93%</t>
  </si>
  <si>
    <t>27.10.2024 02:25:09</t>
  </si>
  <si>
    <t xml:space="preserve">        236K           236K             7K</t>
  </si>
  <si>
    <t>3iGVWssEDTW6D2YEQaMfgkvfq6AeWXEyvUVdyevgpump</t>
  </si>
  <si>
    <t>nice</t>
  </si>
  <si>
    <t>-0.900 SOL</t>
  </si>
  <si>
    <t>-91.86%</t>
  </si>
  <si>
    <t>26.10.2024 21:39:09</t>
  </si>
  <si>
    <t xml:space="preserve">         97K            97K            15K</t>
  </si>
  <si>
    <t>9YDSKLv6vAaXhKECNVwjiFrTe3KsFPRqXyd3D2Qdpump</t>
  </si>
  <si>
    <t>hubert</t>
  </si>
  <si>
    <t>-0.792 SOL</t>
  </si>
  <si>
    <t>-80.85%</t>
  </si>
  <si>
    <t>26.10.2024 19:03:11</t>
  </si>
  <si>
    <t xml:space="preserve">        113K           113K             8K</t>
  </si>
  <si>
    <t>GhnSqjk15XH7m1inUgK9Lpw4CpyHAvghLniCYbikpump</t>
  </si>
  <si>
    <t>3,115,711</t>
  </si>
  <si>
    <t>26.10.2024 17:15:20</t>
  </si>
  <si>
    <t xml:space="preserve">         55K            55K             6K</t>
  </si>
  <si>
    <t>ANANAB</t>
  </si>
  <si>
    <t>1,227,720</t>
  </si>
  <si>
    <t>26.10.2024 15:24:16</t>
  </si>
  <si>
    <t xml:space="preserve">        141K           141K             9K</t>
  </si>
  <si>
    <t>HaqNyHMwCP1YGCYgjY7kJNVd6gv4mz1Y75A4xKVUpump</t>
  </si>
  <si>
    <t>LAMB</t>
  </si>
  <si>
    <t>2,536,710</t>
  </si>
  <si>
    <t>26.10.2024 14:45:25</t>
  </si>
  <si>
    <t xml:space="preserve">         63K            63K             6K</t>
  </si>
  <si>
    <t>AcCNe3rA2ugXTdGCAMNyEYZwyBdf1raGrmHoscQZpump</t>
  </si>
  <si>
    <t>vvaifu</t>
  </si>
  <si>
    <t>2.929 SOL</t>
  </si>
  <si>
    <t>1.928 SOL</t>
  </si>
  <si>
    <t>192.72%</t>
  </si>
  <si>
    <t>26.10.2024 12:06:13</t>
  </si>
  <si>
    <t xml:space="preserve">        702K           702K           420K</t>
  </si>
  <si>
    <t>FQ1tyso61AH1tzodyJfSwmzsD3GToybbRNoZxUBz21p8</t>
  </si>
  <si>
    <t>Jonesy</t>
  </si>
  <si>
    <t>2,591,354</t>
  </si>
  <si>
    <t>26.10.2024 02:24:15</t>
  </si>
  <si>
    <t>63q7zCmAVuAE5qgQ7bRAwjgTufgL3MoDC5QHvhJrpump</t>
  </si>
  <si>
    <t>-0.821 SOL</t>
  </si>
  <si>
    <t>-83.76%</t>
  </si>
  <si>
    <t>26.10.2024 01:20:14</t>
  </si>
  <si>
    <t xml:space="preserve">        139K           139K            10K</t>
  </si>
  <si>
    <t>0.076 SOL</t>
  </si>
  <si>
    <t>-0.904 SOL</t>
  </si>
  <si>
    <t>-92.20%</t>
  </si>
  <si>
    <t>26.10.2024 00:42:11</t>
  </si>
  <si>
    <t xml:space="preserve">        102K           102K             6K</t>
  </si>
  <si>
    <t>-0.877 SOL</t>
  </si>
  <si>
    <t>-89.48%</t>
  </si>
  <si>
    <t>25.10.2024 20:00:21</t>
  </si>
  <si>
    <t xml:space="preserve">        216K           216K             4K</t>
  </si>
  <si>
    <t>4p3yhGbpu4KVdFeHKXvxs1cnaL3MdUAmWN7CgGJwpump</t>
  </si>
  <si>
    <t>weee</t>
  </si>
  <si>
    <t>-95.03%</t>
  </si>
  <si>
    <t>25.10.2024 17:31:11</t>
  </si>
  <si>
    <t xml:space="preserve">        135K           135K             4K</t>
  </si>
  <si>
    <t>4By8kbvy6YJt4L1UH544FejLiUdTQTGcXihTS4xMzHcA</t>
  </si>
  <si>
    <t>KCOG</t>
  </si>
  <si>
    <t>3,331,123</t>
  </si>
  <si>
    <t>25.10.2024 16:24:17</t>
  </si>
  <si>
    <t>2UByDNzBkDikkBM73dAxerTGkuLVRWzCN95JuAUApump</t>
  </si>
  <si>
    <t>FLU</t>
  </si>
  <si>
    <t>2,319,630</t>
  </si>
  <si>
    <t>25.10.2024 16:21:28</t>
  </si>
  <si>
    <t xml:space="preserve">         74K            74K            11K</t>
  </si>
  <si>
    <t>ASnD7A1mqpiBdqVVAKLsScAABR1nGbMBtocFbU5rpump</t>
  </si>
  <si>
    <t>simulacra</t>
  </si>
  <si>
    <t>4,161,702</t>
  </si>
  <si>
    <t>25.10.2024 15:33:19</t>
  </si>
  <si>
    <t>9mkfqGLt7jLr581QtNWby4DKfQwNtvvoqtypbbxxpump</t>
  </si>
  <si>
    <t>GPT5</t>
  </si>
  <si>
    <t>-0.849 SOL</t>
  </si>
  <si>
    <t>-86.66%</t>
  </si>
  <si>
    <t>25.10.2024 08:39:11</t>
  </si>
  <si>
    <t>GmP1TruYcMAE4Yh6m3KQpNvxdDUwUtKzj5CqFQbopump</t>
  </si>
  <si>
    <t>-0.960 SOL</t>
  </si>
  <si>
    <t>-97.93%</t>
  </si>
  <si>
    <t>25.10.2024 07:11:12</t>
  </si>
  <si>
    <t xml:space="preserve">        422K            11K             4K</t>
  </si>
  <si>
    <t>Gpt3</t>
  </si>
  <si>
    <t>0.098 SOL</t>
  </si>
  <si>
    <t>-89.99%</t>
  </si>
  <si>
    <t>25.10.2024 05:27:16</t>
  </si>
  <si>
    <t xml:space="preserve">        113K            12K             5K</t>
  </si>
  <si>
    <t>718gx2c3LUQMiCSUhu9mPCEyiGeo8T5cHiaa1UP9pump</t>
  </si>
  <si>
    <t>Toly</t>
  </si>
  <si>
    <t>0.878 SOL</t>
  </si>
  <si>
    <t>-10.44%</t>
  </si>
  <si>
    <t>25.10.2024 03:18:16</t>
  </si>
  <si>
    <t xml:space="preserve">        120K            42K            15K</t>
  </si>
  <si>
    <t>8LRpgKZU7e1ckqo6qFMCVmhHNRUAAwu1Nfkc37StXCRs</t>
  </si>
  <si>
    <t>LIBERTAS</t>
  </si>
  <si>
    <t>0.230 SOL</t>
  </si>
  <si>
    <t>-0.750 SOL</t>
  </si>
  <si>
    <t>-76.50%</t>
  </si>
  <si>
    <t>25.10.2024 02:22:14</t>
  </si>
  <si>
    <t xml:space="preserve">        111K            28K             7K</t>
  </si>
  <si>
    <t>2VKiYiQ8Fav48eu8NMXHK2ZrNzTkzEznvp7dY9iapump</t>
  </si>
  <si>
    <t>orion</t>
  </si>
  <si>
    <t>339,654</t>
  </si>
  <si>
    <t>25.10.2024 02:19:01</t>
  </si>
  <si>
    <t xml:space="preserve">        508K           508K            40K</t>
  </si>
  <si>
    <t>6UaBXHo66aMBk82hR2xzB466sv4vNc9dnJdHtrBmpump</t>
  </si>
  <si>
    <t>6,361,384</t>
  </si>
  <si>
    <t>25.10.2024 02:18:35</t>
  </si>
  <si>
    <t>STRAWB</t>
  </si>
  <si>
    <t>5.329 SOL</t>
  </si>
  <si>
    <t>4.349 SOL</t>
  </si>
  <si>
    <t>443.71%</t>
  </si>
  <si>
    <t>25.10.2024 01:38:13</t>
  </si>
  <si>
    <t xml:space="preserve">        206K           237K            22K</t>
  </si>
  <si>
    <t>H6QvmSwAEfpG2r7K7PJK7yCM2b42oWnWte7jZP6cpump</t>
  </si>
  <si>
    <t>AI DEV</t>
  </si>
  <si>
    <t>-0.817 SOL</t>
  </si>
  <si>
    <t>-83.34%</t>
  </si>
  <si>
    <t>25.10.2024 01:06:13</t>
  </si>
  <si>
    <t xml:space="preserve">         49K             9K             4K</t>
  </si>
  <si>
    <t>FSqwGmzdf1V3RFfmdgd7XZZtMoeVmoFggveNK48epump</t>
  </si>
  <si>
    <t>🍓</t>
  </si>
  <si>
    <t>4,754,733</t>
  </si>
  <si>
    <t>25.10.2024 00:57:30</t>
  </si>
  <si>
    <t xml:space="preserve">         37K            37K             4K</t>
  </si>
  <si>
    <t>6KyLYVDdkRZRhtYxtSAmvezPmR9aPcJB4DSz5LhQpump</t>
  </si>
  <si>
    <t xml:space="preserve">AI </t>
  </si>
  <si>
    <t>2,317,931</t>
  </si>
  <si>
    <t>24.10.2024 22:15:35</t>
  </si>
  <si>
    <t xml:space="preserve">         74K            74K             4K</t>
  </si>
  <si>
    <t>E9NsgUHspPfAhxAQrJacEm8GWi4KAoCYTDStDkvxpump</t>
  </si>
  <si>
    <t>Memex</t>
  </si>
  <si>
    <t>0.007510</t>
  </si>
  <si>
    <t>2.387 SOL</t>
  </si>
  <si>
    <t>1.399 SOL</t>
  </si>
  <si>
    <t>141.69%</t>
  </si>
  <si>
    <t>24.10.2024 01:00:51</t>
  </si>
  <si>
    <t xml:space="preserve">        234K           234K            85K</t>
  </si>
  <si>
    <t>2E6SSuVKVrQ6113KpWvzvhfY9yQ647E83V6e656fpump</t>
  </si>
  <si>
    <t>Puppy</t>
  </si>
  <si>
    <t>-94.49%</t>
  </si>
  <si>
    <t>23.10.2024 15:40:44</t>
  </si>
  <si>
    <t xml:space="preserve">        153K           153K             5K</t>
  </si>
  <si>
    <t>5aAjG4E2xEmYFWE7V3eoFS9ZQdXuRCwv8zhuJgMypump</t>
  </si>
  <si>
    <t>kizuna</t>
  </si>
  <si>
    <t>-94.83%</t>
  </si>
  <si>
    <t>22.10.2024 19:03:25</t>
  </si>
  <si>
    <t xml:space="preserve">        324K           324K             7K</t>
  </si>
  <si>
    <t>4a4f9nTJDjVhEaSwF2EHxv9rbfpgHsTkN6933MkZpump</t>
  </si>
  <si>
    <t>Doggoth</t>
  </si>
  <si>
    <t>-0.908 SOL</t>
  </si>
  <si>
    <t>-92.25%</t>
  </si>
  <si>
    <t>22.10.2024 16:52:23</t>
  </si>
  <si>
    <t xml:space="preserve">        130K           130K             6K</t>
  </si>
  <si>
    <t>XwysrsxGghWCu9PEFbp6bZ21xm7auUxA6WWf1T2pump</t>
  </si>
  <si>
    <t>0.198 SOL</t>
  </si>
  <si>
    <t>-79.84%</t>
  </si>
  <si>
    <t>22.10.2024 14:52:13</t>
  </si>
  <si>
    <t xml:space="preserve">        426K           426K            14K</t>
  </si>
  <si>
    <t>FAVwsjCnEvSDTCJXmvyeSBX3RrYH8dTYSyFQH9SApump</t>
  </si>
  <si>
    <t>Kromem</t>
  </si>
  <si>
    <t>0.010920</t>
  </si>
  <si>
    <t>3.617 SOL</t>
  </si>
  <si>
    <t>264.99%</t>
  </si>
  <si>
    <t>22.10.2024 14:49:32</t>
  </si>
  <si>
    <t xml:space="preserve">        150K           150K           120K</t>
  </si>
  <si>
    <t>BmnUU9r1F9PJm4N5z9Pv4Ev7Exp8DxYiL2NVQoKSrsS7</t>
  </si>
  <si>
    <t xml:space="preserve">Nimbus </t>
  </si>
  <si>
    <t>0.003500</t>
  </si>
  <si>
    <t>-0.984 SOL</t>
  </si>
  <si>
    <t>1,131,065</t>
  </si>
  <si>
    <t>22.10.2024 13:18:23</t>
  </si>
  <si>
    <t xml:space="preserve">        153K           153K             4K</t>
  </si>
  <si>
    <t>HEVVLwrFHT4Pygyiyw6spepahCtzTppSqK5rEhz1RZ9k</t>
  </si>
  <si>
    <t>human</t>
  </si>
  <si>
    <t>1,735,398</t>
  </si>
  <si>
    <t>22.10.2024 13:03:41</t>
  </si>
  <si>
    <t xml:space="preserve">         99K            99K            38K</t>
  </si>
  <si>
    <t>3SzByaRdsXcrEGUdK1g5HMmnhBLuBY2UMji2Sn2Epump</t>
  </si>
  <si>
    <t>Aether</t>
  </si>
  <si>
    <t>-0.959 SOL</t>
  </si>
  <si>
    <t>-97.15%</t>
  </si>
  <si>
    <t>22.10.2024 12:15:36</t>
  </si>
  <si>
    <t xml:space="preserve">        387K           387K             4K</t>
  </si>
  <si>
    <t>7rAhTkxAqhwnZ4xsUnP7vVtwdnf5im8akUomJssDpump</t>
  </si>
  <si>
    <t>wiki</t>
  </si>
  <si>
    <t>1,270,529</t>
  </si>
  <si>
    <t>22.10.2024 10:21:22</t>
  </si>
  <si>
    <t xml:space="preserve">        135K           135K             6K</t>
  </si>
  <si>
    <t>3ssgRYnBVbWHCwv6FAqHsK1D9ACPTVsMcAD4z4TKpump</t>
  </si>
  <si>
    <t>LLM</t>
  </si>
  <si>
    <t>0.001010</t>
  </si>
  <si>
    <t>-90.35%</t>
  </si>
  <si>
    <t>22.10.2024 09:00:44</t>
  </si>
  <si>
    <t xml:space="preserve">        243K           243K             9K</t>
  </si>
  <si>
    <t>FueRQG7Pe1EmMGtcevu95YwtCKNMQg1zRbreLsw3pump</t>
  </si>
  <si>
    <t>CLIPPY</t>
  </si>
  <si>
    <t>0.000500</t>
  </si>
  <si>
    <t>-0.981 SOL</t>
  </si>
  <si>
    <t>2,613,608</t>
  </si>
  <si>
    <t>22.10.2024 08:30:22</t>
  </si>
  <si>
    <t xml:space="preserve">         65K            65K             4K</t>
  </si>
  <si>
    <t>FnNgTcbRNWAUt4ubGRckrMFJivdg5YjwU8fwvjtYpump</t>
  </si>
  <si>
    <t>$SUITRUMP</t>
  </si>
  <si>
    <t>886</t>
  </si>
  <si>
    <t>22.10.2024 08:06:33</t>
  </si>
  <si>
    <t xml:space="preserve">        193M           193M             32</t>
  </si>
  <si>
    <t>JBwLRGSe48MsgNjFX2dRjimbqfip1sFS2UgHSQHD5Q8m</t>
  </si>
  <si>
    <t>Whip</t>
  </si>
  <si>
    <t>679,907</t>
  </si>
  <si>
    <t>22.10.2024 05:42:24</t>
  </si>
  <si>
    <t xml:space="preserve">        253K           253K            12K</t>
  </si>
  <si>
    <t>AHf7kfRnDSMMNxZBq9W3SRMznsLH7NkbfrvPoPpCpump</t>
  </si>
  <si>
    <t>ASCII</t>
  </si>
  <si>
    <t>2,253,820</t>
  </si>
  <si>
    <t>22.10.2024 04:42:39</t>
  </si>
  <si>
    <t xml:space="preserve">         76K            76K             5K</t>
  </si>
  <si>
    <t>Cwn264JBW75ZXNnQASquGPvXcdaBLvomDV4xuNfxpump</t>
  </si>
  <si>
    <t>BLU</t>
  </si>
  <si>
    <t>211,976</t>
  </si>
  <si>
    <t>22.10.2024 03:51:35</t>
  </si>
  <si>
    <t xml:space="preserve">        813K           813K            34K</t>
  </si>
  <si>
    <t>FXPn4kM8M252tbRXV4mvdqSQvY6jrg3J5cuRCphXpump</t>
  </si>
  <si>
    <t xml:space="preserve">Kiri </t>
  </si>
  <si>
    <t>0.006520</t>
  </si>
  <si>
    <t>1.192 SOL</t>
  </si>
  <si>
    <t>18.47%</t>
  </si>
  <si>
    <t>22.10.2024 02:56:22</t>
  </si>
  <si>
    <t xml:space="preserve">        471K           111K           183K</t>
  </si>
  <si>
    <t>3Ei8SaoL4JWZv1XsWePqiAjVtb7QtpJbV2TSuURmpump</t>
  </si>
  <si>
    <t>🦄</t>
  </si>
  <si>
    <t>0.750 SOL</t>
  </si>
  <si>
    <t>-0.251 SOL</t>
  </si>
  <si>
    <t>-25.08%</t>
  </si>
  <si>
    <t>22.10.2024 02:53:57</t>
  </si>
  <si>
    <t xml:space="preserve">         84K            84K           170K</t>
  </si>
  <si>
    <t>Gg7Rc5qog3RXSNFoR9aBUmDZcEpL2iNkwjvTo4LDENWt</t>
  </si>
  <si>
    <t>6.289 SOL</t>
  </si>
  <si>
    <t>5.287 SOL</t>
  </si>
  <si>
    <t>527.66%</t>
  </si>
  <si>
    <t>22.10.2024 02:51:28</t>
  </si>
  <si>
    <t xml:space="preserve">        140K           140K           100K</t>
  </si>
  <si>
    <t>79yTpy8uwmAkrdgZdq6ZSBTvxKsgPrNqTLvYQBh1pump</t>
  </si>
  <si>
    <t>CHONK</t>
  </si>
  <si>
    <t>2.087 SOL</t>
  </si>
  <si>
    <t>108.23%</t>
  </si>
  <si>
    <t>22.10.2024 02:48:47</t>
  </si>
  <si>
    <t xml:space="preserve">        436K           436K           743K</t>
  </si>
  <si>
    <t>AT7RRrFhBU1Dw1WghdgAqeNKNXKomDFXm77owQgppump</t>
  </si>
  <si>
    <t>Paws</t>
  </si>
  <si>
    <t>1,351</t>
  </si>
  <si>
    <t>22.10.2024 02:48:29</t>
  </si>
  <si>
    <t xml:space="preserve">         85M            85M             41</t>
  </si>
  <si>
    <t>GLNzbbd7zskRVsVREju1xnDZrR2sECSPkWT5HfwafsMT</t>
  </si>
  <si>
    <t>★</t>
  </si>
  <si>
    <t>1,785,780</t>
  </si>
  <si>
    <t>22.10.2024 01:21:30</t>
  </si>
  <si>
    <t>NovavkexDZZQKFvYThWKgAuaTgMxrGqQyWeGbAM8Ks1</t>
  </si>
  <si>
    <t>MDOG</t>
  </si>
  <si>
    <t>310,726</t>
  </si>
  <si>
    <t>22.10.2024 00:21:28</t>
  </si>
  <si>
    <t xml:space="preserve">        552K           552K             5K</t>
  </si>
  <si>
    <t>wpxTGswisVp6q33Rfnt39A7q7R6NzV523pXRpA9pump</t>
  </si>
  <si>
    <t>mochi</t>
  </si>
  <si>
    <t>0.011010</t>
  </si>
  <si>
    <t>-0.948 SOL</t>
  </si>
  <si>
    <t>-95.69%</t>
  </si>
  <si>
    <t>21.10.2024 20:15:25</t>
  </si>
  <si>
    <t xml:space="preserve">        244K           244K             5K</t>
  </si>
  <si>
    <t>3bxVJsSkWHRZ4UeAg7N5YYxz8Z5AhpnrQj9Fe3wgpump</t>
  </si>
  <si>
    <t>0.006000</t>
  </si>
  <si>
    <t>-0.986 SOL</t>
  </si>
  <si>
    <t>645,120</t>
  </si>
  <si>
    <t>21.10.2024 19:36:33</t>
  </si>
  <si>
    <t xml:space="preserve">        267K           267K            43K</t>
  </si>
  <si>
    <t>H8eK75hXWrZRtUSuewapGQPbyHhVKHppErs468vcpump</t>
  </si>
  <si>
    <t>every AI</t>
  </si>
  <si>
    <t>494,443</t>
  </si>
  <si>
    <t>21.10.2024 19:18:24</t>
  </si>
  <si>
    <t xml:space="preserve">        348K           348K             4K</t>
  </si>
  <si>
    <t>4arp7siokxbe72AwiiWVya63QY49HRTbpWrFpNozpump</t>
  </si>
  <si>
    <t>0.005610</t>
  </si>
  <si>
    <t>-8.83%</t>
  </si>
  <si>
    <t>21.10.2024 16:10:28</t>
  </si>
  <si>
    <t xml:space="preserve">        164K           164K            35K</t>
  </si>
  <si>
    <t>AU6z1iY7Jt8kLzybWvSzj6jFEqVvXBZaA8VJmK83pump</t>
  </si>
  <si>
    <t>gum</t>
  </si>
  <si>
    <t>842,209</t>
  </si>
  <si>
    <t>21.10.2024 15:06:56</t>
  </si>
  <si>
    <t xml:space="preserve">        204K           204K             5K</t>
  </si>
  <si>
    <t>pi6XiAqEXP4r3Fe5xd7ZyWC9Ve2pYSaXETQGX9wpump</t>
  </si>
  <si>
    <t>3,090,604</t>
  </si>
  <si>
    <t>21.10.2024 14:45:41</t>
  </si>
  <si>
    <t xml:space="preserve">         56K            56K             5K</t>
  </si>
  <si>
    <t>8KapfTcDKMMCN1xujKvDFPA4QSbRci9nSkpyYxoMpump</t>
  </si>
  <si>
    <t>1,415,060</t>
  </si>
  <si>
    <t>21.10.2024 14:27:55</t>
  </si>
  <si>
    <t>734,870</t>
  </si>
  <si>
    <t>21.10.2024 13:21:28</t>
  </si>
  <si>
    <t>GkyZ89FRpwnMdCxBM3eKXD8zHouFvNxbVC2gb7y8pump</t>
  </si>
  <si>
    <t>$ SUNGOD</t>
  </si>
  <si>
    <t>950</t>
  </si>
  <si>
    <t>21.10.2024 12:48:42</t>
  </si>
  <si>
    <t xml:space="preserve">        129M           129M            421</t>
  </si>
  <si>
    <t>C3HN5P6U8MuLUmNLuS7wGfbtHgQLuHUVgx8zGCshmT7Y</t>
  </si>
  <si>
    <t>LOMBA</t>
  </si>
  <si>
    <t>-0.958 SOL</t>
  </si>
  <si>
    <t>-96.62%</t>
  </si>
  <si>
    <t>21.10.2024 12:21:11</t>
  </si>
  <si>
    <t xml:space="preserve">         26K            26K            431</t>
  </si>
  <si>
    <t>GQZA1Ly7er3qQLMbKz3nDr9NarPwZQda3Q7cFnftrNdT</t>
  </si>
  <si>
    <t>NEOLUD</t>
  </si>
  <si>
    <t>0.371 SOL</t>
  </si>
  <si>
    <t>-62.55%</t>
  </si>
  <si>
    <t>21.10.2024 11:15:47</t>
  </si>
  <si>
    <t xml:space="preserve">        294K           294K            14K</t>
  </si>
  <si>
    <t>BEk5erCFDjoVEZYUJV2gJAVrp6CERSEgtY7CsWFYpump</t>
  </si>
  <si>
    <t>Grump</t>
  </si>
  <si>
    <t>1,184</t>
  </si>
  <si>
    <t>21.10.2024 10:36:32</t>
  </si>
  <si>
    <t xml:space="preserve">        137M           137M             35</t>
  </si>
  <si>
    <t>C2HKY4Rgi9GE1B95Q7i3dvQccLMxtzK4vk8hC6UcnEwm</t>
  </si>
  <si>
    <t>ACTII</t>
  </si>
  <si>
    <t>4,689,620</t>
  </si>
  <si>
    <t>21.10.2024 10:06:47</t>
  </si>
  <si>
    <t>HgjX7ZvBUgekABZwapxKqVu4pQ7omi4ZXhPksKUVpump</t>
  </si>
  <si>
    <t>HOMDANG</t>
  </si>
  <si>
    <t>1,384,895</t>
  </si>
  <si>
    <t>21.10.2024 07:39:24</t>
  </si>
  <si>
    <t xml:space="preserve">        125K           125K            12K</t>
  </si>
  <si>
    <t>BZF6Hd5Y4qBq96kyjNCDEoBbWZfc7vny9RjiMLNkpump</t>
  </si>
  <si>
    <t>LAMDUAN</t>
  </si>
  <si>
    <t>267,652</t>
  </si>
  <si>
    <t>21.10.2024 06:48:42</t>
  </si>
  <si>
    <t xml:space="preserve">        644K           644K           189K</t>
  </si>
  <si>
    <t>6WSppYPevaDEZxdmW2WoHLoSnJMeVyqz8Rqkm8MCpump</t>
  </si>
  <si>
    <t>ton</t>
  </si>
  <si>
    <t>157,771</t>
  </si>
  <si>
    <t>21.10.2024 06:36:42</t>
  </si>
  <si>
    <t>DQ9ecb5Pxgz9YTUBaB4PyhRkmM2jSK4P4j6kTZUFpump</t>
  </si>
  <si>
    <t>PAWG</t>
  </si>
  <si>
    <t>1,437,153</t>
  </si>
  <si>
    <t>21.10.2024 04:36:27</t>
  </si>
  <si>
    <t xml:space="preserve">        120K           120K             7K</t>
  </si>
  <si>
    <t>6FGVQezFyqD7iY1pEXAW2EUoRUk6JL3K6H5aLy76pump</t>
  </si>
  <si>
    <t>3,023,886</t>
  </si>
  <si>
    <t>21.10.2024 03:42:30</t>
  </si>
  <si>
    <t xml:space="preserve">         56K            56K             6K</t>
  </si>
  <si>
    <t>BwwEPhfEtzYJf8CEmWjKADDMxqJzD29b2NzS4go1pump</t>
  </si>
  <si>
    <t>954,560</t>
  </si>
  <si>
    <t>21.10.2024 02:48:44</t>
  </si>
  <si>
    <t xml:space="preserve">        181K           181K             6K</t>
  </si>
  <si>
    <t>814,763</t>
  </si>
  <si>
    <t>21.10.2024 02:37:01</t>
  </si>
  <si>
    <t xml:space="preserve">        211K           211K             8K</t>
  </si>
  <si>
    <t>Glifbots</t>
  </si>
  <si>
    <t>3,078,622</t>
  </si>
  <si>
    <t>21.10.2024 01:27:31</t>
  </si>
  <si>
    <t>HC5UNDdVBKAxau2sPCzrHwum6UNrDH5bdiKR3Snapump</t>
  </si>
  <si>
    <t>0.005110</t>
  </si>
  <si>
    <t>2.974 SOL</t>
  </si>
  <si>
    <t>3.136 SOL</t>
  </si>
  <si>
    <t>0.156 SOL</t>
  </si>
  <si>
    <t>5.24%</t>
  </si>
  <si>
    <t>20.10.2024 22:50:06</t>
  </si>
  <si>
    <t xml:space="preserve">        245K           245K            30K</t>
  </si>
  <si>
    <t>jasQQD17WWgFhiCZVZDyik35XEd3SVqza5godvopump</t>
  </si>
  <si>
    <t>PHIL</t>
  </si>
  <si>
    <t>881</t>
  </si>
  <si>
    <t>20.10.2024 22:33:43</t>
  </si>
  <si>
    <t xml:space="preserve">        144M           144M             43</t>
  </si>
  <si>
    <t>3EatUAd55TndNRiRPK7mLZJfSQCRzJg76wL9WHCsk4rh</t>
  </si>
  <si>
    <t>Komrade</t>
  </si>
  <si>
    <t>1,962,519</t>
  </si>
  <si>
    <t>20.10.2024 22:12:42</t>
  </si>
  <si>
    <t>2vWVk6fSmM6V7BN4sjCPsrqsXwZHUccwTEgJasDFpump</t>
  </si>
  <si>
    <t>597,219</t>
  </si>
  <si>
    <t>20.10.2024 22:06:56</t>
  </si>
  <si>
    <t xml:space="preserve">        288K           288K             9K</t>
  </si>
  <si>
    <t>fag</t>
  </si>
  <si>
    <t>3,055,170</t>
  </si>
  <si>
    <t>20.10.2024 22:06:30</t>
  </si>
  <si>
    <t>Gnq3u69LJGrr4k1Dw7JZTFUt1cftHwVcrxmUsMEHpump</t>
  </si>
  <si>
    <t>GAMEFACE</t>
  </si>
  <si>
    <t>888,958</t>
  </si>
  <si>
    <t>20.10.2024 22:00:45</t>
  </si>
  <si>
    <t xml:space="preserve">        193K           193K             6K</t>
  </si>
  <si>
    <t>F6W6jbpRb6zxZ9BmH96Gw1L5LrBf8z1AcJKF4dUJpump</t>
  </si>
  <si>
    <t>YUUMI</t>
  </si>
  <si>
    <t>-24.93%</t>
  </si>
  <si>
    <t>20.10.2024 21:40:34</t>
  </si>
  <si>
    <t xml:space="preserve">         51K            51K            34K</t>
  </si>
  <si>
    <t>ChuPbVJ4nt1Fz48HTTasLZjzaXPqC8NwNU7L2y3hpump</t>
  </si>
  <si>
    <t>2,347,449</t>
  </si>
  <si>
    <t>20.10.2024 21:25:05</t>
  </si>
  <si>
    <t xml:space="preserve">         74K            74K             5K</t>
  </si>
  <si>
    <t>3EkX4ERk9CRzG5pUTMxeQdtSnbbALTGWP6gnW7bzpump</t>
  </si>
  <si>
    <t>Poya</t>
  </si>
  <si>
    <t>1,782</t>
  </si>
  <si>
    <t>20.10.2024 21:24:30</t>
  </si>
  <si>
    <t xml:space="preserve">         85M            85M             38</t>
  </si>
  <si>
    <t>4WkPxCRdLoMerS59EspYvr6qx6GS7rRb9S6tN4Z4KqTD</t>
  </si>
  <si>
    <t>McTrump</t>
  </si>
  <si>
    <t>1,621,261</t>
  </si>
  <si>
    <t>20.10.2024 21:03:40</t>
  </si>
  <si>
    <t xml:space="preserve">        106K           106K             6K</t>
  </si>
  <si>
    <t>5yVbknR3tQGfybcqD7zwuxdej1GTLWr53av4KNmXpump</t>
  </si>
  <si>
    <t>DANI</t>
  </si>
  <si>
    <t>4,004</t>
  </si>
  <si>
    <t>20.10.2024 20:48:27</t>
  </si>
  <si>
    <t xml:space="preserve">         36M            36M             37</t>
  </si>
  <si>
    <t>FKUdgJyCA3csnosM9gjrxzxvjNoTYbcaR6yWWsxZKD4U</t>
  </si>
  <si>
    <t>ROBODG</t>
  </si>
  <si>
    <t>856,639</t>
  </si>
  <si>
    <t>20.10.2024 20:42:29</t>
  </si>
  <si>
    <t xml:space="preserve">        200K           200K            10K</t>
  </si>
  <si>
    <t>Er2mtAhfbZUWbLhxY3ShN5Prj2DrnGjy6d8FYoMXpump</t>
  </si>
  <si>
    <t>AWIF</t>
  </si>
  <si>
    <t>897,587</t>
  </si>
  <si>
    <t>20.10.2024 19:57:24</t>
  </si>
  <si>
    <t>J3BgRRy1DbGiZbeXMBjD6nATtk5zWfAgwVFxjmdvpump</t>
  </si>
  <si>
    <t>0.015020</t>
  </si>
  <si>
    <t>0.990 SOL</t>
  </si>
  <si>
    <t>4.627 SOL</t>
  </si>
  <si>
    <t>3.622 SOL</t>
  </si>
  <si>
    <t>360.40%</t>
  </si>
  <si>
    <t>20.10.2024 18:10:34</t>
  </si>
  <si>
    <t xml:space="preserve">        202K           797K            69K</t>
  </si>
  <si>
    <t>PNON</t>
  </si>
  <si>
    <t>2,454,580</t>
  </si>
  <si>
    <t>20.10.2024 17:45:35</t>
  </si>
  <si>
    <t xml:space="preserve">         70K            70K             7K</t>
  </si>
  <si>
    <t>6SNF42gEu3WkEVy7JgmMb1wTNxeGWY5UXfRjQKUzpump</t>
  </si>
  <si>
    <t>$OLAF</t>
  </si>
  <si>
    <t>1,484</t>
  </si>
  <si>
    <t>20.10.2024 16:24:39</t>
  </si>
  <si>
    <t xml:space="preserve">        115M           115M             35</t>
  </si>
  <si>
    <t>FKd2HeKxddXLxYD3Ts5MUaKqVsuUbnhA4AergM8gsaU</t>
  </si>
  <si>
    <t>BACKROOM</t>
  </si>
  <si>
    <t>563,489</t>
  </si>
  <si>
    <t>20.10.2024 16:06:29</t>
  </si>
  <si>
    <t xml:space="preserve">        306K           306K             4K</t>
  </si>
  <si>
    <t>EA6ktYMspQpDSB7VwGmi3YSiE5JDFyTsWioLfMw7pump</t>
  </si>
  <si>
    <t>0.009150</t>
  </si>
  <si>
    <t>9.127 SOL</t>
  </si>
  <si>
    <t>8.118 SOL</t>
  </si>
  <si>
    <t>804.40%</t>
  </si>
  <si>
    <t>20.10.2024 06:55:25</t>
  </si>
  <si>
    <t xml:space="preserve">         63K           383K            55K</t>
  </si>
  <si>
    <t>CCRU</t>
  </si>
  <si>
    <t>0.021630</t>
  </si>
  <si>
    <t>7.053 SOL</t>
  </si>
  <si>
    <t>590.40%</t>
  </si>
  <si>
    <t>20.10.2024 05:05:30</t>
  </si>
  <si>
    <t xml:space="preserve">        120K           120K           134K</t>
  </si>
  <si>
    <t>BVoFXcjNSQ8fHGNc2aeS52rLXwag52PHK2aQJsrkpump</t>
  </si>
  <si>
    <t>$1</t>
  </si>
  <si>
    <t>0.011620</t>
  </si>
  <si>
    <t>3.340 SOL</t>
  </si>
  <si>
    <t>330.17%</t>
  </si>
  <si>
    <t>20.10.2024 04:25:25</t>
  </si>
  <si>
    <t xml:space="preserve">        130K           130K           116K</t>
  </si>
  <si>
    <t>4UTEFQjNMvfQF5NT8mVfXdMAKoL7hS7i9U4mMVAzpump</t>
  </si>
  <si>
    <t>0.006110</t>
  </si>
  <si>
    <t>1.157 SOL</t>
  </si>
  <si>
    <t>14.98%</t>
  </si>
  <si>
    <t>20.10.2024 00:30:23</t>
  </si>
  <si>
    <t xml:space="preserve">         97K            97K            25K</t>
  </si>
  <si>
    <t>9tF4vuYRQY3d5GPnE9pjUevukgo6vHiepe3E1w8Jpump</t>
  </si>
  <si>
    <t>RETERDEO</t>
  </si>
  <si>
    <t>0.005000</t>
  </si>
  <si>
    <t>-0.995 SOL</t>
  </si>
  <si>
    <t>1,380,629</t>
  </si>
  <si>
    <t>20.10.2024 00:03:33</t>
  </si>
  <si>
    <t xml:space="preserve">        127K           127K             2K</t>
  </si>
  <si>
    <t>GV4BF4nthLPKeNQpinYMwNUwJX7inKbN9MW6rN1e1TX7</t>
  </si>
  <si>
    <t>369</t>
  </si>
  <si>
    <t>990,817</t>
  </si>
  <si>
    <t>19.10.2024 22:45:46</t>
  </si>
  <si>
    <t xml:space="preserve">        176K           176K             5K</t>
  </si>
  <si>
    <t>H3MdcPyJf2D1MVEGzdxeNEb6PfKyXh1oiNnszeD4pump</t>
  </si>
  <si>
    <t>GREEN</t>
  </si>
  <si>
    <t>0.012640</t>
  </si>
  <si>
    <t>10.871 SOL</t>
  </si>
  <si>
    <t>9.859 SOL</t>
  </si>
  <si>
    <t>973.58%</t>
  </si>
  <si>
    <t>19.10.2024 21:15:27</t>
  </si>
  <si>
    <t xml:space="preserve">        129K           624K           971K</t>
  </si>
  <si>
    <t>GGHga4iRCxEvq9Ky4MNwk9amTbLLg53bBHcSjpJLpump</t>
  </si>
  <si>
    <t>/Send</t>
  </si>
  <si>
    <t>2,249,751</t>
  </si>
  <si>
    <t>19.10.2024 17:42:19</t>
  </si>
  <si>
    <t>3J6q8ds2gL2PZ6jy8NJXMs1g5DL79VFoSmRCnDhtpump</t>
  </si>
  <si>
    <t>a/sol</t>
  </si>
  <si>
    <t>1,284,433</t>
  </si>
  <si>
    <t>19.10.2024 17:09:29</t>
  </si>
  <si>
    <t xml:space="preserve">        135K           135K             5K</t>
  </si>
  <si>
    <t>EwDw33fuey7WLu1hF8kJiybccDhhgD1uugUZbaRKpump</t>
  </si>
  <si>
    <t>WUMPUS</t>
  </si>
  <si>
    <t>0.000600</t>
  </si>
  <si>
    <t>4,206,877</t>
  </si>
  <si>
    <t>19.10.2024 15:39:22</t>
  </si>
  <si>
    <t xml:space="preserve">         42K            42K             2K</t>
  </si>
  <si>
    <t>5cG2Pr1x99tgQgFiC6Nr2kzPd1fdGonrJR7Ef8ppE53d</t>
  </si>
  <si>
    <t>SM</t>
  </si>
  <si>
    <t>415,314</t>
  </si>
  <si>
    <t>19.10.2024 15:09:34</t>
  </si>
  <si>
    <t xml:space="preserve">        424K           424K             7K</t>
  </si>
  <si>
    <t>EAJwKJz2zPqvHdvfFfQ8o2Fa57G82UuZ9ZTnkMYPpump</t>
  </si>
  <si>
    <t>MORPHGEN</t>
  </si>
  <si>
    <t>1,004,539</t>
  </si>
  <si>
    <t>19.10.2024 15:00:35</t>
  </si>
  <si>
    <t xml:space="preserve">        176K           176K             9K</t>
  </si>
  <si>
    <t>GQ5c4fXPFuBad9BX1nhMxit1Wg343VC5kVPtbZaPpump</t>
  </si>
  <si>
    <t>MENA</t>
  </si>
  <si>
    <t>431,097</t>
  </si>
  <si>
    <t>19.10.2024 14:39:26</t>
  </si>
  <si>
    <t xml:space="preserve">        408K           408K            14K</t>
  </si>
  <si>
    <t>4ytpWfVCpJ2nSjahbioPkejnLVBsc7FGZi2hCojppump</t>
  </si>
  <si>
    <t>AICYCLE</t>
  </si>
  <si>
    <t>1,795,598</t>
  </si>
  <si>
    <t>19.10.2024 12:52:16</t>
  </si>
  <si>
    <t xml:space="preserve">         98K            98K             5K</t>
  </si>
  <si>
    <t>CqYM3eUQnppnQtPNcHWYdN9tgb5ePnuBpSxkiFDupump</t>
  </si>
  <si>
    <t>Fiora</t>
  </si>
  <si>
    <t>1,451,150</t>
  </si>
  <si>
    <t>19.10.2024 12:06:35</t>
  </si>
  <si>
    <t xml:space="preserve">        121K           121K             6K</t>
  </si>
  <si>
    <t>HkQ2TgynP3gWZr13qfhHLMmwS4TmXUnFU3GafaL1pump</t>
  </si>
  <si>
    <t>CHIRPY</t>
  </si>
  <si>
    <t>1,571</t>
  </si>
  <si>
    <t>19.10.2024 11:00:42</t>
  </si>
  <si>
    <t xml:space="preserve">         67M            67M             47</t>
  </si>
  <si>
    <t>Cvo4GdT1VCb3wp4vinVEyj2yBfQ2BNLvR5sUPhV2pump</t>
  </si>
  <si>
    <t>x982a{j:+.</t>
  </si>
  <si>
    <t>520,977</t>
  </si>
  <si>
    <t>19.10.2024 10:45:26</t>
  </si>
  <si>
    <t xml:space="preserve">        338K           338K             5K</t>
  </si>
  <si>
    <t>8uCydBTEBHsNULSu3gwMKS5U1EKcGD4Ky5kzju65pump</t>
  </si>
  <si>
    <t>PaST</t>
  </si>
  <si>
    <t>1,737,451</t>
  </si>
  <si>
    <t>19.10.2024 09:51:34</t>
  </si>
  <si>
    <t>7NsY3ZqGrY3suPaPvJLYncTfoPF3Ef4JDcRHVig4pump</t>
  </si>
  <si>
    <t>LLMtheism</t>
  </si>
  <si>
    <t>0.493 SOL</t>
  </si>
  <si>
    <t>-0.508 SOL</t>
  </si>
  <si>
    <t>-50.75%</t>
  </si>
  <si>
    <t>19.10.2024 09:40:24</t>
  </si>
  <si>
    <t xml:space="preserve">        345K           345K            22K</t>
  </si>
  <si>
    <t>8XgSvP4iMbBeQDnC9i4odSGeG4h3QoLJ58avjLBnpump</t>
  </si>
  <si>
    <t>Cyborgism</t>
  </si>
  <si>
    <t>0.001110</t>
  </si>
  <si>
    <t>0.950 SOL</t>
  </si>
  <si>
    <t>-5.10%</t>
  </si>
  <si>
    <t>19.10.2024 09:35:27</t>
  </si>
  <si>
    <t xml:space="preserve">        207K           207K            20K</t>
  </si>
  <si>
    <t>8X7emJy8CV5pK7UjyBKCywdfc4MTKShpUddqrqyepump</t>
  </si>
  <si>
    <t xml:space="preserve">GASPODE </t>
  </si>
  <si>
    <t>0.953 SOL</t>
  </si>
  <si>
    <t>-4.95%</t>
  </si>
  <si>
    <t>19.10.2024 09:20:33</t>
  </si>
  <si>
    <t xml:space="preserve">         79K            79K            25K</t>
  </si>
  <si>
    <t>CLmkmdeeDqZRciDPrpVS8JtFj2g1hh8U4XQmQishpump</t>
  </si>
  <si>
    <t>-0.487 SOL</t>
  </si>
  <si>
    <t>-48.54%</t>
  </si>
  <si>
    <t>19.10.2024 09:05:36</t>
  </si>
  <si>
    <t xml:space="preserve">        128K            28K            58K</t>
  </si>
  <si>
    <t>720,451</t>
  </si>
  <si>
    <t>19.10.2024 09:03:20</t>
  </si>
  <si>
    <t xml:space="preserve">        245K           245K            37K</t>
  </si>
  <si>
    <t>0.002120</t>
  </si>
  <si>
    <t>1.609 SOL</t>
  </si>
  <si>
    <t>60.55%</t>
  </si>
  <si>
    <t>19.10.2024 08:10:29</t>
  </si>
  <si>
    <t xml:space="preserve">         39K            99K             9K</t>
  </si>
  <si>
    <t>2jfmsGtcBpF4qQxztyBqhZmrtTf8tCNv7o98kwwSpump</t>
  </si>
  <si>
    <t>LOOM</t>
  </si>
  <si>
    <t>0.003640</t>
  </si>
  <si>
    <t>2.058 SOL</t>
  </si>
  <si>
    <t>1.054 SOL</t>
  </si>
  <si>
    <t>105.04%</t>
  </si>
  <si>
    <t>19.10.2024 07:50:21</t>
  </si>
  <si>
    <t xml:space="preserve">        107K           107K           149K</t>
  </si>
  <si>
    <t>D57CP6MA7G5idNmxAuigU6W8uPeiGvDVuuwh4z2ypump</t>
  </si>
  <si>
    <t>SGON</t>
  </si>
  <si>
    <t>1,255,754</t>
  </si>
  <si>
    <t>19.10.2024 07:48:24</t>
  </si>
  <si>
    <t xml:space="preserve">        141K           141K             4K</t>
  </si>
  <si>
    <t>5cnfnDNVssoccP2T1sG1ie5Wfk9jSnG3ruMQcPS4pump</t>
  </si>
  <si>
    <t>SLINK</t>
  </si>
  <si>
    <t>751</t>
  </si>
  <si>
    <t>19.10.2024 07:03:22</t>
  </si>
  <si>
    <t xml:space="preserve">        233M           233M            132</t>
  </si>
  <si>
    <t>HRfsUNJiePHqU9pxkWtES6ECEHszthyv6Jg9ZY7bpump</t>
  </si>
  <si>
    <t>AMANO</t>
  </si>
  <si>
    <t>1,712,500</t>
  </si>
  <si>
    <t>19.10.2024 06:18:20</t>
  </si>
  <si>
    <t>DL7eHjziBjJ4aDVCRuz41nM2SceQvrUfREYmRQYHpump</t>
  </si>
  <si>
    <t>0.467 SOL</t>
  </si>
  <si>
    <t>-0.534 SOL</t>
  </si>
  <si>
    <t>-53.31%</t>
  </si>
  <si>
    <t>19.10.2024 04:56:11</t>
  </si>
  <si>
    <t>GMC</t>
  </si>
  <si>
    <t>-0.787 SOL</t>
  </si>
  <si>
    <t>-78.66%</t>
  </si>
  <si>
    <t>19.10.2024 04:54:09</t>
  </si>
  <si>
    <t>8q83Vvfu9ShcREvQ6TGi34VrJH9y2uSPygGzTtYWpump</t>
  </si>
  <si>
    <t>j⧉nus</t>
  </si>
  <si>
    <t>-0.609 SOL</t>
  </si>
  <si>
    <t>-60.84%</t>
  </si>
  <si>
    <t>19.10.2024 03:58:12</t>
  </si>
  <si>
    <t xml:space="preserve">         54K            54K             9K</t>
  </si>
  <si>
    <t>EVRWBUYGN5BdJcwagB7sYHy9cAo6xPUqD1j5VHv6pump</t>
  </si>
  <si>
    <t>-0.507 SOL</t>
  </si>
  <si>
    <t>-50.66%</t>
  </si>
  <si>
    <t>19.10.2024 03:25:20</t>
  </si>
  <si>
    <t xml:space="preserve">        672K           672K            22K</t>
  </si>
  <si>
    <t>4,866,977</t>
  </si>
  <si>
    <t>19.10.2024 03:24:17</t>
  </si>
  <si>
    <t>CTG</t>
  </si>
  <si>
    <t>1.530 SOL</t>
  </si>
  <si>
    <t>0.528 SOL</t>
  </si>
  <si>
    <t>52.74%</t>
  </si>
  <si>
    <t>19.10.2024 02:46:11</t>
  </si>
  <si>
    <t xml:space="preserve">        256K           825K             7K</t>
  </si>
  <si>
    <t>BfUfnLMCNwKYamhJXzaxgUmFjrGFHdkjRLAxeaxqpump</t>
  </si>
  <si>
    <t>Suiman</t>
  </si>
  <si>
    <t>514</t>
  </si>
  <si>
    <t>19.10.2024 02:24:19</t>
  </si>
  <si>
    <t xml:space="preserve">        199M           199M             46</t>
  </si>
  <si>
    <t>AdNys9Un2czgmEpxJJSWnJxic7EXtzbxAxQ9ByBGpump</t>
  </si>
  <si>
    <t>AI</t>
  </si>
  <si>
    <t>0.557 SOL</t>
  </si>
  <si>
    <t>-0.444 SOL</t>
  </si>
  <si>
    <t>-44.36%</t>
  </si>
  <si>
    <t>19.10.2024 02:00:20</t>
  </si>
  <si>
    <t xml:space="preserve">        142K            88K             8K</t>
  </si>
  <si>
    <t>9gxfYASoTq3RMejwrdpNBNzN1Af8Pn1jsWx9w7a4pump</t>
  </si>
  <si>
    <t>AirheadFun</t>
  </si>
  <si>
    <t>457,589</t>
  </si>
  <si>
    <t>19.10.2024 01:57:34</t>
  </si>
  <si>
    <t xml:space="preserve">        385K           385K             7K</t>
  </si>
  <si>
    <t>FCGDDio5DuhujHcRQCDbXHnrcSA4pUGg2haNt7S2pump</t>
  </si>
  <si>
    <t>CLANKER</t>
  </si>
  <si>
    <t>1.149 SOL</t>
  </si>
  <si>
    <t>14.73%</t>
  </si>
  <si>
    <t>19.10.2024 01:50:34</t>
  </si>
  <si>
    <t>3qq54YqAKG3TcrwNHXFSpMCWoL8gmMuPceJ4FG9npump</t>
  </si>
  <si>
    <t>0.274 SOL</t>
  </si>
  <si>
    <t>-0.727 SOL</t>
  </si>
  <si>
    <t>-72.63%</t>
  </si>
  <si>
    <t>19.10.2024 01:17:10</t>
  </si>
  <si>
    <t xml:space="preserve">        345K           105K             8K</t>
  </si>
  <si>
    <t>STAR</t>
  </si>
  <si>
    <t>-0.774 SOL</t>
  </si>
  <si>
    <t>-77.35%</t>
  </si>
  <si>
    <t>19.10.2024 01:04:09</t>
  </si>
  <si>
    <t xml:space="preserve">        317K           317K             6K</t>
  </si>
  <si>
    <t>6cLLXCTW48EdneJKWhc7vzE4VB3XMcJVEjsocQRHpump</t>
  </si>
  <si>
    <t>8.329 SOL</t>
  </si>
  <si>
    <t>7.326 SOL</t>
  </si>
  <si>
    <t>730.71%</t>
  </si>
  <si>
    <t>19.10.2024 01:02:24</t>
  </si>
  <si>
    <t xml:space="preserve">        171K           171K            52K</t>
  </si>
  <si>
    <t>AUTER</t>
  </si>
  <si>
    <t>143,791</t>
  </si>
  <si>
    <t>19.10.2024 00:48:20</t>
  </si>
  <si>
    <t xml:space="preserve">          1M             1M            14K</t>
  </si>
  <si>
    <t>NmpfpJ7s7UBA4dLbrHVe8utkZqGjCEf2w552uZ5pump</t>
  </si>
  <si>
    <t>YOBBY</t>
  </si>
  <si>
    <t>0.172 SOL</t>
  </si>
  <si>
    <t>-0.829 SOL</t>
  </si>
  <si>
    <t>19.10.2024 00:44:16</t>
  </si>
  <si>
    <t>BEEDc4Stve62qB8zNad6kkEdEHFVB44xAEVQpvypump</t>
  </si>
  <si>
    <t>NEURAL</t>
  </si>
  <si>
    <t>0.183 SOL</t>
  </si>
  <si>
    <t>-0.818 SOL</t>
  </si>
  <si>
    <t>-81.68%</t>
  </si>
  <si>
    <t>18.10.2024 22:16:15</t>
  </si>
  <si>
    <t xml:space="preserve">         58K            12K             4K</t>
  </si>
  <si>
    <t>ErRwWvxh6iEszet5ahmypjRTcQHyX4GDn7zGEukMpump</t>
  </si>
  <si>
    <t>SOS</t>
  </si>
  <si>
    <t>-0.992 SOL</t>
  </si>
  <si>
    <t>-99.04%</t>
  </si>
  <si>
    <t>18.10.2024 22:05:12</t>
  </si>
  <si>
    <t xml:space="preserve">        463K           463K             5K</t>
  </si>
  <si>
    <t>7J5rZx7BpMWmrVhUAMAHs28DBn7GxSYZZ6dMnLXjpump</t>
  </si>
  <si>
    <t>🤰</t>
  </si>
  <si>
    <t>2,492,285</t>
  </si>
  <si>
    <t>18.10.2024 21:54:36</t>
  </si>
  <si>
    <t xml:space="preserve">         70K            70K            14K</t>
  </si>
  <si>
    <t>BqudbvgHFdeTvPCv9Y1G9TGKwgrskP4izfkv5SFpump</t>
  </si>
  <si>
    <t>ivy</t>
  </si>
  <si>
    <t>1,364,899</t>
  </si>
  <si>
    <t>18.10.2024 21:24:21</t>
  </si>
  <si>
    <t xml:space="preserve">        128K           128K             5K</t>
  </si>
  <si>
    <t>6URDrfkefQRVyNuvjA5R2Z24jQ8eE9MesKVZb73qpump</t>
  </si>
  <si>
    <t>bees</t>
  </si>
  <si>
    <t>0.246 SOL</t>
  </si>
  <si>
    <t>-0.756 SOL</t>
  </si>
  <si>
    <t>-75.47%</t>
  </si>
  <si>
    <t>18.10.2024 19:13:16</t>
  </si>
  <si>
    <t xml:space="preserve">        466K           466K            11K</t>
  </si>
  <si>
    <t>DCrPFBDZBVdVaiu98Jr9woaPRT5BUqZwSNr9Chdgpump</t>
  </si>
  <si>
    <t>NORVID</t>
  </si>
  <si>
    <t>2,850,548</t>
  </si>
  <si>
    <t>18.10.2024 18:22:09</t>
  </si>
  <si>
    <t xml:space="preserve">         62K            62K             9K</t>
  </si>
  <si>
    <t>5bMiFxQUwqex6d4QEQB5LJfEK8B3fV1DVr7PADnupump</t>
  </si>
  <si>
    <t>$Waifu</t>
  </si>
  <si>
    <t>0.007030</t>
  </si>
  <si>
    <t>0.998 SOL</t>
  </si>
  <si>
    <t>7.151 SOL</t>
  </si>
  <si>
    <t>6.146 SOL</t>
  </si>
  <si>
    <t>611.56%</t>
  </si>
  <si>
    <t>18.10.2024 16:20:42</t>
  </si>
  <si>
    <t xml:space="preserve">        142K           142K           109K</t>
  </si>
  <si>
    <t>3gqBzYggchmzxCBq5v4BGT4TfmZcm8agsaRqv8bkpump</t>
  </si>
  <si>
    <t>BUNNY</t>
  </si>
  <si>
    <t>-0.819 SOL</t>
  </si>
  <si>
    <t>-81.80%</t>
  </si>
  <si>
    <t>18.10.2024 15:58:25</t>
  </si>
  <si>
    <t xml:space="preserve">         34K            34K             2K</t>
  </si>
  <si>
    <t>6B5ukkLoUPqoXoz7UMD9jJUFazU7neSwgrkEK7LfvvGh</t>
  </si>
  <si>
    <t>exOS</t>
  </si>
  <si>
    <t>0.197 SOL</t>
  </si>
  <si>
    <t>-0.804 SOL</t>
  </si>
  <si>
    <t>-80.32%</t>
  </si>
  <si>
    <t>18.10.2024 14:04:24</t>
  </si>
  <si>
    <t xml:space="preserve">         58K            12K             6K</t>
  </si>
  <si>
    <t>vG552RpYUsGyo5C8B1NewkTgnjQCTE2vSyFaLgkpump</t>
  </si>
  <si>
    <t>KABOSU</t>
  </si>
  <si>
    <t>1.189 SOL</t>
  </si>
  <si>
    <t>18.75%</t>
  </si>
  <si>
    <t>18.10.2024 12:23:09</t>
  </si>
  <si>
    <t xml:space="preserve">        473K           473K            30K</t>
  </si>
  <si>
    <t>92EcDYWSA9YRhtmPWzUFqPyzDfkjF7AkF8AxVJt5LXYM</t>
  </si>
  <si>
    <t>SYDNEY</t>
  </si>
  <si>
    <t>2.597 SOL</t>
  </si>
  <si>
    <t>1.595 SOL</t>
  </si>
  <si>
    <t>159.29%</t>
  </si>
  <si>
    <t>18.10.2024 12:20:19</t>
  </si>
  <si>
    <t xml:space="preserve">          2M             2M           302K</t>
  </si>
  <si>
    <t>CUzSRjBvqFFq45mg6j9oyQrDxyUTHEKM2xqKzDkZpump</t>
  </si>
  <si>
    <t>-0.668 SOL</t>
  </si>
  <si>
    <t>-66.68%</t>
  </si>
  <si>
    <t>18.10.2024 11:43:12</t>
  </si>
  <si>
    <t>Pierre</t>
  </si>
  <si>
    <t>3,453,135</t>
  </si>
  <si>
    <t>18.10.2024 11:12:23</t>
  </si>
  <si>
    <t>Hmq5xGFTZsP7xpP4XseV7yy6xW7dJNzeaX1oBiZ9pump</t>
  </si>
  <si>
    <t>cat</t>
  </si>
  <si>
    <t>1,066,277</t>
  </si>
  <si>
    <t>18.10.2024 09:33:23</t>
  </si>
  <si>
    <t xml:space="preserve">        165K           165K             6K</t>
  </si>
  <si>
    <t>Ft2DavuS1ctcUV3cBJWB1BvD6v1zjjXMJD16VRBEpump</t>
  </si>
  <si>
    <t>Remilia</t>
  </si>
  <si>
    <t>9.956 SOL</t>
  </si>
  <si>
    <t>8.954 SOL</t>
  </si>
  <si>
    <t>893.54%</t>
  </si>
  <si>
    <t>18.10.2024 04:19:45</t>
  </si>
  <si>
    <t xml:space="preserve">        355K           355K           619K</t>
  </si>
  <si>
    <t>8wZvGcGePvWEa8tKQUYctMXFSkqS39scozVU9xBVrUjY</t>
  </si>
  <si>
    <t>WYAD</t>
  </si>
  <si>
    <t>6,751,026</t>
  </si>
  <si>
    <t>18.10.2024 02:39:23</t>
  </si>
  <si>
    <t>bAD7tmAHY6Tv9BvDdyFEHWDNHGpHkoQ4zepno3Ypump</t>
  </si>
  <si>
    <t>2,852,948</t>
  </si>
  <si>
    <t>17.10.2024 20:57:26</t>
  </si>
  <si>
    <t>8Xx9WENxx63nnAYURytFEz7E1RSoccAgnX6dJPZrpump</t>
  </si>
  <si>
    <t>Tilly</t>
  </si>
  <si>
    <t>0.001210</t>
  </si>
  <si>
    <t>13.059 SOL</t>
  </si>
  <si>
    <t>12.058 SOL</t>
  </si>
  <si>
    <t>1204.36%</t>
  </si>
  <si>
    <t>17.10.2024 17:10:32</t>
  </si>
  <si>
    <t xml:space="preserve">        107K           107K           198K</t>
  </si>
  <si>
    <t>HuiVprCHCucHUb5bX6EXFJd7wuwvdASFzzge4ahXpump</t>
  </si>
  <si>
    <t>ARLO</t>
  </si>
  <si>
    <t>885,585</t>
  </si>
  <si>
    <t>17.10.2024 17:00:42</t>
  </si>
  <si>
    <t xml:space="preserve">        199K           199K             8K</t>
  </si>
  <si>
    <t>DB3M5ggNLurVeSezKKJb68wEZrnodcPN4jCCFoBdcKG7</t>
  </si>
  <si>
    <t>BELUGA</t>
  </si>
  <si>
    <t>385,563</t>
  </si>
  <si>
    <t>17.10.2024 16:24:24</t>
  </si>
  <si>
    <t xml:space="preserve">        410K           410K             8K</t>
  </si>
  <si>
    <t>EcLwiJG3tvraFRG798JaUADgHcCn5zSVreHqxssUPCHd</t>
  </si>
  <si>
    <t>PWENG</t>
  </si>
  <si>
    <t>458,445</t>
  </si>
  <si>
    <t>17.10.2024 14:12:36</t>
  </si>
  <si>
    <t xml:space="preserve">        383K           383K            29K</t>
  </si>
  <si>
    <t>BwFLAzM1syXYCN7AjgAcHWvtsUzKjsyFGm7osxgXpump</t>
  </si>
  <si>
    <t>visionary</t>
  </si>
  <si>
    <t>2,578,729</t>
  </si>
  <si>
    <t>17.10.2024 13:06:22</t>
  </si>
  <si>
    <t xml:space="preserve">         68K            68K             5K</t>
  </si>
  <si>
    <t>HpHBvmVd9kaH1Pbowdtd2NvV22YrLHN4gdaXsWcrpump</t>
  </si>
  <si>
    <t>DOGEAI</t>
  </si>
  <si>
    <t>10,259,516</t>
  </si>
  <si>
    <t>17.10.2024 09:15:31</t>
  </si>
  <si>
    <t xml:space="preserve">         18K            18K             2K</t>
  </si>
  <si>
    <t>2q6rHzSoFjX5vaSVZZpwF6my5kRqKzuS4Fq6KepsVw5X</t>
  </si>
  <si>
    <t>PRIMATE</t>
  </si>
  <si>
    <t>346,213</t>
  </si>
  <si>
    <t>17.10.2024 05:57:23</t>
  </si>
  <si>
    <t xml:space="preserve">        508K           508K            21K</t>
  </si>
  <si>
    <t>AoXEBwwGfwHxjQmBKKTADYLQXRPm8MRBKbaSEyzppump</t>
  </si>
  <si>
    <t>2,939,764</t>
  </si>
  <si>
    <t>17.10.2024 02:09:21</t>
  </si>
  <si>
    <t xml:space="preserve">         60K            60K             6K</t>
  </si>
  <si>
    <t>3EGgCWdws6XBbR5Xd4wwsm9V4Xe4Zbmgf2uBG4rnpump</t>
  </si>
  <si>
    <t>0.801 SOL</t>
  </si>
  <si>
    <t>-20.01%</t>
  </si>
  <si>
    <t>17.10.2024 01:32:33</t>
  </si>
  <si>
    <t xml:space="preserve">        141K           141K            14K</t>
  </si>
  <si>
    <t>5cvA4oDAWVErN7cV2hen6We5pZ2hWEAzuLw9TSKbpump</t>
  </si>
  <si>
    <t>CLIMP</t>
  </si>
  <si>
    <t>4.492 SOL</t>
  </si>
  <si>
    <t>3.490 SOL</t>
  </si>
  <si>
    <t>348.44%</t>
  </si>
  <si>
    <t>17.10.2024 01:32:22</t>
  </si>
  <si>
    <t xml:space="preserve">        157K           157K            86K</t>
  </si>
  <si>
    <t>GQaDVLoi9xe2eQcKqC5c11vRxJWu5askVty1dmzmoy8k</t>
  </si>
  <si>
    <t>isaac</t>
  </si>
  <si>
    <t>-0.68%</t>
  </si>
  <si>
    <t>17.10.2024 01:29:54</t>
  </si>
  <si>
    <t xml:space="preserve">         90K            90K            10K</t>
  </si>
  <si>
    <t>GTiMaW6FNPLrWNVLYk5KkLApxiHvCwbGr9KdueGypump</t>
  </si>
  <si>
    <t>SOLTARD</t>
  </si>
  <si>
    <t>154,006</t>
  </si>
  <si>
    <t>17.10.2024 00:03:23</t>
  </si>
  <si>
    <t xml:space="preserve">        114K           114K             2K</t>
  </si>
  <si>
    <t>67BmfpqPw8Z26FKgiGqVvBi7s2DpHuM5qQjE5RQMzUxW</t>
  </si>
  <si>
    <t>PUPTOBER</t>
  </si>
  <si>
    <t>821,693</t>
  </si>
  <si>
    <t>16.10.2024 23:36:29</t>
  </si>
  <si>
    <t xml:space="preserve">        215K           215K             4K</t>
  </si>
  <si>
    <t>XrD13DAb5gYfgUMcHXbXqZqtFQo5XgNRj8jwzeLpump</t>
  </si>
  <si>
    <t>Payne</t>
  </si>
  <si>
    <t>1,034,449</t>
  </si>
  <si>
    <t>16.10.2024 22:45:27</t>
  </si>
  <si>
    <t>HmzD3xcEcc7X8QWXYTyPK6aZnYxAb93tDRdzQEPYY7Hi</t>
  </si>
  <si>
    <t>HORSEBIZ</t>
  </si>
  <si>
    <t>869,618</t>
  </si>
  <si>
    <t>16.10.2024 21:15:32</t>
  </si>
  <si>
    <t xml:space="preserve">        201K           201K            36K</t>
  </si>
  <si>
    <t>5Pbbcu14NJ1QVnVoyUPLeZQFvXunavL4AACFaXLpw47B</t>
  </si>
  <si>
    <t>TAIL</t>
  </si>
  <si>
    <t>5,879</t>
  </si>
  <si>
    <t>16.10.2024 20:57:21</t>
  </si>
  <si>
    <t xml:space="preserve">         23M            23M             55</t>
  </si>
  <si>
    <t>66hSCYqzkKmRzA1NLXbyLQwcWWgkTi4cT8riSgvPCyV6</t>
  </si>
  <si>
    <t>MSGA</t>
  </si>
  <si>
    <t>866,530</t>
  </si>
  <si>
    <t>16.10.2024 20:27:30</t>
  </si>
  <si>
    <t xml:space="preserve">        202K           202K             3K</t>
  </si>
  <si>
    <t>MsgauVazmaYiCa8MLxUoG6owtUCNBgPk5Ntozd6Qawa</t>
  </si>
  <si>
    <t>CDS</t>
  </si>
  <si>
    <t>442,164</t>
  </si>
  <si>
    <t>16.10.2024 19:12:23</t>
  </si>
  <si>
    <t xml:space="preserve">        397K           397K             6K</t>
  </si>
  <si>
    <t>HNZwnNQqoTvnS452UF8BPmRHetu3xvySuQCAEP7npump</t>
  </si>
  <si>
    <t>CLANKA</t>
  </si>
  <si>
    <t>4,110,509</t>
  </si>
  <si>
    <t>16.10.2024 19:03:25</t>
  </si>
  <si>
    <t xml:space="preserve">         42K            42K            17K</t>
  </si>
  <si>
    <t>E4zf5YrNZJzd5U8L57wqTnCR7ftCasFyGKUMpCTdpump</t>
  </si>
  <si>
    <t>stinkgen</t>
  </si>
  <si>
    <t>5.803 SOL</t>
  </si>
  <si>
    <t>4.801 SOL</t>
  </si>
  <si>
    <t>479.37%</t>
  </si>
  <si>
    <t>16.10.2024 18:20:44</t>
  </si>
  <si>
    <t xml:space="preserve">        178K           178K            18K</t>
  </si>
  <si>
    <t>5PHGgTLR82QS66HGbRrJDr6GxbgNFHLJ4fwJD3rdpump</t>
  </si>
  <si>
    <t>$MOBY</t>
  </si>
  <si>
    <t>17,242</t>
  </si>
  <si>
    <t>16.10.2024 18:03:22</t>
  </si>
  <si>
    <t>D24McsHsXN14EfPKEzFvDm65ujwVYWk5PNWVuJNWzLHe</t>
  </si>
  <si>
    <t>5,829</t>
  </si>
  <si>
    <t>16.10.2024 17:46:13</t>
  </si>
  <si>
    <t>EaYfc2165CGCdX73xibTu7xGYhjKJCbs9todS5EtejtH</t>
  </si>
  <si>
    <t>3,963,828</t>
  </si>
  <si>
    <t>16.10.2024 16:45:34</t>
  </si>
  <si>
    <t xml:space="preserve">         44K            44K             4K</t>
  </si>
  <si>
    <t>FkFj73tdxwR5qVrp2WxaYmEkesEV2sf7KVs4HQjEpump</t>
  </si>
  <si>
    <t>2,796,314</t>
  </si>
  <si>
    <t>16.10.2024 15:48:25</t>
  </si>
  <si>
    <t>PEPEAI</t>
  </si>
  <si>
    <t>667,125</t>
  </si>
  <si>
    <t>16.10.2024 13:48:24</t>
  </si>
  <si>
    <t xml:space="preserve">        261K           261K             5K</t>
  </si>
  <si>
    <t>qWk29vM8KGYKBnBfgXCjThfzzXf6ry6X874bARRpump</t>
  </si>
  <si>
    <t>PETE</t>
  </si>
  <si>
    <t>5,131,409</t>
  </si>
  <si>
    <t>16.10.2024 12:51:22</t>
  </si>
  <si>
    <t xml:space="preserve">         33K            33K            10K</t>
  </si>
  <si>
    <t>2iHPMyLKDwFjYQP4B9nLNQKjX4bPYCMGy2KuRZMmpump</t>
  </si>
  <si>
    <t>TAYLUR</t>
  </si>
  <si>
    <t>3,598,076</t>
  </si>
  <si>
    <t>16.10.2024 10:18:22</t>
  </si>
  <si>
    <t>Dtn3jm4mRQdqEMA6Ub96L7agyniJUMTUdEYgVViBpump</t>
  </si>
  <si>
    <t>CATAI</t>
  </si>
  <si>
    <t>443,255</t>
  </si>
  <si>
    <t>16.10.2024 10:06:25</t>
  </si>
  <si>
    <t xml:space="preserve">        398K           398K            16K</t>
  </si>
  <si>
    <t>2T7TigEJc6pAzy4q7GkDZbhLoigmWUS3dJApg6Ropump</t>
  </si>
  <si>
    <t>SULLIVAN</t>
  </si>
  <si>
    <t>3,755,349</t>
  </si>
  <si>
    <t>16.10.2024 09:57:17</t>
  </si>
  <si>
    <t>GbKNJGm5pYLX8Kc3qYmh9cozMNK6wWZwjDiBCaqcpump</t>
  </si>
  <si>
    <t>258,355</t>
  </si>
  <si>
    <t>16.10.2024 09:42:28</t>
  </si>
  <si>
    <t>73LsT1ay85UgSvbUB3p9ZDxknB7UaWwATGXcg9rMpump</t>
  </si>
  <si>
    <t>711,469</t>
  </si>
  <si>
    <t>16.10.2024 08:03:32</t>
  </si>
  <si>
    <t xml:space="preserve">        248K           248K             8K</t>
  </si>
  <si>
    <t>QUACK</t>
  </si>
  <si>
    <t>16.10.2024 06:33:22</t>
  </si>
  <si>
    <t>EhuPypJBb9ocHn8APiCWEmQjhqBmDkWDGVX7H9p1pump</t>
  </si>
  <si>
    <t>MOW</t>
  </si>
  <si>
    <t>533</t>
  </si>
  <si>
    <t>16.10.2024 05:15:30</t>
  </si>
  <si>
    <t>4RXz1roYHfv7UMeuKhCCbr8c519ntktkFiArCXCCpump</t>
  </si>
  <si>
    <t>1,894,573</t>
  </si>
  <si>
    <t>16.10.2024 05:09:20</t>
  </si>
  <si>
    <t>$MONKAS</t>
  </si>
  <si>
    <t>2,737</t>
  </si>
  <si>
    <t>16.10.2024 04:03:18</t>
  </si>
  <si>
    <t>BQedNRMwBsgMh6wWupC8bFfaS3dLBSNrWF3sFoYKpump</t>
  </si>
  <si>
    <t>Tamagotchi</t>
  </si>
  <si>
    <t>869,730</t>
  </si>
  <si>
    <t>16.10.2024 03:27:26</t>
  </si>
  <si>
    <t xml:space="preserve">        202K           202K             6K</t>
  </si>
  <si>
    <t>ExAmXuCUGSJArR9cFYHTRr3TiA7Jn9cfFZgJcL4Kpump</t>
  </si>
  <si>
    <t>647,226</t>
  </si>
  <si>
    <t>16.10.2024 03:00:35</t>
  </si>
  <si>
    <t xml:space="preserve">        273K           273K            49K</t>
  </si>
  <si>
    <t>PARKSAI</t>
  </si>
  <si>
    <t>1,205,736</t>
  </si>
  <si>
    <t>16.10.2024 02:06:30</t>
  </si>
  <si>
    <t xml:space="preserve">        146K           146K            10K</t>
  </si>
  <si>
    <t>3P975i1iZF5oYrvzpbmdE41CpuHAEbdvGYe5DdTZpump</t>
  </si>
  <si>
    <t>NNN</t>
  </si>
  <si>
    <t>10,192,901</t>
  </si>
  <si>
    <t>16.10.2024 01:03:22</t>
  </si>
  <si>
    <t xml:space="preserve">         18K            18K             9K</t>
  </si>
  <si>
    <t>vwkxnY1gUFMYZpHx4pBvpDAdwbZPQfSc8zLkFczpump</t>
  </si>
  <si>
    <t>programmed</t>
  </si>
  <si>
    <t>781,338</t>
  </si>
  <si>
    <t>16.10.2024 00:57:21</t>
  </si>
  <si>
    <t xml:space="preserve">        225K           225K             7K</t>
  </si>
  <si>
    <t>3AQeACYHAMCA6JLYg7j4VBfHEtMAE5nVq47YSVuRpump</t>
  </si>
  <si>
    <t>SOUNWIRE</t>
  </si>
  <si>
    <t>1,988,541</t>
  </si>
  <si>
    <t>16.10.2024 00:45:28</t>
  </si>
  <si>
    <t xml:space="preserve">         88K            88K            11K</t>
  </si>
  <si>
    <t>BbakUCxXyqgR5PtuyLHcweDpPSUw8WwysEkL2cUCpump</t>
  </si>
  <si>
    <t>truthcat</t>
  </si>
  <si>
    <t>2,322,493</t>
  </si>
  <si>
    <t>15.10.2024 23:57:20</t>
  </si>
  <si>
    <t>5nrA5WTQNHpEjYpyBv8cSM97rM4tWVzSBzuCSdknpump</t>
  </si>
  <si>
    <t>dogintosh</t>
  </si>
  <si>
    <t>7,546,266</t>
  </si>
  <si>
    <t>15.10.2024 21:57:23</t>
  </si>
  <si>
    <t xml:space="preserve">         23K            23K             3K</t>
  </si>
  <si>
    <t>8YDtbWhnb2qVAaXHkoioPoiB8DmcAQf7BQTqEUSGpump</t>
  </si>
  <si>
    <t>pikel</t>
  </si>
  <si>
    <t>2,626,096</t>
  </si>
  <si>
    <t>15.10.2024 21:30:35</t>
  </si>
  <si>
    <t xml:space="preserve">         67K            67K             8K</t>
  </si>
  <si>
    <t>HodgC15hoJtDykKCxfjdz7YntYsoVAUXVyDvSbGYpump</t>
  </si>
  <si>
    <t>BWULL</t>
  </si>
  <si>
    <t>942,863</t>
  </si>
  <si>
    <t>15.10.2024 20:54:33</t>
  </si>
  <si>
    <t xml:space="preserve">        186K           186K             4K</t>
  </si>
  <si>
    <t>7oKUJj6RVpPdpyDVtqm9L2P5SbzxDeKmQjr2rqeqpump</t>
  </si>
  <si>
    <t>MCAP</t>
  </si>
  <si>
    <t>478,631</t>
  </si>
  <si>
    <t>15.10.2024 14:12:22</t>
  </si>
  <si>
    <t xml:space="preserve">        368K           368K             5K</t>
  </si>
  <si>
    <t>D2WgVsM5YycKd9w8oxf7zCDvwYCcYCvhmuj29SWgpump</t>
  </si>
  <si>
    <t>FEIN</t>
  </si>
  <si>
    <t>1,652,578</t>
  </si>
  <si>
    <t>15.10.2024 11:57:29</t>
  </si>
  <si>
    <t xml:space="preserve">        107K           107K            26K</t>
  </si>
  <si>
    <t>8Y9TgC6vbgDGgsqFBY621Xg7BmdTZfYhqyg397hopump</t>
  </si>
  <si>
    <t>2,079,343</t>
  </si>
  <si>
    <t>15.10.2024 10:51:23</t>
  </si>
  <si>
    <t xml:space="preserve">         84K            84K             6K</t>
  </si>
  <si>
    <t>62vioY8kNCSYsZuhjLhkMNoDcvm2BPDkQ6xqxjG9pump</t>
  </si>
  <si>
    <t>Lu</t>
  </si>
  <si>
    <t>7,286,390</t>
  </si>
  <si>
    <t>15.10.2024 09:12:24</t>
  </si>
  <si>
    <t xml:space="preserve">         25K            25K            11K</t>
  </si>
  <si>
    <t>H7jz5tmUxhGzeQZviiuZZXsvH3EBUM83G2PghABNpump</t>
  </si>
  <si>
    <t>Faust</t>
  </si>
  <si>
    <t>486,760</t>
  </si>
  <si>
    <t>15.10.2024 08:27:22</t>
  </si>
  <si>
    <t xml:space="preserve">        361K           361K            11K</t>
  </si>
  <si>
    <t>A8LoZLyrQ1kdL3iCXrHw39R8PfWBRaMaPSdDpr2rpump</t>
  </si>
  <si>
    <t>SARAH</t>
  </si>
  <si>
    <t>2,965,666</t>
  </si>
  <si>
    <t>15.10.2024 08:15:23</t>
  </si>
  <si>
    <t xml:space="preserve">         60K            60K             4K</t>
  </si>
  <si>
    <t>GaqX4csCa1G22jWbpgVsHHKf5qDM81JLnaE8qCEkpump</t>
  </si>
  <si>
    <t>$DOLAN</t>
  </si>
  <si>
    <t>1,109</t>
  </si>
  <si>
    <t>15.10.2024 06:12:18</t>
  </si>
  <si>
    <t>r6UMK79ckAJhU5vysdPqwVDFRPBzdRB48orQtmapump</t>
  </si>
  <si>
    <t>IOLY</t>
  </si>
  <si>
    <t>500,405</t>
  </si>
  <si>
    <t>15.10.2024 06:09:20</t>
  </si>
  <si>
    <t xml:space="preserve">        352K           352K            52K</t>
  </si>
  <si>
    <t>DPEPsFbcwLhNQP9RWZDCaQUnDtdRjRCAom5gLWa5pump</t>
  </si>
  <si>
    <t>Ω</t>
  </si>
  <si>
    <t>1,827,537</t>
  </si>
  <si>
    <t>15.10.2024 05:24:23</t>
  </si>
  <si>
    <t xml:space="preserve">         97K            97K            32K</t>
  </si>
  <si>
    <t>6zkouG5zqG4PF46owybDUF3QhMKtnzEiwA1D2BNtpump</t>
  </si>
  <si>
    <t>PAC</t>
  </si>
  <si>
    <t>0.001620</t>
  </si>
  <si>
    <t>5.679 SOL</t>
  </si>
  <si>
    <t>4.677 SOL</t>
  </si>
  <si>
    <t>466.98%</t>
  </si>
  <si>
    <t>09.10.2024 14:55:31</t>
  </si>
  <si>
    <t xml:space="preserve">        487K             4M             5K</t>
  </si>
  <si>
    <t>DeTUi1JbC2q31jfR9Qc1zoJjaNFmw1hgWBXxGQKvpump</t>
  </si>
  <si>
    <t>KPOP</t>
  </si>
  <si>
    <t>0.010110</t>
  </si>
  <si>
    <t>0.988 SOL</t>
  </si>
  <si>
    <t>4.235 SOL</t>
  </si>
  <si>
    <t>3.237 SOL</t>
  </si>
  <si>
    <t>324.32%</t>
  </si>
  <si>
    <t>09.10.2024 11:30:50</t>
  </si>
  <si>
    <t xml:space="preserve">        131K           697K           103K</t>
  </si>
  <si>
    <t>FfCht1iLfyWC8hcQDG4oZ8wp9uKshRJkzjWxn2kKocnH</t>
  </si>
  <si>
    <t>TOOTSIE</t>
  </si>
  <si>
    <t>984,812</t>
  </si>
  <si>
    <t>09.10.2024 10:03:20</t>
  </si>
  <si>
    <t xml:space="preserve">        179K           179K             4K</t>
  </si>
  <si>
    <t>J4Xqse53y3shAo4sm7HZV9jP5mNsHXnHmdoUnTr5pump</t>
  </si>
  <si>
    <t>SUIFY</t>
  </si>
  <si>
    <t>1,254</t>
  </si>
  <si>
    <t>09.10.2024 08:12:17</t>
  </si>
  <si>
    <t>51FH2uTnsHRiZC2CjfaARCt2qXR9gmufqGWLYU84pump</t>
  </si>
  <si>
    <t>Hacker</t>
  </si>
  <si>
    <t>5,195,332</t>
  </si>
  <si>
    <t>09.10.2024 04:03:21</t>
  </si>
  <si>
    <t>FKGAW8KfDwKTUUyVCmorA7qrrQMCdLa2VVSJDYEnpump</t>
  </si>
  <si>
    <t>Moxi</t>
  </si>
  <si>
    <t>2,365,191</t>
  </si>
  <si>
    <t>09.10.2024 03:45:27</t>
  </si>
  <si>
    <t>9GMDH5YTK29ZjR6WCGJnjwKYcrB8prarRW66CsGgpump</t>
  </si>
  <si>
    <t>via</t>
  </si>
  <si>
    <t>0.796 SOL</t>
  </si>
  <si>
    <t>-0.205 SOL</t>
  </si>
  <si>
    <t>-20.45%</t>
  </si>
  <si>
    <t>09.10.2024 02:12:21</t>
  </si>
  <si>
    <t xml:space="preserve">        127K           361K             4K</t>
  </si>
  <si>
    <t>7h46Jd4i93rRaFWYwUc8wyB9HVqrcT4YESeUeuXYpump</t>
  </si>
  <si>
    <t>MOM</t>
  </si>
  <si>
    <t>3,701,201</t>
  </si>
  <si>
    <t>09.10.2024 01:51:22</t>
  </si>
  <si>
    <t>547g8dPbZEhry9CLyxTTxafaq6H8QJYjdZsyJnnex79P</t>
  </si>
  <si>
    <t>BURNS</t>
  </si>
  <si>
    <t>3,314,655</t>
  </si>
  <si>
    <t>09.10.2024 00:33:16</t>
  </si>
  <si>
    <t xml:space="preserve">         53K            53K             3K</t>
  </si>
  <si>
    <t>7kPbpfqRd4Zony7utXNTsT1gW8NVT2YWz9448A84HPfq</t>
  </si>
  <si>
    <t>WAAS</t>
  </si>
  <si>
    <t>2.686 SOL</t>
  </si>
  <si>
    <t>1.685 SOL</t>
  </si>
  <si>
    <t>168.34%</t>
  </si>
  <si>
    <t>08.10.2024 23:10:30</t>
  </si>
  <si>
    <t xml:space="preserve">        241K             1M            19K</t>
  </si>
  <si>
    <t>6R3cyLUa8PmYo3Xk29bRXxGeVHSYF8RYrAsikeSwpump</t>
  </si>
  <si>
    <t>PeterTodd</t>
  </si>
  <si>
    <t>33,320</t>
  </si>
  <si>
    <t>08.10.2024 22:39:25</t>
  </si>
  <si>
    <t xml:space="preserve">          5M             5M            26K</t>
  </si>
  <si>
    <t>8oAiUkC1gpr4Tuz3ZA7YUntWE47sop1fYmGWo4Zrpump</t>
  </si>
  <si>
    <t>939,382</t>
  </si>
  <si>
    <t>08.10.2024 22:36:15</t>
  </si>
  <si>
    <t>HK418jcNTPpdenup4krTspiSA56QwgjRXMf6h2Wwpump</t>
  </si>
  <si>
    <t>1,163,019</t>
  </si>
  <si>
    <t>08.10.2024 21:27:17</t>
  </si>
  <si>
    <t xml:space="preserve">        151K           151K             4K</t>
  </si>
  <si>
    <t>9PwmbpEVjz45bfuCJ7ATr6seArTzwf77o8tY6HnKpump</t>
  </si>
  <si>
    <t>MOZUKU</t>
  </si>
  <si>
    <t>414,642</t>
  </si>
  <si>
    <t>08.10.2024 19:42:33</t>
  </si>
  <si>
    <t xml:space="preserve">        423K           423K             5K</t>
  </si>
  <si>
    <t>FJvmeqEf8HkQVatYiMV57wN4q8tML1Hg5M7ze87Fpump</t>
  </si>
  <si>
    <t>Mozuku</t>
  </si>
  <si>
    <t>3,339,170</t>
  </si>
  <si>
    <t>08.10.2024 19:42:24</t>
  </si>
  <si>
    <t>4nLo1aNSBqopjxg8uNYTJMmcGWxkSEw6fBHHGxsTpump</t>
  </si>
  <si>
    <t>6,363,287</t>
  </si>
  <si>
    <t>08.10.2024 19:39:18</t>
  </si>
  <si>
    <t>2NmCEfz2nAZ1WfMNY4ECSquL1Ped5srfpebzD57w7eia</t>
  </si>
  <si>
    <t>SATOSHI</t>
  </si>
  <si>
    <t>324,057</t>
  </si>
  <si>
    <t>08.10.2024 19:09:18</t>
  </si>
  <si>
    <t xml:space="preserve">        542K           542K             5K</t>
  </si>
  <si>
    <t>H5Cr4Kf7jmnCHuFN7H4bJYT5pfKAhHtU1JaRMzBspump</t>
  </si>
  <si>
    <t>Todd</t>
  </si>
  <si>
    <t>2,439,058</t>
  </si>
  <si>
    <t>08.10.2024 19:03:24</t>
  </si>
  <si>
    <t>67yCqFSCAHnSKYh8r1GRwTGA4sTpUPfwRbsxT2pLpump</t>
  </si>
  <si>
    <t>vili</t>
  </si>
  <si>
    <t>3,289,201</t>
  </si>
  <si>
    <t>08.10.2024 18:45:20</t>
  </si>
  <si>
    <t>Fzeox4Jc7QGbEBsC4ziS5GxycSP3aYJ34yPxTEpZpump</t>
  </si>
  <si>
    <t>IRS</t>
  </si>
  <si>
    <t>1.738 SOL</t>
  </si>
  <si>
    <t>173.43%</t>
  </si>
  <si>
    <t>08.10.2024 16:40:35</t>
  </si>
  <si>
    <t xml:space="preserve">         76K           776K            92K</t>
  </si>
  <si>
    <t>4y5fknXiRc8pJSTiNAzLmCum7LmzctRjxZWc1qtmpump</t>
  </si>
  <si>
    <t>2.841 SOL</t>
  </si>
  <si>
    <t>1.840 SOL</t>
  </si>
  <si>
    <t>183.80%</t>
  </si>
  <si>
    <t>08.10.2024 15:55:28</t>
  </si>
  <si>
    <t xml:space="preserve">         42K           245K            10K</t>
  </si>
  <si>
    <t>4.024 SOL</t>
  </si>
  <si>
    <t>3.022 SOL</t>
  </si>
  <si>
    <t>301.56%</t>
  </si>
  <si>
    <t>08.10.2024 15:50:30</t>
  </si>
  <si>
    <t xml:space="preserve">        214K             2M             9K</t>
  </si>
  <si>
    <t>AY4AxLZaqZ6XAt3GhUnqreBH1DM7YzqAsoqQ8KmJpump</t>
  </si>
  <si>
    <t>AIRCAT</t>
  </si>
  <si>
    <t>0.993 SOL</t>
  </si>
  <si>
    <t>-0.998 SOL</t>
  </si>
  <si>
    <t>2,237,457</t>
  </si>
  <si>
    <t>08.10.2024 14:39:21</t>
  </si>
  <si>
    <t xml:space="preserve">         77K            77K             5K</t>
  </si>
  <si>
    <t>rd3gw8zV94tQUUQjQUVe4qoGjLsfapR9uLT5wdeT4Bv</t>
  </si>
  <si>
    <t>S&amp;P500</t>
  </si>
  <si>
    <t>1.505 SOL</t>
  </si>
  <si>
    <t>50.23%</t>
  </si>
  <si>
    <t>08.10.2024 12:35:23</t>
  </si>
  <si>
    <t xml:space="preserve">         42K           195K             5K</t>
  </si>
  <si>
    <t>CWmqNsMiynUfmo8E71kDzBofKu4tPAzrpE55gwiCpump</t>
  </si>
  <si>
    <t>PIXCAT</t>
  </si>
  <si>
    <t>1.957 SOL</t>
  </si>
  <si>
    <t>0.955 SOL</t>
  </si>
  <si>
    <t>95.34%</t>
  </si>
  <si>
    <t>08.10.2024 11:55:27</t>
  </si>
  <si>
    <t xml:space="preserve">         61K           291K           163K</t>
  </si>
  <si>
    <t>HWhmEAFjtHK35b4CjRSbdbhh2muqUpgeW4vzZZcbpump</t>
  </si>
  <si>
    <t>PIPO</t>
  </si>
  <si>
    <t>10,968,429</t>
  </si>
  <si>
    <t>08.10.2024 11:42:19</t>
  </si>
  <si>
    <t>BiWzdzQXKhDcb3LsGsBToyvmHnNy3acA1m85U5Yi2YEp</t>
  </si>
  <si>
    <t>sok</t>
  </si>
  <si>
    <t>876,291</t>
  </si>
  <si>
    <t>08.10.2024 08:09:19</t>
  </si>
  <si>
    <t xml:space="preserve">        201K           201K             7K</t>
  </si>
  <si>
    <t>4uzbSwHSJRA43VErKVPWnBySc3stG2CsDwypQ6xVpump</t>
  </si>
  <si>
    <t>FLON</t>
  </si>
  <si>
    <t>0.925 SOL</t>
  </si>
  <si>
    <t>-7.64%</t>
  </si>
  <si>
    <t>08.10.2024 05:00:35</t>
  </si>
  <si>
    <t xml:space="preserve">         94K           113K             4K</t>
  </si>
  <si>
    <t>2DnQiJLsqpbs9VMKsrqMsja9ffPySYaF1JAxLgHxpump</t>
  </si>
  <si>
    <t>4.434 SOL</t>
  </si>
  <si>
    <t>3.432 SOL</t>
  </si>
  <si>
    <t>342.67%</t>
  </si>
  <si>
    <t>08.10.2024 04:15:25</t>
  </si>
  <si>
    <t xml:space="preserve">         30K           272K             5K</t>
  </si>
  <si>
    <t>9GuuVDvmMijVqa6nojZtJpgyEVDYpz4FKpSWfzSEpump</t>
  </si>
  <si>
    <t>3,195,773</t>
  </si>
  <si>
    <t>08.10.2024 01:45:23</t>
  </si>
  <si>
    <t>2Bj3YDphkwBr4PuF3QJPEusyLXwVTgsQ9ezn7PD3pump</t>
  </si>
  <si>
    <t>CTO</t>
  </si>
  <si>
    <t>-0.997 SOL</t>
  </si>
  <si>
    <t>-99.90%</t>
  </si>
  <si>
    <t>07.10.2024 21:45:21</t>
  </si>
  <si>
    <t xml:space="preserve">         33K            47K             4K</t>
  </si>
  <si>
    <t>5J8fthTzJZ25BzTucmFkCn2QvpxEJVUQ6ft7xaDWybLo</t>
  </si>
  <si>
    <t>sis</t>
  </si>
  <si>
    <t>1.884 SOL</t>
  </si>
  <si>
    <t>0.883 SOL</t>
  </si>
  <si>
    <t>88.12%</t>
  </si>
  <si>
    <t>07.10.2024 20:50:25</t>
  </si>
  <si>
    <t xml:space="preserve">         65K           286K            11K</t>
  </si>
  <si>
    <t>s88MQrEmdBgaFMskQW2jKvm1Spfoe1bVyYMKbc1pump</t>
  </si>
  <si>
    <t>zen</t>
  </si>
  <si>
    <t>2.96%</t>
  </si>
  <si>
    <t>07.10.2024 17:42:20</t>
  </si>
  <si>
    <t xml:space="preserve">         53K           107K             4K</t>
  </si>
  <si>
    <t>5cNxrzqzcSKDtKNXAUsm9WDGFNiT8wqz4zyFt3iApump</t>
  </si>
  <si>
    <t>PAUL</t>
  </si>
  <si>
    <t>1.146 SOL</t>
  </si>
  <si>
    <t>0.145 SOL</t>
  </si>
  <si>
    <t>14.52%</t>
  </si>
  <si>
    <t>07.10.2024 16:45:19</t>
  </si>
  <si>
    <t xml:space="preserve">         72K           102K             4K</t>
  </si>
  <si>
    <t>26bx1XK57MFrEdmVVUTEgsNgiy6MouCtcqT65rn1pump</t>
  </si>
  <si>
    <t>REXIE</t>
  </si>
  <si>
    <t>555,289</t>
  </si>
  <si>
    <t>07.10.2024 15:18:22</t>
  </si>
  <si>
    <t xml:space="preserve">        317K           317K             4K</t>
  </si>
  <si>
    <t>5iU3Y5ckr6urU1q3mDDKifBPQsabrEPDpFt3u9Nfpump</t>
  </si>
  <si>
    <t>MARTTI</t>
  </si>
  <si>
    <t>801,076</t>
  </si>
  <si>
    <t>07.10.2024 14:57:18</t>
  </si>
  <si>
    <t xml:space="preserve">        220K           220K             5K</t>
  </si>
  <si>
    <t>G2XJk3yq1YNJJR26c9s3eJGkzTCMKYkLohAbTwcwpump</t>
  </si>
  <si>
    <t>Vote4Me</t>
  </si>
  <si>
    <t>-1.003 SOL</t>
  </si>
  <si>
    <t>4,770,144</t>
  </si>
  <si>
    <t>07.10.2024 12:45:25</t>
  </si>
  <si>
    <t xml:space="preserve">         35K            35K             3K</t>
  </si>
  <si>
    <t>CrKGNwXqgiMNFgGDhjmrAmvpT1LHEWhSWE8ZkpfNA2h5</t>
  </si>
  <si>
    <t>HNoTHms1Jt7oy7eFPm3QH3ea9tKuoTg9GPzs5CTNkD6w</t>
  </si>
  <si>
    <t>1.30 SOL</t>
  </si>
  <si>
    <t>29%</t>
  </si>
  <si>
    <t>-16%</t>
  </si>
  <si>
    <t>-10.46 SOL</t>
  </si>
  <si>
    <t>1 (0%)</t>
  </si>
  <si>
    <t>29 days</t>
  </si>
  <si>
    <t>6.55 SOL</t>
  </si>
  <si>
    <t>236</t>
  </si>
  <si>
    <t>1.3%</t>
  </si>
  <si>
    <t>8.0%</t>
  </si>
  <si>
    <t>5.5%</t>
  </si>
  <si>
    <t>13.9%</t>
  </si>
  <si>
    <t>13.5%</t>
  </si>
  <si>
    <t>57.8%</t>
  </si>
  <si>
    <t>29</t>
  </si>
  <si>
    <t>6.5 SOL</t>
  </si>
  <si>
    <t>12.9 SOL</t>
  </si>
  <si>
    <t>3.4 SOL</t>
  </si>
  <si>
    <t>2.3 SOL</t>
  </si>
  <si>
    <t>-3.0 SOL</t>
  </si>
  <si>
    <t>-32.5 SOL</t>
  </si>
  <si>
    <t>53</t>
  </si>
  <si>
    <t>37</t>
  </si>
  <si>
    <t>85.5K</t>
  </si>
  <si>
    <t>FCHUNG</t>
  </si>
  <si>
    <t>-0.717 SOL</t>
  </si>
  <si>
    <t>-68.91%</t>
  </si>
  <si>
    <t>30.10.2024 20:47:04</t>
  </si>
  <si>
    <t xml:space="preserve">         18K            21K             6K</t>
  </si>
  <si>
    <t>4JuM1RNjXWQWBBGzP6dJykRGCwxiuJ1w3kgczbdKpump</t>
  </si>
  <si>
    <t>KD</t>
  </si>
  <si>
    <t>-0.282 SOL</t>
  </si>
  <si>
    <t>1,900,298</t>
  </si>
  <si>
    <t>30.10.2024 20:41:59</t>
  </si>
  <si>
    <t xml:space="preserve">         25K            25K            29K</t>
  </si>
  <si>
    <t>2FE7XDgAt2RQZziL5oR8sdyNtdPUXNjQ5TEbcqcdpump</t>
  </si>
  <si>
    <t>368,513</t>
  </si>
  <si>
    <t>30.10.2024 19:33:36</t>
  </si>
  <si>
    <t xml:space="preserve">        118K           118K            15K</t>
  </si>
  <si>
    <t>goldie</t>
  </si>
  <si>
    <t>288,953</t>
  </si>
  <si>
    <t xml:space="preserve">        151K           151K            33K</t>
  </si>
  <si>
    <t>43Kda9a6X6eMqehQ3vTj1oqVdXqF7j4k6T8zzJAwpump</t>
  </si>
  <si>
    <t>0.199 SOL</t>
  </si>
  <si>
    <t>37.28%</t>
  </si>
  <si>
    <t>30.10.2024 17:39:37</t>
  </si>
  <si>
    <t xml:space="preserve">        442K           203K           303K</t>
  </si>
  <si>
    <t>0.618 SOL</t>
  </si>
  <si>
    <t>130.84%</t>
  </si>
  <si>
    <t>30.10.2024 17:37:56</t>
  </si>
  <si>
    <t>992,312</t>
  </si>
  <si>
    <t>30.10.2024 15:32:44</t>
  </si>
  <si>
    <t xml:space="preserve">         48K            48K             4K</t>
  </si>
  <si>
    <t>Fw8wvevZL6avDfHd4euv6PAq15unDmAYWq7abBAUpump</t>
  </si>
  <si>
    <t>PUMPFUN</t>
  </si>
  <si>
    <t>-0.208 SOL</t>
  </si>
  <si>
    <t>1,734,911</t>
  </si>
  <si>
    <t>30.10.2024 15:22:14</t>
  </si>
  <si>
    <t xml:space="preserve">         19K            19K             6K</t>
  </si>
  <si>
    <t>3Ts92KZw1C5VT5uQ2Uipe4SGHdMYnB9TtMa2AUHGpump</t>
  </si>
  <si>
    <t>113.85%</t>
  </si>
  <si>
    <t>30.10.2024 15:03:24</t>
  </si>
  <si>
    <t xml:space="preserve">        146K           146K           602K</t>
  </si>
  <si>
    <t>dorime</t>
  </si>
  <si>
    <t>156.35%</t>
  </si>
  <si>
    <t>29.10.2024 23:20:52</t>
  </si>
  <si>
    <t xml:space="preserve">         56K            56K           158K</t>
  </si>
  <si>
    <t>3cFVS5jQNVgFQxBJiuuZL1jKa3fs7uhCetjKHSSipump</t>
  </si>
  <si>
    <t>BITCOIN</t>
  </si>
  <si>
    <t>2,408,501</t>
  </si>
  <si>
    <t>29.10.2024 22:10:11</t>
  </si>
  <si>
    <t>EbEHdS7H89nM7vDPRG7rbCAX5EPDjihFG1bp217upump</t>
  </si>
  <si>
    <t>LONFO$</t>
  </si>
  <si>
    <t>-0.255 SOL</t>
  </si>
  <si>
    <t>632,178</t>
  </si>
  <si>
    <t>29.10.2024 21:45:23</t>
  </si>
  <si>
    <t xml:space="preserve">         64K            64K            24K</t>
  </si>
  <si>
    <t>ezw1GD382kbzp9TCAEmQD4aLnG58q653hN2Vx7HJkKs</t>
  </si>
  <si>
    <t>1,965,887</t>
  </si>
  <si>
    <t>29.10.2024 17:40:59</t>
  </si>
  <si>
    <t>9rcud8iDts7BWrMrf1onpSJLBuymE67VVaWzYJYMRXQ7</t>
  </si>
  <si>
    <t>Dominic</t>
  </si>
  <si>
    <t>0.216 SOL</t>
  </si>
  <si>
    <t>73.87%</t>
  </si>
  <si>
    <t>29.10.2024 16:19:41</t>
  </si>
  <si>
    <t>GvtfZHpUCvp1W5TCfqqRWvuRbEMrkYu1oFRL34Wqpump</t>
  </si>
  <si>
    <t>Yelo</t>
  </si>
  <si>
    <t>-60.59%</t>
  </si>
  <si>
    <t>29.10.2024 15:55:49</t>
  </si>
  <si>
    <t xml:space="preserve">          9K            40K             9K</t>
  </si>
  <si>
    <t>GAC88gYSjrTsSRjMKHH8JnFQmf7jBFcQs3BkHvH7pump</t>
  </si>
  <si>
    <t>0.410 SOL</t>
  </si>
  <si>
    <t>53.43%</t>
  </si>
  <si>
    <t>29.10.2024 14:33:47</t>
  </si>
  <si>
    <t xml:space="preserve">         70K           236K             9K</t>
  </si>
  <si>
    <t>RTR</t>
  </si>
  <si>
    <t>0.586 SOL</t>
  </si>
  <si>
    <t>14.15%</t>
  </si>
  <si>
    <t>29.10.2024 14:31:23</t>
  </si>
  <si>
    <t xml:space="preserve">         10M            10M            12M</t>
  </si>
  <si>
    <t>7G5DM7Jy7TMWKgH313tA3vF6AqHpbHP4TWZzpTVLWv9c</t>
  </si>
  <si>
    <t>subgenius</t>
  </si>
  <si>
    <t>716,409</t>
  </si>
  <si>
    <t>29.10.2024 14:15:14</t>
  </si>
  <si>
    <t>D19eugvwXv4hfwRrciyt75rTwwk8cVfL5AmSdYqopump</t>
  </si>
  <si>
    <t>53.87%</t>
  </si>
  <si>
    <t>29.10.2024 11:19:28</t>
  </si>
  <si>
    <t>9ZEDrZLeCcpvEd8SUMsm4xeHoVK4d64qccC4dxL5JWQ8</t>
  </si>
  <si>
    <t>biblical</t>
  </si>
  <si>
    <t>1,500,702</t>
  </si>
  <si>
    <t>29.10.2024 11:09:26</t>
  </si>
  <si>
    <t xml:space="preserve">         32K            32K             5K</t>
  </si>
  <si>
    <t>CaqhbeWDDDbdfCrGASa33YDDEU2WGidq7ph5xeAmpump</t>
  </si>
  <si>
    <t>looce</t>
  </si>
  <si>
    <t>510,656</t>
  </si>
  <si>
    <t>29.10.2024 04:33:07</t>
  </si>
  <si>
    <t xml:space="preserve">         84K            84K             9K</t>
  </si>
  <si>
    <t>BXNY4eC6eGpx7jMqnL6wGdVMDKCMQp73PgN7eG4ChEdp</t>
  </si>
  <si>
    <t>0.060030</t>
  </si>
  <si>
    <t>0.743 SOL</t>
  </si>
  <si>
    <t>0.731 SOL</t>
  </si>
  <si>
    <t>-0.071 SOL</t>
  </si>
  <si>
    <t>29.10.2024 02:49:33</t>
  </si>
  <si>
    <t xml:space="preserve">          1M             4M           393K</t>
  </si>
  <si>
    <t>-0.132 SOL</t>
  </si>
  <si>
    <t>1,222,526</t>
  </si>
  <si>
    <t>28.10.2024 23:03:22</t>
  </si>
  <si>
    <t>737uSyfj2ki1zkCwb7YFRrSKUo6DKJ3W7uDBNQrpump</t>
  </si>
  <si>
    <t>41,981</t>
  </si>
  <si>
    <t>28.10.2024 22:57:10</t>
  </si>
  <si>
    <t>PUMPISM</t>
  </si>
  <si>
    <t>1,765,782</t>
  </si>
  <si>
    <t>28.10.2024 21:27:29</t>
  </si>
  <si>
    <t xml:space="preserve">         25K            25K             3K</t>
  </si>
  <si>
    <t>AbhsbBeqYUabJeThQP9fFscSkuCicKG1wsh64M2Jpump</t>
  </si>
  <si>
    <t>CASTOR</t>
  </si>
  <si>
    <t>-0.191 SOL</t>
  </si>
  <si>
    <t>-36.46%</t>
  </si>
  <si>
    <t>28.10.2024 21:12:04</t>
  </si>
  <si>
    <t xml:space="preserve">        124K           192K             5K</t>
  </si>
  <si>
    <t>4su2qWj6wDaVRjQ2if5CcqX5g9LLbBLLpACD3rwWpump</t>
  </si>
  <si>
    <t>LIL</t>
  </si>
  <si>
    <t>321,070</t>
  </si>
  <si>
    <t>28.10.2024 20:47:52</t>
  </si>
  <si>
    <t>8QhZnAPjV4rsVFEg9fSqHPXDMaHx3yxKpfrKuY7wpump</t>
  </si>
  <si>
    <t>1.220 SOL</t>
  </si>
  <si>
    <t>236.81%</t>
  </si>
  <si>
    <t>28.10.2024 20:32:34</t>
  </si>
  <si>
    <t xml:space="preserve">        331K             2M            45K</t>
  </si>
  <si>
    <t>5pKzD7VCY27no9cN31dYvgzZMAWRPUUHL4xK75FYpump</t>
  </si>
  <si>
    <t>LUCIFER</t>
  </si>
  <si>
    <t>592,732</t>
  </si>
  <si>
    <t>28.10.2024 18:00:19</t>
  </si>
  <si>
    <t>Dz21CQ2VyTyqQigiFdGLENGkyKA1WZR9Y9sQ2XGjpump</t>
  </si>
  <si>
    <t>0.070040</t>
  </si>
  <si>
    <t>1.562 SOL</t>
  </si>
  <si>
    <t>92.27%</t>
  </si>
  <si>
    <t>27.10.2024 21:33:52</t>
  </si>
  <si>
    <t xml:space="preserve">        967K             1M           971K</t>
  </si>
  <si>
    <t>Cubeaism</t>
  </si>
  <si>
    <t>1.75%</t>
  </si>
  <si>
    <t>26.10.2024 21:07:32</t>
  </si>
  <si>
    <t>CJE2AZ9PiSeBMcBduJdQPxJbGzSExj3fmVQ6rKBpump</t>
  </si>
  <si>
    <t>clown</t>
  </si>
  <si>
    <t>1.468 SOL</t>
  </si>
  <si>
    <t>448.83%</t>
  </si>
  <si>
    <t>26.10.2024 20:01:20</t>
  </si>
  <si>
    <t xml:space="preserve">        153K           153K            36K</t>
  </si>
  <si>
    <t>FLcPDfEdzwB1Z3NgMB1FWqbiUhCLMXUzKt6i5C1Ypump</t>
  </si>
  <si>
    <t>125,670</t>
  </si>
  <si>
    <t>26.10.2024 14:00:32</t>
  </si>
  <si>
    <t xml:space="preserve">        346K           346K             8K</t>
  </si>
  <si>
    <t>Shadow</t>
  </si>
  <si>
    <t>383,926</t>
  </si>
  <si>
    <t>26.10.2024 03:06:52</t>
  </si>
  <si>
    <t xml:space="preserve">        112K           112K             4K</t>
  </si>
  <si>
    <t>CuvfotYCp78YzgNsEZVaTnKeMJf2eqEdiiSA6ywjpump</t>
  </si>
  <si>
    <t>91,495</t>
  </si>
  <si>
    <t>26.10.2024 02:02:47</t>
  </si>
  <si>
    <t xml:space="preserve">        476K           476K             9K</t>
  </si>
  <si>
    <t>761,372</t>
  </si>
  <si>
    <t>25.10.2024 22:38:08</t>
  </si>
  <si>
    <t>PEBBLE</t>
  </si>
  <si>
    <t>32.25%</t>
  </si>
  <si>
    <t>25.10.2024 20:34:42</t>
  </si>
  <si>
    <t xml:space="preserve">         88K           125K             5K</t>
  </si>
  <si>
    <t>TYWkp9uub8NW8DCpPuMbuLjajBkc8w1LRV2ZoFVpump</t>
  </si>
  <si>
    <t>Poser</t>
  </si>
  <si>
    <t>381,225</t>
  </si>
  <si>
    <t>25.10.2024 16:49:25</t>
  </si>
  <si>
    <t>HDdvp1hbkdMBr7w9rv5JjvVWk4n7AWGcNoDbFxkmpump</t>
  </si>
  <si>
    <t>BERRY</t>
  </si>
  <si>
    <t>92,045</t>
  </si>
  <si>
    <t>25.10.2024 01:02:59</t>
  </si>
  <si>
    <t xml:space="preserve">        473K           473K            25K</t>
  </si>
  <si>
    <t>3vzLGVuVxVJYAmjd4jT2n4zh6DZbQhm198pfEQJopump</t>
  </si>
  <si>
    <t>EGIRL</t>
  </si>
  <si>
    <t>594,621</t>
  </si>
  <si>
    <t>25.10.2024 00:20:25</t>
  </si>
  <si>
    <t>71eNcJY27Z7D27RnSUpv7L9S7qNY5VhkEEYHJ9a9pump</t>
  </si>
  <si>
    <t>0.355 SOL</t>
  </si>
  <si>
    <t>32.57%</t>
  </si>
  <si>
    <t>25.10.2024 00:06:16</t>
  </si>
  <si>
    <t xml:space="preserve">         12M            12M            16M</t>
  </si>
  <si>
    <t>GPT2</t>
  </si>
  <si>
    <t>1,177</t>
  </si>
  <si>
    <t>24.10.2024 22:38:16</t>
  </si>
  <si>
    <t xml:space="preserve">         37M            37M           175K</t>
  </si>
  <si>
    <t>4B3NXEKgsT9hsadpCKNEwSXj6aDqwR7iqe5GzvgKpump</t>
  </si>
  <si>
    <t>1,756,608</t>
  </si>
  <si>
    <t>24.10.2024 21:41:39</t>
  </si>
  <si>
    <t>D81pwqe76yZPU1YypyhoA1Kpbkv1vmeASTCefxbSpump</t>
  </si>
  <si>
    <t>Gape</t>
  </si>
  <si>
    <t>167,776</t>
  </si>
  <si>
    <t>24.10.2024 13:46:06</t>
  </si>
  <si>
    <t xml:space="preserve">        260K           260K            20K</t>
  </si>
  <si>
    <t>58JkF2Nj981v6yxM2aQMpoeL2MaA7dA3SGcGuRyepump</t>
  </si>
  <si>
    <t>13,968</t>
  </si>
  <si>
    <t>24.10.2024 04:06:12</t>
  </si>
  <si>
    <t xml:space="preserve">          3M             3M            18K</t>
  </si>
  <si>
    <t>149,631</t>
  </si>
  <si>
    <t>24.10.2024 03:31:03</t>
  </si>
  <si>
    <t xml:space="preserve">        290K           290K             6K</t>
  </si>
  <si>
    <t>DkLD5iPkJmqxa7iZ2XgnyPZTFCTxyRVrWXr9kjeRpump</t>
  </si>
  <si>
    <t>548,514</t>
  </si>
  <si>
    <t>24.10.2024 03:28:42</t>
  </si>
  <si>
    <t xml:space="preserve">         79K            79K             3K</t>
  </si>
  <si>
    <t>-0.367 SOL</t>
  </si>
  <si>
    <t>1,037,490</t>
  </si>
  <si>
    <t>24.10.2024 03:18:06</t>
  </si>
  <si>
    <t xml:space="preserve">        120K            26K             4K</t>
  </si>
  <si>
    <t>holy whore</t>
  </si>
  <si>
    <t>351,647</t>
  </si>
  <si>
    <t>24.10.2024 02:16:12</t>
  </si>
  <si>
    <t xml:space="preserve">        123K           123K            17K</t>
  </si>
  <si>
    <t>AYKA69vt8dGabhiBSJ5hjsG9rK78nwC6ZvVVCV3opump</t>
  </si>
  <si>
    <t>EIT</t>
  </si>
  <si>
    <t>494,534</t>
  </si>
  <si>
    <t>24.10.2024 00:17:53</t>
  </si>
  <si>
    <t>9TeNh5FeCHLY2qNnvDztEdGcU5sH1yty8Q5tcuMjpump</t>
  </si>
  <si>
    <t>edging</t>
  </si>
  <si>
    <t>-10.13%</t>
  </si>
  <si>
    <t>24.10.2024 00:15:51</t>
  </si>
  <si>
    <t xml:space="preserve">        848K           823K            11K</t>
  </si>
  <si>
    <t>3JsKWXZ5rcjq8BkjuPdeTpABVSJgsCNQGe2iNBBtpump</t>
  </si>
  <si>
    <t>ai/acc</t>
  </si>
  <si>
    <t>265,690</t>
  </si>
  <si>
    <t>23.10.2024 21:24:17</t>
  </si>
  <si>
    <t xml:space="preserve">        163K           163K             4K</t>
  </si>
  <si>
    <t>A9U8t93QTB3U7y3G3bj2AfMdugpoKLqPUniSvXekpump</t>
  </si>
  <si>
    <t>KOL</t>
  </si>
  <si>
    <t>58,173</t>
  </si>
  <si>
    <t>23.10.2024 20:46:24</t>
  </si>
  <si>
    <t xml:space="preserve">        744K           744K            11K</t>
  </si>
  <si>
    <t>65jY1botppeWYuDmr7wrWFa2VJSo4UHau3oypAdFpump</t>
  </si>
  <si>
    <t>TECH</t>
  </si>
  <si>
    <t>273,365</t>
  </si>
  <si>
    <t>23.10.2024 19:04:36</t>
  </si>
  <si>
    <t xml:space="preserve">        160K           160K             5K</t>
  </si>
  <si>
    <t>HRnfcWw8xJY369fxU8yYaHqiLHRFWsAX4MbEWGpfpump</t>
  </si>
  <si>
    <t>CRYMNE</t>
  </si>
  <si>
    <t>10.60%</t>
  </si>
  <si>
    <t>23.10.2024 17:58:18</t>
  </si>
  <si>
    <t xml:space="preserve">          1M             3M            18K</t>
  </si>
  <si>
    <t>4HEN6QcmzjGfhSgpyyfTsE7ohdamb5jMPHRg2RXapump</t>
  </si>
  <si>
    <t>0.269 SOL</t>
  </si>
  <si>
    <t>0.62%</t>
  </si>
  <si>
    <t>23.10.2024 17:32:34</t>
  </si>
  <si>
    <t xml:space="preserve">        433K           433K           337K</t>
  </si>
  <si>
    <t>A8h78muegtuonUxqAhpmWcM8pJskYsTW4Xp5C33ipump</t>
  </si>
  <si>
    <t>1.188 SOL</t>
  </si>
  <si>
    <t>0.375 SOL</t>
  </si>
  <si>
    <t>46.16%</t>
  </si>
  <si>
    <t>23.10.2024 17:32:23</t>
  </si>
  <si>
    <t xml:space="preserve">         24M            22M             3M</t>
  </si>
  <si>
    <t>CC</t>
  </si>
  <si>
    <t>111,358</t>
  </si>
  <si>
    <t>23.10.2024 15:50:56</t>
  </si>
  <si>
    <t xml:space="preserve">        390K           390K            10K</t>
  </si>
  <si>
    <t>G7YVLUYbhiqBXFt4uhKF4Ejs1eC7yvbDhr2syFKWpump</t>
  </si>
  <si>
    <t>Horse</t>
  </si>
  <si>
    <t>0.377 SOL</t>
  </si>
  <si>
    <t>72.88%</t>
  </si>
  <si>
    <t>23.10.2024 05:16:25</t>
  </si>
  <si>
    <t xml:space="preserve">        167K           637K             9K</t>
  </si>
  <si>
    <t>3tzcc3RLLnLcZNQ7v1WAsBDgNw1JdjnBCEs8PDXcpump</t>
  </si>
  <si>
    <t>lora</t>
  </si>
  <si>
    <t>97.55%</t>
  </si>
  <si>
    <t>23.10.2024 02:53:11</t>
  </si>
  <si>
    <t xml:space="preserve">        171K           171K             7K</t>
  </si>
  <si>
    <t>81dPU3F3aoxQ6Q1xDcvK6ergNWutLYyFnxsPBzRspump</t>
  </si>
  <si>
    <t>AoT</t>
  </si>
  <si>
    <t>240,815</t>
  </si>
  <si>
    <t>23.10.2024 02:31:18</t>
  </si>
  <si>
    <t xml:space="preserve">        181K           181K             5K</t>
  </si>
  <si>
    <t>7qYVbZY9apv1G5YFpmjjJedGMf1kNYbtW9dHQJ71pump</t>
  </si>
  <si>
    <t>-0.124 SOL</t>
  </si>
  <si>
    <t>-46.37%</t>
  </si>
  <si>
    <t>22.10.2024 21:19:41</t>
  </si>
  <si>
    <t xml:space="preserve">        498K           578K             7K</t>
  </si>
  <si>
    <t>71ZaewQ9qJ1rJRqwPj9t4sxSZCpdPnbfmK82VQ6mpump</t>
  </si>
  <si>
    <t xml:space="preserve">Azure </t>
  </si>
  <si>
    <t>-0.484 SOL</t>
  </si>
  <si>
    <t>-46.54%</t>
  </si>
  <si>
    <t>22.10.2024 17:23:48</t>
  </si>
  <si>
    <t xml:space="preserve">        128K           179K            23K</t>
  </si>
  <si>
    <t>72Mxi5AsAQ6fRqQSrqfRbtctib1XHQVamkhKLfP7pump</t>
  </si>
  <si>
    <t>12.01%</t>
  </si>
  <si>
    <t>22.10.2024 16:45:49</t>
  </si>
  <si>
    <t xml:space="preserve">        199K           199K            30K</t>
  </si>
  <si>
    <t>46.52%</t>
  </si>
  <si>
    <t>22.10.2024 16:45:42</t>
  </si>
  <si>
    <t xml:space="preserve">        487K           487K            34K</t>
  </si>
  <si>
    <t>cog/acc</t>
  </si>
  <si>
    <t>0.909 SOL</t>
  </si>
  <si>
    <t>0.374 SOL</t>
  </si>
  <si>
    <t>69.85%</t>
  </si>
  <si>
    <t>22.10.2024 14:45:13</t>
  </si>
  <si>
    <t xml:space="preserve">          2M             2M           330K</t>
  </si>
  <si>
    <t>dFVMDELpHeSL4CfCmNiuGS6XRyxSAgP7AwW266Lpump</t>
  </si>
  <si>
    <t>SOLM</t>
  </si>
  <si>
    <t>-17.66%</t>
  </si>
  <si>
    <t>22.10.2024 14:26:14</t>
  </si>
  <si>
    <t xml:space="preserve">        539K           539K            14K</t>
  </si>
  <si>
    <t>AGLsGEYqNHxkZomHMo1jESRGZ98kfuaLGgNHgT92pump</t>
  </si>
  <si>
    <t>0.287 SOL</t>
  </si>
  <si>
    <t>-0.238 SOL</t>
  </si>
  <si>
    <t>-45.31%</t>
  </si>
  <si>
    <t>22.10.2024 03:05:43</t>
  </si>
  <si>
    <t xml:space="preserve">          1M             1M           100K</t>
  </si>
  <si>
    <t>2.133 SOL</t>
  </si>
  <si>
    <t>1.846 SOL</t>
  </si>
  <si>
    <t>641.97%</t>
  </si>
  <si>
    <t>22.10.2024 02:45:45</t>
  </si>
  <si>
    <t xml:space="preserve">        150K           150K             4M</t>
  </si>
  <si>
    <t>ELIZABETH</t>
  </si>
  <si>
    <t>-0.505 SOL</t>
  </si>
  <si>
    <t>1,992,274</t>
  </si>
  <si>
    <t>22.10.2024 02:44:36</t>
  </si>
  <si>
    <t xml:space="preserve">         44K            44K             5K</t>
  </si>
  <si>
    <t>CfH6EWK9BMsYuebzde854TMpkQ43Yjp1jq3Yv289pump</t>
  </si>
  <si>
    <t>HAIRDOS</t>
  </si>
  <si>
    <t>285,934</t>
  </si>
  <si>
    <t>21.10.2024 23:45:28</t>
  </si>
  <si>
    <t xml:space="preserve">        153K           153K             7K</t>
  </si>
  <si>
    <t>B1LaQNzBvUV5Yog8qozfX8AzZjZVuTt8Gy2JALoqpump</t>
  </si>
  <si>
    <t>yogurt</t>
  </si>
  <si>
    <t>2,240,010</t>
  </si>
  <si>
    <t>21.10.2024 18:01:36</t>
  </si>
  <si>
    <t>3KQm4KbjRsgK4mfPGz5ShpnGGozJBEZByor1Yomepump</t>
  </si>
  <si>
    <t>⌃</t>
  </si>
  <si>
    <t>0.149 SOL</t>
  </si>
  <si>
    <t>-38.64%</t>
  </si>
  <si>
    <t>21.10.2024 17:32:58</t>
  </si>
  <si>
    <t>gJQXg7AYobJdxtJcH3fT194VheW9dX1JgGg64N4pump</t>
  </si>
  <si>
    <t>GLIF</t>
  </si>
  <si>
    <t>15,876</t>
  </si>
  <si>
    <t>21.10.2024 02:49:05</t>
  </si>
  <si>
    <t xml:space="preserve">          1M             1M            25K</t>
  </si>
  <si>
    <t>GQ6x4duENNVqALeJv78MShAkbJzPKPe15VGnxkpYpump</t>
  </si>
  <si>
    <t>-48.44%</t>
  </si>
  <si>
    <t>21.10.2024 02:48:30</t>
  </si>
  <si>
    <t xml:space="preserve">        130K            72K             8K</t>
  </si>
  <si>
    <t>BBLmouse</t>
  </si>
  <si>
    <t>-0.395 SOL</t>
  </si>
  <si>
    <t>-69.03%</t>
  </si>
  <si>
    <t>21.10.2024 02:16:54</t>
  </si>
  <si>
    <t xml:space="preserve">         55K            21K             6K</t>
  </si>
  <si>
    <t>HpMF4MWFE8J6Pjr5CUfrf5EvdCTTYyfjvG6eFW3cpump</t>
  </si>
  <si>
    <t>REGARDS</t>
  </si>
  <si>
    <t>0.251 SOL</t>
  </si>
  <si>
    <t>-6.16%</t>
  </si>
  <si>
    <t>21.10.2024 01:30:10</t>
  </si>
  <si>
    <t xml:space="preserve">         42K            42K            29K</t>
  </si>
  <si>
    <t>C9hmF1jY7RVuyzCrzFMiP79kjDVSun8SMJ78VV6tpump</t>
  </si>
  <si>
    <t>⌘</t>
  </si>
  <si>
    <t>0.132 SOL</t>
  </si>
  <si>
    <t>-0.142 SOL</t>
  </si>
  <si>
    <t>1,207,313</t>
  </si>
  <si>
    <t>20.10.2024 19:05:57</t>
  </si>
  <si>
    <t>AQAHsgDViJ66x6GQcM9Xj5WCigYn7H3dD14LMFQ4pump</t>
  </si>
  <si>
    <t>0.888 SOL</t>
  </si>
  <si>
    <t>66.06%</t>
  </si>
  <si>
    <t>20.10.2024 17:42:40</t>
  </si>
  <si>
    <t xml:space="preserve">          5M             1M             2M</t>
  </si>
  <si>
    <t>Oliver</t>
  </si>
  <si>
    <t>134,732</t>
  </si>
  <si>
    <t>20.10.2024 02:03:12</t>
  </si>
  <si>
    <t xml:space="preserve">        254K           254K            11K</t>
  </si>
  <si>
    <t>3oR4sG9Ka8S5ighG35KaD6tcyZDiR98Qk5wnD35Fpump</t>
  </si>
  <si>
    <t>truth</t>
  </si>
  <si>
    <t>558,224</t>
  </si>
  <si>
    <t>19.10.2024 22:34:38</t>
  </si>
  <si>
    <t>4fG8v8tcuMqYX3g7NV2p3SArakSKoxSJTJWxrJF2pump</t>
  </si>
  <si>
    <t>ACT</t>
  </si>
  <si>
    <t>19.01%</t>
  </si>
  <si>
    <t>19.10.2024 15:33:48</t>
  </si>
  <si>
    <t xml:space="preserve">         32M            42M            35M</t>
  </si>
  <si>
    <t>GJAFwWjJ3vnTsrQVabjBVK2TYB1YtRCQXRDfDgUnpump</t>
  </si>
  <si>
    <t>RAGS</t>
  </si>
  <si>
    <t>547,310</t>
  </si>
  <si>
    <t>19.10.2024 14:45:54</t>
  </si>
  <si>
    <t>7wKWoYS5uoDfxzjFE289Ssiu7eALmfU16YHddpBxBff4</t>
  </si>
  <si>
    <t>SCORE</t>
  </si>
  <si>
    <t>32,460</t>
  </si>
  <si>
    <t>19.10.2024 12:57:41</t>
  </si>
  <si>
    <t xml:space="preserve">          1M             1M             8K</t>
  </si>
  <si>
    <t>BgmCnJMcM925oHoRW8ogwDcTLA87Pr11ymcwv36Vpump</t>
  </si>
  <si>
    <t>pongu</t>
  </si>
  <si>
    <t>283,229</t>
  </si>
  <si>
    <t>19.10.2024 02:55:19</t>
  </si>
  <si>
    <t>94mtohL6zNYenvEc6dA67SVzNJHsmCv9W4uacHukpump</t>
  </si>
  <si>
    <t>0.301 SOL</t>
  </si>
  <si>
    <t>-0.224 SOL</t>
  </si>
  <si>
    <t>-42.71%</t>
  </si>
  <si>
    <t>19.10.2024 02:54:16</t>
  </si>
  <si>
    <t xml:space="preserve">        263K           239K             7K</t>
  </si>
  <si>
    <t>$CUM</t>
  </si>
  <si>
    <t>19.80%</t>
  </si>
  <si>
    <t>19.10.2024 02:50:27</t>
  </si>
  <si>
    <t xml:space="preserve">         33K            88K             3K</t>
  </si>
  <si>
    <t>TjDaLdaFPw8XTGyfvytQU78vKGq182QK4rb5YsJqW7R</t>
  </si>
  <si>
    <t>159,879</t>
  </si>
  <si>
    <t>19.10.2024 01:47:57</t>
  </si>
  <si>
    <t xml:space="preserve">        273K           273K             8K</t>
  </si>
  <si>
    <t>ber</t>
  </si>
  <si>
    <t>47.23%</t>
  </si>
  <si>
    <t>19.10.2024 01:21:31</t>
  </si>
  <si>
    <t xml:space="preserve">         49K            61K           117K</t>
  </si>
  <si>
    <t>HeWdnJqjmmFbs6ACUHuPTR8diasBjNRiyKumFvyypump</t>
  </si>
  <si>
    <t>DBV</t>
  </si>
  <si>
    <t>1,733,517</t>
  </si>
  <si>
    <t>18.10.2024 22:37:34</t>
  </si>
  <si>
    <t xml:space="preserve">         28K            28K             9K</t>
  </si>
  <si>
    <t>CgjN5x9EZzR2dJpo3JMoYwHcCPLBhnPczZsVGDL9pump</t>
  </si>
  <si>
    <t>‮</t>
  </si>
  <si>
    <t>2.194 SOL</t>
  </si>
  <si>
    <t>1.892 SOL</t>
  </si>
  <si>
    <t>626.37%</t>
  </si>
  <si>
    <t>18.10.2024 21:05:30</t>
  </si>
  <si>
    <t xml:space="preserve">         28K            28K            18K</t>
  </si>
  <si>
    <t>8gfRYdxLxUbRBWrff6MR9QH6ZKPb4NYszcBWnNjBX6DW</t>
  </si>
  <si>
    <t>Little Guy</t>
  </si>
  <si>
    <t>1,320,191</t>
  </si>
  <si>
    <t>18.10.2024 19:54:23</t>
  </si>
  <si>
    <t xml:space="preserve">         16K            16K             6K</t>
  </si>
  <si>
    <t>269iNn3SsK2X3T8p7ZqNGFSj3qnejfF7HhJtvVVkpump</t>
  </si>
  <si>
    <t>mindfk</t>
  </si>
  <si>
    <t>43,156</t>
  </si>
  <si>
    <t>18.10.2024 18:44:08</t>
  </si>
  <si>
    <t xml:space="preserve">          1M             1M            12K</t>
  </si>
  <si>
    <t>Hp3WCQE2gfVBYxyXa3RMFeiudSM1KMANnqQbmDLVpump</t>
  </si>
  <si>
    <t>TowelCoin</t>
  </si>
  <si>
    <t>20.52%</t>
  </si>
  <si>
    <t>18.10.2024 18:33:16</t>
  </si>
  <si>
    <t xml:space="preserve">         37K           105K             4K</t>
  </si>
  <si>
    <t>2X6dfSSaLQrru21Tn8Tg76p5eGLwZQyDWPfJp7GGpump</t>
  </si>
  <si>
    <t>TUBGIRL</t>
  </si>
  <si>
    <t>-7.07%</t>
  </si>
  <si>
    <t>18.10.2024 18:23:09</t>
  </si>
  <si>
    <t>HAVUrTHqHNs1JTdVdXHAd2LKWjoRC6pDGD3bVF9Fpump</t>
  </si>
  <si>
    <t>SIO</t>
  </si>
  <si>
    <t>0.335 SOL</t>
  </si>
  <si>
    <t>46.91%</t>
  </si>
  <si>
    <t>18.10.2024 03:14:42</t>
  </si>
  <si>
    <t xml:space="preserve">         39K            34K             5K</t>
  </si>
  <si>
    <t>G5YgvGuNkmCAX4DF96Yn2hdrCwru9viA96o6on9Fpump</t>
  </si>
  <si>
    <t>ogmilady</t>
  </si>
  <si>
    <t>65,982</t>
  </si>
  <si>
    <t>18.10.2024 02:33:56</t>
  </si>
  <si>
    <t xml:space="preserve">        528K           528K            42K</t>
  </si>
  <si>
    <t>4AoUaXuSmTrq8jRktFkubqWkxSWXR4DqH8xNgek8pump</t>
  </si>
  <si>
    <t>LiamPayne</t>
  </si>
  <si>
    <t>-77.22%</t>
  </si>
  <si>
    <t>18.10.2024 02:28:25</t>
  </si>
  <si>
    <t>4YTWPqHQwwpQUxHV7RjZSnzZRYFo7s9gZZZvM9Tbpump</t>
  </si>
  <si>
    <t>DIT</t>
  </si>
  <si>
    <t>0.218 SOL</t>
  </si>
  <si>
    <t>129.38%</t>
  </si>
  <si>
    <t>18.10.2024 01:55:46</t>
  </si>
  <si>
    <t xml:space="preserve">        245K           245K           157K</t>
  </si>
  <si>
    <t>4zdAbkyoYoT2F8ZSt6va4WZrmAwgFCfQsTEUo8zNpump</t>
  </si>
  <si>
    <t>411,799</t>
  </si>
  <si>
    <t>17.10.2024 22:47:37</t>
  </si>
  <si>
    <t>732,682</t>
  </si>
  <si>
    <t>17.10.2024 22:37:47</t>
  </si>
  <si>
    <t>GMAGA</t>
  </si>
  <si>
    <t>133,450</t>
  </si>
  <si>
    <t>17.10.2024 21:54:08</t>
  </si>
  <si>
    <t xml:space="preserve">        325K           325K             9K</t>
  </si>
  <si>
    <t>Gb4cNCK8UuFRM1P1uZCAaefztE8kwFhHFfM8yy8Fpump</t>
  </si>
  <si>
    <t>se1f13ss</t>
  </si>
  <si>
    <t>0.211 SOL</t>
  </si>
  <si>
    <t>17.10.2024 19:03:30</t>
  </si>
  <si>
    <t xml:space="preserve">         81K           172K             5K</t>
  </si>
  <si>
    <t>jLNGYVPdJ7WsimJw8jAHVQYWvUQJRrXVZFwdHUCpump</t>
  </si>
  <si>
    <t>876,758</t>
  </si>
  <si>
    <t>17.10.2024 17:38:48</t>
  </si>
  <si>
    <t xml:space="preserve">         44K            44K             3K</t>
  </si>
  <si>
    <t>DD</t>
  </si>
  <si>
    <t>0.441 SOL</t>
  </si>
  <si>
    <t>-0.461 SOL</t>
  </si>
  <si>
    <t>902,399</t>
  </si>
  <si>
    <t>17.10.2024 16:41:38</t>
  </si>
  <si>
    <t xml:space="preserve">        190K            44K             6K</t>
  </si>
  <si>
    <t>DUnEr82vouuEhahEcoVzpQyRJFtvafTk2eyh9fAMYvQS</t>
  </si>
  <si>
    <t>SYD</t>
  </si>
  <si>
    <t>678,585</t>
  </si>
  <si>
    <t>17.10.2024 15:47:59</t>
  </si>
  <si>
    <t>8FfFCfRTadsQ7ibDkyCrB9X7WoN3d7HNjxRjbxgepump</t>
  </si>
  <si>
    <t>ELLIOT</t>
  </si>
  <si>
    <t>355,122</t>
  </si>
  <si>
    <t>17.10.2024 15:40:36</t>
  </si>
  <si>
    <t>CyJ1ZH8PFBS4KXwEe6cedR6ZCxnZkRwa7oDc3WpEpump</t>
  </si>
  <si>
    <t>ALPHA</t>
  </si>
  <si>
    <t>1.623 SOL</t>
  </si>
  <si>
    <t>202.26%</t>
  </si>
  <si>
    <t>17.10.2024 14:27:20</t>
  </si>
  <si>
    <t xml:space="preserve">          1M             5M           223K</t>
  </si>
  <si>
    <t>EvNBoWwZFF6pPpjTnNSzrurxkDfw1PGUmih1eAStpump</t>
  </si>
  <si>
    <t>RLTY</t>
  </si>
  <si>
    <t>-26.12%</t>
  </si>
  <si>
    <t>17.10.2024 14:20:11</t>
  </si>
  <si>
    <t xml:space="preserve">          1M             1M            17K</t>
  </si>
  <si>
    <t>9Q8BNPzujkGcrGnybA2BqB5xh3Q3cYUGYmfnz2bYpump</t>
  </si>
  <si>
    <t>215,387</t>
  </si>
  <si>
    <t>17.10.2024 14:14:28</t>
  </si>
  <si>
    <t xml:space="preserve">        202K           202K             8K</t>
  </si>
  <si>
    <t>Romeo</t>
  </si>
  <si>
    <t>175,310</t>
  </si>
  <si>
    <t>17.10.2024 13:49:39</t>
  </si>
  <si>
    <t>DR62qNTkq4t1BzFMARsvs2XyvwVHZwN1oh9sYshLpump</t>
  </si>
  <si>
    <t>122,772</t>
  </si>
  <si>
    <t>17.10.2024 02:34:10</t>
  </si>
  <si>
    <t xml:space="preserve">        142K           142K             9K</t>
  </si>
  <si>
    <t>llama</t>
  </si>
  <si>
    <t>1,011,001</t>
  </si>
  <si>
    <t>17.10.2024 01:44:41</t>
  </si>
  <si>
    <t xml:space="preserve">         42K            42K             4K</t>
  </si>
  <si>
    <t>CwUPvQz27au3YkYbPcjqprbHuT8qF9CDhijaSpGJpump</t>
  </si>
  <si>
    <t>FND</t>
  </si>
  <si>
    <t>746,955</t>
  </si>
  <si>
    <t>17.10.2024 01:10:22</t>
  </si>
  <si>
    <t xml:space="preserve">         53K            53K             6K</t>
  </si>
  <si>
    <t>GWKJXUsSxHo7dRmcqSm47ZtmJ2k15PgoE2TTVbzGpump</t>
  </si>
  <si>
    <t>diabolical</t>
  </si>
  <si>
    <t>86,226</t>
  </si>
  <si>
    <t>16.10.2024 23:10:41</t>
  </si>
  <si>
    <t xml:space="preserve">        505K           505K            13K</t>
  </si>
  <si>
    <t>FKpQJa9bAsaGEhWhcuNTpKmU3iechaqnNprz6Ccjpump</t>
  </si>
  <si>
    <t>WD40</t>
  </si>
  <si>
    <t>0.268 SOL</t>
  </si>
  <si>
    <t>0.32%</t>
  </si>
  <si>
    <t>16.10.2024 20:54:40</t>
  </si>
  <si>
    <t xml:space="preserve">        104K           112K             6K</t>
  </si>
  <si>
    <t>AshCp63UfAaagrGmiuuMTAotvNeGUWwmnPSsqW7mpump</t>
  </si>
  <si>
    <t>LOTTO</t>
  </si>
  <si>
    <t>698,982</t>
  </si>
  <si>
    <t>16.10.2024 18:40:22</t>
  </si>
  <si>
    <t xml:space="preserve">         69K            69K             3K</t>
  </si>
  <si>
    <t>Dvy2WBM6XrELZXsa7EQzbMStw2DVg3cxXj9YwJeypump</t>
  </si>
  <si>
    <t>NUGGET</t>
  </si>
  <si>
    <t>29.73%</t>
  </si>
  <si>
    <t>16.10.2024 18:17:23</t>
  </si>
  <si>
    <t xml:space="preserve">         12K            12K            10K</t>
  </si>
  <si>
    <t>6XHDQWZPtQCvkBRkkeZDh95X9xvmLsz5sMDxsXSHTohU</t>
  </si>
  <si>
    <t>KSI</t>
  </si>
  <si>
    <t>299,261</t>
  </si>
  <si>
    <t>16.10.2024 18:05:37</t>
  </si>
  <si>
    <t>3N9i4Wd2DtWFYAg7vizGce7JRUW4Phmk1SQzLQ6Wpump</t>
  </si>
  <si>
    <t>CAMU</t>
  </si>
  <si>
    <t>-69.55%</t>
  </si>
  <si>
    <t>16.10.2024 17:33:51</t>
  </si>
  <si>
    <t xml:space="preserve">        123K            40K             4K</t>
  </si>
  <si>
    <t>5wrsXCYez1TewV5gEG7frkuHMJwMUSYXqARjboe1pump</t>
  </si>
  <si>
    <t>GIGACHUD</t>
  </si>
  <si>
    <t>0.295 SOL</t>
  </si>
  <si>
    <t>0.846 SOL</t>
  </si>
  <si>
    <t>0.511 SOL</t>
  </si>
  <si>
    <t>152.58%</t>
  </si>
  <si>
    <t>16.10.2024 15:58:19</t>
  </si>
  <si>
    <t xml:space="preserve">         39K           133K            14K</t>
  </si>
  <si>
    <t>4zCL9Lcb7D1d4DZwrCLKXXUxYEWhjEuGJwC7eNaMXBT2</t>
  </si>
  <si>
    <t>BAKSO</t>
  </si>
  <si>
    <t>-0.141 SOL</t>
  </si>
  <si>
    <t>-48.13%</t>
  </si>
  <si>
    <t>16.10.2024 15:57:42</t>
  </si>
  <si>
    <t>GdZsQrkVT6Rr3ykhFzPZwaiWeqT4abAmvPaHjbNbpump</t>
  </si>
  <si>
    <t>Kookie</t>
  </si>
  <si>
    <t>64.99%</t>
  </si>
  <si>
    <t>16.10.2024 15:31:11</t>
  </si>
  <si>
    <t>2s7VV1EhcuVNv9vbmYif5Mn1tH88JgQVx5SYnuoBpump</t>
  </si>
  <si>
    <t>Pager</t>
  </si>
  <si>
    <t>1,205,233</t>
  </si>
  <si>
    <t>16.10.2024 13:38:11</t>
  </si>
  <si>
    <t>9Z1vk8UENXMrPUtXEyXtBETEBJSx2z1SjKLU632Wpump</t>
  </si>
  <si>
    <t>Howdy</t>
  </si>
  <si>
    <t>0.170 SOL</t>
  </si>
  <si>
    <t>84.22%</t>
  </si>
  <si>
    <t>16.10.2024 13:37:30</t>
  </si>
  <si>
    <t xml:space="preserve">         28K            40K             4K</t>
  </si>
  <si>
    <t>BEwyzgPoXpMSwqyshHR2PTJ5S2Yo14Tc2Gzi3RoBpump</t>
  </si>
  <si>
    <t>24.36%</t>
  </si>
  <si>
    <t>16.10.2024 05:03:08</t>
  </si>
  <si>
    <t xml:space="preserve">          3M             5M           198K</t>
  </si>
  <si>
    <t>345,455</t>
  </si>
  <si>
    <t>16.10.2024 05:02:55</t>
  </si>
  <si>
    <t>F8exHpwRrJV7fzvwHtd5K5wHUemk2p6XhdmnjdJepump</t>
  </si>
  <si>
    <t xml:space="preserve">ANSEM </t>
  </si>
  <si>
    <t>0.396 SOL</t>
  </si>
  <si>
    <t>-8.16%</t>
  </si>
  <si>
    <t>16.10.2024 04:01:53</t>
  </si>
  <si>
    <t xml:space="preserve">         67K            19K             6K</t>
  </si>
  <si>
    <t>AwpV53hcFf5onNw82ya8uGKGYm1JNRXbxmfeN1oCpump</t>
  </si>
  <si>
    <t>MURADE</t>
  </si>
  <si>
    <t>0.724 SOL</t>
  </si>
  <si>
    <t>270.70%</t>
  </si>
  <si>
    <t>15.10.2024 17:31:24</t>
  </si>
  <si>
    <t xml:space="preserve">         68K           546K             6K</t>
  </si>
  <si>
    <t>AnLV6URRUi6gSaRunA141ZuBySuNMTvaWpSXbgLXpump</t>
  </si>
  <si>
    <t>tsunami</t>
  </si>
  <si>
    <t>931,127</t>
  </si>
  <si>
    <t>15.10.2024 13:32:23</t>
  </si>
  <si>
    <t xml:space="preserve">         51K            51K             3K</t>
  </si>
  <si>
    <t>4tgEBNfMUxJBFJWG48fuxuxuFQkPBNRMhMEc6JHUywC4</t>
  </si>
  <si>
    <t>∞MONEY</t>
  </si>
  <si>
    <t>0.244 SOL</t>
  </si>
  <si>
    <t>-8.63%</t>
  </si>
  <si>
    <t>14.10.2024 22:48:08</t>
  </si>
  <si>
    <t xml:space="preserve">        306K           302K             6K</t>
  </si>
  <si>
    <t>DiK4gxmhENUcZfo45Lfyh2sYYSFPpk3k7fVXWEYupump</t>
  </si>
  <si>
    <t>GOBZ</t>
  </si>
  <si>
    <t>84,361</t>
  </si>
  <si>
    <t>14.10.2024 22:45:54</t>
  </si>
  <si>
    <t xml:space="preserve">        205K           205K             6K</t>
  </si>
  <si>
    <t>82ksVMfHApHu7T2ov2ZXibmmbCLsZfen8fSpn7Qrpump</t>
  </si>
  <si>
    <t>RETARDIA</t>
  </si>
  <si>
    <t>2,373,781</t>
  </si>
  <si>
    <t>14.10.2024 21:40:26</t>
  </si>
  <si>
    <t>2mh294YEabBv69pCdMQmzEBwZRbZByZqcTuWyE9JGQLA</t>
  </si>
  <si>
    <t>HARMONY</t>
  </si>
  <si>
    <t>158.38%</t>
  </si>
  <si>
    <t>14.10.2024 16:48:00</t>
  </si>
  <si>
    <t xml:space="preserve">         37K           228K             4K</t>
  </si>
  <si>
    <t>HEgT8gD9wDfmGsvBtTsvdArnp4M3257ffee8BTjkpump</t>
  </si>
  <si>
    <t>People</t>
  </si>
  <si>
    <t>559,716</t>
  </si>
  <si>
    <t>14.10.2024 13:04:34</t>
  </si>
  <si>
    <t>Bb4FaD8sysY85JxVwozkcnvN8NBjjs9ePanJTw7Xpump</t>
  </si>
  <si>
    <t>PHOTON</t>
  </si>
  <si>
    <t>726,844</t>
  </si>
  <si>
    <t>14.10.2024 10:37:13</t>
  </si>
  <si>
    <t>4Qfsoo5a4wP29KvTVXkxagwYdF2sZ1m8m2dGDmSApump</t>
  </si>
  <si>
    <t>MBD</t>
  </si>
  <si>
    <t>820,753</t>
  </si>
  <si>
    <t>14.10.2024 00:43:45</t>
  </si>
  <si>
    <t xml:space="preserve">         58K            58K             3K</t>
  </si>
  <si>
    <t>E1PyFNK2vhSrcGTEnvMajRP8DuEUkr3cEfUQYakApump</t>
  </si>
  <si>
    <t>EXODIA</t>
  </si>
  <si>
    <t>2,486,383,863</t>
  </si>
  <si>
    <t>13.10.2024 23:18:46</t>
  </si>
  <si>
    <t xml:space="preserve">        N/A           N/A           126K</t>
  </si>
  <si>
    <t>3cy8N3asQY3WKBWaeBY3MzBQzbD4Mpy1nyGYoYKdNioA</t>
  </si>
  <si>
    <t>business</t>
  </si>
  <si>
    <t>16.05%</t>
  </si>
  <si>
    <t>13.10.2024 19:52:26</t>
  </si>
  <si>
    <t xml:space="preserve">         26K            26K             6K</t>
  </si>
  <si>
    <t>3kFpo4AM6sjR6vU61U8crCqRvNAtrFaVu6J2qD9upump</t>
  </si>
  <si>
    <t>72.74%</t>
  </si>
  <si>
    <t>13.10.2024 19:52:22</t>
  </si>
  <si>
    <t xml:space="preserve">         37K            98K            31K</t>
  </si>
  <si>
    <t>GsL6xKMfaKATM8iL8ssdmgpd1ApBHJ9gKLD3MsXypump</t>
  </si>
  <si>
    <t>OP</t>
  </si>
  <si>
    <t>0.207 SOL</t>
  </si>
  <si>
    <t>-4.83%</t>
  </si>
  <si>
    <t>13.10.2024 17:53:53</t>
  </si>
  <si>
    <t xml:space="preserve">         44K            44K            58K</t>
  </si>
  <si>
    <t>HkzxcLMCFFCvsA1zfzfTWgpsCGAJW2n7eu6EVwPspump</t>
  </si>
  <si>
    <t>SolanaX</t>
  </si>
  <si>
    <t>690,238</t>
  </si>
  <si>
    <t>13.10.2024 16:29:03</t>
  </si>
  <si>
    <t>2ZVNcLF5aeFP7anV8RsUFpwXT2tChH1U3eoHaLrzpump</t>
  </si>
  <si>
    <t>VALHALLA</t>
  </si>
  <si>
    <t>170,180</t>
  </si>
  <si>
    <t>13.10.2024 13:46:08</t>
  </si>
  <si>
    <t xml:space="preserve">        255K           255K            36K</t>
  </si>
  <si>
    <t>5b39hnBZ24a2LzLRqmzj8eTUc8GXpnTVTBwEvPoRpump</t>
  </si>
  <si>
    <t>SUN</t>
  </si>
  <si>
    <t>1,775,648</t>
  </si>
  <si>
    <t>13.10.2024 12:46:57</t>
  </si>
  <si>
    <t>GQYD4faGbg3MuZahczeKb1f7819XDMoxiaZpu52Kpump</t>
  </si>
  <si>
    <t>CTHULHU</t>
  </si>
  <si>
    <t>24.34%</t>
  </si>
  <si>
    <t>13.10.2024 12:33:10</t>
  </si>
  <si>
    <t>HZPakhtQ9p1iLf436JAZXWpLjzDfV47ubyjJALYCpump</t>
  </si>
  <si>
    <t>Tay</t>
  </si>
  <si>
    <t>535,514</t>
  </si>
  <si>
    <t>13.10.2024 12:05:38</t>
  </si>
  <si>
    <t>59jZrCBeMKDg3Z7iLwMCfq2BANyVcdjTCvDkTzVPpump</t>
  </si>
  <si>
    <t>SQUIRTBORN</t>
  </si>
  <si>
    <t>0.536 SOL</t>
  </si>
  <si>
    <t>277.20%</t>
  </si>
  <si>
    <t>13.10.2024 00:42:44</t>
  </si>
  <si>
    <t xml:space="preserve">         19K           164K             4K</t>
  </si>
  <si>
    <t>5njPgyEfBDvGxHtMTN86yQnNr1XTd3zy9D2eb84zpump</t>
  </si>
  <si>
    <t>⚫</t>
  </si>
  <si>
    <t>0.202 SOL</t>
  </si>
  <si>
    <t>-0.097 SOL</t>
  </si>
  <si>
    <t>-43.64%</t>
  </si>
  <si>
    <t>12.10.2024 23:55:09</t>
  </si>
  <si>
    <t>gGuYybzgCNAdctPMdPuLJj94rfvhaJgFx78zcVGpump</t>
  </si>
  <si>
    <t>-0.410 SOL</t>
  </si>
  <si>
    <t>1,685,848</t>
  </si>
  <si>
    <t>12.10.2024 23:15:06</t>
  </si>
  <si>
    <t xml:space="preserve">         70K            26K             3K</t>
  </si>
  <si>
    <t>DMRFTHbQ79zeWZUGXRPpcFF86iZM8NoMUkjWAzQtpump</t>
  </si>
  <si>
    <t>-47.78%</t>
  </si>
  <si>
    <t>12.10.2024 14:36:04</t>
  </si>
  <si>
    <t>6pRHBqYUgNCw6bA89JPBpy428nVce7pnu6Jpevjupump</t>
  </si>
  <si>
    <t>-46.45%</t>
  </si>
  <si>
    <t>12.10.2024 14:36:00</t>
  </si>
  <si>
    <t>7pEeDYqMqzgtGAKJtFiUim3RB6kWCNaurWq1gRXSpump</t>
  </si>
  <si>
    <t>🌙🧲</t>
  </si>
  <si>
    <t>-46.46%</t>
  </si>
  <si>
    <t>12.10.2024 14:35:52</t>
  </si>
  <si>
    <t>9qTAniAuQNvEo1hbbvzpEmXv14cM6JTyb8y5FUtMpump</t>
  </si>
  <si>
    <t>[proud]</t>
  </si>
  <si>
    <t>-33.66%</t>
  </si>
  <si>
    <t>12.10.2024 14:35:44</t>
  </si>
  <si>
    <t>JBgPGmfzZVNTmdp2NesTcDeV9ZpUMN43JSr7iaaopump</t>
  </si>
  <si>
    <t>DCA</t>
  </si>
  <si>
    <t>-37.59%</t>
  </si>
  <si>
    <t>12.10.2024 14:35:40</t>
  </si>
  <si>
    <t>FboAhhUkqipjTAigtsB17nPFQZ57xdUknMxHzqnppump</t>
  </si>
  <si>
    <t>GLAZE</t>
  </si>
  <si>
    <t>-7.94%</t>
  </si>
  <si>
    <t>11.10.2024 23:52:49</t>
  </si>
  <si>
    <t xml:space="preserve">         15K            15K            15K</t>
  </si>
  <si>
    <t>9qyMyv6uNR71ZBgFJmyJFjHWCgSSQuN3Lk58EUFJfoVL</t>
  </si>
  <si>
    <t>0.712 SOL</t>
  </si>
  <si>
    <t>135.55%</t>
  </si>
  <si>
    <t>11.10.2024 23:17:35</t>
  </si>
  <si>
    <t xml:space="preserve">         47K            90K            33K</t>
  </si>
  <si>
    <t>8HfFvgutvKBjdbTqm8h6qZ2VSJ3TxwrZxHT3m34Cpump</t>
  </si>
  <si>
    <t>SUBTLE</t>
  </si>
  <si>
    <t>254,000</t>
  </si>
  <si>
    <t>11.10.2024 20:26:13</t>
  </si>
  <si>
    <t xml:space="preserve">        171K           171K            15K</t>
  </si>
  <si>
    <t>3uqyLzQzdrXaiTos1XR9kJJJQSwAvc2TcejrpDXppump</t>
  </si>
  <si>
    <t>silly</t>
  </si>
  <si>
    <t>0.279 SOL</t>
  </si>
  <si>
    <t>0.160 SOL</t>
  </si>
  <si>
    <t>134.47%</t>
  </si>
  <si>
    <t>11.10.2024 20:25:35</t>
  </si>
  <si>
    <t xml:space="preserve">         40K            40K            36K</t>
  </si>
  <si>
    <t>2rARgGWBQfhfTkrTc9gGUvKTpPDjtNkFsrWQeEJwpump</t>
  </si>
  <si>
    <t>Andy</t>
  </si>
  <si>
    <t>421,370</t>
  </si>
  <si>
    <t>11.10.2024 20:24:58</t>
  </si>
  <si>
    <t xml:space="preserve">         40K            40K             4K</t>
  </si>
  <si>
    <t>DssYSrZWyEoceq2LDGLgj5MAnWU3L4t9MWuKFN4Gpump</t>
  </si>
  <si>
    <t>$MAPU</t>
  </si>
  <si>
    <t>1,858,473</t>
  </si>
  <si>
    <t>11.10.2024 20:13:43</t>
  </si>
  <si>
    <t>vDrMKJpCb32d1QruZ77WYwUBAXReb31GojGhJ93pump</t>
  </si>
  <si>
    <t>456,038</t>
  </si>
  <si>
    <t>11.10.2024 13:45:05</t>
  </si>
  <si>
    <t xml:space="preserve">         75K            75K             5K</t>
  </si>
  <si>
    <t>TRT</t>
  </si>
  <si>
    <t>244,011</t>
  </si>
  <si>
    <t>10.10.2024 23:02:33</t>
  </si>
  <si>
    <t>ALW1DD65EtewCiRz65gUDvYYAqQWLwjo68XAnsR7pump</t>
  </si>
  <si>
    <t>motch</t>
  </si>
  <si>
    <t>304,225</t>
  </si>
  <si>
    <t>10.10.2024 21:19:29</t>
  </si>
  <si>
    <t xml:space="preserve">        142K           142K            11K</t>
  </si>
  <si>
    <t>GJuz9K3eAGWjjDTARtsSXuyGNUXnvAyrGSMdEYk1pump</t>
  </si>
  <si>
    <t>Pochita</t>
  </si>
  <si>
    <t>2.265 SOL</t>
  </si>
  <si>
    <t>423.26%</t>
  </si>
  <si>
    <t>10.10.2024 20:18:36</t>
  </si>
  <si>
    <t xml:space="preserve">          3M            11M             2M</t>
  </si>
  <si>
    <t>E6AujzX54E1ZoPDFP2CyG3HHUVKygEkp6DRqig61pump</t>
  </si>
  <si>
    <t>445,899</t>
  </si>
  <si>
    <t>08.10.2024 21:21:15</t>
  </si>
  <si>
    <t>YUGIOH</t>
  </si>
  <si>
    <t>8,608,465</t>
  </si>
  <si>
    <t>08.10.2024 17:50:04</t>
  </si>
  <si>
    <t>3HpibUcfA6Pg6Lym9C5NNQRYu8QjG9JeRqk763VSWvez</t>
  </si>
  <si>
    <t>TOPCAT</t>
  </si>
  <si>
    <t>84.32%</t>
  </si>
  <si>
    <t>08.10.2024 15:42:48</t>
  </si>
  <si>
    <t xml:space="preserve">         98K           181K            16K</t>
  </si>
  <si>
    <t>3vrC3YS5V7Dctb9VmETPKdJffKoVbtxo3ECQg98Spump</t>
  </si>
  <si>
    <t>Monkey</t>
  </si>
  <si>
    <t>2,332,332</t>
  </si>
  <si>
    <t>07.10.2024 13:27:09</t>
  </si>
  <si>
    <t xml:space="preserve">         14K            14K            13K</t>
  </si>
  <si>
    <t>EXAmmisHH7aTJWf8fsiBEbiXEKruugNu5j1LkiJzpump</t>
  </si>
  <si>
    <t>sugarbear</t>
  </si>
  <si>
    <t>-0.327 SOL</t>
  </si>
  <si>
    <t>3,716,168</t>
  </si>
  <si>
    <t>05.10.2024 19:41:27</t>
  </si>
  <si>
    <t xml:space="preserve">         35K             7K             4K</t>
  </si>
  <si>
    <t>5BUedmQbpiCV9eVZVyBdBxE7GrbFqV6gfP3CEr6BkKsp</t>
  </si>
  <si>
    <t>FBM</t>
  </si>
  <si>
    <t>426,684</t>
  </si>
  <si>
    <t>05.10.2024 13:49:45</t>
  </si>
  <si>
    <t>8i7tJoZYeKSRbyTqj9f4X98ZzqqQcq2saArnB4X2pump</t>
  </si>
  <si>
    <t>VBTC</t>
  </si>
  <si>
    <t>1,970,304</t>
  </si>
  <si>
    <t>05.10.2024 11:18:19</t>
  </si>
  <si>
    <t>7veEn74WqMBLHkhC49HnWUAb3x9emvRFjJ2aqkvipump</t>
  </si>
  <si>
    <t>WAIT</t>
  </si>
  <si>
    <t>2,349,444</t>
  </si>
  <si>
    <t>04.10.2024 20:50:04</t>
  </si>
  <si>
    <t>FPrmKWKsAde9MXgyoGpPn4Ki6YfGCMB2Fd5ALDZcpump</t>
  </si>
  <si>
    <t>BELLO</t>
  </si>
  <si>
    <t>83,213</t>
  </si>
  <si>
    <t>04.10.2024 20:38:26</t>
  </si>
  <si>
    <t xml:space="preserve">        209K           209K             6K</t>
  </si>
  <si>
    <t>7t3gRJFjr2qQi6CSz6PcdHKdsbLwgkH21wCnmB5Rpump</t>
  </si>
  <si>
    <t>Molly</t>
  </si>
  <si>
    <t>0.567 SOL</t>
  </si>
  <si>
    <t>104.31%</t>
  </si>
  <si>
    <t>04.10.2024 18:39:15</t>
  </si>
  <si>
    <t xml:space="preserve">         12K            30K             8K</t>
  </si>
  <si>
    <t>6VoaeYmGgEF7qMYtwdwRi4TZNj8qN6UomhpynsTFpump</t>
  </si>
  <si>
    <t>TIKDOG</t>
  </si>
  <si>
    <t>-39.25%</t>
  </si>
  <si>
    <t>04.10.2024 18:14:49</t>
  </si>
  <si>
    <t>4R8S3q3SJRrM9QFuMWPEAMAdAnXEqFmiQ1NiHZPCpump</t>
  </si>
  <si>
    <t>Phantom</t>
  </si>
  <si>
    <t>337,454</t>
  </si>
  <si>
    <t>04.10.2024 18:14:38</t>
  </si>
  <si>
    <t>6v87Ei632kpToFFaQ9ggq7PmKPVjwZRsj4ssi5MWpump</t>
  </si>
  <si>
    <t>188,370</t>
  </si>
  <si>
    <t>04.10.2024 16:33:55</t>
  </si>
  <si>
    <t>25XqXpSnJjxufsNAgCNn87ucEwE9eLNT6awUzwWspump</t>
  </si>
  <si>
    <t>MOONDENG</t>
  </si>
  <si>
    <t>1,031,589</t>
  </si>
  <si>
    <t>04.10.2024 16:25:58</t>
  </si>
  <si>
    <t>jszi2PFsKBXWq5wpNybLM8B9Us8RRy4K6oVitNu9gsF</t>
  </si>
  <si>
    <t>Mooncat</t>
  </si>
  <si>
    <t>1,529,468</t>
  </si>
  <si>
    <t>04.10.2024 16:23:51</t>
  </si>
  <si>
    <t>8tfkPtSUiXXA4CRgm2HcjFpinvtqZed8YzRJdHauCfuu</t>
  </si>
  <si>
    <t>KITTY</t>
  </si>
  <si>
    <t>192,997</t>
  </si>
  <si>
    <t>04.10.2024 14:39:13</t>
  </si>
  <si>
    <t>3kgSusfV5F47T4vgrjqbrepdQUUZkEBwTwr5HRFum36h</t>
  </si>
  <si>
    <t>PETS</t>
  </si>
  <si>
    <t>0.212 SOL</t>
  </si>
  <si>
    <t>0.117 SOL</t>
  </si>
  <si>
    <t>04.10.2024 12:47:27</t>
  </si>
  <si>
    <t xml:space="preserve">         68K            76K             3K</t>
  </si>
  <si>
    <t>Cy6fYJXsTYmrNnEWuShsxSnApsDjFhXSVJyFxVseNWBV</t>
  </si>
  <si>
    <t>MB</t>
  </si>
  <si>
    <t>562,736</t>
  </si>
  <si>
    <t>04.10.2024 01:38:45</t>
  </si>
  <si>
    <t xml:space="preserve">         62K            62K            11K</t>
  </si>
  <si>
    <t>5nQ7yjbQQacXUFg6vm4PkguizC4Rps55kzZsf6c3pump</t>
  </si>
  <si>
    <t>794,929</t>
  </si>
  <si>
    <t>04.10.2024 00:52:23</t>
  </si>
  <si>
    <t>37BqCYeWPaZryBxjHKon4ym7DPM18732cTvSoR4Dpump</t>
  </si>
  <si>
    <t>SolidCoin</t>
  </si>
  <si>
    <t>981,415</t>
  </si>
  <si>
    <t>03.10.2024 18:16:01</t>
  </si>
  <si>
    <t>EXb3DdGK5utTT7NF8QRTp8X7bC8JR7BM5CP2j2Mvpump</t>
  </si>
  <si>
    <t>5.02%</t>
  </si>
  <si>
    <t>03.10.2024 18:13:59</t>
  </si>
  <si>
    <t xml:space="preserve">        118K           230K             4K</t>
  </si>
  <si>
    <t>9T9ZBxLgVPgyz5Z18N57WZ5Hbbv3taiJWPDqQJBbpump</t>
  </si>
  <si>
    <t>MANEKI</t>
  </si>
  <si>
    <t>764,759</t>
  </si>
  <si>
    <t>03.10.2024 18:13:36</t>
  </si>
  <si>
    <t>EUnVNjP4WWfRgYj7H9GKTy65eAtjt8Yy8Z2Lmq63pump</t>
  </si>
  <si>
    <t>Erdou</t>
  </si>
  <si>
    <t>2.968 SOL</t>
  </si>
  <si>
    <t>1201.86%</t>
  </si>
  <si>
    <t>03.10.2024 14:50:20</t>
  </si>
  <si>
    <t xml:space="preserve">        128K             1M            47K</t>
  </si>
  <si>
    <t>9FUbhTkjXBP43y1eLLQa12WsM9CW1BPkTNUzWbSVpump</t>
  </si>
  <si>
    <t>SKOG</t>
  </si>
  <si>
    <t>641,663</t>
  </si>
  <si>
    <t>03.10.2024 14:50:08</t>
  </si>
  <si>
    <t xml:space="preserve">         61K            61K             3K</t>
  </si>
  <si>
    <t>Ap6XuWyZ4UKEH6s5SuDXB4pEup1SynNzWxJyk598pump</t>
  </si>
  <si>
    <t>LIVE</t>
  </si>
  <si>
    <t>-0.188 SOL</t>
  </si>
  <si>
    <t>-70.32%</t>
  </si>
  <si>
    <t>03.10.2024 14:47:20</t>
  </si>
  <si>
    <t xml:space="preserve">         72K            23K             3K</t>
  </si>
  <si>
    <t>8otf3hEDMY4kbZ2sWvAcW8jPFNiMx7D5bxWYAdi5pump</t>
  </si>
  <si>
    <t>HELLO</t>
  </si>
  <si>
    <t>13.15%</t>
  </si>
  <si>
    <t>03.10.2024 13:51:24</t>
  </si>
  <si>
    <t xml:space="preserve">         33K            78K             4K</t>
  </si>
  <si>
    <t>95uMW9DVx432KrafpeXbe9PwGNkVd1tyBaEf2LKHpump</t>
  </si>
  <si>
    <t>249,585</t>
  </si>
  <si>
    <t>03.10.2024 13:22:50</t>
  </si>
  <si>
    <t xml:space="preserve">        166K           166K             5K</t>
  </si>
  <si>
    <t>DNJ2xxiBuGTFmgNG4QMjZM5wttV96VmsQr7nSvWRnA3d</t>
  </si>
  <si>
    <t>kaws</t>
  </si>
  <si>
    <t>-53.58%</t>
  </si>
  <si>
    <t>03.10.2024 13:11:36</t>
  </si>
  <si>
    <t>Ex777c1d3NSoVPcRnqdzNuCNmvZScZxr2zjnfqhYpump</t>
  </si>
  <si>
    <t>Gudetama</t>
  </si>
  <si>
    <t>2,272,828</t>
  </si>
  <si>
    <t>03.10.2024 12:19:31</t>
  </si>
  <si>
    <t>4MAQPE53dxEV1T5oC1Zo9qooA2JFrXDR3qDAPos9pump</t>
  </si>
  <si>
    <t>SMISKI</t>
  </si>
  <si>
    <t>-5.30%</t>
  </si>
  <si>
    <t>03.10.2024 11:57:59</t>
  </si>
  <si>
    <t>F5jNBrznxtL4UmeCefbgWwMD89mm8uVxZh976zVQpump</t>
  </si>
  <si>
    <t>0.312 SOL</t>
  </si>
  <si>
    <t>123.97%</t>
  </si>
  <si>
    <t>03.10.2024 11:56:15</t>
  </si>
  <si>
    <t xml:space="preserve">         49K           128K            24K</t>
  </si>
  <si>
    <t>SONNY</t>
  </si>
  <si>
    <t>17.16%</t>
  </si>
  <si>
    <t>03.10.2024 11:54:26</t>
  </si>
  <si>
    <t xml:space="preserve">         35K            55K             5K</t>
  </si>
  <si>
    <t>Evec98CXU1AnF4qFTfVcNBd5297BgD9nUGqQHdpSpump</t>
  </si>
  <si>
    <t>Pean</t>
  </si>
  <si>
    <t>2,527,962</t>
  </si>
  <si>
    <t>03.10.2024 11:49:07</t>
  </si>
  <si>
    <t>7UuDyjEFSFfCpwqhGmEPTKSX552RsLHUfxMExvELpump</t>
  </si>
  <si>
    <t>SAPPHO</t>
  </si>
  <si>
    <t>2.60%</t>
  </si>
  <si>
    <t>03.10.2024 11:42:20</t>
  </si>
  <si>
    <t xml:space="preserve">         65K           142K             4K</t>
  </si>
  <si>
    <t>BcAgwbvdgW5k8HqmYqmQ5CTZrNL8sST8G88xyPZ3pump</t>
  </si>
  <si>
    <t>Lololi</t>
  </si>
  <si>
    <t>918,238</t>
  </si>
  <si>
    <t>03.10.2024 11:19:33</t>
  </si>
  <si>
    <t>EtZXMpA6pF9Amsv78B2qgBe3TGswqGyR3AuGEAcApump</t>
  </si>
  <si>
    <t>POP</t>
  </si>
  <si>
    <t>1.67%</t>
  </si>
  <si>
    <t>03.10.2024 10:29:14</t>
  </si>
  <si>
    <t xml:space="preserve">         84K           188K             4K</t>
  </si>
  <si>
    <t>GmVstndqubU1GvdByqdML8QUiokRA9tEhc99Upa6pump</t>
  </si>
  <si>
    <t>EDog</t>
  </si>
  <si>
    <t>281,727</t>
  </si>
  <si>
    <t>03.10.2024 10:08:24</t>
  </si>
  <si>
    <t xml:space="preserve">         76K            76K             3K</t>
  </si>
  <si>
    <t>J9DfhWrGwoRL7ctJHKaQe95LF8RNMcjHHV9fUWpUpump</t>
  </si>
  <si>
    <t>bird</t>
  </si>
  <si>
    <t>18.21%</t>
  </si>
  <si>
    <t>03.10.2024 00:17:14</t>
  </si>
  <si>
    <t xml:space="preserve">        102K            88K             4K</t>
  </si>
  <si>
    <t>Hrro7XsywzNy5bcuvqvZBocuKtu2rwKDW385RowNpump</t>
  </si>
  <si>
    <t>lore</t>
  </si>
  <si>
    <t>0.362 SOL</t>
  </si>
  <si>
    <t>-0.392 SOL</t>
  </si>
  <si>
    <t>4,525,775</t>
  </si>
  <si>
    <t>03.10.2024 00:17:01</t>
  </si>
  <si>
    <t>AK9FwVj9t43eJCehPKKmHrf5t9FRMvxvsEdxvyipump</t>
  </si>
  <si>
    <t>SAVIOR</t>
  </si>
  <si>
    <t>-7.82%</t>
  </si>
  <si>
    <t>02.10.2024 23:47:10</t>
  </si>
  <si>
    <t>GGCXJyrq4Hj1tF9cEyJwSs6iDNEqLyYPnNXbp5Dxpump</t>
  </si>
  <si>
    <t>TRUMP</t>
  </si>
  <si>
    <t>-23.96%</t>
  </si>
  <si>
    <t>02.10.2024 23:25:34</t>
  </si>
  <si>
    <t xml:space="preserve">        239K            79K             5K</t>
  </si>
  <si>
    <t>2xyJt9cxJMXFfVHLiwQ3V6N9eJvborVHiN2SsNACpump</t>
  </si>
  <si>
    <t>TRIBUTE</t>
  </si>
  <si>
    <t>-0.254 SOL</t>
  </si>
  <si>
    <t>348,482</t>
  </si>
  <si>
    <t>02.10.2024 19:59:54</t>
  </si>
  <si>
    <t xml:space="preserve">        123K           123K             5K</t>
  </si>
  <si>
    <t>96vfj1VTvnRnvjgSKft7w7TFmdNNCRrpMSsjA1EEgx8w</t>
  </si>
  <si>
    <t>FREG</t>
  </si>
  <si>
    <t>744,070</t>
  </si>
  <si>
    <t>02.10.2024 19:57:15</t>
  </si>
  <si>
    <t>4pSVCsXPqq3sjQF639Sru1Sc9jby38zCFffs53Gzpump</t>
  </si>
  <si>
    <t>UKI</t>
  </si>
  <si>
    <t>472,344</t>
  </si>
  <si>
    <t>02.10.2024 19:39:34</t>
  </si>
  <si>
    <t xml:space="preserve">         46K            46K             3K</t>
  </si>
  <si>
    <t>D6cD2iS872QPd3gAZK6X7hmZmvqq36rWor3YAR4upump</t>
  </si>
  <si>
    <t>PONK</t>
  </si>
  <si>
    <t>178,807</t>
  </si>
  <si>
    <t>02.10.2024 18:54:15</t>
  </si>
  <si>
    <t xml:space="preserve">        195K           195K             3K</t>
  </si>
  <si>
    <t>adtbVm24n9JuABKfwsP9wSYRE9hfmrgRAgdDzPXpump</t>
  </si>
  <si>
    <t>PoP</t>
  </si>
  <si>
    <t>3,995,275</t>
  </si>
  <si>
    <t>02.10.2024 17:58:49</t>
  </si>
  <si>
    <t>8fSjP8PS7xKY88ToTHDErJnR78AvDm9gZFmC8G8Spump</t>
  </si>
  <si>
    <t>POCHITA</t>
  </si>
  <si>
    <t>-46.26%</t>
  </si>
  <si>
    <t>02.10.2024 17:20:04</t>
  </si>
  <si>
    <t xml:space="preserve">         26K            16K             4K</t>
  </si>
  <si>
    <t>Dz1nbovr2ijpdW4RFVSxLi3tp39jH8rcXmZUXM4zpump</t>
  </si>
  <si>
    <t>325,944</t>
  </si>
  <si>
    <t>02.10.2024 17:05:50</t>
  </si>
  <si>
    <t>BfU8Vryy5GjrxeUU617JfNi53EzDyWvper8ghfc4pump</t>
  </si>
  <si>
    <t>WeCat</t>
  </si>
  <si>
    <t>0.271 SOL</t>
  </si>
  <si>
    <t>24.50%</t>
  </si>
  <si>
    <t>02.10.2024 16:11:41</t>
  </si>
  <si>
    <t xml:space="preserve">         97K           264K             6K</t>
  </si>
  <si>
    <t>EAMU6WF4SzcWaVEPf6q6YmG7tsaC5jtmjXFWyjorpump</t>
  </si>
  <si>
    <t>Chi</t>
  </si>
  <si>
    <t>1,366,989</t>
  </si>
  <si>
    <t>02.10.2024 15:53:58</t>
  </si>
  <si>
    <t>GdckgUGfGfhzfadnc3KnRwuNrct8Y496Fb2cxCrppump</t>
  </si>
  <si>
    <t>SIGMAO</t>
  </si>
  <si>
    <t>82.40%</t>
  </si>
  <si>
    <t>02.10.2024 15:38:01</t>
  </si>
  <si>
    <t xml:space="preserve">         28K            47K             4K</t>
  </si>
  <si>
    <t>9V2zZpDQm4z1TLefRLqrUKpWFMnZpKanEMmhNpGPpump</t>
  </si>
  <si>
    <t>Qi</t>
  </si>
  <si>
    <t>961,126</t>
  </si>
  <si>
    <t>02.10.2024 15:33:40</t>
  </si>
  <si>
    <t>HdeskaKhMmS1d1H3fgrYLeZCSytp2SBAaqSsphTppump</t>
  </si>
  <si>
    <t>QUBY</t>
  </si>
  <si>
    <t>0.016 SOL</t>
  </si>
  <si>
    <t>6.16%</t>
  </si>
  <si>
    <t>02.10.2024 14:01:30</t>
  </si>
  <si>
    <t xml:space="preserve">        103K           118K            19K</t>
  </si>
  <si>
    <t>7aQmCjLsC3pgBsdXXBmxSMebDy6NL1Xp6cJsBxVxQR5c</t>
  </si>
  <si>
    <t>xingxing</t>
  </si>
  <si>
    <t>-0.172 SOL</t>
  </si>
  <si>
    <t>1,140,803</t>
  </si>
  <si>
    <t>02.10.2024 12:27:34</t>
  </si>
  <si>
    <t>9SdazNLoUKqbm5fHcMntiAmnzGKS95jjMC3uJjVzpump</t>
  </si>
  <si>
    <t>Chouchou</t>
  </si>
  <si>
    <t>3,153,623</t>
  </si>
  <si>
    <t>02.10.2024 12:23:13</t>
  </si>
  <si>
    <t>Azahf4bYv9AUk9LTbKGb4e92euBnVgjfnbtcWLsbpump</t>
  </si>
  <si>
    <t>Hachiko</t>
  </si>
  <si>
    <t>146.38%</t>
  </si>
  <si>
    <t>02.10.2024 11:54:05</t>
  </si>
  <si>
    <t xml:space="preserve">         58K           172K             5K</t>
  </si>
  <si>
    <t>6N2L1hQsrpaNKt41CU19cjMmFzsYqpuSQYM6maJfpump</t>
  </si>
  <si>
    <t>youli</t>
  </si>
  <si>
    <t>1,200,162</t>
  </si>
  <si>
    <t>02.10.2024 03:55:15</t>
  </si>
  <si>
    <t xml:space="preserve">         72K            30K             5K</t>
  </si>
  <si>
    <t>CvCmLqYRsZQbLk9Fxc5HY2jGvnSXS1UxVaCgKyRkpump</t>
  </si>
  <si>
    <t>cock deng</t>
  </si>
  <si>
    <t>9,281,342</t>
  </si>
  <si>
    <t>02.10.2024 03:51:54</t>
  </si>
  <si>
    <t xml:space="preserve">          5K             7K             4K</t>
  </si>
  <si>
    <t>EWBdpQoBLLACQJhSHYxv3BufBnZR9g4Q89PLEDwLpump</t>
  </si>
  <si>
    <t>cock</t>
  </si>
  <si>
    <t>398,005</t>
  </si>
  <si>
    <t>02.10.2024 01:34:21</t>
  </si>
  <si>
    <t xml:space="preserve">         87K            87K             5K</t>
  </si>
  <si>
    <t>2jiBRjhsnmERifNuDEN3uSvF86JCwGRotGJ5ZWa6pump</t>
  </si>
  <si>
    <t>XIAO</t>
  </si>
  <si>
    <t>0.013 SOL</t>
  </si>
  <si>
    <t>4.90%</t>
  </si>
  <si>
    <t>01.10.2024 23:19:53</t>
  </si>
  <si>
    <t xml:space="preserve">        114K           130K             7K</t>
  </si>
  <si>
    <t>ocCxa3Z24FSGBVwCDTMxfvEvXyc3gJLCH4DxcsJpump</t>
  </si>
  <si>
    <t>1.089 SOL</t>
  </si>
  <si>
    <t>260.39%</t>
  </si>
  <si>
    <t>01.10.2024 23:14:37</t>
  </si>
  <si>
    <t xml:space="preserve">         58K           443K             6K</t>
  </si>
  <si>
    <t>GT1jji4gqNgigvtwmjyQWiv5wNooWCXjn5aokXJEpump</t>
  </si>
  <si>
    <t>LEONARDO</t>
  </si>
  <si>
    <t>01.10.2024 22:50:30</t>
  </si>
  <si>
    <t xml:space="preserve">         39K            40K             4K</t>
  </si>
  <si>
    <t>5pbSnindcfYjxFJAKPvHYDWaBmEXyx5C5koWSXYXpump</t>
  </si>
  <si>
    <t>Moodussy</t>
  </si>
  <si>
    <t>0.316 SOL</t>
  </si>
  <si>
    <t>18.24%</t>
  </si>
  <si>
    <t>01.10.2024 22:38:37</t>
  </si>
  <si>
    <t xml:space="preserve">         18K            23K            17K</t>
  </si>
  <si>
    <t>3qqrPQdRXa4pjrsEpe3MAcyTHKZkT9vcnEH4UjJxpump</t>
  </si>
  <si>
    <t>F*CK</t>
  </si>
  <si>
    <t>1,688,975</t>
  </si>
  <si>
    <t>01.10.2024 22:34:50</t>
  </si>
  <si>
    <t>DwWHWGxEQkoKYKD7JDgDGxLzrUrkChpUKuAExusxpump</t>
  </si>
  <si>
    <t>Mundi</t>
  </si>
  <si>
    <t>-47.11%</t>
  </si>
  <si>
    <t>01.10.2024 22:31:09</t>
  </si>
  <si>
    <t xml:space="preserve">         88K            74K             7K</t>
  </si>
  <si>
    <t>4BBjpGwLgGmUxtT82YFK9xMhcvyy3zgf3HpxTRip1YoU</t>
  </si>
  <si>
    <t>SQUIRT</t>
  </si>
  <si>
    <t>463,971</t>
  </si>
  <si>
    <t>01.10.2024 22:21:26</t>
  </si>
  <si>
    <t xml:space="preserve">         93K            93K             3K</t>
  </si>
  <si>
    <t>9AbobZM1UCuVifTeYH1751kfnEYbypWB9dMKm1kTpump</t>
  </si>
  <si>
    <t>OBEAR</t>
  </si>
  <si>
    <t>0.071 SOL</t>
  </si>
  <si>
    <t>-50.14%</t>
  </si>
  <si>
    <t>01.10.2024 20:39:31</t>
  </si>
  <si>
    <t>GY21JB6vLprNLsR6pNZX2GHmd3uyYiCXEf4pM5Ajpump</t>
  </si>
  <si>
    <t>POJ</t>
  </si>
  <si>
    <t>127,893</t>
  </si>
  <si>
    <t>01.10.2024 20:39:27</t>
  </si>
  <si>
    <t xml:space="preserve">        272K           272K             5K</t>
  </si>
  <si>
    <t>ETg3wBLAgWDpEXkXufvNBrMVrrMDyPHgVVN5e2Qnpump</t>
  </si>
  <si>
    <t>HopeCore</t>
  </si>
  <si>
    <t>-0.540 SOL</t>
  </si>
  <si>
    <t>1,818,220</t>
  </si>
  <si>
    <t>01.10.2024 20:27:22</t>
  </si>
  <si>
    <t xml:space="preserve">         74K            37K             4K</t>
  </si>
  <si>
    <t>38vZDwRCYCWrxmZfRgfWyz1SvnuLLxyFbJ48LfJ5pump</t>
  </si>
  <si>
    <t>PEACE</t>
  </si>
  <si>
    <t>-2.16%</t>
  </si>
  <si>
    <t>01.10.2024 19:55:00</t>
  </si>
  <si>
    <t>GVZdLA3s5YccFY2xgfTivP7H4au4n3GK4nmzu3dJpump</t>
  </si>
  <si>
    <t>✌️</t>
  </si>
  <si>
    <t>712,698</t>
  </si>
  <si>
    <t>01.10.2024 19:37:28</t>
  </si>
  <si>
    <t>Ebj9NfyBVhkmLK2XGm7NWZgS7dJ8QPe9GCqQXacSpump</t>
  </si>
  <si>
    <t>PCRG</t>
  </si>
  <si>
    <t>1.659 SOL</t>
  </si>
  <si>
    <t>191.27%</t>
  </si>
  <si>
    <t>01.10.2024 19:18:23</t>
  </si>
  <si>
    <t xml:space="preserve">         23K           439K             8K</t>
  </si>
  <si>
    <t>9K6jn2usb1YJGcTpFVLwkUvsroKyDLVY6amgDEoMpump</t>
  </si>
  <si>
    <t>NUKE</t>
  </si>
  <si>
    <t>43.22%</t>
  </si>
  <si>
    <t>01.10.2024 18:45:32</t>
  </si>
  <si>
    <t xml:space="preserve">         11K            18K             4K</t>
  </si>
  <si>
    <t>9QksbthJCAwLorLapSXvSv7sKFSPseY7yYz5RCy3pump</t>
  </si>
  <si>
    <t>FB17KCgFjwtEWduJAykvRcJnM5nYZvpHfWWg135V18KR</t>
  </si>
  <si>
    <t>120.27 SOL</t>
  </si>
  <si>
    <t>104%</t>
  </si>
  <si>
    <t>1300.16 SOL</t>
  </si>
  <si>
    <t>79 (27%)</t>
  </si>
  <si>
    <t>2 (1%)</t>
  </si>
  <si>
    <t>49 days</t>
  </si>
  <si>
    <t>-2.51%</t>
  </si>
  <si>
    <t>6%</t>
  </si>
  <si>
    <t>39%</t>
  </si>
  <si>
    <t>480 SOL</t>
  </si>
  <si>
    <t>85</t>
  </si>
  <si>
    <t>7</t>
  </si>
  <si>
    <t>1.0%</t>
  </si>
  <si>
    <t>4.7%</t>
  </si>
  <si>
    <t>3.4%</t>
  </si>
  <si>
    <t>34.3%</t>
  </si>
  <si>
    <t>46.1%</t>
  </si>
  <si>
    <t>10.4%</t>
  </si>
  <si>
    <t>150</t>
  </si>
  <si>
    <t>1168.0 SOL</t>
  </si>
  <si>
    <t>153.3 SOL</t>
  </si>
  <si>
    <t>86.6 SOL</t>
  </si>
  <si>
    <t>-73.4 SOL</t>
  </si>
  <si>
    <t>-55.3 SOL</t>
  </si>
  <si>
    <t>25</t>
  </si>
  <si>
    <t>MSTR</t>
  </si>
  <si>
    <t>5.037 SOL</t>
  </si>
  <si>
    <t>0.73%</t>
  </si>
  <si>
    <t>30.10.2024 20:04:41</t>
  </si>
  <si>
    <t xml:space="preserve">         64K            64K            61K</t>
  </si>
  <si>
    <t>2sAdWe7WQbfmGjgMLgGzsCapDf6Raebj4ETQv79TYhJi</t>
  </si>
  <si>
    <t>10.272 SOL</t>
  </si>
  <si>
    <t>2.72%</t>
  </si>
  <si>
    <t>30.10.2024 19:55:09</t>
  </si>
  <si>
    <t>H21337WEn4GZVvttWBvsL7P3esB7xL81xRgRQAk1pump</t>
  </si>
  <si>
    <t>Brits</t>
  </si>
  <si>
    <t>0.005010</t>
  </si>
  <si>
    <t>1.830 SOL</t>
  </si>
  <si>
    <t>0.808 SOL</t>
  </si>
  <si>
    <t>79.08%</t>
  </si>
  <si>
    <t>30.10.2024 19:50:21</t>
  </si>
  <si>
    <t xml:space="preserve">          5K             9K            12K</t>
  </si>
  <si>
    <t>2GDEnpDPsiagGH1xfVfYtnczuv7RyfouWWBSEsi2pump</t>
  </si>
  <si>
    <t>5.157 SOL</t>
  </si>
  <si>
    <t>-4.850 SOL</t>
  </si>
  <si>
    <t>-48.47%</t>
  </si>
  <si>
    <t>30.10.2024 15:40:23</t>
  </si>
  <si>
    <t xml:space="preserve">        131K           127K           124K</t>
  </si>
  <si>
    <t>N2faGE8j6vn2cJevgmw4XfPeVpGvtw4iPUghLvPpump</t>
  </si>
  <si>
    <t>doooooooog</t>
  </si>
  <si>
    <t>5.273 SOL</t>
  </si>
  <si>
    <t>3.44%</t>
  </si>
  <si>
    <t>30.10.2024 14:28:38</t>
  </si>
  <si>
    <t>9mpfcHGT4PhwpoCxN5xoKgpkGmEkXc6cAhGvpUUQpump</t>
  </si>
  <si>
    <t>ST</t>
  </si>
  <si>
    <t>5.655 SOL</t>
  </si>
  <si>
    <t>10.94%</t>
  </si>
  <si>
    <t>30.10.2024 14:27:06</t>
  </si>
  <si>
    <t>9biy49BUm8et1rR3bEF73eHqhfsBxaM5CrHddqwHpump</t>
  </si>
  <si>
    <t>$MADMAN</t>
  </si>
  <si>
    <t>2.941 SOL</t>
  </si>
  <si>
    <t>0.99%</t>
  </si>
  <si>
    <t>30.10.2024 14:25:33</t>
  </si>
  <si>
    <t>EE4mdHRch6eJZXDuhxPRP5WWkpgJcHi2qz83o8AApump</t>
  </si>
  <si>
    <t>wAIfu</t>
  </si>
  <si>
    <t>-1.448 SOL</t>
  </si>
  <si>
    <t>-49.16%</t>
  </si>
  <si>
    <t>GgcMoeSCrZVkMzz8eooJEHEHSc5U7NAbX86fKztzpump</t>
  </si>
  <si>
    <t>WOJTEK</t>
  </si>
  <si>
    <t>10.593 SOL</t>
  </si>
  <si>
    <t>0.592 SOL</t>
  </si>
  <si>
    <t>5.92%</t>
  </si>
  <si>
    <t>30.10.2024 03:28:55</t>
  </si>
  <si>
    <t>7aU549JnULybKcmBLJiYMpmXDeZcQ92uRVKsTVK6pump</t>
  </si>
  <si>
    <t>SHOALSTONE</t>
  </si>
  <si>
    <t>4.027 SOL</t>
  </si>
  <si>
    <t>1.793 SOL</t>
  </si>
  <si>
    <t>-2.237 SOL</t>
  </si>
  <si>
    <t>-55.52%</t>
  </si>
  <si>
    <t>30.10.2024 03:26:28</t>
  </si>
  <si>
    <t>ggvw6wJ4aaGLKe7QVHCb1hq5VyAZTYE5yCiSHhwpump</t>
  </si>
  <si>
    <t>Aletheia</t>
  </si>
  <si>
    <t>0.016120</t>
  </si>
  <si>
    <t>29.468 SOL</t>
  </si>
  <si>
    <t>20.452 SOL</t>
  </si>
  <si>
    <t>226.84%</t>
  </si>
  <si>
    <t>30.10.2024 03:22:40</t>
  </si>
  <si>
    <t xml:space="preserve">         90K            93K           324K</t>
  </si>
  <si>
    <t>6Xx8p2WmY1Uk2GD35uxhEyuniNrVEeSu3CUThb8Upump</t>
  </si>
  <si>
    <t>CROCS</t>
  </si>
  <si>
    <t>0.010510</t>
  </si>
  <si>
    <t>2.203 SOL</t>
  </si>
  <si>
    <t>11.442 SOL</t>
  </si>
  <si>
    <t>9.228 SOL</t>
  </si>
  <si>
    <t>416.87%</t>
  </si>
  <si>
    <t>30.10.2024 03:20:39</t>
  </si>
  <si>
    <t xml:space="preserve">          7K            26K             4K</t>
  </si>
  <si>
    <t>GkLxURpEnvc7YacNgSw9zGUWZDXPTG7nECMGoAdVpump</t>
  </si>
  <si>
    <t>VBUCKS</t>
  </si>
  <si>
    <t>15.578 SOL</t>
  </si>
  <si>
    <t>3.85%</t>
  </si>
  <si>
    <t>30.10.2024 03:19:17</t>
  </si>
  <si>
    <t>3F6rLmLw794uP3JvvZiU8uXcDmqa1REp84hrQ8Akpump</t>
  </si>
  <si>
    <t>Run</t>
  </si>
  <si>
    <t>8.99%</t>
  </si>
  <si>
    <t>30.10.2024 01:07:13</t>
  </si>
  <si>
    <t>7tKAeeitqaPLt94JKa3HiA6hKrRbJv3qQrRjVkJypump</t>
  </si>
  <si>
    <t>RICO</t>
  </si>
  <si>
    <t>0.933 SOL</t>
  </si>
  <si>
    <t>-8.68%</t>
  </si>
  <si>
    <t>30.10.2024 01:04:25</t>
  </si>
  <si>
    <t>BsQV5W245S4sdkTVASGZc32ECQuV11tqEj2vMWjEpump</t>
  </si>
  <si>
    <t>Tux</t>
  </si>
  <si>
    <t>2.027 SOL</t>
  </si>
  <si>
    <t>21.55%</t>
  </si>
  <si>
    <t>30.10.2024 00:03:10</t>
  </si>
  <si>
    <t>52YwEuzmXYoFGFmSdwLtfqSQwye7eqXZu8Ljt5Bxpump</t>
  </si>
  <si>
    <t>Ferris</t>
  </si>
  <si>
    <t>2.117 SOL</t>
  </si>
  <si>
    <t>-4.13%</t>
  </si>
  <si>
    <t>30.10.2024 00:00:48</t>
  </si>
  <si>
    <t>6Qbs9CS2XT6Z35qW3x7TjBpMBaEDZtVa4aXNRmeRpump</t>
  </si>
  <si>
    <t>OOF</t>
  </si>
  <si>
    <t>10.131 SOL</t>
  </si>
  <si>
    <t>1.31%</t>
  </si>
  <si>
    <t>29.10.2024 20:00:20</t>
  </si>
  <si>
    <t>A3qBj6cacSZWJDRCEUKM8NSU7GwoZk9uccQM7oNvpump</t>
  </si>
  <si>
    <t>FRIAR</t>
  </si>
  <si>
    <t>0.982 SOL</t>
  </si>
  <si>
    <t>37.86%</t>
  </si>
  <si>
    <t>29.10.2024 16:14:28</t>
  </si>
  <si>
    <t>7Gc4wtvsyzY2WsENqBCDModHi3bcX7dKTLXqxT1xpump</t>
  </si>
  <si>
    <t>Pig</t>
  </si>
  <si>
    <t>1.948 SOL</t>
  </si>
  <si>
    <t>-0.084 SOL</t>
  </si>
  <si>
    <t>-4.12%</t>
  </si>
  <si>
    <t>29.10.2024 16:10:36</t>
  </si>
  <si>
    <t>44pU6sb9JviXMvJQoLb2vhS2xQaLzxCTHa7oQQJfpump</t>
  </si>
  <si>
    <t>Buddha</t>
  </si>
  <si>
    <t>0.85%</t>
  </si>
  <si>
    <t>29.10.2024 04:04:36</t>
  </si>
  <si>
    <t>AqdZMqSdhj2uFpXFcYHctPUUQKmmMaLMmNeujnoPpump</t>
  </si>
  <si>
    <t>ooga</t>
  </si>
  <si>
    <t>10.758 SOL</t>
  </si>
  <si>
    <t>7.49%</t>
  </si>
  <si>
    <t>29.10.2024 03:45:33</t>
  </si>
  <si>
    <t xml:space="preserve">          9K             9K             4K</t>
  </si>
  <si>
    <t>Hh3EDrxw4HuMESJZpjfa92rAZbbKuGS5o9hZERnpump</t>
  </si>
  <si>
    <t>h3d0n1ka</t>
  </si>
  <si>
    <t>10.772 SOL</t>
  </si>
  <si>
    <t>7.63%</t>
  </si>
  <si>
    <t>29.10.2024 03:43:47</t>
  </si>
  <si>
    <t>8aH2DfVqRojQJQFXE1V5Ai5XxBxWU6v92PzrA9XHpump</t>
  </si>
  <si>
    <t>BE</t>
  </si>
  <si>
    <t>10.774 SOL</t>
  </si>
  <si>
    <t>0.774 SOL</t>
  </si>
  <si>
    <t>7.74%</t>
  </si>
  <si>
    <t>29.10.2024 03:42:54</t>
  </si>
  <si>
    <t>7unjDTz3Gtaw6Duo2W6SATiXWUYtXcihWTezfgRdpump</t>
  </si>
  <si>
    <t>TOT</t>
  </si>
  <si>
    <t>10.783 SOL</t>
  </si>
  <si>
    <t>29.10.2024 03:42:16</t>
  </si>
  <si>
    <t>6PH51qTL3zvydA9KiULt9e1quagubxxJKXtWErdCpump</t>
  </si>
  <si>
    <t>10.715 SOL</t>
  </si>
  <si>
    <t>0.714 SOL</t>
  </si>
  <si>
    <t>7.14%</t>
  </si>
  <si>
    <t>29.10.2024 03:39:04</t>
  </si>
  <si>
    <t>10.730 SOL</t>
  </si>
  <si>
    <t>0.729 SOL</t>
  </si>
  <si>
    <t>7.29%</t>
  </si>
  <si>
    <t>29.10.2024 03:38:12</t>
  </si>
  <si>
    <t>GHOSTEUS</t>
  </si>
  <si>
    <t>10.822 SOL</t>
  </si>
  <si>
    <t>29.10.2024 03:37:21</t>
  </si>
  <si>
    <t>DoUeK9HUqj4tFbRAKHLcm7TzJZZGaP5UUjxp96hpump</t>
  </si>
  <si>
    <t>Darth</t>
  </si>
  <si>
    <t>7.76%</t>
  </si>
  <si>
    <t>29.10.2024 03:35:04</t>
  </si>
  <si>
    <t>Af1kFFphehobTrkn7mkgFzGHf3MhuWA81gB4Af9Mpump</t>
  </si>
  <si>
    <t>Smallville</t>
  </si>
  <si>
    <t>10.835 SOL</t>
  </si>
  <si>
    <t>0.834 SOL</t>
  </si>
  <si>
    <t>29.10.2024 03:34:19</t>
  </si>
  <si>
    <t>CMbaYsNcMftko87CMuTNGezNMz3iwpYijGYLuSdLpump</t>
  </si>
  <si>
    <t>10.771 SOL</t>
  </si>
  <si>
    <t>0.770 SOL</t>
  </si>
  <si>
    <t>29.10.2024 03:33:35</t>
  </si>
  <si>
    <t>PEPEWEEN</t>
  </si>
  <si>
    <t>10.312 SOL</t>
  </si>
  <si>
    <t>3.11%</t>
  </si>
  <si>
    <t>29.10.2024 03:32:22</t>
  </si>
  <si>
    <t>4HMuEiEmsnaGCjeLwPDkBiu7tUNxk4LNbLpZCUhgpump</t>
  </si>
  <si>
    <t>10.899 SOL</t>
  </si>
  <si>
    <t>0.898 SOL</t>
  </si>
  <si>
    <t>29.10.2024 03:31:17</t>
  </si>
  <si>
    <t>3.971 SOL</t>
  </si>
  <si>
    <t>-1.034 SOL</t>
  </si>
  <si>
    <t>-20.66%</t>
  </si>
  <si>
    <t>28.10.2024 22:03:24</t>
  </si>
  <si>
    <t xml:space="preserve">         12K             9K             7K</t>
  </si>
  <si>
    <t>6AXuBd8sArZAtPqRzgxgVgtemnewnWBEeetqg9fkpump</t>
  </si>
  <si>
    <t>Residue</t>
  </si>
  <si>
    <t>0.662 SOL</t>
  </si>
  <si>
    <t>-4.348 SOL</t>
  </si>
  <si>
    <t>-86.78%</t>
  </si>
  <si>
    <t>28.10.2024 19:54:38</t>
  </si>
  <si>
    <t xml:space="preserve">         99K            99K             4K</t>
  </si>
  <si>
    <t>EdVd5bNNRyqujybcF5Zp78Gu9S14nsvkqqg6rcdCpump</t>
  </si>
  <si>
    <t>6.483 SOL</t>
  </si>
  <si>
    <t>1.482 SOL</t>
  </si>
  <si>
    <t>29.64%</t>
  </si>
  <si>
    <t>28.10.2024 17:01:55</t>
  </si>
  <si>
    <t xml:space="preserve">          5K             7K             3K</t>
  </si>
  <si>
    <t>BenUBNtwCGkY1EM74B1EYwfQzHD1JRLbtVqBxLUFpump</t>
  </si>
  <si>
    <t>ara ara</t>
  </si>
  <si>
    <t>0.04%</t>
  </si>
  <si>
    <t>28.10.2024 16:57:03</t>
  </si>
  <si>
    <t>B3PG2vdd3XajfxwUd7XNNr9mzKaX5cD3KjmzTQnVxUD1</t>
  </si>
  <si>
    <t>No</t>
  </si>
  <si>
    <t>-1.07%</t>
  </si>
  <si>
    <t>28.10.2024 03:56:36</t>
  </si>
  <si>
    <t xml:space="preserve">         56K            55K            10K</t>
  </si>
  <si>
    <t>EPLWNRkzRUuuWJA2NuvDnamgkFrvXg7MmEp7BowLpump</t>
  </si>
  <si>
    <t>0.121000</t>
  </si>
  <si>
    <t>1119.317 SOL</t>
  </si>
  <si>
    <t>1116.160 SOL</t>
  </si>
  <si>
    <t>35346.74%</t>
  </si>
  <si>
    <t>28.10.2024 01:04:09</t>
  </si>
  <si>
    <t xml:space="preserve">          7K             1M            25M</t>
  </si>
  <si>
    <t>TICKER</t>
  </si>
  <si>
    <t>10.194 SOL</t>
  </si>
  <si>
    <t>1.85%</t>
  </si>
  <si>
    <t>27.10.2024 22:56:59</t>
  </si>
  <si>
    <t xml:space="preserve">         26K            26K            19K</t>
  </si>
  <si>
    <t>3cj36Yqh8Xpxy1tnBWRABgqTvcj4CPTT9Eyi7W8S4j15</t>
  </si>
  <si>
    <t>ANSEM</t>
  </si>
  <si>
    <t>5.446 SOL</t>
  </si>
  <si>
    <t>0.445 SOL</t>
  </si>
  <si>
    <t>8.90%</t>
  </si>
  <si>
    <t>27.10.2024 22:55:40</t>
  </si>
  <si>
    <t xml:space="preserve">         10K            12K             9K</t>
  </si>
  <si>
    <t>ACUKbChsmNXLSS4ECEnRecUmyciNnmU9J8cxooZbMkxb</t>
  </si>
  <si>
    <t>needacigi</t>
  </si>
  <si>
    <t>5.215 SOL</t>
  </si>
  <si>
    <t>0.215 SOL</t>
  </si>
  <si>
    <t>4.30%</t>
  </si>
  <si>
    <t>27.10.2024 22:54:27</t>
  </si>
  <si>
    <t xml:space="preserve">          4K             5K             3K</t>
  </si>
  <si>
    <t>78C9NN1MsavMdAjiLSY9Sh1EmfxGhvxPedtV322npump</t>
  </si>
  <si>
    <t>Voldemort</t>
  </si>
  <si>
    <t>0.000960</t>
  </si>
  <si>
    <t>24.000 SOL</t>
  </si>
  <si>
    <t>18.620 SOL</t>
  </si>
  <si>
    <t>-5.381 SOL</t>
  </si>
  <si>
    <t>27.10.2024 17:25:55</t>
  </si>
  <si>
    <t xml:space="preserve">         29K           242K            19K</t>
  </si>
  <si>
    <t>3Pi9Ppau53J8tSu3KRhPv9SyPxNzZpmZqSPNFS4fUGEQ</t>
  </si>
  <si>
    <t>HSLUT</t>
  </si>
  <si>
    <t>6.537 SOL</t>
  </si>
  <si>
    <t>30.62%</t>
  </si>
  <si>
    <t>27.10.2024 17:19:23</t>
  </si>
  <si>
    <t xml:space="preserve">         16K            21K             9K</t>
  </si>
  <si>
    <t>7uhVwB3mhzxk3k5v98cUqPhLKQQZ5Tm6bcwuzti3pump</t>
  </si>
  <si>
    <t>10.850 SOL</t>
  </si>
  <si>
    <t>0.849 SOL</t>
  </si>
  <si>
    <t>8.49%</t>
  </si>
  <si>
    <t>27.10.2024 17:12:02</t>
  </si>
  <si>
    <t>2KhRkH686pjb1NmBqdxtcwB9AuJ12JpbK6X1xtGVpump</t>
  </si>
  <si>
    <t>27.10.2024 17:10:56</t>
  </si>
  <si>
    <t>OPUS</t>
  </si>
  <si>
    <t>0.007630</t>
  </si>
  <si>
    <t>22.303 SOL</t>
  </si>
  <si>
    <t>2.295 SOL</t>
  </si>
  <si>
    <t>11.47%</t>
  </si>
  <si>
    <t>27.10.2024 16:23:26</t>
  </si>
  <si>
    <t xml:space="preserve">          5M             9M             4M</t>
  </si>
  <si>
    <t>9JhFqCA21MoAXs2PTaeqNQp2XngPn1PgYr2rsEVCpump</t>
  </si>
  <si>
    <t>websim</t>
  </si>
  <si>
    <t>0.001470</t>
  </si>
  <si>
    <t>35.937 SOL</t>
  </si>
  <si>
    <t>10.935 SOL</t>
  </si>
  <si>
    <t>43.74%</t>
  </si>
  <si>
    <t>27.10.2024 07:36:04</t>
  </si>
  <si>
    <t xml:space="preserve">         12K            16K             9K</t>
  </si>
  <si>
    <t>8gKc17RLY9xxXyDrQ6Fia8u4344JCvzU7P1qjk1Xpump</t>
  </si>
  <si>
    <t>RUNESCAPE</t>
  </si>
  <si>
    <t>10.951 SOL</t>
  </si>
  <si>
    <t>27.10.2024 07:35:23</t>
  </si>
  <si>
    <t xml:space="preserve">         11K            12K             8K</t>
  </si>
  <si>
    <t>5iNRgZiWTbq1qRMeYppF92zRTvD8UwxLHyXJooBopump</t>
  </si>
  <si>
    <t>10.605 SOL</t>
  </si>
  <si>
    <t>0.604 SOL</t>
  </si>
  <si>
    <t>6.04%</t>
  </si>
  <si>
    <t>27.10.2024 07:34:25</t>
  </si>
  <si>
    <t>10.405 SOL</t>
  </si>
  <si>
    <t>0.405 SOL</t>
  </si>
  <si>
    <t>4.05%</t>
  </si>
  <si>
    <t>27.10.2024 07:33:25</t>
  </si>
  <si>
    <t>5eavz7ZaG74uKgPw8rwejGiHCgaWcrixAaTxaBpjpump</t>
  </si>
  <si>
    <t>pleto</t>
  </si>
  <si>
    <t>11.449 SOL</t>
  </si>
  <si>
    <t>14.48%</t>
  </si>
  <si>
    <t>27.10.2024 07:32:38</t>
  </si>
  <si>
    <t>7PP4NQ8AZMxVwsbJbpqKZHfNgXgVymDT9ceYDKM1pump</t>
  </si>
  <si>
    <t>Schema</t>
  </si>
  <si>
    <t>10.017 SOL</t>
  </si>
  <si>
    <t>0.16%</t>
  </si>
  <si>
    <t>27.10.2024 01:31:38</t>
  </si>
  <si>
    <t>4DWpJYaHvTauvUoExSWDWJK2rFU8GHWckDDbB74Mpump</t>
  </si>
  <si>
    <t>sven</t>
  </si>
  <si>
    <t>11.025 SOL</t>
  </si>
  <si>
    <t>27.10.2024 01:28:42</t>
  </si>
  <si>
    <t>14UNzx7R2G8yAWvWunZrhGKgHc6SVpT8nkeDrt8Npump</t>
  </si>
  <si>
    <t>LILA</t>
  </si>
  <si>
    <t>11.283 SOL</t>
  </si>
  <si>
    <t>1.283 SOL</t>
  </si>
  <si>
    <t>12.83%</t>
  </si>
  <si>
    <t>27.10.2024 01:27:33</t>
  </si>
  <si>
    <t>E4E9jZG6RGnrjjXk4ydwEknnKtsqZhKeDDbqbxCmpump</t>
  </si>
  <si>
    <t>PURR</t>
  </si>
  <si>
    <t>11.429 SOL</t>
  </si>
  <si>
    <t>1.428 SOL</t>
  </si>
  <si>
    <t>14.28%</t>
  </si>
  <si>
    <t>27.10.2024 01:26:30</t>
  </si>
  <si>
    <t>BuymGv77Q36dhb2LKD4pBzbmqNHNdFkgEJBXxqrxpump</t>
  </si>
  <si>
    <t>11.363 SOL</t>
  </si>
  <si>
    <t>1.362 SOL</t>
  </si>
  <si>
    <t>13.62%</t>
  </si>
  <si>
    <t>27.10.2024 01:24:08</t>
  </si>
  <si>
    <t>3AqRaaRec2Zf8JUQ5s9GA4j654iPUgUeVMaDozrR5VTm</t>
  </si>
  <si>
    <t>MsDeng</t>
  </si>
  <si>
    <t>11.894 SOL</t>
  </si>
  <si>
    <t>1.894 SOL</t>
  </si>
  <si>
    <t>27.10.2024 01:23:00</t>
  </si>
  <si>
    <t>FsThuk1gzeHKyqLcMHNdaArf2V714X63csc6fhFLpump</t>
  </si>
  <si>
    <t>eDOG</t>
  </si>
  <si>
    <t>11.374 SOL</t>
  </si>
  <si>
    <t>13.73%</t>
  </si>
  <si>
    <t>27.10.2024 01:22:13</t>
  </si>
  <si>
    <t>E6YGqXCeAjLoGJBkBgY8xMymf9LJ54MtSA2sTY9Wpump</t>
  </si>
  <si>
    <t>BYTE</t>
  </si>
  <si>
    <t>10.787 SOL</t>
  </si>
  <si>
    <t>26.10.2024 23:28:13</t>
  </si>
  <si>
    <t>5s2Bmx97ccoVGe9Zf7WkSNbRwVc737NUPV1ZigUepump</t>
  </si>
  <si>
    <t>11.632 SOL</t>
  </si>
  <si>
    <t>1.632 SOL</t>
  </si>
  <si>
    <t>16.32%</t>
  </si>
  <si>
    <t>26.10.2024 23:27:24</t>
  </si>
  <si>
    <t>2ZzZkcZzLhhQFJ8dZNQS9kDYhSUGUZU6dF1ZYbN3pump</t>
  </si>
  <si>
    <t>0.005260</t>
  </si>
  <si>
    <t>2.036 SOL</t>
  </si>
  <si>
    <t>2.728 SOL</t>
  </si>
  <si>
    <t>0.686 SOL</t>
  </si>
  <si>
    <t>33.62%</t>
  </si>
  <si>
    <t>26.10.2024 23:22:35</t>
  </si>
  <si>
    <t xml:space="preserve">          7K            14K             5K</t>
  </si>
  <si>
    <t>3fhj9xj8u6HpjrDqLVhHg4LWvvKKyti7odaZScLepump</t>
  </si>
  <si>
    <t>PARADOX</t>
  </si>
  <si>
    <t>14.008 SOL</t>
  </si>
  <si>
    <t>3.007 SOL</t>
  </si>
  <si>
    <t>27.33%</t>
  </si>
  <si>
    <t>26.10.2024 21:19:01</t>
  </si>
  <si>
    <t xml:space="preserve">          5K             4K             3K</t>
  </si>
  <si>
    <t>AW9hUz3SqHZdkcPwnkZqWJWyuhSmJXwrJpqXiscQpump</t>
  </si>
  <si>
    <t>HOAX</t>
  </si>
  <si>
    <t>14.749 SOL</t>
  </si>
  <si>
    <t>3.748 SOL</t>
  </si>
  <si>
    <t>34.07%</t>
  </si>
  <si>
    <t>26.10.2024 21:15:38</t>
  </si>
  <si>
    <t>G4prkoxfKGQPnF6BBhQWyDpydkjA9qAywugHqByypump</t>
  </si>
  <si>
    <t>ⓘ</t>
  </si>
  <si>
    <t>0.016500</t>
  </si>
  <si>
    <t>21.630 SOL</t>
  </si>
  <si>
    <t>6.613 SOL</t>
  </si>
  <si>
    <t>44.04%</t>
  </si>
  <si>
    <t>26.10.2024 21:12:05</t>
  </si>
  <si>
    <t>4teXk2347S9oiGWMaciKgoGE6QnTuXUHMJ8wixNopump</t>
  </si>
  <si>
    <t>OPENAI</t>
  </si>
  <si>
    <t>0.000630</t>
  </si>
  <si>
    <t>8.688 SOL</t>
  </si>
  <si>
    <t>-2.313 SOL</t>
  </si>
  <si>
    <t>-21.03%</t>
  </si>
  <si>
    <t>26.10.2024 21:00:52</t>
  </si>
  <si>
    <t xml:space="preserve">         68K            21K            31K</t>
  </si>
  <si>
    <t>H4cwzkkLa8thnkdvfF7FCwcEteDyB9BRmjMgnNACTsGo</t>
  </si>
  <si>
    <t>Marshal</t>
  </si>
  <si>
    <t>0.002560</t>
  </si>
  <si>
    <t>0.793 SOL</t>
  </si>
  <si>
    <t>0.780 SOL</t>
  </si>
  <si>
    <t>6210.55%</t>
  </si>
  <si>
    <t>26.10.2024 20:58:56</t>
  </si>
  <si>
    <t>7oY3HJ8W1iNwRdLzov8P2E5Ph6T2oPtCQT97UhQ8pump</t>
  </si>
  <si>
    <t>ROGAN</t>
  </si>
  <si>
    <t>2.030 SOL</t>
  </si>
  <si>
    <t>1.00%</t>
  </si>
  <si>
    <t>26.10.2024 17:51:32</t>
  </si>
  <si>
    <t xml:space="preserve">          9K             5K             6K</t>
  </si>
  <si>
    <t>EoAUYNuCY3nEtBpXdhZGAgTZSktmZwaRJYyDHhpnVx6n</t>
  </si>
  <si>
    <t>5.255 SOL</t>
  </si>
  <si>
    <t>0.255 SOL</t>
  </si>
  <si>
    <t>5.09%</t>
  </si>
  <si>
    <t>26.10.2024 05:06:06</t>
  </si>
  <si>
    <t xml:space="preserve">         19K            21K             6K</t>
  </si>
  <si>
    <t>5.854 SOL</t>
  </si>
  <si>
    <t>17.06%</t>
  </si>
  <si>
    <t>26.10.2024 04:06:36</t>
  </si>
  <si>
    <t xml:space="preserve">         21K            26K            14K</t>
  </si>
  <si>
    <t>:3</t>
  </si>
  <si>
    <t>1.105 SOL</t>
  </si>
  <si>
    <t>25.10.2024 22:45:46</t>
  </si>
  <si>
    <t>2nvqQE8niNhJC2HmEwvkBwsewGycWmy7SAUYFVNspump</t>
  </si>
  <si>
    <t>$DOBBY</t>
  </si>
  <si>
    <t>1.245 SOL</t>
  </si>
  <si>
    <t>24.71%</t>
  </si>
  <si>
    <t>25.10.2024 22:40:14</t>
  </si>
  <si>
    <t>5yLqDcYfpYKipjdsyndpxiez64H71PnDNdicArxFpump</t>
  </si>
  <si>
    <t>BULLAI</t>
  </si>
  <si>
    <t>4.037 SOL</t>
  </si>
  <si>
    <t>0.92%</t>
  </si>
  <si>
    <t>25.10.2024 22:04:57</t>
  </si>
  <si>
    <t>5jvkTWobpwpHkWNRGtv6WizKtb2NFf4R5tydaxwPefYg</t>
  </si>
  <si>
    <t>SYRUP</t>
  </si>
  <si>
    <t>5.289 SOL</t>
  </si>
  <si>
    <t>-4.716 SOL</t>
  </si>
  <si>
    <t>-47.13%</t>
  </si>
  <si>
    <t>25.10.2024 19:28:38</t>
  </si>
  <si>
    <t xml:space="preserve">        550K           290K            20K</t>
  </si>
  <si>
    <t>2cBwLnG1jwm4B6yFGJ13mKJcUFvuZS8v3bq6JwVmpump</t>
  </si>
  <si>
    <t>DANYAI</t>
  </si>
  <si>
    <t>0.002750</t>
  </si>
  <si>
    <t>0.842 SOL</t>
  </si>
  <si>
    <t>-0.196 SOL</t>
  </si>
  <si>
    <t>-18.88%</t>
  </si>
  <si>
    <t>25.10.2024 18:26:45</t>
  </si>
  <si>
    <t>MLuiiYi6xtwDnZ26f6WpC4dvfuRaKULeFWmgebSpump</t>
  </si>
  <si>
    <t>5.076 SOL</t>
  </si>
  <si>
    <t>0.075 SOL</t>
  </si>
  <si>
    <t>1.51%</t>
  </si>
  <si>
    <t>25.10.2024 18:22:44</t>
  </si>
  <si>
    <t xml:space="preserve">          4K             4K             3K</t>
  </si>
  <si>
    <t>6.203 SOL</t>
  </si>
  <si>
    <t>2.175 SOL</t>
  </si>
  <si>
    <t>54.01%</t>
  </si>
  <si>
    <t>25.10.2024 18:19:08</t>
  </si>
  <si>
    <t xml:space="preserve">         23K            25K            58K</t>
  </si>
  <si>
    <t>mu</t>
  </si>
  <si>
    <t>0.000300</t>
  </si>
  <si>
    <t>-4.027 SOL</t>
  </si>
  <si>
    <t>43,468,584</t>
  </si>
  <si>
    <t>25.10.2024 18:06:56</t>
  </si>
  <si>
    <t xml:space="preserve">         39K            11K            27K</t>
  </si>
  <si>
    <t>92wuGwwgHHNCXMCxrPsWHsCsECcDAdxQzXeLq5rNpump</t>
  </si>
  <si>
    <t>bing</t>
  </si>
  <si>
    <t>0.002670</t>
  </si>
  <si>
    <t>8.086 SOL</t>
  </si>
  <si>
    <t>1.084 SOL</t>
  </si>
  <si>
    <t>15.48%</t>
  </si>
  <si>
    <t>25.10.2024 01:30:51</t>
  </si>
  <si>
    <t xml:space="preserve">         72K           322K            53K</t>
  </si>
  <si>
    <t>9GpthvTPDpN19HeyvExoyazRhtq3agtg2nbcS7Topump</t>
  </si>
  <si>
    <t>JANUS</t>
  </si>
  <si>
    <t>0.018760</t>
  </si>
  <si>
    <t>40.361 SOL</t>
  </si>
  <si>
    <t>33.343 SOL</t>
  </si>
  <si>
    <t>475.05%</t>
  </si>
  <si>
    <t>25.10.2024 01:26:36</t>
  </si>
  <si>
    <t xml:space="preserve">        215K           229K            41K</t>
  </si>
  <si>
    <t>75dh1aVyE88DiDDqN396Lkbcf4Kxj2KNGJRCTkcUpump</t>
  </si>
  <si>
    <t>GRIMES</t>
  </si>
  <si>
    <t>2.991 SOL</t>
  </si>
  <si>
    <t>-40.17%</t>
  </si>
  <si>
    <t>25.10.2024 01:24:56</t>
  </si>
  <si>
    <t xml:space="preserve">        380K           380K            82K</t>
  </si>
  <si>
    <t>6jLRzB2RFKtyTK9YDxpY7KXkm284e4Eqwce4fqPapump</t>
  </si>
  <si>
    <t>John</t>
  </si>
  <si>
    <t>1.461 SOL</t>
  </si>
  <si>
    <t>-0.566 SOL</t>
  </si>
  <si>
    <t>-27.93%</t>
  </si>
  <si>
    <t>25.10.2024 01:24:25</t>
  </si>
  <si>
    <t>Ctp9b1i72ujcjcGAxdsKoMheH23NWBoEjVs4tMtMpump</t>
  </si>
  <si>
    <t>GROK</t>
  </si>
  <si>
    <t>7.514 SOL</t>
  </si>
  <si>
    <t>7.34%</t>
  </si>
  <si>
    <t>25.10.2024 01:23:44</t>
  </si>
  <si>
    <t xml:space="preserve">         75K            67K            68K</t>
  </si>
  <si>
    <t>BQ3F72yt9FVRgYrqCVCG3YohyBesDZ9bTuhGdmQ7GNEF</t>
  </si>
  <si>
    <t>0.740 SOL</t>
  </si>
  <si>
    <t>-1.260 SOL</t>
  </si>
  <si>
    <t>-63.00%</t>
  </si>
  <si>
    <t>25.10.2024 01:20:04</t>
  </si>
  <si>
    <t xml:space="preserve">         23K             9K             5K</t>
  </si>
  <si>
    <t>3h2BfwtZKC5hqJACwQmicgju1CFXKjfJzetQhFB7v8QE</t>
  </si>
  <si>
    <t xml:space="preserve">1B </t>
  </si>
  <si>
    <t>2.167 SOL</t>
  </si>
  <si>
    <t>6.78%</t>
  </si>
  <si>
    <t>25.10.2024 01:11:08</t>
  </si>
  <si>
    <t>2fB2U8K76jEUazqibbnEc3uVbUDpjmZS62Agr39kpump</t>
  </si>
  <si>
    <t>0.791 SOL</t>
  </si>
  <si>
    <t>-0.226 SOL</t>
  </si>
  <si>
    <t>-22.26%</t>
  </si>
  <si>
    <t>24.10.2024 23:49:44</t>
  </si>
  <si>
    <t>3boWkERRXXUVTY6gM9VushioxWq9X67nnsswXN9gpump</t>
  </si>
  <si>
    <t>0.003170</t>
  </si>
  <si>
    <t>44.710 SOL</t>
  </si>
  <si>
    <t>-5.294 SOL</t>
  </si>
  <si>
    <t>24.10.2024 23:45:52</t>
  </si>
  <si>
    <t xml:space="preserve">         13M           194K            12M</t>
  </si>
  <si>
    <t>PLINY</t>
  </si>
  <si>
    <t>4.960 SOL</t>
  </si>
  <si>
    <t>1.960 SOL</t>
  </si>
  <si>
    <t>65.34%</t>
  </si>
  <si>
    <t>24.10.2024 23:08:09</t>
  </si>
  <si>
    <t xml:space="preserve">         30K            30K            60K</t>
  </si>
  <si>
    <t>6MYhpb3FocZSdJS3V5krpbfMp45JxD5jXdtPfkwUpump</t>
  </si>
  <si>
    <t>2.176 SOL</t>
  </si>
  <si>
    <t>0.176 SOL</t>
  </si>
  <si>
    <t>8.80%</t>
  </si>
  <si>
    <t>24.10.2024 22:50:38</t>
  </si>
  <si>
    <t xml:space="preserve">         11K            12K             9K</t>
  </si>
  <si>
    <t>NCAT</t>
  </si>
  <si>
    <t>-1.073 SOL</t>
  </si>
  <si>
    <t>-21.45%</t>
  </si>
  <si>
    <t>24.10.2024 21:17:20</t>
  </si>
  <si>
    <t xml:space="preserve">          2M             1M           412K</t>
  </si>
  <si>
    <t>82Rc22mnyHrmBGwj15rhYhFzVrU3bgFkjNtV3iHjpump</t>
  </si>
  <si>
    <t>LUXY</t>
  </si>
  <si>
    <t>-14.30%</t>
  </si>
  <si>
    <t>24.10.2024 14:56:36</t>
  </si>
  <si>
    <t>DTztixUkVk6kiqQju1R6fa51uacH7Tqk1N35mEgNpump</t>
  </si>
  <si>
    <t>1.049 SOL</t>
  </si>
  <si>
    <t>24.10.2024 14:53:46</t>
  </si>
  <si>
    <t>9PR5uKb79xwHp13wk8yajxrTcYM93CEPhLsmJmHSpump</t>
  </si>
  <si>
    <t>PornAI</t>
  </si>
  <si>
    <t>-0.194 SOL</t>
  </si>
  <si>
    <t>-18.98%</t>
  </si>
  <si>
    <t>24.10.2024 14:53:18</t>
  </si>
  <si>
    <t>8Xq6vcBsZjrdqNWobC9GJaa6AQXcMhH37pt4eHE4pump</t>
  </si>
  <si>
    <t>SOL AI</t>
  </si>
  <si>
    <t>-8.21%</t>
  </si>
  <si>
    <t>24.10.2024 14:53:05</t>
  </si>
  <si>
    <t>7CNMaw5DAxSqAx897MojPjVKzVHpZwSiQVGkirhppump</t>
  </si>
  <si>
    <t>gnosis</t>
  </si>
  <si>
    <t>1.949 SOL</t>
  </si>
  <si>
    <t>-2.56%</t>
  </si>
  <si>
    <t>24.10.2024 02:35:55</t>
  </si>
  <si>
    <t xml:space="preserve">          5K             5K             4K</t>
  </si>
  <si>
    <t>DnEvuesjTrJrjGNBJrnxQxTYN1jjRzDs3m88Xy6Cpump</t>
  </si>
  <si>
    <t>simulation</t>
  </si>
  <si>
    <t>3.097 SOL</t>
  </si>
  <si>
    <t>1.097 SOL</t>
  </si>
  <si>
    <t>54.85%</t>
  </si>
  <si>
    <t>23.10.2024 23:22:30</t>
  </si>
  <si>
    <t xml:space="preserve">         10K            15K             6K</t>
  </si>
  <si>
    <t>63zidVrpEUyr7hz3eb1rkrzAU1kd4JP6HFLT7J7Lpump</t>
  </si>
  <si>
    <t>the1</t>
  </si>
  <si>
    <t>3.012 SOL</t>
  </si>
  <si>
    <t>0.40%</t>
  </si>
  <si>
    <t>23.10.2024 22:50:21</t>
  </si>
  <si>
    <t>87Zc1koifitsr9Jr5SngwnUiYkZuvwUSYa6i4MQTpump</t>
  </si>
  <si>
    <t>SNARC</t>
  </si>
  <si>
    <t>11.604 SOL</t>
  </si>
  <si>
    <t>1.604 SOL</t>
  </si>
  <si>
    <t>16.04%</t>
  </si>
  <si>
    <t>23.10.2024 19:44:20</t>
  </si>
  <si>
    <t xml:space="preserve">        804K           932K            12K</t>
  </si>
  <si>
    <t>BD7jNnt6uYDp9rVRBTjJhkweGxYQppRe8CXLnAJspump</t>
  </si>
  <si>
    <t>RION</t>
  </si>
  <si>
    <t>0.31%</t>
  </si>
  <si>
    <t>23.10.2024 17:22:07</t>
  </si>
  <si>
    <t>rion1pZtGdvy2HDiPrWUqhgEx9C2yZKzP9pp31CchJU</t>
  </si>
  <si>
    <t>chinktits</t>
  </si>
  <si>
    <t>0.890 SOL</t>
  </si>
  <si>
    <t>-10.34%</t>
  </si>
  <si>
    <t>23.10.2024 14:35:00</t>
  </si>
  <si>
    <t>DYXo6zn84TyianS7qKFeTFtM2cGE9UdVFV4rD1fopump</t>
  </si>
  <si>
    <t>WOMP</t>
  </si>
  <si>
    <t>-0.287 SOL</t>
  </si>
  <si>
    <t>-13.03%</t>
  </si>
  <si>
    <t>23.10.2024 14:34:42</t>
  </si>
  <si>
    <t>AATo232QyveLNTcUbxbv4LMLxaQe133a1jx3RjiGpump</t>
  </si>
  <si>
    <t>ACAT</t>
  </si>
  <si>
    <t>2.876 SOL</t>
  </si>
  <si>
    <t>-0.163 SOL</t>
  </si>
  <si>
    <t>-5.38%</t>
  </si>
  <si>
    <t>23.10.2024 00:30:51</t>
  </si>
  <si>
    <t>FcEDSVec9fU9bRYoYccgJwNZBUiqZLrUwKHezj3Zpump</t>
  </si>
  <si>
    <t>Sonnet</t>
  </si>
  <si>
    <t>4.032 SOL</t>
  </si>
  <si>
    <t>9.513 SOL</t>
  </si>
  <si>
    <t>5.481 SOL</t>
  </si>
  <si>
    <t>135.93%</t>
  </si>
  <si>
    <t>23.10.2024 00:17:10</t>
  </si>
  <si>
    <t xml:space="preserve">         11K            26K            15K</t>
  </si>
  <si>
    <t>2mzsKxmjjrQB5tLRcfALkBGWBzGmck7PnhZCdTrLpump</t>
  </si>
  <si>
    <t>ygg</t>
  </si>
  <si>
    <t>2.086 SOL</t>
  </si>
  <si>
    <t>0.786 SOL</t>
  </si>
  <si>
    <t>-1.300 SOL</t>
  </si>
  <si>
    <t>-62.33%</t>
  </si>
  <si>
    <t>22.10.2024 22:33:35</t>
  </si>
  <si>
    <t xml:space="preserve">         23K             9K             6K</t>
  </si>
  <si>
    <t>4LQdwUyk533BpFUnaamfBTC6Pf9q5DyNoGbzthwPpump</t>
  </si>
  <si>
    <t>bubby</t>
  </si>
  <si>
    <t>-2.48%</t>
  </si>
  <si>
    <t>22.10.2024 21:31:52</t>
  </si>
  <si>
    <t>GBzseP6oJaves76L5jYVoybw1HDUFVgXW4sa4gzqpump</t>
  </si>
  <si>
    <t>LILMIQUELA</t>
  </si>
  <si>
    <t>5.199 SOL</t>
  </si>
  <si>
    <t>3.199 SOL</t>
  </si>
  <si>
    <t>159.94%</t>
  </si>
  <si>
    <t>22.10.2024 21:17:11</t>
  </si>
  <si>
    <t>FCZKYb3Wu5YbofwNy58Xd5oEgjbQ2mn8Ksjcy9bGpump</t>
  </si>
  <si>
    <t>GAYFROGS</t>
  </si>
  <si>
    <t>1.103 SOL</t>
  </si>
  <si>
    <t>8.19%</t>
  </si>
  <si>
    <t>22.10.2024 19:20:58</t>
  </si>
  <si>
    <t>7vtVTqerD55PmLpUhkcQvGsW6cXbX3cjYgNmwjGHpump</t>
  </si>
  <si>
    <t>ricecat</t>
  </si>
  <si>
    <t>1.385 SOL</t>
  </si>
  <si>
    <t>-1.655 SOL</t>
  </si>
  <si>
    <t>22.10.2024 19:06:30</t>
  </si>
  <si>
    <t>D4nMGZF6pPCkRiEp72q5u25Qv9npgTmrdiQnWHLXpump</t>
  </si>
  <si>
    <t>YUDHOAI</t>
  </si>
  <si>
    <t>3.702 SOL</t>
  </si>
  <si>
    <t>123.41%</t>
  </si>
  <si>
    <t>22.10.2024 16:19:30</t>
  </si>
  <si>
    <t xml:space="preserve">        123K           123K            81K</t>
  </si>
  <si>
    <t>5Gw2SboaCeKWPE9YErGMkoJ9eETq13EkeFV3ee8rpump</t>
  </si>
  <si>
    <t>∿</t>
  </si>
  <si>
    <t>2.192 SOL</t>
  </si>
  <si>
    <t>22.10.2024 14:51:52</t>
  </si>
  <si>
    <t>Z19ibmkwxW2tWPX7F3EBA8HhuwCkRzSWfNXrN5Ppump</t>
  </si>
  <si>
    <t>3.115 SOL</t>
  </si>
  <si>
    <t>-1.885 SOL</t>
  </si>
  <si>
    <t>-37.70%</t>
  </si>
  <si>
    <t>22.10.2024 01:10:39</t>
  </si>
  <si>
    <t xml:space="preserve">        230K           296K            49K</t>
  </si>
  <si>
    <t xml:space="preserve">owlcats </t>
  </si>
  <si>
    <t>7.600 SOL</t>
  </si>
  <si>
    <t>6.516 SOL</t>
  </si>
  <si>
    <t>-1.085 SOL</t>
  </si>
  <si>
    <t>-14.27%</t>
  </si>
  <si>
    <t>22.10.2024 01:02:16</t>
  </si>
  <si>
    <t>Fp6wStyXJJ5td3R8PXK4XhWLScdA7PhUGPKxkpYGpump</t>
  </si>
  <si>
    <t>0.000390</t>
  </si>
  <si>
    <t>13.529 SOL</t>
  </si>
  <si>
    <t>270.55%</t>
  </si>
  <si>
    <t>22.10.2024 00:09:30</t>
  </si>
  <si>
    <t xml:space="preserve">         85K           188K            38K</t>
  </si>
  <si>
    <t>CBf1NP9jbrYrxzXrEwV2cHWifLWNJFiYXkEB7FNdpump</t>
  </si>
  <si>
    <t>sma</t>
  </si>
  <si>
    <t>3.223 SOL</t>
  </si>
  <si>
    <t>1.223 SOL</t>
  </si>
  <si>
    <t>61.15%</t>
  </si>
  <si>
    <t>22.10.2024 00:00:59</t>
  </si>
  <si>
    <t xml:space="preserve">          5K            11K            61K</t>
  </si>
  <si>
    <t>4994XJ88RjBS5SKv7qSe4fM3qtPRYzqYBQLe4NRDpump</t>
  </si>
  <si>
    <t>5.027 SOL</t>
  </si>
  <si>
    <t>1.027 SOL</t>
  </si>
  <si>
    <t>25.68%</t>
  </si>
  <si>
    <t>21.10.2024 20:13:14</t>
  </si>
  <si>
    <t xml:space="preserve">         19K            30K            29K</t>
  </si>
  <si>
    <t>Ex4vChTA3cJDAKJpEA7PXeWQy4zQYhqkRc84f2iC523e</t>
  </si>
  <si>
    <t>fries</t>
  </si>
  <si>
    <t>6.550 SOL</t>
  </si>
  <si>
    <t>30.99%</t>
  </si>
  <si>
    <t>21.10.2024 20:06:48</t>
  </si>
  <si>
    <t xml:space="preserve">        151K           199K            37K</t>
  </si>
  <si>
    <t>Gk5btcw8ewMpfGimLPwe1ggtLvYa2ejhZWbCLr9opump</t>
  </si>
  <si>
    <t>12.75%</t>
  </si>
  <si>
    <t>21.10.2024 19:54:34</t>
  </si>
  <si>
    <t xml:space="preserve">         12K            11K             6K</t>
  </si>
  <si>
    <t>7p1o4t6ntmVrtrPcbJZv71DfS6jyWsdZXoTyA7uspump</t>
  </si>
  <si>
    <t>$some</t>
  </si>
  <si>
    <t>53.092 SOL</t>
  </si>
  <si>
    <t>51.091 SOL</t>
  </si>
  <si>
    <t>2553.71%</t>
  </si>
  <si>
    <t>21.10.2024 18:25:55</t>
  </si>
  <si>
    <t xml:space="preserve">         11K           482K            20K</t>
  </si>
  <si>
    <t>3JtfvzFVzkPh1we7DPDGW5xPsrPB5nX5dbAVgTeVpump</t>
  </si>
  <si>
    <t>CLAUDE</t>
  </si>
  <si>
    <t>-1.230 SOL</t>
  </si>
  <si>
    <t>-61.48%</t>
  </si>
  <si>
    <t>21.10.2024 16:02:07</t>
  </si>
  <si>
    <t>NXBHsrteRQybQ2PeVT1UQAaLuHRsCa3aoNCdMpnTkDU</t>
  </si>
  <si>
    <t>MaGaDonald</t>
  </si>
  <si>
    <t>0.016140</t>
  </si>
  <si>
    <t>20.366 SOL</t>
  </si>
  <si>
    <t>5.350 SOL</t>
  </si>
  <si>
    <t>35.63%</t>
  </si>
  <si>
    <t>21.10.2024 04:10:58</t>
  </si>
  <si>
    <t xml:space="preserve">        420K           225K            15K</t>
  </si>
  <si>
    <t>BeF4e5FRLE2jyrLVERyAF8UJ7VMpKCNDUJat9pmkpump</t>
  </si>
  <si>
    <t>-0.432 SOL</t>
  </si>
  <si>
    <t>-21.29%</t>
  </si>
  <si>
    <t>21.10.2024 00:19:38</t>
  </si>
  <si>
    <t>bbYZjUtxQhax98YxDrFJjB8HAGQvdeNanfvG7nBpump</t>
  </si>
  <si>
    <t>ooliverse</t>
  </si>
  <si>
    <t>-4.91%</t>
  </si>
  <si>
    <t>21.10.2024 00:16:25</t>
  </si>
  <si>
    <t xml:space="preserve">          5K             5K             6K</t>
  </si>
  <si>
    <t>GFRKjkdSDCs8W9U2LHUDvhi75rj6peYxjUVXcThapump</t>
  </si>
  <si>
    <t>🐉</t>
  </si>
  <si>
    <t>1.499 SOL</t>
  </si>
  <si>
    <t>-0.501 SOL</t>
  </si>
  <si>
    <t>-25.03%</t>
  </si>
  <si>
    <t>21.10.2024 00:08:51</t>
  </si>
  <si>
    <t>AUQmeCUyRPk2iGJewBwpXaUKUEAhvFnh6qyQSBAapump</t>
  </si>
  <si>
    <t>Pliny</t>
  </si>
  <si>
    <t>-0.039 SOL</t>
  </si>
  <si>
    <t>21.10.2024 00:08:27</t>
  </si>
  <si>
    <t>CRF93sJpSXRP19opxWAgiH1sr2uv39DqGAXUvbVpump</t>
  </si>
  <si>
    <t>TPOWER</t>
  </si>
  <si>
    <t>2.501 SOL</t>
  </si>
  <si>
    <t>1.684 SOL</t>
  </si>
  <si>
    <t>-0.820 SOL</t>
  </si>
  <si>
    <t>-32.75%</t>
  </si>
  <si>
    <t>21.10.2024 00:07:45</t>
  </si>
  <si>
    <t>7rZR9ksqWybgpnXC1ykvR8pvhC1NBptwMbDLSRbaqva2</t>
  </si>
  <si>
    <t>STUPID</t>
  </si>
  <si>
    <t>-3.55%</t>
  </si>
  <si>
    <t>21.10.2024 00:04:36</t>
  </si>
  <si>
    <t>46kTomus3TsFfiX81h9iwWsQqQoy1vV7Gjctu5pCpump</t>
  </si>
  <si>
    <t>1.784 SOL</t>
  </si>
  <si>
    <t>-10.79%</t>
  </si>
  <si>
    <t>20.10.2024 23:30:39</t>
  </si>
  <si>
    <t xml:space="preserve">         25K            25K            31K</t>
  </si>
  <si>
    <t>1.730 SOL</t>
  </si>
  <si>
    <t>-13.52%</t>
  </si>
  <si>
    <t>20.10.2024 23:27:45</t>
  </si>
  <si>
    <t xml:space="preserve">         12K            12K             7K</t>
  </si>
  <si>
    <t>EIGEN</t>
  </si>
  <si>
    <t>0.889 SOL</t>
  </si>
  <si>
    <t>-1.111 SOL</t>
  </si>
  <si>
    <t>-55.56%</t>
  </si>
  <si>
    <t>20.10.2024 23:27:00</t>
  </si>
  <si>
    <t>6v9zdYwqavzkiEULTGrKoHWtWfR9uT5jt4VH2g4ppump</t>
  </si>
  <si>
    <t>BITBOY</t>
  </si>
  <si>
    <t>-2.027 SOL</t>
  </si>
  <si>
    <t>21,347,038</t>
  </si>
  <si>
    <t>20.10.2024 23:26:19</t>
  </si>
  <si>
    <t>5qfGc1Xk3osixHTrsLNZ6KjrfzGWP8AuyYpkNs2q3cWn</t>
  </si>
  <si>
    <t>Liminal</t>
  </si>
  <si>
    <t>4.979 SOL</t>
  </si>
  <si>
    <t>-0.43%</t>
  </si>
  <si>
    <t>20.10.2024 17:36:54</t>
  </si>
  <si>
    <t xml:space="preserve">         11K            11K             4K</t>
  </si>
  <si>
    <t>EQqQVg2kp7kcvydu7xYG2DJFFZLjwToWHAq7JZtrpump</t>
  </si>
  <si>
    <t>BAPHO</t>
  </si>
  <si>
    <t>-3.87%</t>
  </si>
  <si>
    <t>20.10.2024 17:24:03</t>
  </si>
  <si>
    <t>QnC9NTNC6vH1CE8shs8imaEWMHkNve9apwYKCVkpump</t>
  </si>
  <si>
    <t>-1.562 SOL</t>
  </si>
  <si>
    <t>-52.07%</t>
  </si>
  <si>
    <t>20.10.2024 15:36:11</t>
  </si>
  <si>
    <t>YUD</t>
  </si>
  <si>
    <t>6.284 SOL</t>
  </si>
  <si>
    <t>3.284 SOL</t>
  </si>
  <si>
    <t>109.45%</t>
  </si>
  <si>
    <t>20.10.2024 05:24:55</t>
  </si>
  <si>
    <t xml:space="preserve">         46K            97K            21K</t>
  </si>
  <si>
    <t>AXgfmnMwnkbfMdpXqXMn6oJCQ7sQKvX2PmkXfJSRpump</t>
  </si>
  <si>
    <t>VENOM</t>
  </si>
  <si>
    <t>3.099 SOL</t>
  </si>
  <si>
    <t>1.430 SOL</t>
  </si>
  <si>
    <t>-1.669 SOL</t>
  </si>
  <si>
    <t>-53.85%</t>
  </si>
  <si>
    <t>20.10.2024 03:56:52</t>
  </si>
  <si>
    <t>BhZFqRyVo7rPWMgK4K9p5kDfvEw6WsneZ9aHzBoupump</t>
  </si>
  <si>
    <t>2.925 SOL</t>
  </si>
  <si>
    <t>20.10.2024 00:12:42</t>
  </si>
  <si>
    <t xml:space="preserve">         28K            26K            58K</t>
  </si>
  <si>
    <t>ants</t>
  </si>
  <si>
    <t>-0.996 SOL</t>
  </si>
  <si>
    <t>-49.80%</t>
  </si>
  <si>
    <t>19.10.2024 23:53:01</t>
  </si>
  <si>
    <t>92mNG3FvRynhEmsLRozZSy4nCxK9QVmpV4eKPRpfX4Uo</t>
  </si>
  <si>
    <t>wild robot</t>
  </si>
  <si>
    <t>0.546 SOL</t>
  </si>
  <si>
    <t>-1.581 SOL</t>
  </si>
  <si>
    <t>-74.34%</t>
  </si>
  <si>
    <t>19.10.2024 23:52:48</t>
  </si>
  <si>
    <t>3VnEQ5Q2nAPBfeyPdvSH2GEKRnpJKh3592zQp8vapump</t>
  </si>
  <si>
    <t>0.867 SOL</t>
  </si>
  <si>
    <t>-1.134 SOL</t>
  </si>
  <si>
    <t>-56.68%</t>
  </si>
  <si>
    <t>19.10.2024 23:52:35</t>
  </si>
  <si>
    <t>titor</t>
  </si>
  <si>
    <t>-2.102 SOL</t>
  </si>
  <si>
    <t>-70.07%</t>
  </si>
  <si>
    <t>19.10.2024 23:39:59</t>
  </si>
  <si>
    <t xml:space="preserve">         14K            14K             3K</t>
  </si>
  <si>
    <t>HxBgMk4MR1puZEjrh1dW7JomUhTUUSBFELNoL2Pypump</t>
  </si>
  <si>
    <t>Bilbo</t>
  </si>
  <si>
    <t>1.522 SOL</t>
  </si>
  <si>
    <t>1.390 SOL</t>
  </si>
  <si>
    <t>-8.70%</t>
  </si>
  <si>
    <t>19.10.2024 23:39:41</t>
  </si>
  <si>
    <t>G5i3jF4YFwzigSPGqGnFfECAQTcThcchxSQ72pkXpump</t>
  </si>
  <si>
    <t>19.10.2024 23:39:27</t>
  </si>
  <si>
    <t xml:space="preserve">        290K           422K           398K</t>
  </si>
  <si>
    <t>4Hcm1TfA1MvVhCQHvJCcKL7ymUhJZAV7P439H5ZHnKRh</t>
  </si>
  <si>
    <t>obamium</t>
  </si>
  <si>
    <t>-19.33%</t>
  </si>
  <si>
    <t>19.10.2024 21:38:49</t>
  </si>
  <si>
    <t>2oydoVekga7FW8JmyHNEXS48CZtDkrE5WmJNJeDVpump</t>
  </si>
  <si>
    <t>$TEAPOT</t>
  </si>
  <si>
    <t>-9.52%</t>
  </si>
  <si>
    <t>19.10.2024 20:16:56</t>
  </si>
  <si>
    <t>Evo4fPMgLxyrcAoytFLvskspg7nTF1jrahRWYD1Ppump</t>
  </si>
  <si>
    <t>LOOK</t>
  </si>
  <si>
    <t>26.000 SOL</t>
  </si>
  <si>
    <t>28.767 SOL</t>
  </si>
  <si>
    <t>2.764 SOL</t>
  </si>
  <si>
    <t>10.63%</t>
  </si>
  <si>
    <t>19.10.2024 19:02:30</t>
  </si>
  <si>
    <t xml:space="preserve">          1M           209K             3M</t>
  </si>
  <si>
    <t>BSqMUYb6ePwKsby85zrXaDa4SNf6AgZ9YfA2c4mZpump</t>
  </si>
  <si>
    <t>5.423 SOL</t>
  </si>
  <si>
    <t>1.423 SOL</t>
  </si>
  <si>
    <t>35.58%</t>
  </si>
  <si>
    <t>19.10.2024 06:29:46</t>
  </si>
  <si>
    <t>distortion</t>
  </si>
  <si>
    <t>5.40%</t>
  </si>
  <si>
    <t>19.10.2024 06:25:21</t>
  </si>
  <si>
    <t xml:space="preserve">         23K            25K             8K</t>
  </si>
  <si>
    <t>9TTUmf6fJwjHtD16KGyujVixme8Qs9uNuN5jsb6c13Bd</t>
  </si>
  <si>
    <t>1.599 SOL</t>
  </si>
  <si>
    <t>-34.49%</t>
  </si>
  <si>
    <t>19.10.2024 03:17:40</t>
  </si>
  <si>
    <t>5FKMTvgyrvXovFDd1YA8vxcLtm9GXA4JT4Wxxc4Apump</t>
  </si>
  <si>
    <t>UNFORGIVE</t>
  </si>
  <si>
    <t>0.902 SOL</t>
  </si>
  <si>
    <t>-0.092 SOL</t>
  </si>
  <si>
    <t>-9.26%</t>
  </si>
  <si>
    <t>19.10.2024 01:29:25</t>
  </si>
  <si>
    <t>6ebvoGVjmB8YGYf7N35GLmSLFMwAGXxjohFyvTCSpump</t>
  </si>
  <si>
    <t>J⧉nus</t>
  </si>
  <si>
    <t>1.923 SOL</t>
  </si>
  <si>
    <t>-3.88%</t>
  </si>
  <si>
    <t>19.10.2024 01:15:46</t>
  </si>
  <si>
    <t>438Pgb6J1A2yTTNg5WFwoqhu9DGRHxugs1T9VZtcpump</t>
  </si>
  <si>
    <t>MYTH</t>
  </si>
  <si>
    <t>3.983 SOL</t>
  </si>
  <si>
    <t>-0.42%</t>
  </si>
  <si>
    <t>19.10.2024 01:12:18</t>
  </si>
  <si>
    <t>6qLPDSJwhSu9Y4WRUAggGc6bBAJ9BLxUU62JRFhpump</t>
  </si>
  <si>
    <t>3.017 SOL</t>
  </si>
  <si>
    <t>0.502 SOL</t>
  </si>
  <si>
    <t>16.65%</t>
  </si>
  <si>
    <t>19.10.2024 00:49:33</t>
  </si>
  <si>
    <t xml:space="preserve">         11K            40K            58K</t>
  </si>
  <si>
    <t>COCHRAN</t>
  </si>
  <si>
    <t>5.071 SOL</t>
  </si>
  <si>
    <t>5.179 SOL</t>
  </si>
  <si>
    <t>2.12%</t>
  </si>
  <si>
    <t>18.10.2024 21:54:57</t>
  </si>
  <si>
    <t>9MJTtkxRvbbj9qXRnR5ywWZANnQpD89g3CYnHa9spump</t>
  </si>
  <si>
    <t>GOATSE</t>
  </si>
  <si>
    <t>4.054 SOL</t>
  </si>
  <si>
    <t>4.050 SOL</t>
  </si>
  <si>
    <t>-0.10%</t>
  </si>
  <si>
    <t>18.10.2024 21:34:22</t>
  </si>
  <si>
    <t>GXk7hBoyigKHNR4S47FgyhFVdUM5JTnASRjyuE8mpump</t>
  </si>
  <si>
    <t>NUKEGOAT</t>
  </si>
  <si>
    <t>2.502 SOL</t>
  </si>
  <si>
    <t>-59.91%</t>
  </si>
  <si>
    <t>18.10.2024 21:26:26</t>
  </si>
  <si>
    <t>GNFmLfZPXDmyAojDrkzcQYkMx1tqX3ck9uVcMerMpump</t>
  </si>
  <si>
    <t>FRI</t>
  </si>
  <si>
    <t>-7.00%</t>
  </si>
  <si>
    <t>18.10.2024 21:26:01</t>
  </si>
  <si>
    <t>688t9kpEPvvkcWSTp3Fv15qG5ipaX6qMjAu2k5YDpump</t>
  </si>
  <si>
    <t>MATRY</t>
  </si>
  <si>
    <t>-14.40%</t>
  </si>
  <si>
    <t>18.10.2024 19:42:30</t>
  </si>
  <si>
    <t>9N1b74C6XFSRCUbiZ4SpTTAB1SdMtBVwhgTbgG7Zpump</t>
  </si>
  <si>
    <t>Accel</t>
  </si>
  <si>
    <t>1.585 SOL</t>
  </si>
  <si>
    <t>-0.442 SOL</t>
  </si>
  <si>
    <t>-21.78%</t>
  </si>
  <si>
    <t>18.10.2024 17:28:12</t>
  </si>
  <si>
    <t>4b1W5XJVtbbCxDL4gS3A4NnhThcnU6Qb7xF61SGqpump</t>
  </si>
  <si>
    <t>Goatse</t>
  </si>
  <si>
    <t>1.463 SOL</t>
  </si>
  <si>
    <t>-0.564 SOL</t>
  </si>
  <si>
    <t>-27.81%</t>
  </si>
  <si>
    <t>18.10.2024 17:27:44</t>
  </si>
  <si>
    <t>9QZs7VwKUHxK7y6HBXaCg7z8gy6yo1aEdAMiq3qjpump</t>
  </si>
  <si>
    <t>LIBERLAND</t>
  </si>
  <si>
    <t>2.179 SOL</t>
  </si>
  <si>
    <t>8.93%</t>
  </si>
  <si>
    <t>18.10.2024 17:00:26</t>
  </si>
  <si>
    <t xml:space="preserve">         14K            14K             9K</t>
  </si>
  <si>
    <t>9tinCcDRrCWdb18gQqw4Bfds5r5ub2xbuUqeTHMdpump</t>
  </si>
  <si>
    <t>MEMETICS</t>
  </si>
  <si>
    <t>2.108 SOL</t>
  </si>
  <si>
    <t>18.10.2024 08:10:07</t>
  </si>
  <si>
    <t xml:space="preserve">          4K             4K             4K</t>
  </si>
  <si>
    <t>Bp9SfsiPZ3TUMMehEnwSboxEsKFJdLLomB7NwjUepump</t>
  </si>
  <si>
    <t>Never</t>
  </si>
  <si>
    <t>13.457 SOL</t>
  </si>
  <si>
    <t>5.456 SOL</t>
  </si>
  <si>
    <t>68.20%</t>
  </si>
  <si>
    <t>18.10.2024 05:17:02</t>
  </si>
  <si>
    <t xml:space="preserve">         99K            91K            84K</t>
  </si>
  <si>
    <t>9nj92MjhAKKYyVmoNKeqN7rVDre6H49MuBq8XMmUpump</t>
  </si>
  <si>
    <t>TIME</t>
  </si>
  <si>
    <t>0.985 SOL</t>
  </si>
  <si>
    <t>-11.08%</t>
  </si>
  <si>
    <t>18.10.2024 05:16:33</t>
  </si>
  <si>
    <t xml:space="preserve">          7K             5K            15K</t>
  </si>
  <si>
    <t>GKeAxNqFvVENwpZzRZxCXFaH5Xt3yohMLtW6uTshpump</t>
  </si>
  <si>
    <t>-0.492 SOL</t>
  </si>
  <si>
    <t>-16.41%</t>
  </si>
  <si>
    <t>18.10.2024 03:08:58</t>
  </si>
  <si>
    <t xml:space="preserve">          2M             1M           157K</t>
  </si>
  <si>
    <t>FULLFOREST</t>
  </si>
  <si>
    <t>1.917 SOL</t>
  </si>
  <si>
    <t>-0.586 SOL</t>
  </si>
  <si>
    <t>-23.41%</t>
  </si>
  <si>
    <t>18.10.2024 00:39:30</t>
  </si>
  <si>
    <t>785m43zJKFq4td7Z6iSP7g6Mp9zXzGhjSDd8tTCbpump</t>
  </si>
  <si>
    <t>3.298 SOL</t>
  </si>
  <si>
    <t>1.268 SOL</t>
  </si>
  <si>
    <t>-2.033 SOL</t>
  </si>
  <si>
    <t>-61.59%</t>
  </si>
  <si>
    <t>17.10.2024 21:00:27</t>
  </si>
  <si>
    <t xml:space="preserve">         35K            14K             5K</t>
  </si>
  <si>
    <t>MEMECOIN</t>
  </si>
  <si>
    <t>-0.843 SOL</t>
  </si>
  <si>
    <t>-37.11%</t>
  </si>
  <si>
    <t>17.10.2024 20:51:58</t>
  </si>
  <si>
    <t>5o9GPmLsB58G9S5pb5B7UoocBxbuTSE78KwQi5LdYFXZ</t>
  </si>
  <si>
    <t>Book</t>
  </si>
  <si>
    <t>1.383 SOL</t>
  </si>
  <si>
    <t>-40.31%</t>
  </si>
  <si>
    <t>17.10.2024 06:39:16</t>
  </si>
  <si>
    <t>2D4ytzjFwi1Efv7k6UK9xdnZSkZMUKML2cexhKhXpump</t>
  </si>
  <si>
    <t>GROW</t>
  </si>
  <si>
    <t>2.493 SOL</t>
  </si>
  <si>
    <t>1.695 SOL</t>
  </si>
  <si>
    <t>-0.800 SOL</t>
  </si>
  <si>
    <t>-32.07%</t>
  </si>
  <si>
    <t>17.10.2024 06:13:05</t>
  </si>
  <si>
    <t xml:space="preserve">         16K            11K             6K</t>
  </si>
  <si>
    <t>EBB8gqMMWLku5Wu4jXHbUacbf4SyUoKnwXXSTqcqpump</t>
  </si>
  <si>
    <t>CYBORG</t>
  </si>
  <si>
    <t>1.992 SOL</t>
  </si>
  <si>
    <t>17.10.2024 06:06:34</t>
  </si>
  <si>
    <t xml:space="preserve">         12K            12K            14K</t>
  </si>
  <si>
    <t>3NyeSRdHieY6LjUQwL3FAgt55TTg9wXb2X8sXtKXW83t</t>
  </si>
  <si>
    <t>RIPLIAM</t>
  </si>
  <si>
    <t>0.843 SOL</t>
  </si>
  <si>
    <t>-0.174 SOL</t>
  </si>
  <si>
    <t>-17.08%</t>
  </si>
  <si>
    <t>16.10.2024 22:15:41</t>
  </si>
  <si>
    <t>9vWtRFSZAqgeXNBuPGvyrFSBVs3PY692ZhHt7qGHpump</t>
  </si>
  <si>
    <t>CHUNGUS</t>
  </si>
  <si>
    <t>-0.203 SOL</t>
  </si>
  <si>
    <t>-18.34%</t>
  </si>
  <si>
    <t>16.10.2024 15:42:44</t>
  </si>
  <si>
    <t>kWSbt1JBPCUdkNQMFvDhs38bd4fD7RMEkP3pmxCpump</t>
  </si>
  <si>
    <t>thoughts</t>
  </si>
  <si>
    <t>2.497 SOL</t>
  </si>
  <si>
    <t>1.605 SOL</t>
  </si>
  <si>
    <t>-0.895 SOL</t>
  </si>
  <si>
    <t>-35.79%</t>
  </si>
  <si>
    <t>16.10.2024 04:21:38</t>
  </si>
  <si>
    <t>6LXm47AJytPSbxGXPRn4jps14wM514Jzxce1dcosfBrv</t>
  </si>
  <si>
    <t>ZACK</t>
  </si>
  <si>
    <t>-0.626 SOL</t>
  </si>
  <si>
    <t>-62.60%</t>
  </si>
  <si>
    <t>16.10.2024 01:17:30</t>
  </si>
  <si>
    <t xml:space="preserve">         11K             4K             3K</t>
  </si>
  <si>
    <t>3cRDED64unxqCaJVWYR1Skye7BUhcXCgwT8vvYAkpump</t>
  </si>
  <si>
    <t>spicy</t>
  </si>
  <si>
    <t>-0.312 SOL</t>
  </si>
  <si>
    <t>-38.43%</t>
  </si>
  <si>
    <t>16.10.2024 00:57:47</t>
  </si>
  <si>
    <t>CLasZwrYXwawFdFy7XkDKnACFhzRkak7xsJP5Wt7v4X6</t>
  </si>
  <si>
    <t>persuasion</t>
  </si>
  <si>
    <t>1.772 SOL</t>
  </si>
  <si>
    <t>1.697 SOL</t>
  </si>
  <si>
    <t>-4.37%</t>
  </si>
  <si>
    <t>16.10.2024 00:06:02</t>
  </si>
  <si>
    <t>6oGPK9zf8hGUELgeqiW1YhNzzbLYrW7EQiXofmP3pump</t>
  </si>
  <si>
    <t>Philosophy</t>
  </si>
  <si>
    <t>0.002520</t>
  </si>
  <si>
    <t>2.495 SOL</t>
  </si>
  <si>
    <t>0.777 SOL</t>
  </si>
  <si>
    <t>-1.720 SOL</t>
  </si>
  <si>
    <t>-68.88%</t>
  </si>
  <si>
    <t>15.10.2024 18:07:42</t>
  </si>
  <si>
    <t>AFWHn87M2Xg2NFktjVoekeWn6W79SPvbtD6x4aJNeKth</t>
  </si>
  <si>
    <t>FF</t>
  </si>
  <si>
    <t>-0.785 SOL</t>
  </si>
  <si>
    <t>-35.59%</t>
  </si>
  <si>
    <t>15.10.2024 15:56:13</t>
  </si>
  <si>
    <t>5241L9UBsmksUREnrWmvcsy4FYLNHFCKAv8EXmHXpump</t>
  </si>
  <si>
    <t>Yeah</t>
  </si>
  <si>
    <t>4.190 SOL</t>
  </si>
  <si>
    <t>-0.810 SOL</t>
  </si>
  <si>
    <t>-16.20%</t>
  </si>
  <si>
    <t>15.10.2024 15:55:27</t>
  </si>
  <si>
    <t xml:space="preserve">         28K            28K            20K</t>
  </si>
  <si>
    <t>uucJfyhgo7c1Xn2eotbmjZgWUkpJKSi2DTjFXmuMj1n</t>
  </si>
  <si>
    <t>BET</t>
  </si>
  <si>
    <t>0.855 SOL</t>
  </si>
  <si>
    <t>15.10.2024 15:54:53</t>
  </si>
  <si>
    <t>E8jM5EyS5XfgJK8oA71P5FUWdciq85ZEJ8VfiKvKpump</t>
  </si>
  <si>
    <t>cybernetic</t>
  </si>
  <si>
    <t>3.480 SOL</t>
  </si>
  <si>
    <t>-25.51%</t>
  </si>
  <si>
    <t>15.10.2024 15:54:43</t>
  </si>
  <si>
    <t>Emg1J2qHuqvmFovMrLwyh5oWCniKt9KxiNZcLfkgpump</t>
  </si>
  <si>
    <t>0.003010</t>
  </si>
  <si>
    <t>22.001 SOL</t>
  </si>
  <si>
    <t>49.345 SOL</t>
  </si>
  <si>
    <t>27.341 SOL</t>
  </si>
  <si>
    <t>124.25%</t>
  </si>
  <si>
    <t>15.10.2024 05:48:31</t>
  </si>
  <si>
    <t xml:space="preserve">        380K            67K           108K</t>
  </si>
  <si>
    <t>RUSSELL</t>
  </si>
  <si>
    <t>5.041 SOL</t>
  </si>
  <si>
    <t>15.10.2024 03:26:42</t>
  </si>
  <si>
    <t xml:space="preserve">        296K           296K           585K</t>
  </si>
  <si>
    <t>5SBsemYgDsWKSNqSWCqhN2WNCrB8bi5nPMVG7y7Wpump</t>
  </si>
  <si>
    <t>CHIIKAWA</t>
  </si>
  <si>
    <t>-0.694 SOL</t>
  </si>
  <si>
    <t>-34.72%</t>
  </si>
  <si>
    <t>15.10.2024 03:14:01</t>
  </si>
  <si>
    <t>6kh7GKSq4rPPffnE9H3CYn77qjCcohLFhjdF83v24snL</t>
  </si>
  <si>
    <t>FACTS</t>
  </si>
  <si>
    <t>1.576 SOL</t>
  </si>
  <si>
    <t>-0.424 SOL</t>
  </si>
  <si>
    <t>-21.20%</t>
  </si>
  <si>
    <t>15.10.2024 01:52:46</t>
  </si>
  <si>
    <t xml:space="preserve">         22K            22K             8K</t>
  </si>
  <si>
    <t>cxEd8HPaGbUXXyajvBuquwXaqCfDdTjpidm2QQQpump</t>
  </si>
  <si>
    <t>MAXXING</t>
  </si>
  <si>
    <t>9.373 SOL</t>
  </si>
  <si>
    <t>7.372 SOL</t>
  </si>
  <si>
    <t>368.58%</t>
  </si>
  <si>
    <t>14.10.2024 21:37:19</t>
  </si>
  <si>
    <t xml:space="preserve">         58K            58K            31K</t>
  </si>
  <si>
    <t>F2GVPgWyN4yBSv8zmSw9TmgunQcv7K7MzceFVZzxpump</t>
  </si>
  <si>
    <t>AWIOH</t>
  </si>
  <si>
    <t>3.975 SOL</t>
  </si>
  <si>
    <t>-0.64%</t>
  </si>
  <si>
    <t>14.10.2024 17:14:41</t>
  </si>
  <si>
    <t xml:space="preserve">          3K             3K             3K</t>
  </si>
  <si>
    <t>2DaP8EeRPLLyv2EWnAPV5gsCSnzvvpoRgzPBTaXViJFc</t>
  </si>
  <si>
    <t>KEIKO</t>
  </si>
  <si>
    <t>-0.276 SOL</t>
  </si>
  <si>
    <t>-12.53%</t>
  </si>
  <si>
    <t>14.10.2024 17:13:44</t>
  </si>
  <si>
    <t>23tws5FLCz6oJByaWHptPvXXan7XtPgT9Y729297pump</t>
  </si>
  <si>
    <t>WLF</t>
  </si>
  <si>
    <t>3.013 SOL</t>
  </si>
  <si>
    <t>0.44%</t>
  </si>
  <si>
    <t>14.10.2024 05:45:35</t>
  </si>
  <si>
    <t xml:space="preserve">         21K            21K             9K</t>
  </si>
  <si>
    <t>H16FLk8dbX4jskZpdYbgN8HmbHDqeNTCqgrN5AiZBpc5</t>
  </si>
  <si>
    <t>ROCKETS</t>
  </si>
  <si>
    <t>2.496 SOL</t>
  </si>
  <si>
    <t>-0.636 SOL</t>
  </si>
  <si>
    <t>-25.44%</t>
  </si>
  <si>
    <t>14.10.2024 03:58:24</t>
  </si>
  <si>
    <t>8TNRp7iBaNU47WLjv7JXqRcv72zjcC6ASAvWhaQkpump</t>
  </si>
  <si>
    <t>FIST</t>
  </si>
  <si>
    <t>4.976 SOL</t>
  </si>
  <si>
    <t>-0.47%</t>
  </si>
  <si>
    <t>13.10.2024 20:57:30</t>
  </si>
  <si>
    <t xml:space="preserve">         33K            33K            25K</t>
  </si>
  <si>
    <t>DVCWwDPHTLkVFSeVQ3DRHWUUkMWEPCzAhbVAJEWXpump</t>
  </si>
  <si>
    <t>Helena</t>
  </si>
  <si>
    <t>13.10.2024 19:51:53</t>
  </si>
  <si>
    <t>B7ESc8cQDzrZHVRtknKBnhyMZywD542uEVQHPY7Gpump</t>
  </si>
  <si>
    <t>hat</t>
  </si>
  <si>
    <t>2.297 SOL</t>
  </si>
  <si>
    <t>1.799 SOL</t>
  </si>
  <si>
    <t>13.10.2024 19:14:38</t>
  </si>
  <si>
    <t>61PwQzr54BGihhxajigFmanqukamsiciAzwac8GzQAqU</t>
  </si>
  <si>
    <t>fein</t>
  </si>
  <si>
    <t>2.053 SOL</t>
  </si>
  <si>
    <t>2.63%</t>
  </si>
  <si>
    <t>13.10.2024 15:55:11</t>
  </si>
  <si>
    <t>GQXUpBoMghi4uBUAkgiKRtyaWqCBdwPjdymcVxNgpump</t>
  </si>
  <si>
    <t>Tle</t>
  </si>
  <si>
    <t>1.958 SOL</t>
  </si>
  <si>
    <t>-0.546 SOL</t>
  </si>
  <si>
    <t>-21.80%</t>
  </si>
  <si>
    <t>13.10.2024 04:14:45</t>
  </si>
  <si>
    <t>EU42nS18mz88p1o5BJSA1PaC54g7Ws2N7xezyUXupump</t>
  </si>
  <si>
    <t>DuAraiDe</t>
  </si>
  <si>
    <t>2.494 SOL</t>
  </si>
  <si>
    <t>0.624 SOL</t>
  </si>
  <si>
    <t>-1.872 SOL</t>
  </si>
  <si>
    <t>13.10.2024 04:01:58</t>
  </si>
  <si>
    <t>BnwF7aUMKkz1Dpt5ETapEVVjNBdt7BSRum1Euei4pump</t>
  </si>
  <si>
    <t>2.144 SOL</t>
  </si>
  <si>
    <t>5.11%</t>
  </si>
  <si>
    <t>13.10.2024 00:28:44</t>
  </si>
  <si>
    <t>2otAfEXZ7NA38R99FrHVn9fqzDJCSLL7CqWQ55q3pump</t>
  </si>
  <si>
    <t>memecoins</t>
  </si>
  <si>
    <t>2.498 SOL</t>
  </si>
  <si>
    <t>-0.762 SOL</t>
  </si>
  <si>
    <t>-30.49%</t>
  </si>
  <si>
    <t>13.10.2024 00:09:25</t>
  </si>
  <si>
    <t>2X6R4c6paHBF6xoFvPxZzZxnyhUQUb1LVuPTH5wMpump</t>
  </si>
  <si>
    <t>SETUP</t>
  </si>
  <si>
    <t>0.002550</t>
  </si>
  <si>
    <t>2.491 SOL</t>
  </si>
  <si>
    <t>14.601 SOL</t>
  </si>
  <si>
    <t>12.108 SOL</t>
  </si>
  <si>
    <t>485.62%</t>
  </si>
  <si>
    <t>12.10.2024 23:57:45</t>
  </si>
  <si>
    <t xml:space="preserve">         18K            65K             3K</t>
  </si>
  <si>
    <t>87p2Aw47YdPCtPV2UHpBLmHo21UC2zJmioVhAcFps13v</t>
  </si>
  <si>
    <t>Hyper</t>
  </si>
  <si>
    <t>0.010040</t>
  </si>
  <si>
    <t>2.487 SOL</t>
  </si>
  <si>
    <t>8.337 SOL</t>
  </si>
  <si>
    <t>5.839 SOL</t>
  </si>
  <si>
    <t>233.82%</t>
  </si>
  <si>
    <t>12.10.2024 22:07:34</t>
  </si>
  <si>
    <t xml:space="preserve">         47K           121K            25K</t>
  </si>
  <si>
    <t>HhuNLvutiT7v6fACB4CeLhB5pzeK8ztaLKkfjsNfpump</t>
  </si>
  <si>
    <t>Kektuah</t>
  </si>
  <si>
    <t>1.598 SOL</t>
  </si>
  <si>
    <t>-21.28%</t>
  </si>
  <si>
    <t>12.10.2024 02:37:06</t>
  </si>
  <si>
    <t>9PnS3bhQbL6P1pVRJHKchE4R6nY3AdrxchRJ1pZ6RoE5</t>
  </si>
  <si>
    <t>👀</t>
  </si>
  <si>
    <t>3.817 SOL</t>
  </si>
  <si>
    <t>1.660 SOL</t>
  </si>
  <si>
    <t>76.93%</t>
  </si>
  <si>
    <t>12.10.2024 01:03:30</t>
  </si>
  <si>
    <t xml:space="preserve">         28K            42K             3K</t>
  </si>
  <si>
    <t>Ahi1TC77YmycLCFqVdi5ZjKD89Lx2WFFKgUsDXNipump</t>
  </si>
  <si>
    <t>1.435 SOL</t>
  </si>
  <si>
    <t>-2.572 SOL</t>
  </si>
  <si>
    <t>-64.19%</t>
  </si>
  <si>
    <t>12.10.2024 00:35:56</t>
  </si>
  <si>
    <t xml:space="preserve">        142K            55K            33K</t>
  </si>
  <si>
    <t>Hawktimus</t>
  </si>
  <si>
    <t>1.621 SOL</t>
  </si>
  <si>
    <t>1.441 SOL</t>
  </si>
  <si>
    <t>-0.184 SOL</t>
  </si>
  <si>
    <t>-11.34%</t>
  </si>
  <si>
    <t>11.10.2024 22:23:20</t>
  </si>
  <si>
    <t>rebLx3VATsU2hF3tYcuoqtproKcZJuar1FtiVaMpump</t>
  </si>
  <si>
    <t>1.564 SOL</t>
  </si>
  <si>
    <t>-0.468 SOL</t>
  </si>
  <si>
    <t>-23.05%</t>
  </si>
  <si>
    <t>11.10.2024 22:23:11</t>
  </si>
  <si>
    <t>5ivDCspRrBZcvtCChR1S93fLTiWdKHjhh2sotm9jibmH</t>
  </si>
  <si>
    <t>COMFORT</t>
  </si>
  <si>
    <t>1.946 SOL</t>
  </si>
  <si>
    <t>-0.375 SOL</t>
  </si>
  <si>
    <t>-19.22%</t>
  </si>
  <si>
    <t>11.10.2024 19:07:17</t>
  </si>
  <si>
    <t>HuG3e2MLHvhHbNsTWaFdYzXmhoKpVNMkKZC47KXFVUen</t>
  </si>
  <si>
    <t>-1.401 SOL</t>
  </si>
  <si>
    <t>-55.96%</t>
  </si>
  <si>
    <t>11.10.2024 18:35:21</t>
  </si>
  <si>
    <t>3wHxMdu8HhG9TGNAR5AtzHqv6wJdsDsAQ6gTDzrRpump</t>
  </si>
  <si>
    <t>ROBOTAXI</t>
  </si>
  <si>
    <t>2.072 SOL</t>
  </si>
  <si>
    <t>-0.935 SOL</t>
  </si>
  <si>
    <t>-31.09%</t>
  </si>
  <si>
    <t>11.10.2024 16:26:14</t>
  </si>
  <si>
    <t>8XPQ58p9a5YSR4r7Hm1x6WeeRzT7hUUDfv7ao47YEECw</t>
  </si>
  <si>
    <t>ROBWIF</t>
  </si>
  <si>
    <t>0.926 SOL</t>
  </si>
  <si>
    <t>-9.38%</t>
  </si>
  <si>
    <t>11.10.2024 04:09:41</t>
  </si>
  <si>
    <t>3AA5s5cWWB4t3WAdTAYRMsEp1R3M3nxeQFwW2DXQpump</t>
  </si>
  <si>
    <t>Kabosu</t>
  </si>
  <si>
    <t>3.862 SOL</t>
  </si>
  <si>
    <t>-3.63%</t>
  </si>
  <si>
    <t>11.10.2024 03:30:02</t>
  </si>
  <si>
    <t xml:space="preserve">         98K            97K           101K</t>
  </si>
  <si>
    <t>FJup6BbEBoCeFJZtqW4qcaqABLco5SkV8683do38P9tu</t>
  </si>
  <si>
    <t>naked</t>
  </si>
  <si>
    <t>2.094 SOL</t>
  </si>
  <si>
    <t>2.016 SOL</t>
  </si>
  <si>
    <t>-0.083 SOL</t>
  </si>
  <si>
    <t>10.10.2024 18:20:50</t>
  </si>
  <si>
    <t>BWee43g1Qodo2bMvuzkKcoxWnV1z97hkbxnQMU3jpump</t>
  </si>
  <si>
    <t>AND</t>
  </si>
  <si>
    <t>1.101 SOL</t>
  </si>
  <si>
    <t>-45.82%</t>
  </si>
  <si>
    <t>10.10.2024 17:13:38</t>
  </si>
  <si>
    <t>E5UyEEUrn9HQKJVbW7MZytojVJhYmhrz54URfxQ9RfKU</t>
  </si>
  <si>
    <t>SNL</t>
  </si>
  <si>
    <t>0.430 SOL</t>
  </si>
  <si>
    <t>-0.666 SOL</t>
  </si>
  <si>
    <t>10.10.2024 16:35:57</t>
  </si>
  <si>
    <t>BLTFrxb6mJZ7K6fj5Y96nAYBjJxCUwk7XvD2dA31pump</t>
  </si>
  <si>
    <t>Dancecz</t>
  </si>
  <si>
    <t>1.939 SOL</t>
  </si>
  <si>
    <t>-4.58%</t>
  </si>
  <si>
    <t>10.10.2024 15:16:30</t>
  </si>
  <si>
    <t>6rsLEYA4QjNviv8ZHajVkRMPMNJgjcRiesDtaQaEpAis</t>
  </si>
  <si>
    <t>-0.509 SOL</t>
  </si>
  <si>
    <t>-45.91%</t>
  </si>
  <si>
    <t>10.10.2024 15:02:00</t>
  </si>
  <si>
    <t>8iHTqDBPr4wHeGBXKc774pFwd1X7Zxg8e517oJfapump</t>
  </si>
  <si>
    <t>GLOFFI</t>
  </si>
  <si>
    <t>0.002500</t>
  </si>
  <si>
    <t>-2.147 SOL</t>
  </si>
  <si>
    <t>15,121,554</t>
  </si>
  <si>
    <t>09.10.2024 22:35:23</t>
  </si>
  <si>
    <t xml:space="preserve">         25K            25K             8K</t>
  </si>
  <si>
    <t>4aTDyXhFL5vB99ewQWymxN5wi3rzz7jW7Bmkp48Wpump</t>
  </si>
  <si>
    <t>NexF</t>
  </si>
  <si>
    <t>0.725 SOL</t>
  </si>
  <si>
    <t>-1.280 SOL</t>
  </si>
  <si>
    <t>-63.84%</t>
  </si>
  <si>
    <t>09.10.2024 20:55:47</t>
  </si>
  <si>
    <t xml:space="preserve">        700K           253K             8K</t>
  </si>
  <si>
    <t>FiDqSyqETYmGgGLaUCUkucgGEpZg6kFgtHYBMnx6pump</t>
  </si>
  <si>
    <t>NexFundAI</t>
  </si>
  <si>
    <t>0.005020</t>
  </si>
  <si>
    <t>3.489 SOL</t>
  </si>
  <si>
    <t>1.561 SOL</t>
  </si>
  <si>
    <t>80.96%</t>
  </si>
  <si>
    <t>09.10.2024 20:28:04</t>
  </si>
  <si>
    <t xml:space="preserve">         18K             9K             4K</t>
  </si>
  <si>
    <t>Cq3aQNt4p9KQKEAH6kCMBwoMTChT8MwH11oVLK674Vqn</t>
  </si>
  <si>
    <t>$MANLET</t>
  </si>
  <si>
    <t>2.070 SOL</t>
  </si>
  <si>
    <t>-45.88%</t>
  </si>
  <si>
    <t>09.10.2024 20:12:04</t>
  </si>
  <si>
    <t xml:space="preserve">        381K           208K           119K</t>
  </si>
  <si>
    <t>DDYm5NbJ4J9HnZUrVhiprdruggHpRWgKsw4ky7je6yw9</t>
  </si>
  <si>
    <t>Hawktoshi</t>
  </si>
  <si>
    <t>0.002510</t>
  </si>
  <si>
    <t>0.299 SOL</t>
  </si>
  <si>
    <t>23.94%</t>
  </si>
  <si>
    <t>09.10.2024 15:33:31</t>
  </si>
  <si>
    <t>8sUwAft4qALi1iWfFRLUsYiBTiPwFyhJWHZGDaznpump</t>
  </si>
  <si>
    <t>Stupid Inu</t>
  </si>
  <si>
    <t>2.017 SOL</t>
  </si>
  <si>
    <t>2.015 SOL</t>
  </si>
  <si>
    <t>-0.19%</t>
  </si>
  <si>
    <t>09.10.2024 15:01:05</t>
  </si>
  <si>
    <t>5bejnfbDXUvanALuv5ut4sQZkh2693FrRuHFVVTmpump</t>
  </si>
  <si>
    <t>PRESIDENT</t>
  </si>
  <si>
    <t>1.897 SOL</t>
  </si>
  <si>
    <t>1.547 SOL</t>
  </si>
  <si>
    <t>-0.353 SOL</t>
  </si>
  <si>
    <t>-18.57%</t>
  </si>
  <si>
    <t>09.10.2024 03:25:06</t>
  </si>
  <si>
    <t>8DrWtg6SJ1Dv3zghRcdNPpNjf6sQ5mJiefjHe2h3woRy</t>
  </si>
  <si>
    <t>ABCDEM</t>
  </si>
  <si>
    <t>1.560 SOL</t>
  </si>
  <si>
    <t>0.995 SOL</t>
  </si>
  <si>
    <t>-0.571 SOL</t>
  </si>
  <si>
    <t>-36.45%</t>
  </si>
  <si>
    <t>09.10.2024 02:01:38</t>
  </si>
  <si>
    <t>HbCYCfBeqcLSZ9bsmELM72Y27gLabS2iLmT28232tuRm</t>
  </si>
  <si>
    <t>HUAHUA</t>
  </si>
  <si>
    <t>-0.961 SOL</t>
  </si>
  <si>
    <t>-31.99%</t>
  </si>
  <si>
    <t>08.10.2024 04:33:21</t>
  </si>
  <si>
    <t xml:space="preserve">        489K           332K           173K</t>
  </si>
  <si>
    <t>77RBCP95AFT9XRsx4xuGUHjBQsjcatGYCZ2VXx8Epump</t>
  </si>
  <si>
    <t>3.714 SOL</t>
  </si>
  <si>
    <t>23.69%</t>
  </si>
  <si>
    <t>08.10.2024 03:53:57</t>
  </si>
  <si>
    <t xml:space="preserve">         81K           100K           116K</t>
  </si>
  <si>
    <t>A53BzB7297SXdF6mguQQ8kzqjVYt8pUeHW5m1i8pD6hf</t>
  </si>
  <si>
    <t>DOGEBOX</t>
  </si>
  <si>
    <t>-0.331 SOL</t>
  </si>
  <si>
    <t>-16.32%</t>
  </si>
  <si>
    <t>08.10.2024 02:26:41</t>
  </si>
  <si>
    <t>EApdNQpAHD3GFq9Sg7GUr9K9hayyyAZnuF5qyiFSpump</t>
  </si>
  <si>
    <t>MAGA</t>
  </si>
  <si>
    <t>1.022 SOL</t>
  </si>
  <si>
    <t>1.34%</t>
  </si>
  <si>
    <t>08.10.2024 01:58:33</t>
  </si>
  <si>
    <t>8PFMe4wCCza9VPv4VF62LJ5zcrVcAdPtK7eWboKCpump</t>
  </si>
  <si>
    <t>TAILS</t>
  </si>
  <si>
    <t>1.593 SOL</t>
  </si>
  <si>
    <t>08.10.2024 01:42:13</t>
  </si>
  <si>
    <t>GLksWyiRMw1o6t98MB3y9V7fye9YTq4nFrhRLidC1HAW</t>
  </si>
  <si>
    <t>CattyB</t>
  </si>
  <si>
    <t>0.004510</t>
  </si>
  <si>
    <t>2.128 SOL</t>
  </si>
  <si>
    <t>1.451 SOL</t>
  </si>
  <si>
    <t>-0.681 SOL</t>
  </si>
  <si>
    <t>-31.95%</t>
  </si>
  <si>
    <t>07.10.2024 21:01:02</t>
  </si>
  <si>
    <t>7KicuUKtrTHmwjn2DDscNQHpPJLXgsgBTXBzopnupump</t>
  </si>
  <si>
    <t>tervo</t>
  </si>
  <si>
    <t>1.107 SOL</t>
  </si>
  <si>
    <t>-0.366 SOL</t>
  </si>
  <si>
    <t>-33.02%</t>
  </si>
  <si>
    <t>07.10.2024 18:24:25</t>
  </si>
  <si>
    <t>J9y68d9FZ1aBYbdPswYxS7eYRsrSuF4W4mea1t82pump</t>
  </si>
  <si>
    <t>cults</t>
  </si>
  <si>
    <t>1.073 SOL</t>
  </si>
  <si>
    <t>-0.328 SOL</t>
  </si>
  <si>
    <t>-30.45%</t>
  </si>
  <si>
    <t>07.10.2024 17:34:09</t>
  </si>
  <si>
    <t>A6836bUsEVwRGnUoCE3zpJB7Bgn6YxAVoSQZzFqupump</t>
  </si>
  <si>
    <t>RMRC</t>
  </si>
  <si>
    <t>4.50%</t>
  </si>
  <si>
    <t>07.10.2024 17:34:04</t>
  </si>
  <si>
    <t>7ihpNkbKGTXGDbKyqZunz9wjVWDcRPjzaWbRxiWWpump</t>
  </si>
  <si>
    <t>hawktober</t>
  </si>
  <si>
    <t>1.249 SOL</t>
  </si>
  <si>
    <t>3.54%</t>
  </si>
  <si>
    <t>07.10.2024 01:58:03</t>
  </si>
  <si>
    <t>9pR5m5LKbwiywHP4DM7SL9fftj3kg9pmM7zPC4yKpump</t>
  </si>
  <si>
    <t>HatWifHat</t>
  </si>
  <si>
    <t>-1.446 SOL</t>
  </si>
  <si>
    <t>-57.96%</t>
  </si>
  <si>
    <t>07.10.2024 01:56:02</t>
  </si>
  <si>
    <t>2DrFBS1aKArtJqci7dn3RgCotUYYQ8fLEKfGQJ3cpump</t>
  </si>
  <si>
    <t>Casty</t>
  </si>
  <si>
    <t>-0.212 SOL</t>
  </si>
  <si>
    <t>-10.66%</t>
  </si>
  <si>
    <t>06.10.2024 23:37:53</t>
  </si>
  <si>
    <t>3PAEHhk8PkUaaohGjUJBJkZhxjxGRntBmst7pbNGpump</t>
  </si>
  <si>
    <t>ball</t>
  </si>
  <si>
    <t>0.005580</t>
  </si>
  <si>
    <t>8.610 SOL</t>
  </si>
  <si>
    <t>-3.396 SOL</t>
  </si>
  <si>
    <t>-28.28%</t>
  </si>
  <si>
    <t>05.10.2024 17:50:45</t>
  </si>
  <si>
    <t>16 days</t>
  </si>
  <si>
    <t xml:space="preserve">          3M           674K           421K</t>
  </si>
  <si>
    <t>HPfY3VCj1twecf556rDFWLJpDfh1vPoTtBjPehzKpump</t>
  </si>
  <si>
    <t>ROODENG</t>
  </si>
  <si>
    <t>4.063 SOL</t>
  </si>
  <si>
    <t>35.33%</t>
  </si>
  <si>
    <t>05.10.2024 17:22:05</t>
  </si>
  <si>
    <t xml:space="preserve">         30K            40K            13K</t>
  </si>
  <si>
    <t>Ek81YYpoowq26kYMURPsUbgg5vB4c654rgraJfympump</t>
  </si>
  <si>
    <t>POWER</t>
  </si>
  <si>
    <t>1.521 SOL</t>
  </si>
  <si>
    <t>-0.479 SOL</t>
  </si>
  <si>
    <t>-23.97%</t>
  </si>
  <si>
    <t>05.10.2024 03:15:50</t>
  </si>
  <si>
    <t xml:space="preserve">         40K            30K             8K</t>
  </si>
  <si>
    <t>JC1WWYCZEppkGt74p9rkYhQc8Tt1BJLcpssWYUEQpump</t>
  </si>
  <si>
    <t>TELEPORT</t>
  </si>
  <si>
    <t>2.213 SOL</t>
  </si>
  <si>
    <t>0.886 SOL</t>
  </si>
  <si>
    <t>-1.332 SOL</t>
  </si>
  <si>
    <t>-60.06%</t>
  </si>
  <si>
    <t>03.10.2024 02:47:43</t>
  </si>
  <si>
    <t>rKjaHcVVmeeo7hD6JvvJod52cREHjpkzJbpJTAApump</t>
  </si>
  <si>
    <t>0.000290</t>
  </si>
  <si>
    <t>12.179 SOL</t>
  </si>
  <si>
    <t>1.179 SOL</t>
  </si>
  <si>
    <t>10.72%</t>
  </si>
  <si>
    <t>02.10.2024 01:44:24</t>
  </si>
  <si>
    <t>B6sRkzZU7eG9FnoeBfALVg82LExzv4aGX8tbsfztpump</t>
  </si>
  <si>
    <t>1.009 SOL</t>
  </si>
  <si>
    <t>-11.85%</t>
  </si>
  <si>
    <t>02.10.2024 01:42:30</t>
  </si>
  <si>
    <t>FUbxiQhrMsHhU9GhVoej7iuZh9vstRaoMrQw3uyGpump</t>
  </si>
  <si>
    <t>HILLBILLY</t>
  </si>
  <si>
    <t>0.007790</t>
  </si>
  <si>
    <t>-0.80%</t>
  </si>
  <si>
    <t>01.10.2024 16:23:15</t>
  </si>
  <si>
    <t>bqHxdHbNWPWuvGNwbPidkBP31zBQsPPpAzbqesSVWxc</t>
  </si>
  <si>
    <t>FLASH</t>
  </si>
  <si>
    <t>0.325 SOL</t>
  </si>
  <si>
    <t>16.27%</t>
  </si>
  <si>
    <t>01.10.2024 15:49:04</t>
  </si>
  <si>
    <t>fpMpriXySzp7iJDPKth73bmd6Hb7F7bDMXsF8nnpump</t>
  </si>
  <si>
    <t>1.211 SOL</t>
  </si>
  <si>
    <t>20.00%</t>
  </si>
  <si>
    <t>30.09.2024 23:42:26</t>
  </si>
  <si>
    <t>4YuXZ41ojovfU8bjmak6UwQwPEmSQELzhoCWXcBUpump</t>
  </si>
  <si>
    <t>MOODUANG</t>
  </si>
  <si>
    <t>2.242 SOL</t>
  </si>
  <si>
    <t>12.09%</t>
  </si>
  <si>
    <t>30.09.2024 19:02:36</t>
  </si>
  <si>
    <t xml:space="preserve">        216K           241K            13K</t>
  </si>
  <si>
    <t>8p2HuMsiiDA82gACB1bwA45QSURpU8JxzdFbTwXkpump</t>
  </si>
  <si>
    <t>200M</t>
  </si>
  <si>
    <t>1.011 SOL</t>
  </si>
  <si>
    <t>30.09.2024 15:08:48</t>
  </si>
  <si>
    <t>C4KGEMvtCGQPWg57RqDG4assXU2QZoPboPiFryf5pump</t>
  </si>
  <si>
    <t>otis</t>
  </si>
  <si>
    <t>1.419 SOL</t>
  </si>
  <si>
    <t>-2.581 SOL</t>
  </si>
  <si>
    <t>-64.52%</t>
  </si>
  <si>
    <t>28.09.2024 23:15:26</t>
  </si>
  <si>
    <t xml:space="preserve">         35K            12K             8K</t>
  </si>
  <si>
    <t>5bJhWdZX12YsAfePyCtyTsQng1TjHcQsSdqZgsLLA9N1</t>
  </si>
  <si>
    <t>MOOWAN</t>
  </si>
  <si>
    <t>1.883 SOL</t>
  </si>
  <si>
    <t>-5.85%</t>
  </si>
  <si>
    <t>28.09.2024 20:16:36</t>
  </si>
  <si>
    <t xml:space="preserve">        208K           195K            35K</t>
  </si>
  <si>
    <t>EGxWoteoTqwyzgXFZSxagKBUkoVbqtyRmnDewQNEpump</t>
  </si>
  <si>
    <t>🦦</t>
  </si>
  <si>
    <t>-0.03%</t>
  </si>
  <si>
    <t>28.09.2024 16:02:46</t>
  </si>
  <si>
    <t>C4Lxxoy5Zm7rgP8wC6QZkCrVniV99ZKkpd8QVWYptMX5</t>
  </si>
  <si>
    <t>💯</t>
  </si>
  <si>
    <t>1.013 SOL</t>
  </si>
  <si>
    <t>0.39%</t>
  </si>
  <si>
    <t>28.09.2024 14:50:49</t>
  </si>
  <si>
    <t>HxBqvCrsq2uKWREnuegu13c7SSGQ6XZGX9pU9gB2Up69</t>
  </si>
  <si>
    <t>sirius</t>
  </si>
  <si>
    <t>4.994 SOL</t>
  </si>
  <si>
    <t>24.86%</t>
  </si>
  <si>
    <t>28.09.2024 00:08:01</t>
  </si>
  <si>
    <t>6T44rfi9BDUdZbEvVddZWVfsGrpC6N1sSSKYnCsLpump</t>
  </si>
  <si>
    <t>kitchen</t>
  </si>
  <si>
    <t>1.969 SOL</t>
  </si>
  <si>
    <t>1.329 SOL</t>
  </si>
  <si>
    <t>-32.58%</t>
  </si>
  <si>
    <t>27.09.2024 22:41:22</t>
  </si>
  <si>
    <t>2NA4d66zJ6pN48QyyrDmmXP51Pni1z9Wta2uEGPepump</t>
  </si>
  <si>
    <t>paul</t>
  </si>
  <si>
    <t>2.647 SOL</t>
  </si>
  <si>
    <t>1.630 SOL</t>
  </si>
  <si>
    <t>160.22%</t>
  </si>
  <si>
    <t>27.09.2024 19:47:23</t>
  </si>
  <si>
    <t>ANc9RWtYxE3WXVSbqQsUPufT3Xv6kT2tjb5rK76mpump</t>
  </si>
  <si>
    <t>CZDAD</t>
  </si>
  <si>
    <t>1.090 SOL</t>
  </si>
  <si>
    <t>27.09.2024 18:54:40</t>
  </si>
  <si>
    <t>CfhCueCDQarPRC4Hmi3gtwMybU5JDDzkjtSBzk5mpump</t>
  </si>
  <si>
    <t>WHEEZY</t>
  </si>
  <si>
    <t>-3.456 SOL</t>
  </si>
  <si>
    <t>-86.40%</t>
  </si>
  <si>
    <t>27.09.2024 00:58:58</t>
  </si>
  <si>
    <t xml:space="preserve">        580K            49K            28K</t>
  </si>
  <si>
    <t>6D1GcqNUsJ7iTU7rcGV3VXrzj8sFFu8MKx1rjQAipump</t>
  </si>
  <si>
    <t>LML</t>
  </si>
  <si>
    <t>4.014 SOL</t>
  </si>
  <si>
    <t>1.987 SOL</t>
  </si>
  <si>
    <t>98.01%</t>
  </si>
  <si>
    <t>27.09.2024 00:42:18</t>
  </si>
  <si>
    <t>D96RarihWbaHhjJVMdP2Tf79ojncqmZaZUsxk62Gpump</t>
  </si>
  <si>
    <t>#turtle</t>
  </si>
  <si>
    <t>-0.317 SOL</t>
  </si>
  <si>
    <t>-31.19%</t>
  </si>
  <si>
    <t>26.09.2024 22:11:16</t>
  </si>
  <si>
    <t>4A1WLVKPniy2aeNgifnRrWYR84VQooJnmBHPPokspump</t>
  </si>
  <si>
    <t>HOOD</t>
  </si>
  <si>
    <t>2.393 SOL</t>
  </si>
  <si>
    <t>0.393 SOL</t>
  </si>
  <si>
    <t>19.63%</t>
  </si>
  <si>
    <t>26.09.2024 17:07:33</t>
  </si>
  <si>
    <t xml:space="preserve">         32K            37K            94K</t>
  </si>
  <si>
    <t>ACQo7pPhmJmP9DqH4iRaCaoesdeL2x6WbWLVsNGGjmxU</t>
  </si>
  <si>
    <t>ideal man</t>
  </si>
  <si>
    <t>1.944 SOL</t>
  </si>
  <si>
    <t>-4.08%</t>
  </si>
  <si>
    <t>25.09.2024 17:08:17</t>
  </si>
  <si>
    <t>4MduxKr9VasvrvjF48L6e8XcmPHmUeZynqZTXTbtpump</t>
  </si>
  <si>
    <t>BOXES</t>
  </si>
  <si>
    <t>1.254 SOL</t>
  </si>
  <si>
    <t>0.792 SOL</t>
  </si>
  <si>
    <t>-0.465 SOL</t>
  </si>
  <si>
    <t>-36.98%</t>
  </si>
  <si>
    <t>25.09.2024 17:06:42</t>
  </si>
  <si>
    <t>HLBJNSAzMZFuFHhxPp4d6arMMQtSJwucUarHv8Qhpump</t>
  </si>
  <si>
    <t>SAM</t>
  </si>
  <si>
    <t>0.987 SOL</t>
  </si>
  <si>
    <t>-1.87%</t>
  </si>
  <si>
    <t>24.09.2024 22:02:39</t>
  </si>
  <si>
    <t>A2K7HUbiSqqbRMsA4rwz9cLcRY23xN29jq4fnwcypump</t>
  </si>
  <si>
    <t>Matt</t>
  </si>
  <si>
    <t>1.176 SOL</t>
  </si>
  <si>
    <t>-3.35%</t>
  </si>
  <si>
    <t>24.09.2024 21:07:40</t>
  </si>
  <si>
    <t>5yWtJvVW1kihyP5Zq2p5BpPCHv6GoGRSHoqJQvJTpump</t>
  </si>
  <si>
    <t>BMAGA</t>
  </si>
  <si>
    <t>0.996 SOL</t>
  </si>
  <si>
    <t>-0.40%</t>
  </si>
  <si>
    <t>24.09.2024 01:24:00</t>
  </si>
  <si>
    <t xml:space="preserve">          2K             2K             8K</t>
  </si>
  <si>
    <t>6TkafZdpmUHfNZi3QyNd2GBKHeurVCmFpWDGUfBDr39Q</t>
  </si>
  <si>
    <t>1.233 SOL</t>
  </si>
  <si>
    <t>0.771 SOL</t>
  </si>
  <si>
    <t>-37.62%</t>
  </si>
  <si>
    <t>23.09.2024 21:52:57</t>
  </si>
  <si>
    <t>3weC7AmC1wxMu7g2GDtfzDscYyhkb1bnoAvL2WQvdfxp</t>
  </si>
  <si>
    <t>LEFTRIGHT</t>
  </si>
  <si>
    <t>-4.57%</t>
  </si>
  <si>
    <t>22.09.2024 21:57:49</t>
  </si>
  <si>
    <t>CBCQjfoADptgJwHaKUrTD9CBDsboskhV73KM6SFjpVzn</t>
  </si>
  <si>
    <t>MOO</t>
  </si>
  <si>
    <t>0.006060</t>
  </si>
  <si>
    <t>2.271 SOL</t>
  </si>
  <si>
    <t>-9.05%</t>
  </si>
  <si>
    <t>22.09.2024 03:06:58</t>
  </si>
  <si>
    <t>8e2BaST9seuP6JzEDcPyPSxoxpUUwDpuo3jdpZUfpump</t>
  </si>
  <si>
    <t>SEC</t>
  </si>
  <si>
    <t>0.006120</t>
  </si>
  <si>
    <t>1.516 SOL</t>
  </si>
  <si>
    <t>-25.91%</t>
  </si>
  <si>
    <t>21.09.2024 19:27:08</t>
  </si>
  <si>
    <t>E8LP6nyKpfsHvajLLcqZgzpb2HWH1X1GAeJUoXuvpump</t>
  </si>
  <si>
    <t>ALP</t>
  </si>
  <si>
    <t>1.490 SOL</t>
  </si>
  <si>
    <t>-0.510 SOL</t>
  </si>
  <si>
    <t>-25.48%</t>
  </si>
  <si>
    <t>21.09.2024 15:44:46</t>
  </si>
  <si>
    <t xml:space="preserve">        126K            95K             4M</t>
  </si>
  <si>
    <t>8ThSrRA6qpkva4bGE6DNfFKnuKuCPM22Db16zS1Mpump</t>
  </si>
  <si>
    <t>harry balz</t>
  </si>
  <si>
    <t>0.970 SOL</t>
  </si>
  <si>
    <t>-5.87%</t>
  </si>
  <si>
    <t>21.09.2024 15:33:08</t>
  </si>
  <si>
    <t>76bSFQzo1xfms3sToH4P2sBRQsE3Ws6rapVUpimnpump</t>
  </si>
  <si>
    <t>BALZ</t>
  </si>
  <si>
    <t>1.018 SOL</t>
  </si>
  <si>
    <t>-6.90%</t>
  </si>
  <si>
    <t>21.09.2024 15:32:54</t>
  </si>
  <si>
    <t>7naWrsD5hkfb9w9ScAM5Hf5WCKWcsNbUxtxjUwnopump</t>
  </si>
  <si>
    <t>odog</t>
  </si>
  <si>
    <t>1.311 SOL</t>
  </si>
  <si>
    <t>-0.695 SOL</t>
  </si>
  <si>
    <t>-52.78%</t>
  </si>
  <si>
    <t>20.09.2024 19:29:23</t>
  </si>
  <si>
    <t>9KXRbSewzWABhBbYChf5Kjopp8FjuPQZ8phEWR4Vpump</t>
  </si>
  <si>
    <t>0.814 SOL</t>
  </si>
  <si>
    <t>-20.97%</t>
  </si>
  <si>
    <t>20.09.2024 17:20:44</t>
  </si>
  <si>
    <t>AU9PRRHntEzqGby1vGj8HZ2EBpnPdVujEzg3XESrpump</t>
  </si>
  <si>
    <t>15.29%</t>
  </si>
  <si>
    <t>20.09.2024 02:01:46</t>
  </si>
  <si>
    <t>G.O.A.T</t>
  </si>
  <si>
    <t>7.080 SOL</t>
  </si>
  <si>
    <t>5.998 SOL</t>
  </si>
  <si>
    <t>-15.32%</t>
  </si>
  <si>
    <t>20.09.2024 00:58:00</t>
  </si>
  <si>
    <t>2Fa9Vrxa7ojQLjDgnAPivvqquPZFX9Zy6xMeBzMUpump</t>
  </si>
  <si>
    <t>IRAN</t>
  </si>
  <si>
    <t>1.990 SOL</t>
  </si>
  <si>
    <t>20.09.2024 00:35:09</t>
  </si>
  <si>
    <t xml:space="preserve">         16K            16K            13K</t>
  </si>
  <si>
    <t>6nNhLyiSxxSV28ZkHV6TTqkbYBj6HJZDcjJQhDVHrrGV</t>
  </si>
  <si>
    <t>眯吃</t>
  </si>
  <si>
    <t>1.371 SOL</t>
  </si>
  <si>
    <t>-0.673 SOL</t>
  </si>
  <si>
    <t>-32.92%</t>
  </si>
  <si>
    <t>19.09.2024 23:52:17</t>
  </si>
  <si>
    <t>4eP3G175XLZGTkUtMupzgi4VbYPwEUpAbR7n2kBxdapr</t>
  </si>
  <si>
    <t>SAVE</t>
  </si>
  <si>
    <t>0.002230</t>
  </si>
  <si>
    <t>11.563 SOL</t>
  </si>
  <si>
    <t>15.61%</t>
  </si>
  <si>
    <t>19.09.2024 21:20:59</t>
  </si>
  <si>
    <t xml:space="preserve">         44K            60K            39K</t>
  </si>
  <si>
    <t>24sSC4pK7sCRQKuMedmDV9adHmcHHM37zQF7dmCRpump</t>
  </si>
  <si>
    <t>unity</t>
  </si>
  <si>
    <t>2.085 SOL</t>
  </si>
  <si>
    <t>1.543 SOL</t>
  </si>
  <si>
    <t>-0.543 SOL</t>
  </si>
  <si>
    <t>-26.04%</t>
  </si>
  <si>
    <t>19.09.2024 20:01:23</t>
  </si>
  <si>
    <t>9ASjvYLkuRW3EdCTumstEia7FBo1YedNRb3MsWYMpump</t>
  </si>
  <si>
    <t>UNITY</t>
  </si>
  <si>
    <t>5.054 SOL</t>
  </si>
  <si>
    <t>4.861 SOL</t>
  </si>
  <si>
    <t>-3.84%</t>
  </si>
  <si>
    <t>19.09.2024 19:53:25</t>
  </si>
  <si>
    <t xml:space="preserve">         40K            39K           156K</t>
  </si>
  <si>
    <t>EdhTCqUxXRWQcUd5Fonyz9rapHAB6mABAuVkmPrtpump</t>
  </si>
  <si>
    <t>12k</t>
  </si>
  <si>
    <t>2.019 SOL</t>
  </si>
  <si>
    <t>-0.617 SOL</t>
  </si>
  <si>
    <t>-30.46%</t>
  </si>
  <si>
    <t>19.09.2024 17:29:22</t>
  </si>
  <si>
    <t>3RmAP41qsLb9gpk2qbg44WmEn7gW9KcYnF5rnSkjpump</t>
  </si>
  <si>
    <t>RFK</t>
  </si>
  <si>
    <t>4.978 SOL</t>
  </si>
  <si>
    <t>-0.49%</t>
  </si>
  <si>
    <t>19.09.2024 16:37:08</t>
  </si>
  <si>
    <t>8pHXzRofsnG9c9bG7LHtuxAz7NhJ3HJankp4PugTYdqp</t>
  </si>
  <si>
    <t>Seeker</t>
  </si>
  <si>
    <t>0.011030</t>
  </si>
  <si>
    <t>1.642 SOL</t>
  </si>
  <si>
    <t>8.416 SOL</t>
  </si>
  <si>
    <t>6.763 SOL</t>
  </si>
  <si>
    <t>409.00%</t>
  </si>
  <si>
    <t>19.09.2024 04:00:17</t>
  </si>
  <si>
    <t xml:space="preserve">         11K            51K             7K</t>
  </si>
  <si>
    <t>HMwE3JtZGuiQJf8zHZhS39Gqk1HsdehMWVx5qN4Hpump</t>
  </si>
  <si>
    <t>Roombas</t>
  </si>
  <si>
    <t>-0.177 SOL</t>
  </si>
  <si>
    <t>-17.14%</t>
  </si>
  <si>
    <t>18.09.2024 23:28:27</t>
  </si>
  <si>
    <t>8nwBWzvo293ffurXfb1ciXpeFyL53i7GBK9XQKdQpump</t>
  </si>
  <si>
    <t>RATE</t>
  </si>
  <si>
    <t>0.968 SOL</t>
  </si>
  <si>
    <t>-6.09%</t>
  </si>
  <si>
    <t>18.09.2024 16:05:17</t>
  </si>
  <si>
    <t>8FYrWdrzeqo6Xiv19kX3exdGKxg1YdrhmxmTNtVvnfaK</t>
  </si>
  <si>
    <t>gavin</t>
  </si>
  <si>
    <t>6.58%</t>
  </si>
  <si>
    <t>18.09.2024 03:58:04</t>
  </si>
  <si>
    <t>HDYb4aeJgWqhJTkgwHWUWDkm7AwZ2TAPcGvnQNGQpump</t>
  </si>
  <si>
    <t>SCC</t>
  </si>
  <si>
    <t>1.991 SOL</t>
  </si>
  <si>
    <t>-0.56%</t>
  </si>
  <si>
    <t>18.09.2024 02:29:11</t>
  </si>
  <si>
    <t>CNQbrauQD1fnGDE4C31p3pneAgP7UFywvvyEn9YDpump</t>
  </si>
  <si>
    <t>0.001060</t>
  </si>
  <si>
    <t>17.09.2024 19:40:32</t>
  </si>
  <si>
    <t>8t5FggSQmHR8Q3xKg6dpopdYQRMGjWmqD2k7cb2HmguX</t>
  </si>
  <si>
    <t>RIGGED</t>
  </si>
  <si>
    <t>0.005810</t>
  </si>
  <si>
    <t>-0.60%</t>
  </si>
  <si>
    <t>17.09.2024 19:40:17</t>
  </si>
  <si>
    <t>Kkw6qZ9yNtibLuUT86KaJY9uoTdVMhx1bvAsc5FbWca</t>
  </si>
  <si>
    <t>done</t>
  </si>
  <si>
    <t>0.003060</t>
  </si>
  <si>
    <t>0.728 SOL</t>
  </si>
  <si>
    <t>-20.16%</t>
  </si>
  <si>
    <t>17.09.2024 17:39:13</t>
  </si>
  <si>
    <t>EzD8yd6J1GAsbdBK6j865Mmi9fWWztbu1eMTKHKwey9U</t>
  </si>
  <si>
    <t>DAD</t>
  </si>
  <si>
    <t>23.97%</t>
  </si>
  <si>
    <t>17.09.2024 03:58:54</t>
  </si>
  <si>
    <t>AetgxJS7eSUwK9kXv6mifPNmQmAVqE6qYHFGyyDCpump</t>
  </si>
  <si>
    <t>USHER</t>
  </si>
  <si>
    <t>5.413 SOL</t>
  </si>
  <si>
    <t>8.26%</t>
  </si>
  <si>
    <t>12.09.2024 22:50:47</t>
  </si>
  <si>
    <t xml:space="preserve">          1M             2M             5K</t>
  </si>
  <si>
    <t>3ZQLNKd8JMCwch5Es8wfdWmyhKvUy7Gu83zeoaZTpump</t>
  </si>
  <si>
    <t>-90.67%</t>
  </si>
  <si>
    <t>12.09.2024 22:38:55</t>
  </si>
  <si>
    <t>USHJasNDNedd7VZdEWCe4jfF2hG2LfNVECfexFaaatJ</t>
  </si>
  <si>
    <t>D*CK</t>
  </si>
  <si>
    <t>0.006020</t>
  </si>
  <si>
    <t>-29.52%</t>
  </si>
  <si>
    <t>12.09.2024 03:11:15</t>
  </si>
  <si>
    <t>5npX9zeBEfGHoeo5t2aHpxEU23EfvYpvE3Xmp6kmpump</t>
  </si>
  <si>
    <t>ELON</t>
  </si>
  <si>
    <t>0.745 SOL</t>
  </si>
  <si>
    <t>-27.02%</t>
  </si>
  <si>
    <t>11.09.2024 21:20:03</t>
  </si>
  <si>
    <t>7HffXS3WoeKjLnoUws4mjXNVkirZ7zAxCGeQAUm2jHw5</t>
  </si>
  <si>
    <t>Biden</t>
  </si>
  <si>
    <t>-0.262 SOL</t>
  </si>
  <si>
    <t>-21.36%</t>
  </si>
  <si>
    <t>11.09.2024 21:18:40</t>
  </si>
  <si>
    <t>9qhQEEJPMv68dTd6xgS41PGEd4XVEDeChNsUgKswZJ9G</t>
  </si>
  <si>
    <t>USACTO</t>
  </si>
  <si>
    <t>8.126 SOL</t>
  </si>
  <si>
    <t>3.126 SOL</t>
  </si>
  <si>
    <t>62.52%</t>
  </si>
  <si>
    <t>11.09.2024 02:33:58</t>
  </si>
  <si>
    <t xml:space="preserve">         18K            28K            13K</t>
  </si>
  <si>
    <t>D2fBhwigTe4yzMwWuAQNN2recggzbSf3SjZmSGdYpump</t>
  </si>
  <si>
    <t>TRUMPCAT</t>
  </si>
  <si>
    <t>2.028 SOL</t>
  </si>
  <si>
    <t>-1.864 SOL</t>
  </si>
  <si>
    <t>-91.80%</t>
  </si>
  <si>
    <t>10.09.2024 22:03:59</t>
  </si>
  <si>
    <t>TRUSR8WBgUF2NQW95mWHJUtfjtq6RVqksuM7ZN3JtrV</t>
  </si>
  <si>
    <t>BA2Y866oRBaEzgYt7pQ4hBERHfUnhSEGqGmYU9nbbwaz</t>
  </si>
  <si>
    <t>12.47 SOL</t>
  </si>
  <si>
    <t>44%</t>
  </si>
  <si>
    <t>27.88 SOL</t>
  </si>
  <si>
    <t>4 (12%)</t>
  </si>
  <si>
    <t>-2.98%</t>
  </si>
  <si>
    <t>15%</t>
  </si>
  <si>
    <t>4.03 SOL</t>
  </si>
  <si>
    <t>2.9%</t>
  </si>
  <si>
    <t>11.8%</t>
  </si>
  <si>
    <t>17.6%</t>
  </si>
  <si>
    <t>52.9%</t>
  </si>
  <si>
    <t>13.2 SOL</t>
  </si>
  <si>
    <t>13.8 SOL</t>
  </si>
  <si>
    <t>4.0 SOL</t>
  </si>
  <si>
    <t>-1.4 SOL</t>
  </si>
  <si>
    <t>OPENBOT</t>
  </si>
  <si>
    <t>0.018010</t>
  </si>
  <si>
    <t>1.042 SOL</t>
  </si>
  <si>
    <t>1.232 SOL</t>
  </si>
  <si>
    <t>16.21%</t>
  </si>
  <si>
    <t>30.10.2024 20:00:02</t>
  </si>
  <si>
    <t>GpeLip57awJCJAomjikKjkzkyaszNm68Q1c3Ldx6pump</t>
  </si>
  <si>
    <t>LAMPORT</t>
  </si>
  <si>
    <t>2.712 SOL</t>
  </si>
  <si>
    <t>1.652 SOL</t>
  </si>
  <si>
    <t>155.82%</t>
  </si>
  <si>
    <t>30.10.2024 19:47:52</t>
  </si>
  <si>
    <t>6bezxq1dFEGDUbEmTyZFpSAK7tz6kWwNwQiTaa4pump</t>
  </si>
  <si>
    <t>LIVI</t>
  </si>
  <si>
    <t>-2.71%</t>
  </si>
  <si>
    <t>30.10.2024 18:51:33</t>
  </si>
  <si>
    <t>7bCWEF1SThudZsFPGAdm2csdmPH75hm3Jm9o9Bq9pump</t>
  </si>
  <si>
    <t>23.49%</t>
  </si>
  <si>
    <t>30.10.2024 18:19:36</t>
  </si>
  <si>
    <t>HZ1sTY7ZbHuLru3fPw9DMobVoo8y1tFz65W4XrUPpump</t>
  </si>
  <si>
    <t xml:space="preserve">Sisaket </t>
  </si>
  <si>
    <t>-13.13%</t>
  </si>
  <si>
    <t>30.10.2024 16:46:42</t>
  </si>
  <si>
    <t>2U48DWQGNsmvxMfXHHwc9WGYoBkk3tBz4EKddB9WuAp1</t>
  </si>
  <si>
    <t>ELLY</t>
  </si>
  <si>
    <t>1.137 SOL</t>
  </si>
  <si>
    <t>7.25%</t>
  </si>
  <si>
    <t>30.10.2024 16:17:15</t>
  </si>
  <si>
    <t>UPEHC7DQMnJtxVLeYnyL8U7sPVBHHiKLprPrSmTpump</t>
  </si>
  <si>
    <t>WINNIE</t>
  </si>
  <si>
    <t>5.203 SOL</t>
  </si>
  <si>
    <t>4.143 SOL</t>
  </si>
  <si>
    <t>390.83%</t>
  </si>
  <si>
    <t>30.10.2024 03:24:04</t>
  </si>
  <si>
    <t xml:space="preserve">          9K            42K             4K</t>
  </si>
  <si>
    <t>FEPHYgxr88Mc7jYvYJuq8UrxZEwh3qDBYKLKaQKLpump</t>
  </si>
  <si>
    <t>WALDI</t>
  </si>
  <si>
    <t>1.704 SOL</t>
  </si>
  <si>
    <t>-17.29%</t>
  </si>
  <si>
    <t>30.10.2024 02:10:43</t>
  </si>
  <si>
    <t>G3jATMV8uQ3FjxpcMMafTFNrLbe8jyPmiMQMefZApump</t>
  </si>
  <si>
    <t>0.932 SOL</t>
  </si>
  <si>
    <t>87.93%</t>
  </si>
  <si>
    <t>30.10.2024 00:08:35</t>
  </si>
  <si>
    <t xml:space="preserve">         11K            21K             5K</t>
  </si>
  <si>
    <t>Holy Mary</t>
  </si>
  <si>
    <t>1.542 SOL</t>
  </si>
  <si>
    <t>-1.393 SOL</t>
  </si>
  <si>
    <t>-89.27%</t>
  </si>
  <si>
    <t>29.10.2024 03:40:09</t>
  </si>
  <si>
    <t xml:space="preserve">          7K             7K            21K</t>
  </si>
  <si>
    <t>33MD3pqkgJzD4uvtYqfxZ5V8j7fPpZeToikiXhtkpump</t>
  </si>
  <si>
    <t>Off</t>
  </si>
  <si>
    <t>0.922 SOL</t>
  </si>
  <si>
    <t>-13.07%</t>
  </si>
  <si>
    <t>28.10.2024 16:24:06</t>
  </si>
  <si>
    <t>AuBxc7HMVfRj8Lv6WMG5uKfZpLXp6PNiJrp1EPEPpump</t>
  </si>
  <si>
    <t>93.64%</t>
  </si>
  <si>
    <t>26.10.2024 00:32:21</t>
  </si>
  <si>
    <t xml:space="preserve">          7K             7K            10K</t>
  </si>
  <si>
    <t>4M9xuFs5rxVTfaEbBdRswxzppmb1U75BA5x8FuyZpump</t>
  </si>
  <si>
    <t>X Æ A-12</t>
  </si>
  <si>
    <t>-2.13%</t>
  </si>
  <si>
    <t>25.10.2024 23:21:36</t>
  </si>
  <si>
    <t>BRZkoDc4EdzNis2jH3oJqiKUbQuJeShhRDWAgsYxpump</t>
  </si>
  <si>
    <t>👶</t>
  </si>
  <si>
    <t>0.943 SOL</t>
  </si>
  <si>
    <t>-11.00%</t>
  </si>
  <si>
    <t>25.10.2024 23:03:39</t>
  </si>
  <si>
    <t>8ZSiyjE3Ggojn4k6essXZzMVmBrrtxBNEJrPfnipump</t>
  </si>
  <si>
    <t>ELI</t>
  </si>
  <si>
    <t>12.04%</t>
  </si>
  <si>
    <t>25.10.2024 22:50:03</t>
  </si>
  <si>
    <t>65n1LcUaJgS5JYzVzwdYbMEDHb2LpF3m6bWkh5Topump</t>
  </si>
  <si>
    <t>MoMo</t>
  </si>
  <si>
    <t>-12.07%</t>
  </si>
  <si>
    <t>25.10.2024 22:08:40</t>
  </si>
  <si>
    <t>qrU51aRRqNWdcQcfQEbZ34Lzq47LDYLpfA5RRqvpump</t>
  </si>
  <si>
    <t>MAINER</t>
  </si>
  <si>
    <t>0.973 SOL</t>
  </si>
  <si>
    <t>25.10.2024 21:50:33</t>
  </si>
  <si>
    <t>68YeDycyKsKcizvU7vJzVpFXXjApw8oYsXEEZTSfpump</t>
  </si>
  <si>
    <t>Lily</t>
  </si>
  <si>
    <t>0.874 SOL</t>
  </si>
  <si>
    <t>-17.55%</t>
  </si>
  <si>
    <t>25.10.2024 21:29:30</t>
  </si>
  <si>
    <t>6pS6Wu4Cg2BAwWsT17QvR6eXuwou5rVkmuQEVxGzpump</t>
  </si>
  <si>
    <t>Bonnie</t>
  </si>
  <si>
    <t>0.036020</t>
  </si>
  <si>
    <t>2.082 SOL</t>
  </si>
  <si>
    <t>20.97%</t>
  </si>
  <si>
    <t>25.10.2024 21:22:07</t>
  </si>
  <si>
    <t>ES6UEyZyQvqS5BMpYwCrYidAZajPsQUVVDPar8otpump</t>
  </si>
  <si>
    <t>-15.68%</t>
  </si>
  <si>
    <t>25.10.2024 20:44:09</t>
  </si>
  <si>
    <t>6cNdT68qtWT74KCBLuB9AQAEqdqptEzzUFotmM7cpump</t>
  </si>
  <si>
    <t>3.449 SOL</t>
  </si>
  <si>
    <t>66.79%</t>
  </si>
  <si>
    <t>25.10.2024 18:37:33</t>
  </si>
  <si>
    <t>1.503 SOL</t>
  </si>
  <si>
    <t>-0.495 SOL</t>
  </si>
  <si>
    <t>-24.77%</t>
  </si>
  <si>
    <t>25.10.2024 18:04:04</t>
  </si>
  <si>
    <t xml:space="preserve">         37K            28K            24K</t>
  </si>
  <si>
    <t>5nZTEtgd9pyehq7Yz1mtf9EJBrsLwqoHqS9R9by9pump</t>
  </si>
  <si>
    <t>XIAOMIMI</t>
  </si>
  <si>
    <t>0.044020</t>
  </si>
  <si>
    <t>4.012 SOL</t>
  </si>
  <si>
    <t>10.105 SOL</t>
  </si>
  <si>
    <t>25.10.2024 18:03:41</t>
  </si>
  <si>
    <t xml:space="preserve">          7K            33K             4K</t>
  </si>
  <si>
    <t>EQHsRm1qcLVUxwBJU5iBTxvASmvqtPVeEaHRN4MHpump</t>
  </si>
  <si>
    <t>STEAL</t>
  </si>
  <si>
    <t>1.754 SOL</t>
  </si>
  <si>
    <t>65.44%</t>
  </si>
  <si>
    <t>25.10.2024 16:35:35</t>
  </si>
  <si>
    <t>A1KbXvALunReUWnRcffvWbArQTRuEPHQFPQyNqs7pump</t>
  </si>
  <si>
    <t>RED</t>
  </si>
  <si>
    <t>-0.246 SOL</t>
  </si>
  <si>
    <t>-23.23%</t>
  </si>
  <si>
    <t>24.10.2024 15:26:06</t>
  </si>
  <si>
    <t>ctqqFVBuQM4Cu3EKrcUFt4e9bT1myoGHxjXa5nUpump</t>
  </si>
  <si>
    <t>FSS</t>
  </si>
  <si>
    <t>-4.26%</t>
  </si>
  <si>
    <t>24.10.2024 01:05:41</t>
  </si>
  <si>
    <t>CHsxwzRBx71wjv7zekEn5ZxeG5rhMyQaBDefrfaZpump</t>
  </si>
  <si>
    <t>YNS</t>
  </si>
  <si>
    <t>-0.108 SOL</t>
  </si>
  <si>
    <t>-11.52%</t>
  </si>
  <si>
    <t>23.10.2024 23:04:50</t>
  </si>
  <si>
    <t>DLoiqxvzsjbrzT9VFYmZsxJs6sste6piEt3F3UZ6pump</t>
  </si>
  <si>
    <t>CURI</t>
  </si>
  <si>
    <t>-3.26%</t>
  </si>
  <si>
    <t>23.10.2024 21:08:56</t>
  </si>
  <si>
    <t>JE3x7jSHEhTXJquF6umrV9tMvF4Zr3K2mqKUH8SWpump</t>
  </si>
  <si>
    <t>2.151 SOL</t>
  </si>
  <si>
    <t>-5.26%</t>
  </si>
  <si>
    <t>22.10.2024 22:10:57</t>
  </si>
  <si>
    <t>zW7rM1Jk7WtDNRzdQyaXiNNQUMbHTNyYAhMhmyppump</t>
  </si>
  <si>
    <t>2.543 SOL</t>
  </si>
  <si>
    <t>4.67%</t>
  </si>
  <si>
    <t>22.10.2024 19:35:02</t>
  </si>
  <si>
    <t>G19HAKL94PDqgKf47t55kSyEQKsUnKC2K4ftxDApump</t>
  </si>
  <si>
    <t>EING</t>
  </si>
  <si>
    <t>14.314 SOL</t>
  </si>
  <si>
    <t>13.244 SOL</t>
  </si>
  <si>
    <t>1237.71%</t>
  </si>
  <si>
    <t>21.10.2024 01:41:35</t>
  </si>
  <si>
    <t xml:space="preserve">          5K            42K             5K</t>
  </si>
  <si>
    <t>DknbGnV1coAMAHznQMYuEN7FHeYSmu4E3ZnFnUqUpump</t>
  </si>
  <si>
    <t>BLACKMAMBA</t>
  </si>
  <si>
    <t>-0.294 SOL</t>
  </si>
  <si>
    <t>-28.32%</t>
  </si>
  <si>
    <t>19.10.2024 16:04:48</t>
  </si>
  <si>
    <t>CuwS3AmAaFyWwykioz6VoRVj7ccPrD8HaEjuEDvopump</t>
  </si>
  <si>
    <t>WWY</t>
  </si>
  <si>
    <t>0.741 SOL</t>
  </si>
  <si>
    <t>-0.297 SOL</t>
  </si>
  <si>
    <t>-28.66%</t>
  </si>
  <si>
    <t>19.10.2024 16:01:08</t>
  </si>
  <si>
    <t>AcMxbikmTQy9zy9r8DHaNGmuCdWsSf4YwBDEPRKapump</t>
  </si>
  <si>
    <t>BSOD</t>
  </si>
  <si>
    <t>3.036 SOL</t>
  </si>
  <si>
    <t>192.47%</t>
  </si>
  <si>
    <t>19.10.2024 03:59:27</t>
  </si>
  <si>
    <t xml:space="preserve">          7K            21K             6K</t>
  </si>
  <si>
    <t>A7CtiV5AX7nLipM4ZdE3enYt5Xi67Jyo8foVTXjgpump</t>
  </si>
  <si>
    <t>2QNiKmv13a5RVWAuiCPYK8GPWkuzmNkB67pDDoi1JdKZ</t>
  </si>
  <si>
    <t>11.66 SOL</t>
  </si>
  <si>
    <t>70%</t>
  </si>
  <si>
    <t>192.97 SOL</t>
  </si>
  <si>
    <t>60 (67%)</t>
  </si>
  <si>
    <t>0.04 SOL</t>
  </si>
  <si>
    <t>5.6%</t>
  </si>
  <si>
    <t>7.9%</t>
  </si>
  <si>
    <t>32.6%</t>
  </si>
  <si>
    <t>39.3%</t>
  </si>
  <si>
    <t>57</t>
  </si>
  <si>
    <t>139.8 SOL</t>
  </si>
  <si>
    <t>47.3 SOL</t>
  </si>
  <si>
    <t>14.4 SOL</t>
  </si>
  <si>
    <t>22.8 SOL</t>
  </si>
  <si>
    <t>-13.6 SOL</t>
  </si>
  <si>
    <t>24</t>
  </si>
  <si>
    <t>STACY</t>
  </si>
  <si>
    <t>4.242 SOL</t>
  </si>
  <si>
    <t>3.582 SOL</t>
  </si>
  <si>
    <t>-17.13%</t>
  </si>
  <si>
    <t>30.10.2024 20:52:44</t>
  </si>
  <si>
    <t xml:space="preserve">         39K            23K             7K</t>
  </si>
  <si>
    <t>DgWHZPG1GRnnDzyascKL2H57nEMernAdKTmfcRv7pump</t>
  </si>
  <si>
    <t>SOLAWEEN</t>
  </si>
  <si>
    <t>1.703 SOL</t>
  </si>
  <si>
    <t>-0.459 SOL</t>
  </si>
  <si>
    <t>30.10.2024 20:38:55</t>
  </si>
  <si>
    <t xml:space="preserve">         25K            19K             5K</t>
  </si>
  <si>
    <t>Fptg2rBLBQSNNkBo72JuJH68a6pwWNxzhPfaSMJDpump</t>
  </si>
  <si>
    <t>COAL</t>
  </si>
  <si>
    <t>0.757 SOL</t>
  </si>
  <si>
    <t>-1.405 SOL</t>
  </si>
  <si>
    <t>-65.01%</t>
  </si>
  <si>
    <t>30.10.2024 20:31:51</t>
  </si>
  <si>
    <t xml:space="preserve">         58K            21K             5K</t>
  </si>
  <si>
    <t>FYiUnxxMp9KK2AjnXv84Bs23ZWqxAJaw9i9D6jnipump</t>
  </si>
  <si>
    <t>Koba</t>
  </si>
  <si>
    <t>0.022010</t>
  </si>
  <si>
    <t>2.113 SOL</t>
  </si>
  <si>
    <t>-1.45%</t>
  </si>
  <si>
    <t>30.10.2024 20:18:47</t>
  </si>
  <si>
    <t>J2G3i1P9GAwtGZUgheYVV4Xu1BmXPHmRFJkcz5owpump</t>
  </si>
  <si>
    <t>HALLAI</t>
  </si>
  <si>
    <t>1.831 SOL</t>
  </si>
  <si>
    <t>-15.30%</t>
  </si>
  <si>
    <t>30.10.2024 19:51:06</t>
  </si>
  <si>
    <t>GeoaoQsfFdymMYXrTA7umzGsehk2TwZPHVakVN9bpump</t>
  </si>
  <si>
    <t>Tribe</t>
  </si>
  <si>
    <t>0.060010</t>
  </si>
  <si>
    <t>2.481 SOL</t>
  </si>
  <si>
    <t>13.70%</t>
  </si>
  <si>
    <t>30.10.2024 19:45:12</t>
  </si>
  <si>
    <t>3EjU1pU1kjgefHhNdjCtMpoi3jM1LK6DGvCCpqDipump</t>
  </si>
  <si>
    <t>iMessage</t>
  </si>
  <si>
    <t>1.622 SOL</t>
  </si>
  <si>
    <t>-0.336 SOL</t>
  </si>
  <si>
    <t>-20.21%</t>
  </si>
  <si>
    <t>30.10.2024 19:39:07</t>
  </si>
  <si>
    <t>DU38MwUbQfgGR1yKN5AutJYf7ZcoXEQxgVvH6GCBpump</t>
  </si>
  <si>
    <t>1.882 SOL</t>
  </si>
  <si>
    <t>13.24%</t>
  </si>
  <si>
    <t>30.10.2024 19:29:52</t>
  </si>
  <si>
    <t xml:space="preserve">         39K            44K            25K</t>
  </si>
  <si>
    <t>CoRl</t>
  </si>
  <si>
    <t>1.122 SOL</t>
  </si>
  <si>
    <t>-11.63%</t>
  </si>
  <si>
    <t>30.10.2024 18:53:59</t>
  </si>
  <si>
    <t>HiFi6mAhrCSZydVUVEhs4F2EJm6nhVucjq4pCYnVpump</t>
  </si>
  <si>
    <t>blaze</t>
  </si>
  <si>
    <t>4.122 SOL</t>
  </si>
  <si>
    <t>7.193 SOL</t>
  </si>
  <si>
    <t>3.011 SOL</t>
  </si>
  <si>
    <t>71.99%</t>
  </si>
  <si>
    <t>30.10.2024 18:48:34</t>
  </si>
  <si>
    <t>2d9wCcm6bsivvm8TK3nGn6f8jGTTs8rqsaoUDRbPpump</t>
  </si>
  <si>
    <t>TRAILCAT</t>
  </si>
  <si>
    <t>3.732 SOL</t>
  </si>
  <si>
    <t>71.04%</t>
  </si>
  <si>
    <t>30.10.2024 18:45:17</t>
  </si>
  <si>
    <t>FtVQd9B5iWHmh7w3fTjxTRj7pRptNuNHb989ULtmpump</t>
  </si>
  <si>
    <t>-0.448 SOL</t>
  </si>
  <si>
    <t>-10.76%</t>
  </si>
  <si>
    <t>30.10.2024 01:33:57</t>
  </si>
  <si>
    <t>J2zFTg6dCdsfitb6sicFZaBE3cQa96TBPjmmKyhMpump</t>
  </si>
  <si>
    <t>INTERN</t>
  </si>
  <si>
    <t>1.207 SOL</t>
  </si>
  <si>
    <t>-0.955 SOL</t>
  </si>
  <si>
    <t>-44.18%</t>
  </si>
  <si>
    <t>29.10.2024 21:31:38</t>
  </si>
  <si>
    <t xml:space="preserve">         53K            30K             5K</t>
  </si>
  <si>
    <t>3fuMyZga9pypJEBysZGm2JZCDKK58frhQ4DRX7HTpump</t>
  </si>
  <si>
    <t>kibo</t>
  </si>
  <si>
    <t>3.877 SOL</t>
  </si>
  <si>
    <t>-0.285 SOL</t>
  </si>
  <si>
    <t>-6.85%</t>
  </si>
  <si>
    <t>29.10.2024 21:05:21</t>
  </si>
  <si>
    <t>B2qPG2YapjVe5ppQd2XbxJKTDdWRbf5cec4u8D2hpump</t>
  </si>
  <si>
    <t>GTD</t>
  </si>
  <si>
    <t>27.39%</t>
  </si>
  <si>
    <t>29.10.2024 20:42:35</t>
  </si>
  <si>
    <t xml:space="preserve">         37K            49K             5K</t>
  </si>
  <si>
    <t>6oQw2Q27jLD9ABQcjLowrZPMRbjSMXMaJrRAa9XCpump</t>
  </si>
  <si>
    <t>Hanz</t>
  </si>
  <si>
    <t>3.122 SOL</t>
  </si>
  <si>
    <t>3.393 SOL</t>
  </si>
  <si>
    <t>6.62%</t>
  </si>
  <si>
    <t>29.10.2024 20:32:47</t>
  </si>
  <si>
    <t>D2RU4Yo9ZviAkRLRH91sGVVFTp1nmK6G8ndbScKmpump</t>
  </si>
  <si>
    <t>ELEGYCOIN</t>
  </si>
  <si>
    <t>1.250 SOL</t>
  </si>
  <si>
    <t>-0.412 SOL</t>
  </si>
  <si>
    <t>-24.79%</t>
  </si>
  <si>
    <t>29.10.2024 20:26:37</t>
  </si>
  <si>
    <t>TGZoLoWDACtRidWfDyeXjaro7Bz23AuKiVm8JfApump</t>
  </si>
  <si>
    <t>49.37%</t>
  </si>
  <si>
    <t>29.10.2024 18:22:19</t>
  </si>
  <si>
    <t>9QzWMjMpZjPMi62h9XVPPmLjE5rtoPdZpphEGcGqqHer</t>
  </si>
  <si>
    <t>0.028010</t>
  </si>
  <si>
    <t>-0.033 SOL</t>
  </si>
  <si>
    <t>-3.24%</t>
  </si>
  <si>
    <t>29.10.2024 05:50:59</t>
  </si>
  <si>
    <t xml:space="preserve">        616K           614K           324K</t>
  </si>
  <si>
    <t>PLC</t>
  </si>
  <si>
    <t>3.176 SOL</t>
  </si>
  <si>
    <t>-0.20%</t>
  </si>
  <si>
    <t>29.10.2024 04:54:39</t>
  </si>
  <si>
    <t>9ZLeAUEwuZLZR1g7pvAWG8FkrVt9mgEzq7FgJpiepump</t>
  </si>
  <si>
    <t>0.200050</t>
  </si>
  <si>
    <t>7.102 SOL</t>
  </si>
  <si>
    <t>16.670 SOL</t>
  </si>
  <si>
    <t>9.368 SOL</t>
  </si>
  <si>
    <t>128.29%</t>
  </si>
  <si>
    <t>28.10.2024 23:08:30</t>
  </si>
  <si>
    <t>Cf44kpbStS49P8tDqQb3EAhjpCpXfhTAgzG9tXEPpump</t>
  </si>
  <si>
    <t>Dabuchi</t>
  </si>
  <si>
    <t>1.303 SOL</t>
  </si>
  <si>
    <t>60.25%</t>
  </si>
  <si>
    <t>28.10.2024 21:38:55</t>
  </si>
  <si>
    <t>Gh4cw4WyG6H9deJjFKGisr1qgzqhNQ8bwKtN9VL9pump</t>
  </si>
  <si>
    <t>0.170030</t>
  </si>
  <si>
    <t>6.905 SOL</t>
  </si>
  <si>
    <t>101.19%</t>
  </si>
  <si>
    <t>28.10.2024 21:16:55</t>
  </si>
  <si>
    <t xml:space="preserve">         38K            38K             5K</t>
  </si>
  <si>
    <t>Innocents</t>
  </si>
  <si>
    <t>0.100000</t>
  </si>
  <si>
    <t>-0.303 SOL</t>
  </si>
  <si>
    <t>35,032</t>
  </si>
  <si>
    <t>28.10.2024 19:50:38</t>
  </si>
  <si>
    <t>76WzsnSYEPQHcU7YXVuGHpQoF5wJHd4RgzRu7x6spump</t>
  </si>
  <si>
    <t>0.140020</t>
  </si>
  <si>
    <t>4.444 SOL</t>
  </si>
  <si>
    <t>32.98%</t>
  </si>
  <si>
    <t>28.10.2024 19:29:58</t>
  </si>
  <si>
    <t>6bjbgXCFe5QLSftX5y6ym6HGKebGYjWCxQqLaWhkpump</t>
  </si>
  <si>
    <t>Helper</t>
  </si>
  <si>
    <t>0.120010</t>
  </si>
  <si>
    <t>4.202 SOL</t>
  </si>
  <si>
    <t>-0.799 SOL</t>
  </si>
  <si>
    <t>-18.48%</t>
  </si>
  <si>
    <t>28.10.2024 19:17:19</t>
  </si>
  <si>
    <t>83fykTesiN1vYaU1vXeST1bZM3N9ZRHQVgrnFzBWpump</t>
  </si>
  <si>
    <t>Midnite</t>
  </si>
  <si>
    <t>0.180020</t>
  </si>
  <si>
    <t>3.238 SOL</t>
  </si>
  <si>
    <t>5.876 SOL</t>
  </si>
  <si>
    <t>2.458 SOL</t>
  </si>
  <si>
    <t>71.92%</t>
  </si>
  <si>
    <t>28.10.2024 19:12:45</t>
  </si>
  <si>
    <t xml:space="preserve">         11K            18K             5K</t>
  </si>
  <si>
    <t>3isMw7jdrBPqCXK2vypVLKPg2ZDxpRYHs4z4eqJqpump</t>
  </si>
  <si>
    <t>0.300050</t>
  </si>
  <si>
    <t>5.202 SOL</t>
  </si>
  <si>
    <t>19.604 SOL</t>
  </si>
  <si>
    <t>14.101 SOL</t>
  </si>
  <si>
    <t>256.29%</t>
  </si>
  <si>
    <t>28.10.2024 06:36:51</t>
  </si>
  <si>
    <t xml:space="preserve">         30K            44K            18K</t>
  </si>
  <si>
    <t>4.003 SOL</t>
  </si>
  <si>
    <t>-1.319 SOL</t>
  </si>
  <si>
    <t>28.10.2024 06:25:48</t>
  </si>
  <si>
    <t xml:space="preserve">         16K            12K             5K</t>
  </si>
  <si>
    <t>CCEVETwEMxeghyKw1Q2yvNrtpbSFy7G1HoxZoDXzpump</t>
  </si>
  <si>
    <t>3.302 SOL</t>
  </si>
  <si>
    <t>4.029 SOL</t>
  </si>
  <si>
    <t>0.587 SOL</t>
  </si>
  <si>
    <t>17.07%</t>
  </si>
  <si>
    <t>28.10.2024 05:15:44</t>
  </si>
  <si>
    <t>2ZDxE5DtHE6SeutJipA2LUTMpjfyn6ZPofyk3n8Rpump</t>
  </si>
  <si>
    <t>0.600090</t>
  </si>
  <si>
    <t>9.162 SOL</t>
  </si>
  <si>
    <t>73.430 SOL</t>
  </si>
  <si>
    <t>63.668 SOL</t>
  </si>
  <si>
    <t>652.19%</t>
  </si>
  <si>
    <t>28.10.2024 04:17:13</t>
  </si>
  <si>
    <t xml:space="preserve">         28K           225K             5K</t>
  </si>
  <si>
    <t>0.204070</t>
  </si>
  <si>
    <t>4.052 SOL</t>
  </si>
  <si>
    <t>34.920 SOL</t>
  </si>
  <si>
    <t>30.664 SOL</t>
  </si>
  <si>
    <t>720.48%</t>
  </si>
  <si>
    <t>28.10.2024 03:25:39</t>
  </si>
  <si>
    <t xml:space="preserve">         48K           398K             1M</t>
  </si>
  <si>
    <t>5.486 SOL</t>
  </si>
  <si>
    <t>0.496 SOL</t>
  </si>
  <si>
    <t>9.93%</t>
  </si>
  <si>
    <t>28.10.2024 01:21:22</t>
  </si>
  <si>
    <t xml:space="preserve">         97K           108K           303K</t>
  </si>
  <si>
    <t>27.73%</t>
  </si>
  <si>
    <t>28.10.2024 00:39:05</t>
  </si>
  <si>
    <t>G9TJe4nv3xggDUynxSWzDujnkz6QSE2XQgQbXvRppump</t>
  </si>
  <si>
    <t>4.091 SOL</t>
  </si>
  <si>
    <t>0.979 SOL</t>
  </si>
  <si>
    <t>31.45%</t>
  </si>
  <si>
    <t>28.10.2024 00:22:32</t>
  </si>
  <si>
    <t>7Bm1We9eZRAx7r8az3J7sCcMadK4mvNTp3hB7yDmpump</t>
  </si>
  <si>
    <t>AOS2.0</t>
  </si>
  <si>
    <t>1.052 SOL</t>
  </si>
  <si>
    <t>1.167 SOL</t>
  </si>
  <si>
    <t>6.84%</t>
  </si>
  <si>
    <t>28.10.2024 00:16:39</t>
  </si>
  <si>
    <t xml:space="preserve">          8K            10K             6K</t>
  </si>
  <si>
    <t>4v3eK5KmrxQFttvuc7xgw6JuSw7cQ34if9M5LoELpump</t>
  </si>
  <si>
    <t>andy70bexe</t>
  </si>
  <si>
    <t>3.993 SOL</t>
  </si>
  <si>
    <t>29.14%</t>
  </si>
  <si>
    <t>28.10.2024 00:05:24</t>
  </si>
  <si>
    <t xml:space="preserve">         21K            26K             6K</t>
  </si>
  <si>
    <t>GF1mEjq8g5HWqCsUaW6WusXnPC95bRgPbJhGUqUtijKD</t>
  </si>
  <si>
    <t>MAXX</t>
  </si>
  <si>
    <t>4.880 SOL</t>
  </si>
  <si>
    <t>56.81%</t>
  </si>
  <si>
    <t>27.10.2024 23:58:38</t>
  </si>
  <si>
    <t>AGYmDT4wZJJ1QdUUquo3vYkP8TuHi2KEhfw4Nhpkpump</t>
  </si>
  <si>
    <t>:DOG</t>
  </si>
  <si>
    <t>1.290 SOL</t>
  </si>
  <si>
    <t>25.21%</t>
  </si>
  <si>
    <t>27.10.2024 23:10:32</t>
  </si>
  <si>
    <t xml:space="preserve">        135K           178K             7K</t>
  </si>
  <si>
    <t>9J7WDmBYY7ikgLi1mo6utpEPo5WEhkQsCxTvDPfnpump</t>
  </si>
  <si>
    <t xml:space="preserve">harmony </t>
  </si>
  <si>
    <t>2.202 SOL</t>
  </si>
  <si>
    <t>2.452 SOL</t>
  </si>
  <si>
    <t>0.130 SOL</t>
  </si>
  <si>
    <t>5.61%</t>
  </si>
  <si>
    <t>27.10.2024 20:18:45</t>
  </si>
  <si>
    <t xml:space="preserve">         35K            39K             5K</t>
  </si>
  <si>
    <t>ATdeVBHRa3QEB3atbHkEmut93gv4J8Fo5SjooLRppump</t>
  </si>
  <si>
    <t>NOOO</t>
  </si>
  <si>
    <t>2.224 SOL</t>
  </si>
  <si>
    <t>-1.098 SOL</t>
  </si>
  <si>
    <t>-33.06%</t>
  </si>
  <si>
    <t>27.10.2024 20:15:43</t>
  </si>
  <si>
    <t xml:space="preserve">         14K             9K             5K</t>
  </si>
  <si>
    <t>5QXTipHYd8LENqkGchnDh9v6SxcmeFbiKDorYYLrpump</t>
  </si>
  <si>
    <t>TamagoGPT</t>
  </si>
  <si>
    <t>0.120030</t>
  </si>
  <si>
    <t>6.222 SOL</t>
  </si>
  <si>
    <t>5.893 SOL</t>
  </si>
  <si>
    <t>-0.449 SOL</t>
  </si>
  <si>
    <t>27.10.2024 19:06:01</t>
  </si>
  <si>
    <t xml:space="preserve">         33K            42K             3K</t>
  </si>
  <si>
    <t>CXccAEuNEYpARMXia1Ge4JUv87fagwtfq6GuBeoipump</t>
  </si>
  <si>
    <t>SO</t>
  </si>
  <si>
    <t>1.725 SOL</t>
  </si>
  <si>
    <t>-0.437 SOL</t>
  </si>
  <si>
    <t>-20.23%</t>
  </si>
  <si>
    <t>27.10.2024 06:25:13</t>
  </si>
  <si>
    <t xml:space="preserve">         26K            21K             5K</t>
  </si>
  <si>
    <t>3Q9UuydivgaVCfPKQpnxYvKdjCGPVz9meeXfS197pump</t>
  </si>
  <si>
    <t>Luff</t>
  </si>
  <si>
    <t>10.26%</t>
  </si>
  <si>
    <t>27.10.2024 04:00:15</t>
  </si>
  <si>
    <t xml:space="preserve">         60K            69K            25K</t>
  </si>
  <si>
    <t>6pQ5UgpPP5Ny1vfoxRRWVuFvkXAfNH5QgdWN975Sovc</t>
  </si>
  <si>
    <t>SNGM</t>
  </si>
  <si>
    <t>0.140030</t>
  </si>
  <si>
    <t>10.062 SOL</t>
  </si>
  <si>
    <t>8.843 SOL</t>
  </si>
  <si>
    <t>-1.359 SOL</t>
  </si>
  <si>
    <t>-13.32%</t>
  </si>
  <si>
    <t>27.10.2024 00:32:27</t>
  </si>
  <si>
    <t>5g9FpYP37b1fLhvtkLVakXwzbKh4WScfTaSYT9Lg7z6v</t>
  </si>
  <si>
    <t>EUPHORIA</t>
  </si>
  <si>
    <t>2.160 SOL</t>
  </si>
  <si>
    <t>-0.002 SOL</t>
  </si>
  <si>
    <t>26.10.2024 22:26:53</t>
  </si>
  <si>
    <t>67vEg6miP4Z5Atj1uznfzy3Sw3sStvDt8PKuAYyFpump</t>
  </si>
  <si>
    <t>-3.656 SOL</t>
  </si>
  <si>
    <t>-87.84%</t>
  </si>
  <si>
    <t>26.10.2024 20:12:38</t>
  </si>
  <si>
    <t xml:space="preserve">         40K             5K             3K</t>
  </si>
  <si>
    <t>CHRIS</t>
  </si>
  <si>
    <t>4.509 SOL</t>
  </si>
  <si>
    <t>0.327 SOL</t>
  </si>
  <si>
    <t>7.81%</t>
  </si>
  <si>
    <t>26.10.2024 19:44:32</t>
  </si>
  <si>
    <t>E6RpjEKeq7QsVMdYE6eWxmNmRWSsLLimLDfM75PJpump</t>
  </si>
  <si>
    <t>4.165 SOL</t>
  </si>
  <si>
    <t>1.003 SOL</t>
  </si>
  <si>
    <t>31.72%</t>
  </si>
  <si>
    <t>26.10.2024 19:33:05</t>
  </si>
  <si>
    <t>3rkatKjUjgDrpSBCVvJRBt6Guhp21MRhMTPiadYepump</t>
  </si>
  <si>
    <t>Syong</t>
  </si>
  <si>
    <t>2.724 SOL</t>
  </si>
  <si>
    <t>-0.438 SOL</t>
  </si>
  <si>
    <t>-13.86%</t>
  </si>
  <si>
    <t>26.10.2024 19:01:40</t>
  </si>
  <si>
    <t>6x5GAq4oFPQcavf512kotqHA29Qy6BR886PYm5gPpump</t>
  </si>
  <si>
    <t>SKULLMUND</t>
  </si>
  <si>
    <t>2.77%</t>
  </si>
  <si>
    <t>26.10.2024 03:55:38</t>
  </si>
  <si>
    <t>GHnsXd3kZKCceb46ps1MEu8qTKajYRBPDa6cwriupump</t>
  </si>
  <si>
    <t>catbug</t>
  </si>
  <si>
    <t>0.785 SOL</t>
  </si>
  <si>
    <t>-0.377 SOL</t>
  </si>
  <si>
    <t>-32.46%</t>
  </si>
  <si>
    <t>25.10.2024 22:48:59</t>
  </si>
  <si>
    <t>BuvFzzFzw3AKVZoag4EK7A95Kamd5AEJt7g4J5eVpump</t>
  </si>
  <si>
    <t>4.107 SOL</t>
  </si>
  <si>
    <t>29.08%</t>
  </si>
  <si>
    <t>25.10.2024 22:38:03</t>
  </si>
  <si>
    <t>64vqwFk25n6tvWCYYbJHfMHBhwKYEX7Bjjut7Q9dpump</t>
  </si>
  <si>
    <t>WAKEUP</t>
  </si>
  <si>
    <t>5.911 SOL</t>
  </si>
  <si>
    <t>2.749 SOL</t>
  </si>
  <si>
    <t>86.93%</t>
  </si>
  <si>
    <t>25.10.2024 22:18:53</t>
  </si>
  <si>
    <t>G3yhv4JZ6rWetvoo1boZghQo17iCrLb58PfVExPSpump</t>
  </si>
  <si>
    <t>1.825 SOL</t>
  </si>
  <si>
    <t>-0.337 SOL</t>
  </si>
  <si>
    <t>-15.59%</t>
  </si>
  <si>
    <t>25.10.2024 19:04:17</t>
  </si>
  <si>
    <t xml:space="preserve">         46K            39K             5K</t>
  </si>
  <si>
    <t>FTqDToHq2WhJtRovZuCyXHPS3xgXF3APpzytpEMVpump</t>
  </si>
  <si>
    <t>GWOAT</t>
  </si>
  <si>
    <t>2.752 SOL</t>
  </si>
  <si>
    <t>0.590 SOL</t>
  </si>
  <si>
    <t>27.28%</t>
  </si>
  <si>
    <t>25.10.2024 04:14:36</t>
  </si>
  <si>
    <t xml:space="preserve">         28K            37K             5K</t>
  </si>
  <si>
    <t>5PbVDCUF4apH9jwi1qx53dm3z4FncTKBGeAzcBxxpump</t>
  </si>
  <si>
    <t>clock</t>
  </si>
  <si>
    <t>4.660 SOL</t>
  </si>
  <si>
    <t>47.36%</t>
  </si>
  <si>
    <t>25.10.2024 01:18:49</t>
  </si>
  <si>
    <t>DszuSKqfM3J4YuhHE78A7tK8gY8Rfs2TKZaim81Apump</t>
  </si>
  <si>
    <t>LAUNCH</t>
  </si>
  <si>
    <t>3.477 SOL</t>
  </si>
  <si>
    <t>-0.865 SOL</t>
  </si>
  <si>
    <t>-19.93%</t>
  </si>
  <si>
    <t>25.10.2024 00:19:21</t>
  </si>
  <si>
    <t xml:space="preserve">         16K             9K             5K</t>
  </si>
  <si>
    <t>9c76SMVSpJeM8sC9KMwVmVpQXFe8AmSg5kiW6woApump</t>
  </si>
  <si>
    <t>2.715 SOL</t>
  </si>
  <si>
    <t>15.91%</t>
  </si>
  <si>
    <t>25.10.2024 00:07:35</t>
  </si>
  <si>
    <t>Fijfwd9bpaWtfQv6P8MnVgMNWzC7FspXyURdBosipump</t>
  </si>
  <si>
    <t>2.785 SOL</t>
  </si>
  <si>
    <t>-1.037 SOL</t>
  </si>
  <si>
    <t>24.10.2024 22:34:49</t>
  </si>
  <si>
    <t xml:space="preserve">         67K            51K             4K</t>
  </si>
  <si>
    <t>4.967 SOL</t>
  </si>
  <si>
    <t>1.125 SOL</t>
  </si>
  <si>
    <t>24.10.2024 22:28:07</t>
  </si>
  <si>
    <t xml:space="preserve">         44K            58K             4K</t>
  </si>
  <si>
    <t>BUTTA</t>
  </si>
  <si>
    <t>1.721 SOL</t>
  </si>
  <si>
    <t>-1.369 SOL</t>
  </si>
  <si>
    <t>24.10.2024 22:21:33</t>
  </si>
  <si>
    <t xml:space="preserve">        116K            67K            47K</t>
  </si>
  <si>
    <t>7rXjV8SGQq3v8XngTitxxmqcQQzfvwyHateGRafSpump</t>
  </si>
  <si>
    <t>CODED</t>
  </si>
  <si>
    <t>0.560040</t>
  </si>
  <si>
    <t>7.152 SOL</t>
  </si>
  <si>
    <t>10.224 SOL</t>
  </si>
  <si>
    <t>24.10.2024 21:47:27</t>
  </si>
  <si>
    <t xml:space="preserve">         65K           273K            26K</t>
  </si>
  <si>
    <t>HR8mf9eCB31bQMNAaysPuwiqS1K5b1SqvPWdkGMCpump</t>
  </si>
  <si>
    <t>AIDEV</t>
  </si>
  <si>
    <t>2.052 SOL</t>
  </si>
  <si>
    <t>6.952 SOL</t>
  </si>
  <si>
    <t>4.840 SOL</t>
  </si>
  <si>
    <t>229.18%</t>
  </si>
  <si>
    <t>24.10.2024 20:16:54</t>
  </si>
  <si>
    <t xml:space="preserve">         12K            35K             3K</t>
  </si>
  <si>
    <t>HLaF4RvNxi5ugLwA8LtYh9nmnLDQ65UWcoRxi77Epump</t>
  </si>
  <si>
    <t>aidev</t>
  </si>
  <si>
    <t>1.655 SOL</t>
  </si>
  <si>
    <t>-0.457 SOL</t>
  </si>
  <si>
    <t>24.10.2024 20:12:02</t>
  </si>
  <si>
    <t>4rqa73Z796WNM4hCALPebrdBmD2uy85UJiGQk4TZpump</t>
  </si>
  <si>
    <t>PPMP</t>
  </si>
  <si>
    <t>2.324 SOL</t>
  </si>
  <si>
    <t>-0.686 SOL</t>
  </si>
  <si>
    <t>-22.81%</t>
  </si>
  <si>
    <t>24.10.2024 18:42:45</t>
  </si>
  <si>
    <t xml:space="preserve">          2M             2M            22K</t>
  </si>
  <si>
    <t>mmfkyTYJS9fPnWBDfbayi5zKYtioYM7mbGUSLPQk94U</t>
  </si>
  <si>
    <t>cunt</t>
  </si>
  <si>
    <t>-1.075 SOL</t>
  </si>
  <si>
    <t>-51.38%</t>
  </si>
  <si>
    <t>24.10.2024 18:28:27</t>
  </si>
  <si>
    <t>F3nAo7QANB3HhiRrqDhVC7vMrcpxyViJyXwPzwo5pump</t>
  </si>
  <si>
    <t>1.552 SOL</t>
  </si>
  <si>
    <t>1.079 SOL</t>
  </si>
  <si>
    <t>-0.513 SOL</t>
  </si>
  <si>
    <t>-32.22%</t>
  </si>
  <si>
    <t>24.10.2024 18:27:34</t>
  </si>
  <si>
    <t>AoGbsGTjJCyYbDfj8yr37izs7ETZdKFF9XWfe6BhixD</t>
  </si>
  <si>
    <t>ONGE</t>
  </si>
  <si>
    <t>4.686 SOL</t>
  </si>
  <si>
    <t>1.574 SOL</t>
  </si>
  <si>
    <t>50.58%</t>
  </si>
  <si>
    <t>24.10.2024 17:48:56</t>
  </si>
  <si>
    <t xml:space="preserve">         14K            19K             3K</t>
  </si>
  <si>
    <t>5QBkUPxKLqvHD1HJ6GXPM72Jr1gy2W98fe9fE9i6pump</t>
  </si>
  <si>
    <t>moonana</t>
  </si>
  <si>
    <t>3.102 SOL</t>
  </si>
  <si>
    <t>1.346 SOL</t>
  </si>
  <si>
    <t>-1.816 SOL</t>
  </si>
  <si>
    <t>-57.44%</t>
  </si>
  <si>
    <t>24.10.2024 05:11:42</t>
  </si>
  <si>
    <t>FKQsYxzrJAsJVh53Rhe5eGhvPEWRu3bENb9AYpN6pump</t>
  </si>
  <si>
    <t>5.052 SOL</t>
  </si>
  <si>
    <t>20.677 SOL</t>
  </si>
  <si>
    <t>15.505 SOL</t>
  </si>
  <si>
    <t>299.79%</t>
  </si>
  <si>
    <t>24.10.2024 04:30:37</t>
  </si>
  <si>
    <t xml:space="preserve">         33K           120K            13K</t>
  </si>
  <si>
    <t>4W1ffaJyieu84MXB4cFmM2ELLDMQTb41VRrtko6Wpump</t>
  </si>
  <si>
    <t>rusty</t>
  </si>
  <si>
    <t>-1.699 SOL</t>
  </si>
  <si>
    <t>-81.23%</t>
  </si>
  <si>
    <t>24.10.2024 03:41:22</t>
  </si>
  <si>
    <t xml:space="preserve">         69K            14K             3K</t>
  </si>
  <si>
    <t>5DHnX1L82XFzz3XejR1QCcpa31EJnJrMcFdraCKapump</t>
  </si>
  <si>
    <t>0.668 SOL</t>
  </si>
  <si>
    <t>-1.424 SOL</t>
  </si>
  <si>
    <t>-68.06%</t>
  </si>
  <si>
    <t>24.10.2024 02:53:53</t>
  </si>
  <si>
    <t xml:space="preserve">         23K             7K             5K</t>
  </si>
  <si>
    <t>GGK3ZRHxeXDnzNWsYDXsHb5Bcv1nuNEGRFTpJ1fipump</t>
  </si>
  <si>
    <t>VILE</t>
  </si>
  <si>
    <t>-8.11%</t>
  </si>
  <si>
    <t>24.10.2024 02:15:32</t>
  </si>
  <si>
    <t>7A3TRinD5q5vkufEeDz9iYUPisEdSBHjD8WTt1appump</t>
  </si>
  <si>
    <t>13.392 SOL</t>
  </si>
  <si>
    <t>3.412 SOL</t>
  </si>
  <si>
    <t>34.19%</t>
  </si>
  <si>
    <t>24.10.2024 00:54:40</t>
  </si>
  <si>
    <t xml:space="preserve">        311K             1M            23K</t>
  </si>
  <si>
    <t>2VhiEiVVMcy7ApyocRezTjMediG9thZJhZQxDuMrpump</t>
  </si>
  <si>
    <t>The Realm</t>
  </si>
  <si>
    <t>2.055 SOL</t>
  </si>
  <si>
    <t>-1.77%</t>
  </si>
  <si>
    <t>24.10.2024 00:11:51</t>
  </si>
  <si>
    <t>85gDWaJV8nwtuQBkcdCmPT9UmVKek2EBHhUPUpHbpump</t>
  </si>
  <si>
    <t>0.620090</t>
  </si>
  <si>
    <t>6.172 SOL</t>
  </si>
  <si>
    <t>52.263 SOL</t>
  </si>
  <si>
    <t>45.471 SOL</t>
  </si>
  <si>
    <t>669.46%</t>
  </si>
  <si>
    <t>23.10.2024 23:32:26</t>
  </si>
  <si>
    <t xml:space="preserve">         16K           600K            21K</t>
  </si>
  <si>
    <t>GUILD</t>
  </si>
  <si>
    <t>2.089 SOL</t>
  </si>
  <si>
    <t>-0.593 SOL</t>
  </si>
  <si>
    <t>-22.10%</t>
  </si>
  <si>
    <t>23.10.2024 19:55:41</t>
  </si>
  <si>
    <t xml:space="preserve">         42K            56K             3K</t>
  </si>
  <si>
    <t>4BhBbHgvh7S1uPoB7fFkTLN46sAxdVre9mNTnZTHpump</t>
  </si>
  <si>
    <t>AItoilet</t>
  </si>
  <si>
    <t>-0.881 SOL</t>
  </si>
  <si>
    <t>-55.34%</t>
  </si>
  <si>
    <t>23.10.2024 19:41:52</t>
  </si>
  <si>
    <t xml:space="preserve">         21K             9K             4K</t>
  </si>
  <si>
    <t>Dpn9zz21SZwY79keqhERrPuwBo822Ar6Zcq32FZGpump</t>
  </si>
  <si>
    <t>POM</t>
  </si>
  <si>
    <t>2.225 SOL</t>
  </si>
  <si>
    <t>0.633 SOL</t>
  </si>
  <si>
    <t>39.74%</t>
  </si>
  <si>
    <t>23.10.2024 19:40:24</t>
  </si>
  <si>
    <t xml:space="preserve">         39K            55K             4K</t>
  </si>
  <si>
    <t>2t43w3MP8D17eShRBV7P5JFuL5Phn58Y5EiKP35Wpump</t>
  </si>
  <si>
    <t>ZIV</t>
  </si>
  <si>
    <t>-0.350 SOL</t>
  </si>
  <si>
    <t>-16.74%</t>
  </si>
  <si>
    <t>23.10.2024 19:39:48</t>
  </si>
  <si>
    <t>9TobG5uwqDBnFTJYqybtfsUFJqVF8eZkNn4pqp1cpump</t>
  </si>
  <si>
    <t>VIDAPONS</t>
  </si>
  <si>
    <t>23.10.2024 19:32:04</t>
  </si>
  <si>
    <t>2WZHNFxNAmFByJyFmtSVRt7TkLknpBcAYTWWryMVpump</t>
  </si>
  <si>
    <t>GIZMO</t>
  </si>
  <si>
    <t>4.103 SOL</t>
  </si>
  <si>
    <t>28.95%</t>
  </si>
  <si>
    <t>23.10.2024 18:58:19</t>
  </si>
  <si>
    <t>3fhjyQ2CFRjzxVFSHHAa9dTxRfKazNKYiZxNhEG5pump</t>
  </si>
  <si>
    <t>2000</t>
  </si>
  <si>
    <t>-0.561 SOL</t>
  </si>
  <si>
    <t>-51.36%</t>
  </si>
  <si>
    <t>23.10.2024 18:37:35</t>
  </si>
  <si>
    <t xml:space="preserve">         58K            30K             5K</t>
  </si>
  <si>
    <t>3cHxMFundTub3XtJiCGqxNnz5RhhLWcScRhSBdHgpump</t>
  </si>
  <si>
    <t>PRIEST</t>
  </si>
  <si>
    <t>-75.20%</t>
  </si>
  <si>
    <t>23.10.2024 18:33:45</t>
  </si>
  <si>
    <t xml:space="preserve">         35K             9K             5K</t>
  </si>
  <si>
    <t>2Q2ASMHhNvPe9FoJ9NvDtWVtZTYpkTrngbx9SAmKpump</t>
  </si>
  <si>
    <t>-23.89%</t>
  </si>
  <si>
    <t>23.10.2024 07:19:32</t>
  </si>
  <si>
    <t xml:space="preserve">         69K            56K             5K</t>
  </si>
  <si>
    <t>DreamCult</t>
  </si>
  <si>
    <t>1.953 SOL</t>
  </si>
  <si>
    <t>-0.127 SOL</t>
  </si>
  <si>
    <t>-6.12%</t>
  </si>
  <si>
    <t>23.10.2024 07:12:41</t>
  </si>
  <si>
    <t>DxL6azPGXjqUaBzgG74iCxAL2Tf5jbnGVYSJwUiapump</t>
  </si>
  <si>
    <t>MIRA</t>
  </si>
  <si>
    <t>0.052020</t>
  </si>
  <si>
    <t>2.475 SOL</t>
  </si>
  <si>
    <t>1.165 SOL</t>
  </si>
  <si>
    <t>46.10%</t>
  </si>
  <si>
    <t>23.10.2024 05:38:21</t>
  </si>
  <si>
    <t xml:space="preserve">        115K           199K             8K</t>
  </si>
  <si>
    <t>3mJq67c5wJxS4QHaZ3mnq9jbMcNVtSbLm5QLbKpspump</t>
  </si>
  <si>
    <t xml:space="preserve">OMNIRA </t>
  </si>
  <si>
    <t>2.792 SOL</t>
  </si>
  <si>
    <t>37.01%</t>
  </si>
  <si>
    <t>23.10.2024 03:41:46</t>
  </si>
  <si>
    <t xml:space="preserve">         19K            26K             5K</t>
  </si>
  <si>
    <t>8bEqvgSUc9ANr9vASXG2UkonjC4aeQPwPHEKjtsapump</t>
  </si>
  <si>
    <t>6xuMV6W6QVxrVmsZxEdLfV6kfhuBsg3ah1X8rydLfQvy</t>
  </si>
  <si>
    <t>1121.40 SOL</t>
  </si>
  <si>
    <t>42%</t>
  </si>
  <si>
    <t>705.17 SOL</t>
  </si>
  <si>
    <t>10 (7%)</t>
  </si>
  <si>
    <t>85 days</t>
  </si>
  <si>
    <t>-7.93%</t>
  </si>
  <si>
    <t>46.02 SOL</t>
  </si>
  <si>
    <t>211</t>
  </si>
  <si>
    <t>4.0%</t>
  </si>
  <si>
    <t>40.3%</t>
  </si>
  <si>
    <t>644.1 SOL</t>
  </si>
  <si>
    <t>288.5 SOL</t>
  </si>
  <si>
    <t>20.3 SOL</t>
  </si>
  <si>
    <t>134.6 SOL</t>
  </si>
  <si>
    <t>-22.8 SOL</t>
  </si>
  <si>
    <t>-359.5 SOL</t>
  </si>
  <si>
    <t>39</t>
  </si>
  <si>
    <t>68.0K</t>
  </si>
  <si>
    <t>AGENT</t>
  </si>
  <si>
    <t>0.054550</t>
  </si>
  <si>
    <t>-1.156 SOL</t>
  </si>
  <si>
    <t>15,079,848</t>
  </si>
  <si>
    <t>30.10.2024 21:24:40</t>
  </si>
  <si>
    <t>At94dGXemEihLuFr83CC1Mz3XXtKi6nxG6N5KmCppump</t>
  </si>
  <si>
    <t>0.098650</t>
  </si>
  <si>
    <t>2.101 SOL</t>
  </si>
  <si>
    <t>39.42%</t>
  </si>
  <si>
    <t xml:space="preserve">         40K            40K            32K</t>
  </si>
  <si>
    <t>0.207740</t>
  </si>
  <si>
    <t>4.455 SOL</t>
  </si>
  <si>
    <t>5.285 SOL</t>
  </si>
  <si>
    <t>13.35%</t>
  </si>
  <si>
    <t>30.10.2024 18:12:40</t>
  </si>
  <si>
    <t xml:space="preserve">        236K           225K             8K</t>
  </si>
  <si>
    <t>0.117100</t>
  </si>
  <si>
    <t>0.596 SOL</t>
  </si>
  <si>
    <t>-2.986 SOL</t>
  </si>
  <si>
    <t>-83.36%</t>
  </si>
  <si>
    <t>30.10.2024 17:46:43</t>
  </si>
  <si>
    <t xml:space="preserve">         99K            14K            11K</t>
  </si>
  <si>
    <t>1.601 SOL</t>
  </si>
  <si>
    <t>31.20%</t>
  </si>
  <si>
    <t>30.10.2024 05:29:38</t>
  </si>
  <si>
    <t xml:space="preserve">         67K            93K             6K</t>
  </si>
  <si>
    <t>29.74%</t>
  </si>
  <si>
    <t>30.10.2024 05:19:03</t>
  </si>
  <si>
    <t>0.153190</t>
  </si>
  <si>
    <t>11.385 SOL</t>
  </si>
  <si>
    <t>18.987 SOL</t>
  </si>
  <si>
    <t>7.449 SOL</t>
  </si>
  <si>
    <t>64.56%</t>
  </si>
  <si>
    <t>30.10.2024 02:40:42</t>
  </si>
  <si>
    <t xml:space="preserve">        480K           786K           211K</t>
  </si>
  <si>
    <t>13.83%</t>
  </si>
  <si>
    <t>30.10.2024 01:52:42</t>
  </si>
  <si>
    <t xml:space="preserve">         42K            58K             3K</t>
  </si>
  <si>
    <t>0.317860</t>
  </si>
  <si>
    <t>84.150 SOL</t>
  </si>
  <si>
    <t>96.716 SOL</t>
  </si>
  <si>
    <t>12.248 SOL</t>
  </si>
  <si>
    <t>14.50%</t>
  </si>
  <si>
    <t>29.10.2024 21:53:47</t>
  </si>
  <si>
    <t xml:space="preserve">          2M           531K             7M</t>
  </si>
  <si>
    <t>1.677 SOL</t>
  </si>
  <si>
    <t>-1.34%</t>
  </si>
  <si>
    <t>29.10.2024 21:48:41</t>
  </si>
  <si>
    <t xml:space="preserve">         60K           127K             5K</t>
  </si>
  <si>
    <t>0.062550</t>
  </si>
  <si>
    <t>1.222 SOL</t>
  </si>
  <si>
    <t>16.11%</t>
  </si>
  <si>
    <t>29.10.2024 18:35:54</t>
  </si>
  <si>
    <t xml:space="preserve">         35K            44K             5K</t>
  </si>
  <si>
    <t>0.238970</t>
  </si>
  <si>
    <t>29.245 SOL</t>
  </si>
  <si>
    <t>27.405 SOL</t>
  </si>
  <si>
    <t>1489.43%</t>
  </si>
  <si>
    <t>29.10.2024 04:45:40</t>
  </si>
  <si>
    <t xml:space="preserve">         23K            23K            20K</t>
  </si>
  <si>
    <t>-2.035 SOL</t>
  </si>
  <si>
    <t>13,033,099</t>
  </si>
  <si>
    <t>29.10.2024 03:56:03</t>
  </si>
  <si>
    <t>-1.656 SOL</t>
  </si>
  <si>
    <t>8,465,143</t>
  </si>
  <si>
    <t>29.10.2024 03:12:45</t>
  </si>
  <si>
    <t xml:space="preserve">         33K            33K             5K</t>
  </si>
  <si>
    <t>5,045,756</t>
  </si>
  <si>
    <t>29.10.2024 03:12:38</t>
  </si>
  <si>
    <t>18.308 SOL</t>
  </si>
  <si>
    <t>15.221 SOL</t>
  </si>
  <si>
    <t>493.05%</t>
  </si>
  <si>
    <t>29.10.2024 01:59:58</t>
  </si>
  <si>
    <t xml:space="preserve">        786K             5M           393K</t>
  </si>
  <si>
    <t>-9.95%</t>
  </si>
  <si>
    <t>29.10.2024 01:39:53</t>
  </si>
  <si>
    <t>4.568 SOL</t>
  </si>
  <si>
    <t>-0.481 SOL</t>
  </si>
  <si>
    <t>-9.53%</t>
  </si>
  <si>
    <t>29.10.2024 00:27:24</t>
  </si>
  <si>
    <t xml:space="preserve">        660K           660K            26K</t>
  </si>
  <si>
    <t>0.058010</t>
  </si>
  <si>
    <t>1.096 SOL</t>
  </si>
  <si>
    <t>0.181 SOL</t>
  </si>
  <si>
    <t>-84.27%</t>
  </si>
  <si>
    <t>28.10.2024 21:56:10</t>
  </si>
  <si>
    <t xml:space="preserve">         32K             5K             5K</t>
  </si>
  <si>
    <t>1.437 SOL</t>
  </si>
  <si>
    <t>24.51%</t>
  </si>
  <si>
    <t>28.10.2024 18:57:56</t>
  </si>
  <si>
    <t xml:space="preserve">         47K            63K             5K</t>
  </si>
  <si>
    <t>Bandit</t>
  </si>
  <si>
    <t>-1.146 SOL</t>
  </si>
  <si>
    <t>16,631,167</t>
  </si>
  <si>
    <t>28.10.2024 15:38:46</t>
  </si>
  <si>
    <t>EsCxNhyUtkweTDWYqQt6St9shQcFu5v7tyFHB2eKpump</t>
  </si>
  <si>
    <t>0.175110</t>
  </si>
  <si>
    <t>75.970 SOL</t>
  </si>
  <si>
    <t>16.395 SOL</t>
  </si>
  <si>
    <t>27.52%</t>
  </si>
  <si>
    <t>28.10.2024 02:54:39</t>
  </si>
  <si>
    <t xml:space="preserve">        751K             3M           261K</t>
  </si>
  <si>
    <t>TOP3</t>
  </si>
  <si>
    <t>0.601 SOL</t>
  </si>
  <si>
    <t>-0.656 SOL</t>
  </si>
  <si>
    <t>15,453,207</t>
  </si>
  <si>
    <t>28.10.2024 01:33:04</t>
  </si>
  <si>
    <t>2barUZ13V5uVwJYyz3DBtn1197nBPNeRgwdAFgF98EM2</t>
  </si>
  <si>
    <t>noob</t>
  </si>
  <si>
    <t>0.109090</t>
  </si>
  <si>
    <t>3.960 SOL</t>
  </si>
  <si>
    <t>-4.069 SOL</t>
  </si>
  <si>
    <t>5,357,481</t>
  </si>
  <si>
    <t>27.10.2024 23:19:20</t>
  </si>
  <si>
    <t xml:space="preserve">        125K           135K           515K</t>
  </si>
  <si>
    <t>54rRHktmCL8jKyMJxnBSSZ4zR8mxasR1CUx5qJuCHPze</t>
  </si>
  <si>
    <t>PUMPLAND</t>
  </si>
  <si>
    <t>3.091 SOL</t>
  </si>
  <si>
    <t>26.236 SOL</t>
  </si>
  <si>
    <t>23.028 SOL</t>
  </si>
  <si>
    <t>717.81%</t>
  </si>
  <si>
    <t>27.10.2024 21:07:58</t>
  </si>
  <si>
    <t xml:space="preserve">         11K            26K            24K</t>
  </si>
  <si>
    <t>Bc2hjM8oYRkkedGLeHcpCUHWBSiG6hoB1JnLjt7iJi5n</t>
  </si>
  <si>
    <t>TRW</t>
  </si>
  <si>
    <t>0.094110</t>
  </si>
  <si>
    <t>13.302 SOL</t>
  </si>
  <si>
    <t>3.308 SOL</t>
  </si>
  <si>
    <t>33.10%</t>
  </si>
  <si>
    <t>27.10.2024 16:52:04</t>
  </si>
  <si>
    <t xml:space="preserve">        162K           218K           199K</t>
  </si>
  <si>
    <t>B5QiCod1SDx8Z8WtKNP5gK2Y1x96ah6kbCqxLNoSpump</t>
  </si>
  <si>
    <t>PLAYS</t>
  </si>
  <si>
    <t>-9.950 SOL</t>
  </si>
  <si>
    <t>4,677,367</t>
  </si>
  <si>
    <t>27.10.2024 15:58:29</t>
  </si>
  <si>
    <t xml:space="preserve">        373K           373K             6K</t>
  </si>
  <si>
    <t>DryBz59g6orQFr9PZgEhbuJaXesmq1361fipSp4Fpump</t>
  </si>
  <si>
    <t>PMAIRCA</t>
  </si>
  <si>
    <t>0.070560</t>
  </si>
  <si>
    <t>42.976 SOL</t>
  </si>
  <si>
    <t>33.006 SOL</t>
  </si>
  <si>
    <t>331.03%</t>
  </si>
  <si>
    <t>27.10.2024 05:59:35</t>
  </si>
  <si>
    <t xml:space="preserve">        292K             1M           103K</t>
  </si>
  <si>
    <t>7rRfJ5tdUjFPCWZRyYM7UNnfrpK1dqwzfpMYDknspump</t>
  </si>
  <si>
    <t>-11.989 SOL</t>
  </si>
  <si>
    <t>4,602,829</t>
  </si>
  <si>
    <t>27.10.2024 03:26:02</t>
  </si>
  <si>
    <t xml:space="preserve">        473K           376K            32K</t>
  </si>
  <si>
    <t>6,496,525</t>
  </si>
  <si>
    <t>27.10.2024 03:22:00</t>
  </si>
  <si>
    <t xml:space="preserve">         53K            53K            46K</t>
  </si>
  <si>
    <t>GT7ksoBf5XpceDEitBNbay7U13zqwbh6HtDiMpU9pump</t>
  </si>
  <si>
    <t>exocortexa</t>
  </si>
  <si>
    <t>0.608 SOL</t>
  </si>
  <si>
    <t>-1.092 SOL</t>
  </si>
  <si>
    <t>-64.24%</t>
  </si>
  <si>
    <t>26.10.2024 22:12:05</t>
  </si>
  <si>
    <t>EwPWqYTL3o8dYirmDiEQDD2k4p9DA38DoMgiHnBTJmRe</t>
  </si>
  <si>
    <t>2,362,129</t>
  </si>
  <si>
    <t>26.10.2024 20:06:03</t>
  </si>
  <si>
    <t xml:space="preserve">        737K           737K           132K</t>
  </si>
  <si>
    <t>7U7FZaLfJTt2pN9Canp1Njt3vbz6eiqHbxn2bpmEwtYB</t>
  </si>
  <si>
    <t>Polyamorou</t>
  </si>
  <si>
    <t>-1.374 SOL</t>
  </si>
  <si>
    <t>-82.58%</t>
  </si>
  <si>
    <t>26.10.2024 19:48:56</t>
  </si>
  <si>
    <t xml:space="preserve">         28K             5K             5K</t>
  </si>
  <si>
    <t>FG9zf45YxwgQp3KLcGdYmgSrNviVeeNReb96SoUkmNuw</t>
  </si>
  <si>
    <t>🔫</t>
  </si>
  <si>
    <t>1.728 SOL</t>
  </si>
  <si>
    <t>-0.314 SOL</t>
  </si>
  <si>
    <t>-15.38%</t>
  </si>
  <si>
    <t>26.10.2024 19:48:26</t>
  </si>
  <si>
    <t xml:space="preserve">         21K            18K             6K</t>
  </si>
  <si>
    <t>DXTZtyceHsMwScSymw9i4xcN5fEtypGQwGXVKSFJmHcG</t>
  </si>
  <si>
    <t>297847324</t>
  </si>
  <si>
    <t>3.077 SOL</t>
  </si>
  <si>
    <t>2.029 SOL</t>
  </si>
  <si>
    <t>193.58%</t>
  </si>
  <si>
    <t>26.10.2024 19:28:08</t>
  </si>
  <si>
    <t xml:space="preserve">         93K           288K             8K</t>
  </si>
  <si>
    <t>84nv9YXgemtDZyFWJ68d7RrGQ8wYfwgAGVFkpM48pump</t>
  </si>
  <si>
    <t>0.480 SOL</t>
  </si>
  <si>
    <t>-0.674 SOL</t>
  </si>
  <si>
    <t>-58.43%</t>
  </si>
  <si>
    <t>26.10.2024 19:07:10</t>
  </si>
  <si>
    <t xml:space="preserve">         28K            12K             5K</t>
  </si>
  <si>
    <t>AMMLAAECxdugSJiLbfEXWjSARejYC68DJzA7juVTpump</t>
  </si>
  <si>
    <t>0.078560</t>
  </si>
  <si>
    <t>12.527 SOL</t>
  </si>
  <si>
    <t>10.847 SOL</t>
  </si>
  <si>
    <t>645.82%</t>
  </si>
  <si>
    <t>26.10.2024 18:46:38</t>
  </si>
  <si>
    <t xml:space="preserve">          7K             7K            40K</t>
  </si>
  <si>
    <t>0.188220</t>
  </si>
  <si>
    <t>14.774 SOL</t>
  </si>
  <si>
    <t>46.45%</t>
  </si>
  <si>
    <t>26.10.2024 18:10:31</t>
  </si>
  <si>
    <t xml:space="preserve">        399K           748K            32K</t>
  </si>
  <si>
    <t>82SP62Q6VL8Tuy5akaNVicvfJVgwDtjL7JqyBhcKpump</t>
  </si>
  <si>
    <t>MINEPUMP</t>
  </si>
  <si>
    <t>1.374 SOL</t>
  </si>
  <si>
    <t>-0.290 SOL</t>
  </si>
  <si>
    <t>-17.42%</t>
  </si>
  <si>
    <t>26.10.2024 17:43:18</t>
  </si>
  <si>
    <t>EPKVS9AVDVCBWGD6j2XXakUdbxkawNSMJepkvSNM5Tkx</t>
  </si>
  <si>
    <t>daddy</t>
  </si>
  <si>
    <t>0.128570</t>
  </si>
  <si>
    <t>22.289 SOL</t>
  </si>
  <si>
    <t>2.361 SOL</t>
  </si>
  <si>
    <t>11.85%</t>
  </si>
  <si>
    <t>25.10.2024 22:45:09</t>
  </si>
  <si>
    <t xml:space="preserve">        155K             2M            67K</t>
  </si>
  <si>
    <t>D4N5vcpdxysThXZqT1VEJYcQzvp59Eff4fHQvbL9pump</t>
  </si>
  <si>
    <t>0.179650</t>
  </si>
  <si>
    <t>74.250 SOL</t>
  </si>
  <si>
    <t>75.916 SOL</t>
  </si>
  <si>
    <t>1.487 SOL</t>
  </si>
  <si>
    <t>2.00%</t>
  </si>
  <si>
    <t>25.10.2024 18:10:51</t>
  </si>
  <si>
    <t xml:space="preserve">          5M             1M            25M</t>
  </si>
  <si>
    <t>22.280 SOL</t>
  </si>
  <si>
    <t>-2.528 SOL</t>
  </si>
  <si>
    <t>-10.19%</t>
  </si>
  <si>
    <t>25.10.2024 15:29:00</t>
  </si>
  <si>
    <t xml:space="preserve">          2M             2M           318K</t>
  </si>
  <si>
    <t>0.158770</t>
  </si>
  <si>
    <t>26.196 SOL</t>
  </si>
  <si>
    <t>16.137 SOL</t>
  </si>
  <si>
    <t>160.43%</t>
  </si>
  <si>
    <t>25.10.2024 15:21:26</t>
  </si>
  <si>
    <t xml:space="preserve">        211K           211K            12K</t>
  </si>
  <si>
    <t>FREGO</t>
  </si>
  <si>
    <t>0.223140</t>
  </si>
  <si>
    <t>7.140 SOL</t>
  </si>
  <si>
    <t>75.610 SOL</t>
  </si>
  <si>
    <t>68.246 SOL</t>
  </si>
  <si>
    <t>926.85%</t>
  </si>
  <si>
    <t>25.10.2024 15:19:53</t>
  </si>
  <si>
    <t xml:space="preserve">        316K           458K           357K</t>
  </si>
  <si>
    <t>F9GqoJRPzQnGzvP7cQzLHB7C22DToHQYWfsPvhKwqrpC</t>
  </si>
  <si>
    <t>MEQ</t>
  </si>
  <si>
    <t>0.104550</t>
  </si>
  <si>
    <t>10.890 SOL</t>
  </si>
  <si>
    <t>-10.995 SOL</t>
  </si>
  <si>
    <t>9,642,748</t>
  </si>
  <si>
    <t>25.10.2024 14:44:37</t>
  </si>
  <si>
    <t xml:space="preserve">        253K            63K            12K</t>
  </si>
  <si>
    <t>3MNkGKDbwvGq8P9XBnQx4ECzifFPFU5Nf43e78EYpump</t>
  </si>
  <si>
    <t>Orion</t>
  </si>
  <si>
    <t>31,814,973</t>
  </si>
  <si>
    <t>25.10.2024 01:30:18</t>
  </si>
  <si>
    <t>Bb5bvukRQh5YVCUh49RfDkMM7WyCTqXwELYtZn1Lpump</t>
  </si>
  <si>
    <t>34.441 SOL</t>
  </si>
  <si>
    <t>9.592 SOL</t>
  </si>
  <si>
    <t>38.60%</t>
  </si>
  <si>
    <t>25.10.2024 01:07:45</t>
  </si>
  <si>
    <t xml:space="preserve">          4M             6M           175K</t>
  </si>
  <si>
    <t>2.690 SOL</t>
  </si>
  <si>
    <t>22.27%</t>
  </si>
  <si>
    <t>25.10.2024 00:55:16</t>
  </si>
  <si>
    <t xml:space="preserve">         28K           144K             4K</t>
  </si>
  <si>
    <t>xCLhJpPhC4wLrvq7ramaW268xJXsnJC6wNWENR2pump</t>
  </si>
  <si>
    <t>GCRAI</t>
  </si>
  <si>
    <t>-0.646 SOL</t>
  </si>
  <si>
    <t>-55.95%</t>
  </si>
  <si>
    <t>25.10.2024 00:09:12</t>
  </si>
  <si>
    <t xml:space="preserve">         14K             7K             6K</t>
  </si>
  <si>
    <t>CrUiu8sLP1iMd22a5UJLYLGhMoQRfVDHFeX9rTGGpump</t>
  </si>
  <si>
    <t>$GPT2</t>
  </si>
  <si>
    <t>10.356 SOL</t>
  </si>
  <si>
    <t>0.398 SOL</t>
  </si>
  <si>
    <t>4.00%</t>
  </si>
  <si>
    <t>24.10.2024 22:51:42</t>
  </si>
  <si>
    <t xml:space="preserve">        806K           843K             3K</t>
  </si>
  <si>
    <t>oWe8AAAeXWjkitAEFo4GNDKXEiLYCeN1T82eLmoQm2U</t>
  </si>
  <si>
    <t>GENI</t>
  </si>
  <si>
    <t>2.096 SOL</t>
  </si>
  <si>
    <t>-2.146 SOL</t>
  </si>
  <si>
    <t>7,415,432</t>
  </si>
  <si>
    <t>24.10.2024 15:57:54</t>
  </si>
  <si>
    <t>21qX1GwjQfGFCuZvQP8b2LwRQtACmJcrVf7b8ebWpump</t>
  </si>
  <si>
    <t>S.A.N</t>
  </si>
  <si>
    <t>24,420,559</t>
  </si>
  <si>
    <t>24.10.2024 15:02:13</t>
  </si>
  <si>
    <t>4pAYwbchHYAYuWyqctqhPqz6qjPcqSE7U6hzt3Bvpump</t>
  </si>
  <si>
    <t>testME</t>
  </si>
  <si>
    <t>2.139 SOL</t>
  </si>
  <si>
    <t>4.73%</t>
  </si>
  <si>
    <t>24.10.2024 14:24:01</t>
  </si>
  <si>
    <t>BpkVi7nmtj9TWyAssU9p1dbhpANsrsF6ycp5JGmxpump</t>
  </si>
  <si>
    <t>TestME</t>
  </si>
  <si>
    <t>0.715 SOL</t>
  </si>
  <si>
    <t>-0.949 SOL</t>
  </si>
  <si>
    <t>24.10.2024 14:23:04</t>
  </si>
  <si>
    <t>2ufDZvyq9YiXgePfRYo4LWue7qsB5VyY3Gk8Ddpupump</t>
  </si>
  <si>
    <t>CLAUDIA</t>
  </si>
  <si>
    <t>2.320 SOL</t>
  </si>
  <si>
    <t>7.68%</t>
  </si>
  <si>
    <t>24.10.2024 04:09:34</t>
  </si>
  <si>
    <t>UW9EuXWDGHAiQhv66kApVAzeE1cxJDtsq6X7Hmopump</t>
  </si>
  <si>
    <t>24.10.2024 03:49:39</t>
  </si>
  <si>
    <t xml:space="preserve">         46K            44K             5K</t>
  </si>
  <si>
    <t>GxzPuXSFBcqGXcYKoSgsW5wMRigDzQRz9CMjPgNtpump</t>
  </si>
  <si>
    <t>AIHM</t>
  </si>
  <si>
    <t>12.53%</t>
  </si>
  <si>
    <t>24.10.2024 02:27:08</t>
  </si>
  <si>
    <t>4VYqw4taheRVmv2HqyQQiV99boYh6UbKx6zn4Afcpump</t>
  </si>
  <si>
    <t>SYNTH</t>
  </si>
  <si>
    <t>1.773 SOL</t>
  </si>
  <si>
    <t>-3.235 SOL</t>
  </si>
  <si>
    <t>-64.59%</t>
  </si>
  <si>
    <t>22.10.2024 21:42:51</t>
  </si>
  <si>
    <t xml:space="preserve">        808K           290K             6K</t>
  </si>
  <si>
    <t>CUYCQxYfMuTAbPBss9GTPTsVVvHssS5GXit52uwNpump</t>
  </si>
  <si>
    <t>14.237 SOL</t>
  </si>
  <si>
    <t>42.97%</t>
  </si>
  <si>
    <t>22.10.2024 21:37:09</t>
  </si>
  <si>
    <t xml:space="preserve">          1M             2M           183K</t>
  </si>
  <si>
    <t>mcdead</t>
  </si>
  <si>
    <t>6,538,946</t>
  </si>
  <si>
    <t>22.10.2024 21:15:57</t>
  </si>
  <si>
    <t>ETrCZCb29bx33HnXQ4aYtZZCCG8s1MESQJvNg73vpump</t>
  </si>
  <si>
    <t>stepsister</t>
  </si>
  <si>
    <t>0.106650</t>
  </si>
  <si>
    <t>1.940 SOL</t>
  </si>
  <si>
    <t>0.232 SOL</t>
  </si>
  <si>
    <t>13.60%</t>
  </si>
  <si>
    <t>22.10.2024 20:38:57</t>
  </si>
  <si>
    <t xml:space="preserve">         42K            91K             5K</t>
  </si>
  <si>
    <t>BAWZKc2PF2m2czZYH5V8KgRNbqqxmA7nCdABQKggpump</t>
  </si>
  <si>
    <t xml:space="preserve">vicious </t>
  </si>
  <si>
    <t>0.142750</t>
  </si>
  <si>
    <t>2.819 SOL</t>
  </si>
  <si>
    <t>1.076 SOL</t>
  </si>
  <si>
    <t>61.68%</t>
  </si>
  <si>
    <t>22.10.2024 16:08:16</t>
  </si>
  <si>
    <t>5KmhTX9s7uXGmL2WjLpgtntMVYT9FZKQdj2eEXd8pump</t>
  </si>
  <si>
    <t>Emmett</t>
  </si>
  <si>
    <t>1.590 SOL</t>
  </si>
  <si>
    <t>35.75%</t>
  </si>
  <si>
    <t>21.10.2024 18:20:42</t>
  </si>
  <si>
    <t>ALxqNw3cws15S54DKEzMcRwWDnB9ZU8fj5ynmXAHpump</t>
  </si>
  <si>
    <t>T3ST1NG</t>
  </si>
  <si>
    <t>-2.156 SOL</t>
  </si>
  <si>
    <t>9,564,553</t>
  </si>
  <si>
    <t>21.10.2024 16:41:19</t>
  </si>
  <si>
    <t>EzGU8goEqZdpVQucDSboMqtWXE91Yvvqyc9dqWTWpump</t>
  </si>
  <si>
    <t>-6.049 SOL</t>
  </si>
  <si>
    <t>3,083,957</t>
  </si>
  <si>
    <t>21.10.2024 14:43:52</t>
  </si>
  <si>
    <t xml:space="preserve">        376K           225K             5K</t>
  </si>
  <si>
    <t>SHEGEN</t>
  </si>
  <si>
    <t>10.812 SOL</t>
  </si>
  <si>
    <t>0.850 SOL</t>
  </si>
  <si>
    <t>8.53%</t>
  </si>
  <si>
    <t>20.10.2024 03:47:57</t>
  </si>
  <si>
    <t xml:space="preserve">        369K           403K             9M</t>
  </si>
  <si>
    <t>2KgAN8nLAU74wjiyKi85m4ZT6Z9MtqrUTGfse8Xapump</t>
  </si>
  <si>
    <t>GNON</t>
  </si>
  <si>
    <t>0.173130</t>
  </si>
  <si>
    <t>198.000 SOL</t>
  </si>
  <si>
    <t>247.323 SOL</t>
  </si>
  <si>
    <t>49.150 SOL</t>
  </si>
  <si>
    <t>24.80%</t>
  </si>
  <si>
    <t>20.10.2024 01:39:46</t>
  </si>
  <si>
    <t xml:space="preserve">        153M           195M             4M</t>
  </si>
  <si>
    <t>HeJUFDxfJSzYFUuHLxkMqCgytU31G6mjP4wKviwqpump</t>
  </si>
  <si>
    <t>bis</t>
  </si>
  <si>
    <t>10.206 SOL</t>
  </si>
  <si>
    <t>2.45%</t>
  </si>
  <si>
    <t>19.10.2024 16:54:15</t>
  </si>
  <si>
    <t xml:space="preserve">          3M             3M             3M</t>
  </si>
  <si>
    <t>2GPJhV9jNrj7TaLYMRgWkcy6sTKLcwntv7nZ7qDyMRGM</t>
  </si>
  <si>
    <t>MGGA</t>
  </si>
  <si>
    <t>-0.873 SOL</t>
  </si>
  <si>
    <t>-51.15%</t>
  </si>
  <si>
    <t>17.10.2024 23:01:17</t>
  </si>
  <si>
    <t xml:space="preserve">         42K             7K             5K</t>
  </si>
  <si>
    <t>2VaxuSKRZDu4pqn74Wg8xoxKc57pUCB5sAdEWovspump</t>
  </si>
  <si>
    <t>KAI</t>
  </si>
  <si>
    <t>13,880,058</t>
  </si>
  <si>
    <t>17.10.2024 00:02:34</t>
  </si>
  <si>
    <t>HBBStpwZTmQkJjimaTE4Doi8TZGBHCVAUXAneKJ44yQs</t>
  </si>
  <si>
    <t>0.125100</t>
  </si>
  <si>
    <t>5.469 SOL</t>
  </si>
  <si>
    <t>2.374 SOL</t>
  </si>
  <si>
    <t>76.70%</t>
  </si>
  <si>
    <t>16.10.2024 23:35:47</t>
  </si>
  <si>
    <t xml:space="preserve">         84K           112K             6K</t>
  </si>
  <si>
    <t>kundalini</t>
  </si>
  <si>
    <t>-1.169 SOL</t>
  </si>
  <si>
    <t>-70.28%</t>
  </si>
  <si>
    <t>16.10.2024 23:34:48</t>
  </si>
  <si>
    <t xml:space="preserve">         16K             5K             5K</t>
  </si>
  <si>
    <t>9PC72FLhXST2DQFKSJM6AH2UoVfuSUgPNpYskCkH132E</t>
  </si>
  <si>
    <t>Bikini</t>
  </si>
  <si>
    <t>0.746 SOL</t>
  </si>
  <si>
    <t>-3.917 SOL</t>
  </si>
  <si>
    <t>-84.00%</t>
  </si>
  <si>
    <t>16.10.2024 19:48:10</t>
  </si>
  <si>
    <t xml:space="preserve">        162K            26K             4K</t>
  </si>
  <si>
    <t>BdhskhNymvECsP3QqpTcyMBNrLmQLGS41Dez5aj9pump</t>
  </si>
  <si>
    <t>0.118580</t>
  </si>
  <si>
    <t>81.918 SOL</t>
  </si>
  <si>
    <t>57.050 SOL</t>
  </si>
  <si>
    <t>229.40%</t>
  </si>
  <si>
    <t>16.10.2024 19:38:43</t>
  </si>
  <si>
    <t xml:space="preserve">          2M             7M           198K</t>
  </si>
  <si>
    <t>BWAKSO</t>
  </si>
  <si>
    <t>2.583 SOL</t>
  </si>
  <si>
    <t>51.96%</t>
  </si>
  <si>
    <t>16.10.2024 16:15:09</t>
  </si>
  <si>
    <t>5QpMDaFy5cNtWq8K44F2V1PJ18Xs6y1kFrhZEAJdpump</t>
  </si>
  <si>
    <t>0.138220</t>
  </si>
  <si>
    <t>1.320 SOL</t>
  </si>
  <si>
    <t>6.94%</t>
  </si>
  <si>
    <t>16.10.2024 14:33:54</t>
  </si>
  <si>
    <t>5JPq8Rqgq7WULpsbxg99jojYLha9Lqunc5chWUzCpump</t>
  </si>
  <si>
    <t>25.327 SOL</t>
  </si>
  <si>
    <t>0.515 SOL</t>
  </si>
  <si>
    <t>16.10.2024 12:17:53</t>
  </si>
  <si>
    <t xml:space="preserve">         23M            23M            12M</t>
  </si>
  <si>
    <t>HUdqc5MR5h3FssESabPnQ1GTgTcPvnNudAuLj5J6a9sU</t>
  </si>
  <si>
    <t>LILY</t>
  </si>
  <si>
    <t>0.163640</t>
  </si>
  <si>
    <t>2.695 SOL</t>
  </si>
  <si>
    <t>-2.859 SOL</t>
  </si>
  <si>
    <t>29,064,183</t>
  </si>
  <si>
    <t>16.10.2024 00:59:34</t>
  </si>
  <si>
    <t xml:space="preserve">          5K            46K             9K</t>
  </si>
  <si>
    <t>tqkXUc79dusd5PiJmFttKc6kyn4kwzLjp9eiocspump</t>
  </si>
  <si>
    <t>Zoey</t>
  </si>
  <si>
    <t>-19.909 SOL</t>
  </si>
  <si>
    <t>39,998,865</t>
  </si>
  <si>
    <t>14.10.2024 20:05:05</t>
  </si>
  <si>
    <t xml:space="preserve">         86K            88K             4K</t>
  </si>
  <si>
    <t>PaVDopXphyKZZcMQQBVxCuxaNF3QXXmrdcG2ypUpump</t>
  </si>
  <si>
    <t>BYBIT DOG</t>
  </si>
  <si>
    <t>-1.423 SOL</t>
  </si>
  <si>
    <t>-83.72%</t>
  </si>
  <si>
    <t>14.10.2024 20:03:15</t>
  </si>
  <si>
    <t>6VPgAwMTFAjHPQdxGFmLvwu15cr9FkxMSuYWaU3rpump</t>
  </si>
  <si>
    <t>0.120560</t>
  </si>
  <si>
    <t>123.750 SOL</t>
  </si>
  <si>
    <t>117.644 SOL</t>
  </si>
  <si>
    <t>-6.226 SOL</t>
  </si>
  <si>
    <t>14.10.2024 16:46:44</t>
  </si>
  <si>
    <t xml:space="preserve">          9M             4M             1M</t>
  </si>
  <si>
    <t>MTL</t>
  </si>
  <si>
    <t>-1.540 SOL</t>
  </si>
  <si>
    <t>4,130,113</t>
  </si>
  <si>
    <t>13.10.2024 16:25:00</t>
  </si>
  <si>
    <t>HxvyzyFVbq1KHyNhhvtjmWM69q3gR2WFW5F9622vpump</t>
  </si>
  <si>
    <t>53.804 SOL</t>
  </si>
  <si>
    <t>4.187 SOL</t>
  </si>
  <si>
    <t>8.44%</t>
  </si>
  <si>
    <t>12.10.2024 20:48:29</t>
  </si>
  <si>
    <t xml:space="preserve">         41M            41M            27M</t>
  </si>
  <si>
    <t>69kdRLyP5DTRkpHraaSZAQbWmAwzF9guKjZfzMXzcbAs</t>
  </si>
  <si>
    <t>ADASOL</t>
  </si>
  <si>
    <t>12.10.2024 18:19:43</t>
  </si>
  <si>
    <t>8Ci8565dhYdeFTGUnQD7hv1oiJSZiTeyaLUYkDUpump</t>
  </si>
  <si>
    <t>cdog</t>
  </si>
  <si>
    <t>0.215750</t>
  </si>
  <si>
    <t>4.799 SOL</t>
  </si>
  <si>
    <t>9.874 SOL</t>
  </si>
  <si>
    <t>4.859 SOL</t>
  </si>
  <si>
    <t>96.90%</t>
  </si>
  <si>
    <t>10.10.2024 23:39:05</t>
  </si>
  <si>
    <t xml:space="preserve">          7K             4K             3K</t>
  </si>
  <si>
    <t>dr2Wg8Zy5o7q6rbbCs7wsAupuvYSd6eayJFnhxwpump</t>
  </si>
  <si>
    <t>TRA</t>
  </si>
  <si>
    <t>7,132,466</t>
  </si>
  <si>
    <t>10.10.2024 23:16:59</t>
  </si>
  <si>
    <t>26QG19xEzQ4R59jqpm3gqVEpPGqiaHDUAzTghUszpump</t>
  </si>
  <si>
    <t>COINSPHERE</t>
  </si>
  <si>
    <t>1.288 SOL</t>
  </si>
  <si>
    <t>-22.57%</t>
  </si>
  <si>
    <t>10.10.2024 21:49:24</t>
  </si>
  <si>
    <t>hAYuXZeUFD1sb58E9aXee3pG5L7P2oNEpDRbX9kpump</t>
  </si>
  <si>
    <t>Jesus</t>
  </si>
  <si>
    <t>3.277 SOL</t>
  </si>
  <si>
    <t>-2.27%</t>
  </si>
  <si>
    <t>10.10.2024 18:16:23</t>
  </si>
  <si>
    <t>AQJrsHD2m5Q6S329zynxe5MJkFUnWsTRg1qCkQyBpump</t>
  </si>
  <si>
    <t>NEXTFUNDAI</t>
  </si>
  <si>
    <t>-1.368 SOL</t>
  </si>
  <si>
    <t>-80.50%</t>
  </si>
  <si>
    <t>09.10.2024 20:20:35</t>
  </si>
  <si>
    <t xml:space="preserve">         32K             7K             4K</t>
  </si>
  <si>
    <t>F9FMKvjEhQr7v2TfevwGH9CwUBEVs9WZfuydiRkTRBzi</t>
  </si>
  <si>
    <t>NEXFUND</t>
  </si>
  <si>
    <t>7.656 SOL</t>
  </si>
  <si>
    <t>5.957 SOL</t>
  </si>
  <si>
    <t>350.46%</t>
  </si>
  <si>
    <t>09.10.2024 20:06:30</t>
  </si>
  <si>
    <t>JANkHUZVRedTpAr6ZWJzmSH3FokGL4KiGrxRZKXnpump</t>
  </si>
  <si>
    <t>Brad</t>
  </si>
  <si>
    <t>6.029 SOL</t>
  </si>
  <si>
    <t>4.366 SOL</t>
  </si>
  <si>
    <t>262.43%</t>
  </si>
  <si>
    <t>09.10.2024 19:59:00</t>
  </si>
  <si>
    <t xml:space="preserve">         21K           157K            13K</t>
  </si>
  <si>
    <t>CDjN1ozPFuS2EwYd6ow84QCHLAsfhL2SGiwws4nspump</t>
  </si>
  <si>
    <t>Emilio</t>
  </si>
  <si>
    <t>1.028 SOL</t>
  </si>
  <si>
    <t>-0.672 SOL</t>
  </si>
  <si>
    <t>-39.53%</t>
  </si>
  <si>
    <t>09.10.2024 19:57:15</t>
  </si>
  <si>
    <t>Bj3zs6zWdC5oKw8xQfky9cSQcUuVrYRjZXPdAujxpump</t>
  </si>
  <si>
    <t>Florence</t>
  </si>
  <si>
    <t>0.197300</t>
  </si>
  <si>
    <t>2.563 SOL</t>
  </si>
  <si>
    <t>-0.835 SOL</t>
  </si>
  <si>
    <t>-24.57%</t>
  </si>
  <si>
    <t>09.10.2024 01:33:59</t>
  </si>
  <si>
    <t xml:space="preserve">         53K            23K             4K</t>
  </si>
  <si>
    <t>7sFkV9Naouhm8tws55AKg6uwuuysBSbRRFzWeZmJpump</t>
  </si>
  <si>
    <t>WYAC</t>
  </si>
  <si>
    <t>33.139 SOL</t>
  </si>
  <si>
    <t>8.326 SOL</t>
  </si>
  <si>
    <t>33.56%</t>
  </si>
  <si>
    <t>07.10.2024 22:10:36</t>
  </si>
  <si>
    <t xml:space="preserve">          9M            12M            18M</t>
  </si>
  <si>
    <t>BEgBsVSKJSxreiCE1XmWWq8arnwit7xDqQXSWYgay9xP</t>
  </si>
  <si>
    <t>DMH</t>
  </si>
  <si>
    <t>0.293520</t>
  </si>
  <si>
    <t>53.133 SOL</t>
  </si>
  <si>
    <t>33.040 SOL</t>
  </si>
  <si>
    <t>164.43%</t>
  </si>
  <si>
    <t>06.10.2024 01:46:22</t>
  </si>
  <si>
    <t xml:space="preserve">         86K           700K            22K</t>
  </si>
  <si>
    <t>EytFLfSh31iCk7J2tabppifQuJebsemtH32tDnMapump</t>
  </si>
  <si>
    <t>DARKMUSK</t>
  </si>
  <si>
    <t>20.790 SOL</t>
  </si>
  <si>
    <t>23.684 SOL</t>
  </si>
  <si>
    <t>12.95%</t>
  </si>
  <si>
    <t>06.10.2024 01:46:10</t>
  </si>
  <si>
    <t xml:space="preserve">        600K           638K             6K</t>
  </si>
  <si>
    <t>8zrgJrFt6PW4QJSoHCFXn2uAMtWPNAGasSbGmNpXpump</t>
  </si>
  <si>
    <t>mars</t>
  </si>
  <si>
    <t>-0.407 SOL</t>
  </si>
  <si>
    <t>-34.96%</t>
  </si>
  <si>
    <t>06.10.2024 00:36:30</t>
  </si>
  <si>
    <t>HTxZxVPcAWHdDpui2oCziiyRFSMSSgMhE9Ucn2aXpump</t>
  </si>
  <si>
    <t>nBTC</t>
  </si>
  <si>
    <t>-0.049 SOL</t>
  </si>
  <si>
    <t>-4.62%</t>
  </si>
  <si>
    <t>05.10.2024 22:25:08</t>
  </si>
  <si>
    <t xml:space="preserve">        851K           864K            23K</t>
  </si>
  <si>
    <t>6kRF5N2GzKvGRWZa5JYbn6LcHunpm2d3phkwzmmepump</t>
  </si>
  <si>
    <t>DMAGA</t>
  </si>
  <si>
    <t>31.548 SOL</t>
  </si>
  <si>
    <t>6.699 SOL</t>
  </si>
  <si>
    <t>26.96%</t>
  </si>
  <si>
    <t>05.10.2024 21:33:42</t>
  </si>
  <si>
    <t xml:space="preserve">          4M             5M             7M</t>
  </si>
  <si>
    <t>7D7BRcBYepfi77vxySapmeqRNN1wsBBxnFPJGbH5pump</t>
  </si>
  <si>
    <t>SASHA</t>
  </si>
  <si>
    <t>-24.914 SOL</t>
  </si>
  <si>
    <t>7,455,534</t>
  </si>
  <si>
    <t>05.10.2024 19:38:35</t>
  </si>
  <si>
    <t xml:space="preserve">        942K           209K            11K</t>
  </si>
  <si>
    <t>5oSdehrNUuhDbxUVpkDEXRAykhYQeD2L1D8S99SLpump</t>
  </si>
  <si>
    <t>0.791540</t>
  </si>
  <si>
    <t>446.655 SOL</t>
  </si>
  <si>
    <t>441.409 SOL</t>
  </si>
  <si>
    <t>8413.33%</t>
  </si>
  <si>
    <t>05.10.2024 19:08:07</t>
  </si>
  <si>
    <t xml:space="preserve">        109K            11M           302K</t>
  </si>
  <si>
    <t>6WNva7iLjTvxSfXPSmbjceW5Yc41LUH4SJNqKom5pump</t>
  </si>
  <si>
    <t>-9.955 SOL</t>
  </si>
  <si>
    <t>3,804,155</t>
  </si>
  <si>
    <t>05.10.2024 16:11:30</t>
  </si>
  <si>
    <t xml:space="preserve">        457K           457K             5K</t>
  </si>
  <si>
    <t>Eim561iHxTHSL6vU9YvrzweDykAqeN9iSYW84FEvpump</t>
  </si>
  <si>
    <t>Bounce</t>
  </si>
  <si>
    <t>4,635,638</t>
  </si>
  <si>
    <t>05.10.2024 14:20:20</t>
  </si>
  <si>
    <t>E4wJPceLkz5YiRFVnmiqmR5PaNjYdCZAp4fsELAhpump</t>
  </si>
  <si>
    <t>BOUNCE</t>
  </si>
  <si>
    <t>19,432,717</t>
  </si>
  <si>
    <t>05.10.2024 14:00:30</t>
  </si>
  <si>
    <t>CV5ou92FNLervBQmWrcRr52B6SMritudHdpk1MYRpump</t>
  </si>
  <si>
    <t>-5.059 SOL</t>
  </si>
  <si>
    <t>9,658,862</t>
  </si>
  <si>
    <t>05.10.2024 13:56:26</t>
  </si>
  <si>
    <t xml:space="preserve">         88K            93K             5K</t>
  </si>
  <si>
    <t>6UJ8FLcUvdqfZTTGz6brp2eCrvkAf8ea1RzdV9oTpump</t>
  </si>
  <si>
    <t>Len</t>
  </si>
  <si>
    <t>0.340050</t>
  </si>
  <si>
    <t>3.081 SOL</t>
  </si>
  <si>
    <t>61.778 SOL</t>
  </si>
  <si>
    <t>58.357 SOL</t>
  </si>
  <si>
    <t>1705.80%</t>
  </si>
  <si>
    <t>05.10.2024 04:53:45</t>
  </si>
  <si>
    <t xml:space="preserve">         40K             6M            12K</t>
  </si>
  <si>
    <t>4sNbsEQuGQpFDVnyVNRrGaRMHPLpMqmuYsTLzTokpump</t>
  </si>
  <si>
    <t>7.635 SOL</t>
  </si>
  <si>
    <t>5.007 SOL</t>
  </si>
  <si>
    <t>190.52%</t>
  </si>
  <si>
    <t>05.10.2024 04:00:31</t>
  </si>
  <si>
    <t xml:space="preserve">         45K           314K             6K</t>
  </si>
  <si>
    <t>DNsALigYkWTQvowxMkJtfRhQSNsgGCHsFMQdAhSipump</t>
  </si>
  <si>
    <t>1.200 SOL</t>
  </si>
  <si>
    <t>-1.309 SOL</t>
  </si>
  <si>
    <t>22,326,908</t>
  </si>
  <si>
    <t>04.10.2024 21:09:04</t>
  </si>
  <si>
    <t>AMoKiBe2yGYqCPggmza4VbjSTzQC7KiA6DnoaRLQpump</t>
  </si>
  <si>
    <t>sasha</t>
  </si>
  <si>
    <t>2,844,384</t>
  </si>
  <si>
    <t>04.10.2024 21:05:21</t>
  </si>
  <si>
    <t xml:space="preserve">         72K            77K             6K</t>
  </si>
  <si>
    <t>3XHnmDDQy9DEGFrJ2gX9bMp58Jcq2dFdpsHFTvQWpump</t>
  </si>
  <si>
    <t>netcoin</t>
  </si>
  <si>
    <t>-0.528 SOL</t>
  </si>
  <si>
    <t>-79.56%</t>
  </si>
  <si>
    <t>03.10.2024 20:27:22</t>
  </si>
  <si>
    <t xml:space="preserve">         62K            14K             4K</t>
  </si>
  <si>
    <t>735fTUoCKoPp47drmX5Dx6oYiUUry59bZaxCZk5Gpump</t>
  </si>
  <si>
    <t>CbBTC</t>
  </si>
  <si>
    <t>0.191 SOL</t>
  </si>
  <si>
    <t>-3.126 SOL</t>
  </si>
  <si>
    <t>-94.25%</t>
  </si>
  <si>
    <t>03.10.2024 20:27:03</t>
  </si>
  <si>
    <t xml:space="preserve">         56K             4K             4K</t>
  </si>
  <si>
    <t>8CsoKQE6wYvgmAXoxtbkdSeq3hDtx2pettwjvfNvpump</t>
  </si>
  <si>
    <t>HAL FINNEY</t>
  </si>
  <si>
    <t>12,302,416</t>
  </si>
  <si>
    <t>03.10.2024 18:03:15</t>
  </si>
  <si>
    <t>2LpMTtssXgGXHcJ4uTLhNsLu9XBbcDHKqNpS2Xphpump</t>
  </si>
  <si>
    <t>MARK</t>
  </si>
  <si>
    <t>-2.65%</t>
  </si>
  <si>
    <t>03.10.2024 17:41:20</t>
  </si>
  <si>
    <t>Esaan5R6gV4PVkEtxKkFgd6kboY1xA3AbvyqoM46pump</t>
  </si>
  <si>
    <t>rot</t>
  </si>
  <si>
    <t>2.97%</t>
  </si>
  <si>
    <t>03.10.2024 17:05:17</t>
  </si>
  <si>
    <t xml:space="preserve">          2M             2M             5M</t>
  </si>
  <si>
    <t>APoM2sXUzdRHTkUjXSsdUheX1wPPdP4HFLotmtRNMU8P</t>
  </si>
  <si>
    <t>PUSHEEN</t>
  </si>
  <si>
    <t>-10.009 SOL</t>
  </si>
  <si>
    <t>26,100,133</t>
  </si>
  <si>
    <t>03.10.2024 00:28:35</t>
  </si>
  <si>
    <t xml:space="preserve">         61K            74K            25K</t>
  </si>
  <si>
    <t>8J8xnvvBHNiYfmLrFbsFmthjeQ4qYG4R5Q9JMK4AUrm4</t>
  </si>
  <si>
    <t>Balltze</t>
  </si>
  <si>
    <t>-1.045 SOL</t>
  </si>
  <si>
    <t>16,147,189</t>
  </si>
  <si>
    <t>02.10.2024 17:54:56</t>
  </si>
  <si>
    <t xml:space="preserve">         11K            11K             3K</t>
  </si>
  <si>
    <t>9ykgzfLW4RCV3gZDx8TarcvsG4urgawJLg3inymXpump</t>
  </si>
  <si>
    <t>ZPOT</t>
  </si>
  <si>
    <t>1.745 SOL</t>
  </si>
  <si>
    <t>2.69%</t>
  </si>
  <si>
    <t>02.10.2024 03:42:17</t>
  </si>
  <si>
    <t>2jRh7N2kqtaTzridGrma8dJCEXA8kcwXKS8fpupBy1HS</t>
  </si>
  <si>
    <t>1.643 SOL</t>
  </si>
  <si>
    <t>-3.32%</t>
  </si>
  <si>
    <t>02.10.2024 03:41:14</t>
  </si>
  <si>
    <t>CHj4HSERi1gCXW6svzgVNz3BtRobJyLAjYPthufopump</t>
  </si>
  <si>
    <t>MOOTUN</t>
  </si>
  <si>
    <t>0.186860</t>
  </si>
  <si>
    <t>36.256 SOL</t>
  </si>
  <si>
    <t>26.169 SOL</t>
  </si>
  <si>
    <t>259.43%</t>
  </si>
  <si>
    <t>30.09.2024 00:29:46</t>
  </si>
  <si>
    <t xml:space="preserve">        149K           343K            19K</t>
  </si>
  <si>
    <t>BZxEQAMgHSf9bD8qFBUbVFjf7AfSkpPtTjTYU9pzpump</t>
  </si>
  <si>
    <t>@everyone</t>
  </si>
  <si>
    <t>0.272720</t>
  </si>
  <si>
    <t>-1.060 SOL</t>
  </si>
  <si>
    <t>4,022,695</t>
  </si>
  <si>
    <t>30.09.2024 00:02:31</t>
  </si>
  <si>
    <t>K6sQLv2TAj3H47xbKmrw6L3Ui2AaFcLkaqHD48xpump</t>
  </si>
  <si>
    <t>MOOTOON</t>
  </si>
  <si>
    <t>8.742 SOL</t>
  </si>
  <si>
    <t>73.16%</t>
  </si>
  <si>
    <t>28.09.2024 20:38:37</t>
  </si>
  <si>
    <t xml:space="preserve">        125K           221K            20K</t>
  </si>
  <si>
    <t>EdQzU6F71wx1LhvVhu92JNLNpxyue9zDqt9CR9J5pump</t>
  </si>
  <si>
    <t>G</t>
  </si>
  <si>
    <t>1,146,458</t>
  </si>
  <si>
    <t>28.09.2024 18:25:53</t>
  </si>
  <si>
    <t xml:space="preserve">        151K           151K           128K</t>
  </si>
  <si>
    <t>FmqVMWXBESyu4g6FT1uz1GABKdJ4j6wbuuLFwPJtqpmu</t>
  </si>
  <si>
    <t>KHA MOO</t>
  </si>
  <si>
    <t>-47.31%</t>
  </si>
  <si>
    <t>28.09.2024 13:50:20</t>
  </si>
  <si>
    <t xml:space="preserve">         79K            46K             8K</t>
  </si>
  <si>
    <t>ApSyVXJLRm1mF4hEdcRvaHcKiZmBG2YhariaDcvtpump</t>
  </si>
  <si>
    <t>2,419,577</t>
  </si>
  <si>
    <t>28.09.2024 02:12:02</t>
  </si>
  <si>
    <t xml:space="preserve">          2M             1M            35K</t>
  </si>
  <si>
    <t>moowan</t>
  </si>
  <si>
    <t>1.291 SOL</t>
  </si>
  <si>
    <t>-0.409 SOL</t>
  </si>
  <si>
    <t>-24.04%</t>
  </si>
  <si>
    <t>28.09.2024 02:01:44</t>
  </si>
  <si>
    <t>7EQr1t7WWji8rxxSwT7wPfKJJjCK1eAK94kNbASypump</t>
  </si>
  <si>
    <t>moo waan</t>
  </si>
  <si>
    <t>-8.314 SOL</t>
  </si>
  <si>
    <t>15,180,539</t>
  </si>
  <si>
    <t>28.09.2024 01:58:56</t>
  </si>
  <si>
    <t xml:space="preserve">         74K           114K             3K</t>
  </si>
  <si>
    <t>DSkMjtUbwQghGHcWThZ29p2rZ7VR1vGGVd7eniJhpump</t>
  </si>
  <si>
    <t>Moodeng</t>
  </si>
  <si>
    <t>-0.928 SOL</t>
  </si>
  <si>
    <t>-77.39%</t>
  </si>
  <si>
    <t>27.09.2024 19:56:40</t>
  </si>
  <si>
    <t>3tG8855ZcLZxdQ9GREfeaTLhs2aVkEdbtq8qwkUmpump</t>
  </si>
  <si>
    <t>1.353 SOL</t>
  </si>
  <si>
    <t>-0.346 SOL</t>
  </si>
  <si>
    <t>-20.39%</t>
  </si>
  <si>
    <t>27.09.2024 19:55:03</t>
  </si>
  <si>
    <t>7pHBeAt1R4RigyQJ4C6MYjUV13N4HHfkdQfqbDQSpump</t>
  </si>
  <si>
    <t>-5.005 SOL</t>
  </si>
  <si>
    <t>5,910,174</t>
  </si>
  <si>
    <t>26.09.2024 18:40:00</t>
  </si>
  <si>
    <t xml:space="preserve">        148K           148K             7K</t>
  </si>
  <si>
    <t>4UX2gCkYp8j5ZqP3p4o7g4f9kYd2EY8FQh8RF97vpump</t>
  </si>
  <si>
    <t>-1.594 SOL</t>
  </si>
  <si>
    <t>22,254,830</t>
  </si>
  <si>
    <t>26.09.2024 18:19:25</t>
  </si>
  <si>
    <t xml:space="preserve">          9K            23K             8K</t>
  </si>
  <si>
    <t>AFj2woEvRdn2jt6uuCfjUbU8iukC99aUzmauGELcL3zR</t>
  </si>
  <si>
    <t>AKIRA</t>
  </si>
  <si>
    <t>7.386 SOL</t>
  </si>
  <si>
    <t>-22.522 SOL</t>
  </si>
  <si>
    <t>-75.30%</t>
  </si>
  <si>
    <t>26.09.2024 16:59:36</t>
  </si>
  <si>
    <t xml:space="preserve">         63K            19K             3K</t>
  </si>
  <si>
    <t>BQ2FgcCrXLmbcDv7Ko16Vd44KGkhK7cXKmF8vJpopump</t>
  </si>
  <si>
    <t>PESTO</t>
  </si>
  <si>
    <t>0.000200</t>
  </si>
  <si>
    <t>46.000 SOL</t>
  </si>
  <si>
    <t>37.620 SOL</t>
  </si>
  <si>
    <t>-8.380 SOL</t>
  </si>
  <si>
    <t>-18.22%</t>
  </si>
  <si>
    <t>21.09.2024 15:53:34</t>
  </si>
  <si>
    <t xml:space="preserve">          2M             1M             2M</t>
  </si>
  <si>
    <t>34a8ALsPmbWxp7D3bQ6erERrCLz1ahr6u6o66Udmpump</t>
  </si>
  <si>
    <t>BAGS</t>
  </si>
  <si>
    <t>21,778</t>
  </si>
  <si>
    <t>09.09.2024 22:00:14</t>
  </si>
  <si>
    <t>2a4dqA4YGahA4a4BZzACL2adgxGgz3mTMsJKVwi5cE1v</t>
  </si>
  <si>
    <t>Save them</t>
  </si>
  <si>
    <t>0.533 SOL</t>
  </si>
  <si>
    <t>-1.167 SOL</t>
  </si>
  <si>
    <t>-68.67%</t>
  </si>
  <si>
    <t>09.09.2024 19:07:45</t>
  </si>
  <si>
    <t>B8hoi8oGSj43Mnu3comFEpGcL7k9GNhFs9BrGQ5UBsS3</t>
  </si>
  <si>
    <t>CHWY</t>
  </si>
  <si>
    <t>0.230970</t>
  </si>
  <si>
    <t>73.701 SOL</t>
  </si>
  <si>
    <t>48.720 SOL</t>
  </si>
  <si>
    <t>195.03%</t>
  </si>
  <si>
    <t>06.09.2024 16:05:46</t>
  </si>
  <si>
    <t xml:space="preserve">        531K             1M            78K</t>
  </si>
  <si>
    <t>2zGQGkLnQgWLvfSiWTXnnxdMA7fiP4ah6hyJPQQe3Eoe</t>
  </si>
  <si>
    <t>kamala</t>
  </si>
  <si>
    <t>1.711 SOL</t>
  </si>
  <si>
    <t>02.09.2024 17:20:58</t>
  </si>
  <si>
    <t>13ffKEtz2fRAvUH9ws9ZSvSK3dskntPQTGx12wZ38N4W</t>
  </si>
  <si>
    <t>WL</t>
  </si>
  <si>
    <t>5.962 SOL</t>
  </si>
  <si>
    <t>0.913 SOL</t>
  </si>
  <si>
    <t>18.09%</t>
  </si>
  <si>
    <t>29.08.2024 13:16:57</t>
  </si>
  <si>
    <t xml:space="preserve">         28K            35K             9K</t>
  </si>
  <si>
    <t>8vsW2YaS2eHdKNTrqVn3uJxGmvNdgoG37bFb2qsvpump</t>
  </si>
  <si>
    <t>DEFIANT</t>
  </si>
  <si>
    <t>-3.01%</t>
  </si>
  <si>
    <t>22.08.2024 12:33:06</t>
  </si>
  <si>
    <t>7Bx7pq9E1X2r96L57iokroavFnVoyyJ91x4L6ne1pump</t>
  </si>
  <si>
    <t>BeDeFiant</t>
  </si>
  <si>
    <t>2.417 SOL</t>
  </si>
  <si>
    <t>0.217 SOL</t>
  </si>
  <si>
    <t>9.87%</t>
  </si>
  <si>
    <t>22.08.2024 12:20:26</t>
  </si>
  <si>
    <t>4YAMVJD1EBDQ3oU9L4R4mPuf6xGYt9M3391Upn63pump</t>
  </si>
  <si>
    <t>GRIMACE</t>
  </si>
  <si>
    <t>0.316830</t>
  </si>
  <si>
    <t>14.680 SOL</t>
  </si>
  <si>
    <t>-109.387 SOL</t>
  </si>
  <si>
    <t>-88.17%</t>
  </si>
  <si>
    <t>21.08.2024 15:51:28</t>
  </si>
  <si>
    <t xml:space="preserve">          6M           842K            64K</t>
  </si>
  <si>
    <t>4BRummYdfvoEGQwYzTSmn5F6RyAFdrHUTFkeagobpump</t>
  </si>
  <si>
    <t>bullposti</t>
  </si>
  <si>
    <t>4.874 SOL</t>
  </si>
  <si>
    <t>-0.133 SOL</t>
  </si>
  <si>
    <t>-2.66%</t>
  </si>
  <si>
    <t>21.08.2024 13:48:03</t>
  </si>
  <si>
    <t>6sMv7awAP8JqpZoByL2pE9PkBogP6npTeZV2U9nRpump</t>
  </si>
  <si>
    <t>0.394600</t>
  </si>
  <si>
    <t>6.398 SOL</t>
  </si>
  <si>
    <t>30.306 SOL</t>
  </si>
  <si>
    <t>23.514 SOL</t>
  </si>
  <si>
    <t>346.17%</t>
  </si>
  <si>
    <t>20.08.2024 02:18:55</t>
  </si>
  <si>
    <t xml:space="preserve">         69K           420K            62K</t>
  </si>
  <si>
    <t>AGPyh2ggcbvfNXE1snYiW2NYnmyH4i9zn8KXMAxHpump</t>
  </si>
  <si>
    <t>TDO</t>
  </si>
  <si>
    <t>0.384160</t>
  </si>
  <si>
    <t>23.501 SOL</t>
  </si>
  <si>
    <t>18.318 SOL</t>
  </si>
  <si>
    <t>353.42%</t>
  </si>
  <si>
    <t>15.08.2024 17:46:20</t>
  </si>
  <si>
    <t>ARXYJ2bKQgCViLVGL9PPVNrZAu7uTDWVizk5fiB2pump</t>
  </si>
  <si>
    <t>0.319170</t>
  </si>
  <si>
    <t>16.721 SOL</t>
  </si>
  <si>
    <t>14.801 SOL</t>
  </si>
  <si>
    <t>770.80%</t>
  </si>
  <si>
    <t>15.08.2024 13:37:55</t>
  </si>
  <si>
    <t xml:space="preserve">          9K            51K             4K</t>
  </si>
  <si>
    <t>6Q8FQobojbbv1nsAsmHfTNur8KC22vQyUNsGGR6dpump</t>
  </si>
  <si>
    <t>-1.198 SOL</t>
  </si>
  <si>
    <t>-70.51%</t>
  </si>
  <si>
    <t>13.08.2024 23:29:59</t>
  </si>
  <si>
    <t>DCoFE6xxQC8MkPUtNgyrCHDetg7NNpBeiDTc7ZdtReEv</t>
  </si>
  <si>
    <t>MILK</t>
  </si>
  <si>
    <t>1.899 SOL</t>
  </si>
  <si>
    <t>11.73%</t>
  </si>
  <si>
    <t>08.08.2024 16:51:39</t>
  </si>
  <si>
    <t xml:space="preserve">         63K           153K             3K</t>
  </si>
  <si>
    <t>5AqkuXacvjx8L6dTfKGAWW5vh7b8Kg2VPYYtRqoppump</t>
  </si>
  <si>
    <t>gotmilk</t>
  </si>
  <si>
    <t>2.264 SOL</t>
  </si>
  <si>
    <t>29.82%</t>
  </si>
  <si>
    <t>08.08.2024 16:50:10</t>
  </si>
  <si>
    <t>C1ZHv4EDvwV3XTyJT9SQTMtS9pF6YjBT4Cvvdg4HFwg9</t>
  </si>
  <si>
    <t>GROK2</t>
  </si>
  <si>
    <t>0.345 SOL</t>
  </si>
  <si>
    <t>-0.46%</t>
  </si>
  <si>
    <t>06.08.2024 12:57:51</t>
  </si>
  <si>
    <t>2XxjPZGaVRi3D1QSvaVnHU2sW6WyMBfqcyJuc8R3omLM</t>
  </si>
  <si>
    <t>Keir</t>
  </si>
  <si>
    <t>1.449 SOL</t>
  </si>
  <si>
    <t>-14.74%</t>
  </si>
  <si>
    <t>06.08.2024 12:57:01</t>
  </si>
  <si>
    <t>FBFzhh28NkrrnXWUZEdP6pZR6VrDoxb4XzrE1gMxpump</t>
  </si>
  <si>
    <t>FejWrUC22uPy3zM5KFAhWYPTbDCkH7SRh6Di3hv9hx1d</t>
  </si>
  <si>
    <t>2.10 SOL</t>
  </si>
  <si>
    <t>93%</t>
  </si>
  <si>
    <t>13.81 SOL</t>
  </si>
  <si>
    <t>13.20%</t>
  </si>
  <si>
    <t>23%</t>
  </si>
  <si>
    <t>1.33 SOL</t>
  </si>
  <si>
    <t>38.5%</t>
  </si>
  <si>
    <t>23.1%</t>
  </si>
  <si>
    <t>8</t>
  </si>
  <si>
    <t>9.7 SOL</t>
  </si>
  <si>
    <t>6.8 SOL</t>
  </si>
  <si>
    <t>0.9 SOL</t>
  </si>
  <si>
    <t>-3.4 SOL</t>
  </si>
  <si>
    <t>14.0K</t>
  </si>
  <si>
    <t>WART</t>
  </si>
  <si>
    <t>-1.98%</t>
  </si>
  <si>
    <t>30.10.2024 20:01:24</t>
  </si>
  <si>
    <t>2B1tzFdiQzoHRdkC53bhU2t36hrNywd93y6F8RaJpump</t>
  </si>
  <si>
    <t xml:space="preserve">timothee </t>
  </si>
  <si>
    <t>0.000130</t>
  </si>
  <si>
    <t>0.717 SOL</t>
  </si>
  <si>
    <t>0.769 SOL</t>
  </si>
  <si>
    <t>7.28%</t>
  </si>
  <si>
    <t>30.10.2024 18:49:45</t>
  </si>
  <si>
    <t>4LJZHQcbWDrFQojP6HWnEB6p9WK6iRnXu1ippwBhpump</t>
  </si>
  <si>
    <t>SWAG</t>
  </si>
  <si>
    <t>1.800 SOL</t>
  </si>
  <si>
    <t>-1.800 SOL</t>
  </si>
  <si>
    <t>2,394</t>
  </si>
  <si>
    <t>30.10.2024 17:33:17</t>
  </si>
  <si>
    <t xml:space="preserve">        140K            69K            88K</t>
  </si>
  <si>
    <t>ArmSFTKdESiuKFjVQPX7rBKRZqj89716arGKPe4bQxUX</t>
  </si>
  <si>
    <t>BOOBS</t>
  </si>
  <si>
    <t>1.302 SOL</t>
  </si>
  <si>
    <t>22.28%</t>
  </si>
  <si>
    <t>30.10.2024 15:58:44</t>
  </si>
  <si>
    <t xml:space="preserve">         16K            16K             7K</t>
  </si>
  <si>
    <t>DvZDG5tWkJZWyR8nx6SqUk93PPNswxLDykFz7TU2pump</t>
  </si>
  <si>
    <t>274.66%</t>
  </si>
  <si>
    <t>30.10.2024 15:35:14</t>
  </si>
  <si>
    <t>DTRCR9xBgcLj3cD9cBSxpajtYZLe9BfvU3zJHujFaYpn</t>
  </si>
  <si>
    <t>ARC</t>
  </si>
  <si>
    <t>0.000310</t>
  </si>
  <si>
    <t>1.023 SOL</t>
  </si>
  <si>
    <t>1.158 SOL</t>
  </si>
  <si>
    <t>30.10.2024 15:09:25</t>
  </si>
  <si>
    <t>FUkdKWHJ15pwTCmK6gZWenQ4gxUxbZ5w9Aqjv6xXpump</t>
  </si>
  <si>
    <t>MEOW</t>
  </si>
  <si>
    <t>0.000090</t>
  </si>
  <si>
    <t>0.178 SOL</t>
  </si>
  <si>
    <t>17.36%</t>
  </si>
  <si>
    <t>30.10.2024 13:30:17</t>
  </si>
  <si>
    <t xml:space="preserve">          5K             5K             8K</t>
  </si>
  <si>
    <t>7UPm1BB3niF7GnWJP45AcyHvN2hWdGfuSu1kT8PRpump</t>
  </si>
  <si>
    <t>HALLOW</t>
  </si>
  <si>
    <t>0.000350</t>
  </si>
  <si>
    <t>1.582 SOL</t>
  </si>
  <si>
    <t>-0.942 SOL</t>
  </si>
  <si>
    <t>-59.52%</t>
  </si>
  <si>
    <t>30.10.2024 12:14:29</t>
  </si>
  <si>
    <t>E6urR7A3p4FgqCWwtShpkd7JMLVWG6rMmYdhvHszpump</t>
  </si>
  <si>
    <t>Deforg</t>
  </si>
  <si>
    <t>0.000140</t>
  </si>
  <si>
    <t>10.892 SOL</t>
  </si>
  <si>
    <t>9.672 SOL</t>
  </si>
  <si>
    <t>792.96%</t>
  </si>
  <si>
    <t>30.10.2024 08:27:00</t>
  </si>
  <si>
    <t xml:space="preserve">          9K            72K             4K</t>
  </si>
  <si>
    <t>EYEVPxKrtnTqaWhMKTRYhrKRLFDthLLdMWZzuezbpump</t>
  </si>
  <si>
    <t>5.124 SOL</t>
  </si>
  <si>
    <t>4.099 SOL</t>
  </si>
  <si>
    <t>399.89%</t>
  </si>
  <si>
    <t>30.10.2024 06:28:02</t>
  </si>
  <si>
    <t xml:space="preserve">          5K            30K           144K</t>
  </si>
  <si>
    <t>DrMeme</t>
  </si>
  <si>
    <t>-9.31%</t>
  </si>
  <si>
    <t>23.10.2024 18:10:58</t>
  </si>
  <si>
    <t>6Uqn9WSDZSoTi2KJeyM5ZGc2inYkQjG77s9SNCKqpump</t>
  </si>
  <si>
    <t>0.666 SOL</t>
  </si>
  <si>
    <t>0.911 SOL</t>
  </si>
  <si>
    <t>36.55%</t>
  </si>
  <si>
    <t>23.10.2024 07:15:05</t>
  </si>
  <si>
    <t>9DYB62tCHoLHiLjCQEsNDwerUSV5hBJmUYtTTDvepump</t>
  </si>
  <si>
    <t>aigods</t>
  </si>
  <si>
    <t>1.035 SOL</t>
  </si>
  <si>
    <t>0.332 SOL</t>
  </si>
  <si>
    <t>-0.704 SOL</t>
  </si>
  <si>
    <t>23.10.2024 00:03:04</t>
  </si>
  <si>
    <t>65JhnQk4LtuyRJmMjd9EAz913Nh4AyPWnuyWmyY9pump</t>
  </si>
  <si>
    <t>5Z5nDhreqqkKNHeAA7gsYHyi35J2dEcxB4YZsKoghWHS</t>
  </si>
  <si>
    <t>3.89 SOL</t>
  </si>
  <si>
    <t>18%</t>
  </si>
  <si>
    <t>-21%</t>
  </si>
  <si>
    <t>-2.07 SOL</t>
  </si>
  <si>
    <t>6 (5%)</t>
  </si>
  <si>
    <t>2 h</t>
  </si>
  <si>
    <t>40%</t>
  </si>
  <si>
    <t>3.6%</t>
  </si>
  <si>
    <t>9.0%</t>
  </si>
  <si>
    <t>11.7%</t>
  </si>
  <si>
    <t>70.3%</t>
  </si>
  <si>
    <t>2.9 SOL</t>
  </si>
  <si>
    <t>0.2 SOL</t>
  </si>
  <si>
    <t>-0.7 SOL</t>
  </si>
  <si>
    <t>-6.0 SOL</t>
  </si>
  <si>
    <t>22</t>
  </si>
  <si>
    <t>34</t>
  </si>
  <si>
    <t>43</t>
  </si>
  <si>
    <t>253.0K</t>
  </si>
  <si>
    <t>0.002650</t>
  </si>
  <si>
    <t>6.37%</t>
  </si>
  <si>
    <t>30.10.2024 17:27:36</t>
  </si>
  <si>
    <t>0.001310</t>
  </si>
  <si>
    <t>29,306</t>
  </si>
  <si>
    <t>30.10.2024 17:26:18</t>
  </si>
  <si>
    <t xml:space="preserve">        877K           877K            35K</t>
  </si>
  <si>
    <t>86,416</t>
  </si>
  <si>
    <t>30.10.2024 16:45:16</t>
  </si>
  <si>
    <t xml:space="preserve">        306K           306K             9K</t>
  </si>
  <si>
    <t>-93.96%</t>
  </si>
  <si>
    <t>30.10.2024 14:16:28</t>
  </si>
  <si>
    <t xml:space="preserve">         55K            55K             3K</t>
  </si>
  <si>
    <t>NUTS</t>
  </si>
  <si>
    <t>-15.11%</t>
  </si>
  <si>
    <t>30.10.2024 14:15:42</t>
  </si>
  <si>
    <t xml:space="preserve">         19K            19K            17K</t>
  </si>
  <si>
    <t>9XYNA4Tety1RjytSsqNz7YCM1NZgtYRptnUcAPsQpump</t>
  </si>
  <si>
    <t>0.006320</t>
  </si>
  <si>
    <t>-48.85%</t>
  </si>
  <si>
    <t>30.10.2024 10:59:07</t>
  </si>
  <si>
    <t xml:space="preserve">        556K           318K           245K</t>
  </si>
  <si>
    <t>79,943</t>
  </si>
  <si>
    <t>30.10.2024 10:43:10</t>
  </si>
  <si>
    <t xml:space="preserve">        331K           331K            12K</t>
  </si>
  <si>
    <t>0.015550</t>
  </si>
  <si>
    <t>1.881 SOL</t>
  </si>
  <si>
    <t>1.765 SOL</t>
  </si>
  <si>
    <t>1527.65%</t>
  </si>
  <si>
    <t>30.10.2024 10:15:15</t>
  </si>
  <si>
    <t xml:space="preserve">        964K            41M            62M</t>
  </si>
  <si>
    <t>0.747 SOL</t>
  </si>
  <si>
    <t>195.63%</t>
  </si>
  <si>
    <t>30.10.2024 08:39:02</t>
  </si>
  <si>
    <t xml:space="preserve">        113K           153K           303K</t>
  </si>
  <si>
    <t>0.003260</t>
  </si>
  <si>
    <t>10.53%</t>
  </si>
  <si>
    <t>30.10.2024 07:48:08</t>
  </si>
  <si>
    <t xml:space="preserve">        800K           966K           144K</t>
  </si>
  <si>
    <t>0.002860</t>
  </si>
  <si>
    <t>275.02%</t>
  </si>
  <si>
    <t>30.10.2024 06:55:59</t>
  </si>
  <si>
    <t xml:space="preserve">          1M             5M            10M</t>
  </si>
  <si>
    <t>0.000400</t>
  </si>
  <si>
    <t>0.174 SOL</t>
  </si>
  <si>
    <t>44.13%</t>
  </si>
  <si>
    <t>30.10.2024 06:55:37</t>
  </si>
  <si>
    <t xml:space="preserve">        267K           267K            52K</t>
  </si>
  <si>
    <t>0.002160</t>
  </si>
  <si>
    <t>716.20%</t>
  </si>
  <si>
    <t>30.10.2024 06:55:24</t>
  </si>
  <si>
    <t xml:space="preserve">        130K             3M             2M</t>
  </si>
  <si>
    <t>0.000250</t>
  </si>
  <si>
    <t>30.10.2024 06:52:32</t>
  </si>
  <si>
    <t xml:space="preserve">        415K           415K           273K</t>
  </si>
  <si>
    <t>64,424</t>
  </si>
  <si>
    <t>30.10.2024 05:51:11</t>
  </si>
  <si>
    <t xml:space="preserve">        327K           327K            40K</t>
  </si>
  <si>
    <t>TOE</t>
  </si>
  <si>
    <t>433,369</t>
  </si>
  <si>
    <t>30.10.2024 04:39:29</t>
  </si>
  <si>
    <t>BBZMvvm3sHJcdnYWppJJcmnSa7mGhq6cJvy4mJ2wpump</t>
  </si>
  <si>
    <t>104,953</t>
  </si>
  <si>
    <t>30.10.2024 03:58:00</t>
  </si>
  <si>
    <t xml:space="preserve">        201K           201K             5K</t>
  </si>
  <si>
    <t>81,255</t>
  </si>
  <si>
    <t>30.10.2024 03:27:31</t>
  </si>
  <si>
    <t xml:space="preserve">        260K           260K            13K</t>
  </si>
  <si>
    <t>36,715</t>
  </si>
  <si>
    <t>30.10.2024 01:42:41</t>
  </si>
  <si>
    <t xml:space="preserve">        575K           575K            12K</t>
  </si>
  <si>
    <t>132,231</t>
  </si>
  <si>
    <t>30.10.2024 01:33:39</t>
  </si>
  <si>
    <t xml:space="preserve">        160K           160K            79K</t>
  </si>
  <si>
    <t>MANIFEST</t>
  </si>
  <si>
    <t>84.70%</t>
  </si>
  <si>
    <t>30.10.2024 00:10:51</t>
  </si>
  <si>
    <t xml:space="preserve">          7M             7M            12M</t>
  </si>
  <si>
    <t>6cvrZWgEUkr82yKAmxp5cQu7wgYYBPULf16EUBp4pump</t>
  </si>
  <si>
    <t>72,316</t>
  </si>
  <si>
    <t>30.10.2024 00:06:31</t>
  </si>
  <si>
    <t xml:space="preserve">        292K           292K             8K</t>
  </si>
  <si>
    <t>448,584</t>
  </si>
  <si>
    <t>29.10.2024 23:11:14</t>
  </si>
  <si>
    <t xml:space="preserve">         47K            47K             5K</t>
  </si>
  <si>
    <t>29.10.2024 16:54:50</t>
  </si>
  <si>
    <t xml:space="preserve">        294K           294K           511K</t>
  </si>
  <si>
    <t>0.001510</t>
  </si>
  <si>
    <t>49,579</t>
  </si>
  <si>
    <t>29.10.2024 15:47:11</t>
  </si>
  <si>
    <t xml:space="preserve">        426K           426K             7K</t>
  </si>
  <si>
    <t>-72.60%</t>
  </si>
  <si>
    <t>29.10.2024 15:29:11</t>
  </si>
  <si>
    <t xml:space="preserve">        308K           570K           287K</t>
  </si>
  <si>
    <t>202,570</t>
  </si>
  <si>
    <t>29.10.2024 15:26:59</t>
  </si>
  <si>
    <t xml:space="preserve">         98K            98K            70K</t>
  </si>
  <si>
    <t>305,205</t>
  </si>
  <si>
    <t>29.10.2024 09:34:36</t>
  </si>
  <si>
    <t xml:space="preserve">         58K            58K             8K</t>
  </si>
  <si>
    <t>83.38%</t>
  </si>
  <si>
    <t xml:space="preserve">        612K           612K           537K</t>
  </si>
  <si>
    <t>-15.25%</t>
  </si>
  <si>
    <t>29.10.2024 07:52:49</t>
  </si>
  <si>
    <t xml:space="preserve">        925K             1M             1M</t>
  </si>
  <si>
    <t>0.001660</t>
  </si>
  <si>
    <t>-23.26%</t>
  </si>
  <si>
    <t>29.10.2024 05:18:42</t>
  </si>
  <si>
    <t xml:space="preserve">          3M             5M             7M</t>
  </si>
  <si>
    <t>104,615</t>
  </si>
  <si>
    <t>29.10.2024 05:01:29</t>
  </si>
  <si>
    <t xml:space="preserve">        169K           169K             4K</t>
  </si>
  <si>
    <t>-88.25%</t>
  </si>
  <si>
    <t>29.10.2024 04:54:27</t>
  </si>
  <si>
    <t xml:space="preserve">        378K           378K            20K</t>
  </si>
  <si>
    <t>69,876</t>
  </si>
  <si>
    <t>29.10.2024 03:28:41</t>
  </si>
  <si>
    <t xml:space="preserve">        251K           251K             5K</t>
  </si>
  <si>
    <t>240,309</t>
  </si>
  <si>
    <t>29.10.2024 02:41:23</t>
  </si>
  <si>
    <t xml:space="preserve">         74K            74K            66K</t>
  </si>
  <si>
    <t>7dDpUJTtxjeAQaQeoJqnL9wcLp2pQ2w9aXCYjaSApump</t>
  </si>
  <si>
    <t>210,638</t>
  </si>
  <si>
    <t>29.10.2024 01:47:39</t>
  </si>
  <si>
    <t xml:space="preserve">         81K            81K            65K</t>
  </si>
  <si>
    <t>16,764</t>
  </si>
  <si>
    <t>29.10.2024 00:24:56</t>
  </si>
  <si>
    <t>16,718</t>
  </si>
  <si>
    <t>28.10.2024 22:56:36</t>
  </si>
  <si>
    <t>217,150</t>
  </si>
  <si>
    <t>28.10.2024 22:54:33</t>
  </si>
  <si>
    <t>0.003900</t>
  </si>
  <si>
    <t>0.541 SOL</t>
  </si>
  <si>
    <t>419.85%</t>
  </si>
  <si>
    <t>28.10.2024 17:03:38</t>
  </si>
  <si>
    <t xml:space="preserve">          1M             4M           212K</t>
  </si>
  <si>
    <t>-78.59%</t>
  </si>
  <si>
    <t>28.10.2024 16:23:16</t>
  </si>
  <si>
    <t xml:space="preserve">        375K           375K            27K</t>
  </si>
  <si>
    <t>flavia</t>
  </si>
  <si>
    <t>4,506</t>
  </si>
  <si>
    <t>28.10.2024 16:04:55</t>
  </si>
  <si>
    <t xml:space="preserve">          3M             3M             1M</t>
  </si>
  <si>
    <t>3HYx6a9whu5a4dnzE62WNXg46MrEmu9LFxutR2YBpump</t>
  </si>
  <si>
    <t>60,800</t>
  </si>
  <si>
    <t>28.10.2024 14:29:50</t>
  </si>
  <si>
    <t xml:space="preserve">        526K           642K            14K</t>
  </si>
  <si>
    <t>-48.41%</t>
  </si>
  <si>
    <t>28.10.2024 13:06:56</t>
  </si>
  <si>
    <t xml:space="preserve">        176K             1M            19K</t>
  </si>
  <si>
    <t>12,205</t>
  </si>
  <si>
    <t>28.10.2024 12:11:59</t>
  </si>
  <si>
    <t>74,640</t>
  </si>
  <si>
    <t>28.10.2024 12:09:38</t>
  </si>
  <si>
    <t xml:space="preserve">        236K           236K             6K</t>
  </si>
  <si>
    <t>61,800</t>
  </si>
  <si>
    <t>28.10.2024 11:39:57</t>
  </si>
  <si>
    <t xml:space="preserve">        285K           285K             5K</t>
  </si>
  <si>
    <t>TIGR</t>
  </si>
  <si>
    <t>289,635</t>
  </si>
  <si>
    <t>28.10.2024 11:24:21</t>
  </si>
  <si>
    <t xml:space="preserve">         63K            63K            43K</t>
  </si>
  <si>
    <t>BT9Uimd7a6F7ezdBRVv9VveCCRrRCEpAYdPnAdZQngg2</t>
  </si>
  <si>
    <t>TV</t>
  </si>
  <si>
    <t>28.10.2024 08:49:23</t>
  </si>
  <si>
    <t xml:space="preserve">         30K           345K            23K</t>
  </si>
  <si>
    <t>CLLNTfuCHWAfRzo7utGPcZ6qjcwkDrSVyPVywCUSpump</t>
  </si>
  <si>
    <t>88,874</t>
  </si>
  <si>
    <t>28.10.2024 08:12:05</t>
  </si>
  <si>
    <t xml:space="preserve">        199K           199K             5K</t>
  </si>
  <si>
    <t>99,504</t>
  </si>
  <si>
    <t>28.10.2024 07:27:38</t>
  </si>
  <si>
    <t>183,219</t>
  </si>
  <si>
    <t>28.10.2024 07:24:24</t>
  </si>
  <si>
    <t>76,877</t>
  </si>
  <si>
    <t>28.10.2024 07:17:06</t>
  </si>
  <si>
    <t xml:space="preserve">        114K           114K             9K</t>
  </si>
  <si>
    <t>45,024</t>
  </si>
  <si>
    <t>28.10.2024 07:10:23</t>
  </si>
  <si>
    <t xml:space="preserve">        195K           195K            10K</t>
  </si>
  <si>
    <t>0.028660</t>
  </si>
  <si>
    <t>117.37%</t>
  </si>
  <si>
    <t>28.10.2024 06:21:51</t>
  </si>
  <si>
    <t xml:space="preserve">          4M             1M             2M</t>
  </si>
  <si>
    <t>-81.17%</t>
  </si>
  <si>
    <t>28.10.2024 05:43:57</t>
  </si>
  <si>
    <t xml:space="preserve">        209K           394K            73K</t>
  </si>
  <si>
    <t>-49.08%</t>
  </si>
  <si>
    <t>28.10.2024 05:35:26</t>
  </si>
  <si>
    <t xml:space="preserve">          1M           772K            26K</t>
  </si>
  <si>
    <t>0.000150</t>
  </si>
  <si>
    <t>23.16%</t>
  </si>
  <si>
    <t>28.10.2024 04:26:45</t>
  </si>
  <si>
    <t xml:space="preserve">         69K           410K            39K</t>
  </si>
  <si>
    <t>12,662</t>
  </si>
  <si>
    <t>28.10.2024 04:15:00</t>
  </si>
  <si>
    <t xml:space="preserve">        694K           694K             5K</t>
  </si>
  <si>
    <t>21,406</t>
  </si>
  <si>
    <t>28.10.2024 02:06:07</t>
  </si>
  <si>
    <t xml:space="preserve">        412K           412K            86K</t>
  </si>
  <si>
    <t>31,807</t>
  </si>
  <si>
    <t>27.10.2024 23:36:41</t>
  </si>
  <si>
    <t xml:space="preserve">        276K           276K             5K</t>
  </si>
  <si>
    <t>-0.101 SOL</t>
  </si>
  <si>
    <t>59,705</t>
  </si>
  <si>
    <t>27.10.2024 23:33:48</t>
  </si>
  <si>
    <t xml:space="preserve">        294K           294K             7K</t>
  </si>
  <si>
    <t>weird</t>
  </si>
  <si>
    <t>390,950</t>
  </si>
  <si>
    <t>27.10.2024 15:39:26</t>
  </si>
  <si>
    <t xml:space="preserve">         46K            46K            40K</t>
  </si>
  <si>
    <t>H1zYEdUuLfDxCw5pnUdp7UhmquFWNAeNiToNiTirpump</t>
  </si>
  <si>
    <t>0.002210</t>
  </si>
  <si>
    <t>-47.26%</t>
  </si>
  <si>
    <t>27.10.2024 15:32:43</t>
  </si>
  <si>
    <t xml:space="preserve">          2M             2M            58K</t>
  </si>
  <si>
    <t>mindtrials</t>
  </si>
  <si>
    <t>-87.28%</t>
  </si>
  <si>
    <t>27.10.2024 12:52:49</t>
  </si>
  <si>
    <t xml:space="preserve">         90K            11K             6K</t>
  </si>
  <si>
    <t>5v5LQ5yUwq7fCemBthZsSWEanPFV1u7gnvSfHndxpump</t>
  </si>
  <si>
    <t>0.002280</t>
  </si>
  <si>
    <t>52.22%</t>
  </si>
  <si>
    <t>27.10.2024 12:50:48</t>
  </si>
  <si>
    <t xml:space="preserve">          2M            15M           940K</t>
  </si>
  <si>
    <t>0.435 SOL</t>
  </si>
  <si>
    <t>607.46%</t>
  </si>
  <si>
    <t>27.10.2024 11:07:59</t>
  </si>
  <si>
    <t>NuCouché</t>
  </si>
  <si>
    <t>41,305</t>
  </si>
  <si>
    <t>27.10.2024 06:55:06</t>
  </si>
  <si>
    <t xml:space="preserve">        297K           297K            14K</t>
  </si>
  <si>
    <t>9rLGTvxXEhhdyZtJA34pFV21oZhsi3MRho9hv54vpump</t>
  </si>
  <si>
    <t>44,935</t>
  </si>
  <si>
    <t>26.10.2024 15:40:41</t>
  </si>
  <si>
    <t xml:space="preserve">        274K           274K             5K</t>
  </si>
  <si>
    <t>0.036 SOL</t>
  </si>
  <si>
    <t>-48.86%</t>
  </si>
  <si>
    <t>26.10.2024 04:25:43</t>
  </si>
  <si>
    <t xml:space="preserve">        253K           700K             7K</t>
  </si>
  <si>
    <t>73,133</t>
  </si>
  <si>
    <t>26.10.2024 02:50:34</t>
  </si>
  <si>
    <t>CGQXaDugWMhqdF9hFa1wyTPh5imtr9XSjMq31h8jpump</t>
  </si>
  <si>
    <t>3,491</t>
  </si>
  <si>
    <t>25.10.2024 09:07:14</t>
  </si>
  <si>
    <t xml:space="preserve">          3M             3M             4M</t>
  </si>
  <si>
    <t>25.10.2024 08:58:06</t>
  </si>
  <si>
    <t xml:space="preserve">        151K           135K            52K</t>
  </si>
  <si>
    <t>-51.34%</t>
  </si>
  <si>
    <t xml:space="preserve">          1M           577K           191K</t>
  </si>
  <si>
    <t>25.10.2024 08:43:22</t>
  </si>
  <si>
    <t xml:space="preserve">         91K           190K            10K</t>
  </si>
  <si>
    <t>-35.97%</t>
  </si>
  <si>
    <t>25.10.2024 08:42:23</t>
  </si>
  <si>
    <t xml:space="preserve">        519K           332K           295K</t>
  </si>
  <si>
    <t>10,265</t>
  </si>
  <si>
    <t>25.10.2024 07:52:42</t>
  </si>
  <si>
    <t xml:space="preserve">        856K           856K            12K</t>
  </si>
  <si>
    <t>29,937</t>
  </si>
  <si>
    <t>25.10.2024 07:15:51</t>
  </si>
  <si>
    <t xml:space="preserve">        294K           294K            10K</t>
  </si>
  <si>
    <t>NOOS</t>
  </si>
  <si>
    <t>94,921</t>
  </si>
  <si>
    <t>25.10.2024 06:54:37</t>
  </si>
  <si>
    <t xml:space="preserve">        130K           130K            12K</t>
  </si>
  <si>
    <t>4h4mKWJDruzj3EwccJbNcwsnwRAmKqph6uVRmVqqpump</t>
  </si>
  <si>
    <t>23,717</t>
  </si>
  <si>
    <t>25.10.2024 05:19:57</t>
  </si>
  <si>
    <t xml:space="preserve">        371K           371K             4K</t>
  </si>
  <si>
    <t>0.003110</t>
  </si>
  <si>
    <t>26.62%</t>
  </si>
  <si>
    <t>25.10.2024 05:16:58</t>
  </si>
  <si>
    <t xml:space="preserve">        144K           761K            10K</t>
  </si>
  <si>
    <t>181,910</t>
  </si>
  <si>
    <t>25.10.2024 02:03:21</t>
  </si>
  <si>
    <t xml:space="preserve">         47K            47K             3K</t>
  </si>
  <si>
    <t>0.005480</t>
  </si>
  <si>
    <t>-0.179 SOL</t>
  </si>
  <si>
    <t>-47.66%</t>
  </si>
  <si>
    <t>25.10.2024 01:47:26</t>
  </si>
  <si>
    <t xml:space="preserve">          2M             5M           183K</t>
  </si>
  <si>
    <t>AIBO</t>
  </si>
  <si>
    <t>25.10.2024 00:25:35</t>
  </si>
  <si>
    <t xml:space="preserve">        707K            51K            13K</t>
  </si>
  <si>
    <t>GWRUv7ptKpsj42PmnZeUoLBLfyx1TzPTx6oAZ6uKpump</t>
  </si>
  <si>
    <t>0.140 SOL</t>
  </si>
  <si>
    <t>35,270</t>
  </si>
  <si>
    <t>25.10.2024 00:21:51</t>
  </si>
  <si>
    <t xml:space="preserve">        772K           637K           219K</t>
  </si>
  <si>
    <t>256,457</t>
  </si>
  <si>
    <t>24.10.2024 21:02:25</t>
  </si>
  <si>
    <t xml:space="preserve">         45K            45K           170K</t>
  </si>
  <si>
    <t>Dx7ov1L9fbALFLdLkuvw9e4f98vSuMMMfPUhXxE6pump</t>
  </si>
  <si>
    <t>COT</t>
  </si>
  <si>
    <t xml:space="preserve">        209K           209K             7K</t>
  </si>
  <si>
    <t>4NJg5b3YSyj1rapAmyqmJoT3eamQFL1AZFiH4Wfrpump</t>
  </si>
  <si>
    <t>fun</t>
  </si>
  <si>
    <t>0.002110</t>
  </si>
  <si>
    <t>-99.98%</t>
  </si>
  <si>
    <t>22.10.2024 19:15:09</t>
  </si>
  <si>
    <t xml:space="preserve">         14M            14M           339K</t>
  </si>
  <si>
    <t>9MnKTgwFyXJgnZumHGT9NdHuzm98ACjkNwpLniLhpump</t>
  </si>
  <si>
    <t>29,932</t>
  </si>
  <si>
    <t>22.10.2024 18:29:02</t>
  </si>
  <si>
    <t xml:space="preserve">        264K           264K            30K</t>
  </si>
  <si>
    <t>-0.042 SOL</t>
  </si>
  <si>
    <t>-73.93%</t>
  </si>
  <si>
    <t>22.10.2024 18:28:23</t>
  </si>
  <si>
    <t>DBF</t>
  </si>
  <si>
    <t>0.017 SOL</t>
  </si>
  <si>
    <t>-64.11%</t>
  </si>
  <si>
    <t>22.10.2024 18:04:46</t>
  </si>
  <si>
    <t xml:space="preserve">         46K            18K             3K</t>
  </si>
  <si>
    <t>FpMmo9VWStbF6zSHbJowY8LQ1Hfsg71EeZABx7gPpump</t>
  </si>
  <si>
    <t>WTS</t>
  </si>
  <si>
    <t>157,057</t>
  </si>
  <si>
    <t>22.10.2024 17:58:43</t>
  </si>
  <si>
    <t xml:space="preserve">         77K            77K             3K</t>
  </si>
  <si>
    <t>gEYeViaxCmj48fF7rjSRotsRio4rH9fNxvsMtRgpump</t>
  </si>
  <si>
    <t>cum</t>
  </si>
  <si>
    <t>638,021</t>
  </si>
  <si>
    <t>22.10.2024 17:47:55</t>
  </si>
  <si>
    <t>9aYoJv9G3qoyxdfENskwbcRpo6V7Hg9JtG7WKu9Fpump</t>
  </si>
  <si>
    <t>BABEL</t>
  </si>
  <si>
    <t>-71.89%</t>
  </si>
  <si>
    <t>22.10.2024 17:40:15</t>
  </si>
  <si>
    <t xml:space="preserve">        135K            40K             4K</t>
  </si>
  <si>
    <t>DVvaDPo7TsbrMkK9ndXxzwymfEKP3v7XLtduD8rzpump</t>
  </si>
  <si>
    <t>183</t>
  </si>
  <si>
    <t>22.10.2024 14:00:06</t>
  </si>
  <si>
    <t xml:space="preserve">        107M            73M             4M</t>
  </si>
  <si>
    <t>microdick</t>
  </si>
  <si>
    <t>1,100,584</t>
  </si>
  <si>
    <t>22.10.2024 07:17:21</t>
  </si>
  <si>
    <t>6Md4uTZEZvrwuCHhiwi4fqeiMvGPVcN8UqoGwcijpump</t>
  </si>
  <si>
    <t>19,845</t>
  </si>
  <si>
    <t>22.10.2024 07:03:50</t>
  </si>
  <si>
    <t xml:space="preserve">        399K           399K             6K</t>
  </si>
  <si>
    <t>6MrSvzcHtfDhCjaQGdwGNkh5zuyox5CSLizBjPowpump</t>
  </si>
  <si>
    <t>Berry</t>
  </si>
  <si>
    <t>41,009</t>
  </si>
  <si>
    <t>21.10.2024 18:41:38</t>
  </si>
  <si>
    <t xml:space="preserve">        193K           193K            32K</t>
  </si>
  <si>
    <t>G1MYmjtKUPevNj9FFwfgHHKZGGyqNpJZwayDtSDApump</t>
  </si>
  <si>
    <t>35,631</t>
  </si>
  <si>
    <t>21.10.2024 17:45:38</t>
  </si>
  <si>
    <t xml:space="preserve">        222K           222K            14K</t>
  </si>
  <si>
    <t>slept</t>
  </si>
  <si>
    <t>993,753</t>
  </si>
  <si>
    <t>21.10.2024 16:50:50</t>
  </si>
  <si>
    <t>8ynibJvTd3xevQegCpZfUwTfY8m9vSMKofZfvPBCpump</t>
  </si>
  <si>
    <t>ml5.js</t>
  </si>
  <si>
    <t>-69.32%</t>
  </si>
  <si>
    <t>21.10.2024 16:49:48</t>
  </si>
  <si>
    <t xml:space="preserve">         63K            21K             3K</t>
  </si>
  <si>
    <t>65qBqd6Y2zxh7yxer4rGyvZtTstoEKBFzzB4DiShpump</t>
  </si>
  <si>
    <t>GAN</t>
  </si>
  <si>
    <t>-51.23%</t>
  </si>
  <si>
    <t>21.10.2024 16:47:31</t>
  </si>
  <si>
    <t xml:space="preserve">         70K            35K             4K</t>
  </si>
  <si>
    <t>ESvMjF5EHH5w6sMFfQL2uxryjYy23nM1eq1QixiHpump</t>
  </si>
  <si>
    <t>ml5js</t>
  </si>
  <si>
    <t>1,117,376</t>
  </si>
  <si>
    <t>21.10.2024 16:47:09</t>
  </si>
  <si>
    <t>2fT5AxEe71pfd1E9ZbnD57z7FmHp47Et27tWoMw3pump</t>
  </si>
  <si>
    <t>FINCEN</t>
  </si>
  <si>
    <t>-58.01%</t>
  </si>
  <si>
    <t>21.10.2024 16:36:01</t>
  </si>
  <si>
    <t>CM5Y2mwfgM1V3WTSBjLHvDdP1sg6veKRcXHTKvUgeXS2</t>
  </si>
  <si>
    <t>Xeno</t>
  </si>
  <si>
    <t>21.10.2024 16:25:26</t>
  </si>
  <si>
    <t xml:space="preserve">         23K            25K             5K</t>
  </si>
  <si>
    <t>5p5yfD3Vsbj1Azyu6wm4FeungfreoYHtKnSJEkfNpump</t>
  </si>
  <si>
    <t>VINNIE</t>
  </si>
  <si>
    <t>-58.25%</t>
  </si>
  <si>
    <t>21.10.2024 16:06:50</t>
  </si>
  <si>
    <t xml:space="preserve">         23K            11K             3K</t>
  </si>
  <si>
    <t>4uGNQRS1bptMqQTwGQfgkbRGQdCpa9uQEbd9pjNbpump</t>
  </si>
  <si>
    <t>Firebrand</t>
  </si>
  <si>
    <t>-27.83%</t>
  </si>
  <si>
    <t>21.10.2024 16:01:25</t>
  </si>
  <si>
    <t>5odfq4evsiYS1mibgYAaqXADgw6BwKd7hjuw88Yfpump</t>
  </si>
  <si>
    <t>1M</t>
  </si>
  <si>
    <t>0.009040</t>
  </si>
  <si>
    <t>6.63%</t>
  </si>
  <si>
    <t>20.10.2024 23:57:42</t>
  </si>
  <si>
    <t xml:space="preserve">         56K            23K             6K</t>
  </si>
  <si>
    <t>AAjQg4nMtj2SLRp76LAmGhorppAiRoRbfDwJe4E9pump</t>
  </si>
  <si>
    <t>Tororo</t>
  </si>
  <si>
    <t>0.001520</t>
  </si>
  <si>
    <t>-59.69%</t>
  </si>
  <si>
    <t>20.10.2024 23:55:58</t>
  </si>
  <si>
    <t xml:space="preserve">        126K            53K             5K</t>
  </si>
  <si>
    <t>4aevY6cXVMEAnA69QMTD87FMdSvTnG2EuvxGEJwopump</t>
  </si>
  <si>
    <t>LIVECAT</t>
  </si>
  <si>
    <t>261,775</t>
  </si>
  <si>
    <t>20.10.2024 23:51:33</t>
  </si>
  <si>
    <t xml:space="preserve">         30K            30K             4K</t>
  </si>
  <si>
    <t>5gjsz1SyUV3PrzuQ2CK6V9qFeZGqduCnogwQb1bNNMfQ</t>
  </si>
  <si>
    <t>PAPER</t>
  </si>
  <si>
    <t>41,072</t>
  </si>
  <si>
    <t>20.10.2024 20:54:08</t>
  </si>
  <si>
    <t xml:space="preserve">        194K           194K            32K</t>
  </si>
  <si>
    <t>4wk18LmWAz3eoieqjchMDkcmDNfTrwip4NUrMaTcpump</t>
  </si>
  <si>
    <t>8Bcagz4nrPv3j6iNzPfGL3vvGWRpACgyx3FXv137ZBeE</t>
  </si>
  <si>
    <t>30.37 SOL</t>
  </si>
  <si>
    <t>2.73 SOL</t>
  </si>
  <si>
    <t>1 (1%)</t>
  </si>
  <si>
    <t>88 days</t>
  </si>
  <si>
    <t>48%</t>
  </si>
  <si>
    <t>46.69 SOL</t>
  </si>
  <si>
    <t>286</t>
  </si>
  <si>
    <t>1.9 SOL</t>
  </si>
  <si>
    <t>1.1%</t>
  </si>
  <si>
    <t>6.5%</t>
  </si>
  <si>
    <t>3.2%</t>
  </si>
  <si>
    <t>7.5%</t>
  </si>
  <si>
    <t>77.4%</t>
  </si>
  <si>
    <t>18.4 SOL</t>
  </si>
  <si>
    <t>34.3 SOL</t>
  </si>
  <si>
    <t>-2.4 SOL</t>
  </si>
  <si>
    <t>-56.7 SOL</t>
  </si>
  <si>
    <t>30</t>
  </si>
  <si>
    <t>48.5K</t>
  </si>
  <si>
    <t>891,325</t>
  </si>
  <si>
    <t>30.10.2024 19:12:06</t>
  </si>
  <si>
    <t xml:space="preserve">         95K           371K           777K</t>
  </si>
  <si>
    <t>0.012120</t>
  </si>
  <si>
    <t>4.218 SOL</t>
  </si>
  <si>
    <t>40.03%</t>
  </si>
  <si>
    <t>30.10.2024 19:03:43</t>
  </si>
  <si>
    <t>0.011840</t>
  </si>
  <si>
    <t>79.73%</t>
  </si>
  <si>
    <t>30.10.2024 18:20:19</t>
  </si>
  <si>
    <t xml:space="preserve">        213K            32K            33K</t>
  </si>
  <si>
    <t>spaces</t>
  </si>
  <si>
    <t>3,543,041</t>
  </si>
  <si>
    <t>30.10.2024 17:16:13</t>
  </si>
  <si>
    <t>8Y79hdj5ypjqaqC64KNdfyTbzM4Yzx7aoono6Y4Bpump</t>
  </si>
  <si>
    <t>CRYSTALS</t>
  </si>
  <si>
    <t>0.011200</t>
  </si>
  <si>
    <t>0.459 SOL</t>
  </si>
  <si>
    <t>-0.469 SOL</t>
  </si>
  <si>
    <t>-99.68%</t>
  </si>
  <si>
    <t>30.10.2024 17:12:31</t>
  </si>
  <si>
    <t xml:space="preserve">         37K           N/A             6K</t>
  </si>
  <si>
    <t>9WnwzfYZbjfdJsm1s81Vn9rSV7THiKBNnhAyGBMCpump</t>
  </si>
  <si>
    <t>MRBEAST</t>
  </si>
  <si>
    <t>0.012080</t>
  </si>
  <si>
    <t>-0.158 SOL</t>
  </si>
  <si>
    <t>-30.89%</t>
  </si>
  <si>
    <t>30.10.2024 15:22:00</t>
  </si>
  <si>
    <t xml:space="preserve">        181K           132K            15K</t>
  </si>
  <si>
    <t>54DMrvFXRR6yNXum3gSCLcSi9ebTGpJ5ZLFUWmN1pump</t>
  </si>
  <si>
    <t>0.060510</t>
  </si>
  <si>
    <t>10.905 SOL</t>
  </si>
  <si>
    <t>35.493 SOL</t>
  </si>
  <si>
    <t>24.527 SOL</t>
  </si>
  <si>
    <t>223.67%</t>
  </si>
  <si>
    <t>30.10.2024 15:16:22</t>
  </si>
  <si>
    <t xml:space="preserve">          7M           234K             2M</t>
  </si>
  <si>
    <t>nuts</t>
  </si>
  <si>
    <t>0.011110</t>
  </si>
  <si>
    <t>0.809 SOL</t>
  </si>
  <si>
    <t>-99.81%</t>
  </si>
  <si>
    <t>30.10.2024 15:16:07</t>
  </si>
  <si>
    <t xml:space="preserve">         33K            29K             6K</t>
  </si>
  <si>
    <t>3KSCJ2q24r3V4o7QQogS2ZudH1UYuvyG5tG8DLCPpump</t>
  </si>
  <si>
    <t>BFSSFG</t>
  </si>
  <si>
    <t>3,157,014</t>
  </si>
  <si>
    <t>30.10.2024 12:47:55</t>
  </si>
  <si>
    <t>HYncrGAc1Sy99pKPk25TN8TzRWdn9UhAupc36NN3pump</t>
  </si>
  <si>
    <t>POPLUCE</t>
  </si>
  <si>
    <t>0.003470</t>
  </si>
  <si>
    <t>-0.311 SOL</t>
  </si>
  <si>
    <t>1,090,028</t>
  </si>
  <si>
    <t>30.10.2024 12:42:18</t>
  </si>
  <si>
    <t>7unDnL6fe56tDj5N7dfuSfPs6bMjd67qkA8djL2dMKRd</t>
  </si>
  <si>
    <t>Mewssiah</t>
  </si>
  <si>
    <t>0.007610</t>
  </si>
  <si>
    <t>-0.413 SOL</t>
  </si>
  <si>
    <t>4,094,413</t>
  </si>
  <si>
    <t>29.10.2024 17:33:36</t>
  </si>
  <si>
    <t xml:space="preserve">         18K            16K             3K</t>
  </si>
  <si>
    <t>GMkExiTnMSrnS1KtYgpd7uVypCwdztjMptkazhJWpump</t>
  </si>
  <si>
    <t>0.007580</t>
  </si>
  <si>
    <t>1,121,860</t>
  </si>
  <si>
    <t>29.10.2024 14:56:10</t>
  </si>
  <si>
    <t xml:space="preserve">         56K            72K             6K</t>
  </si>
  <si>
    <t>7D8SUkWfN5j3bMUaawkhXvg41iKGNXzWaWf1q3y5pump</t>
  </si>
  <si>
    <t>tungus</t>
  </si>
  <si>
    <t>0.046330</t>
  </si>
  <si>
    <t>2.628 SOL</t>
  </si>
  <si>
    <t>-2.658 SOL</t>
  </si>
  <si>
    <t>-99.38%</t>
  </si>
  <si>
    <t>29.10.2024 14:35:26</t>
  </si>
  <si>
    <t xml:space="preserve">          9K            14K             6K</t>
  </si>
  <si>
    <t>4yNtYQFKJqSN1biPwuHazfgBtFrzJNF2SBZRbcXDpump</t>
  </si>
  <si>
    <t>RURIK</t>
  </si>
  <si>
    <t>0.003780</t>
  </si>
  <si>
    <t>211,114</t>
  </si>
  <si>
    <t>29.10.2024 09:52:06</t>
  </si>
  <si>
    <t xml:space="preserve">        208K           208K             6K</t>
  </si>
  <si>
    <t>HEYEkK75ZTh5CBbozwWbxJBsjUVygtzuetCxXUjmpump</t>
  </si>
  <si>
    <t>0.013310</t>
  </si>
  <si>
    <t>-1.025 SOL</t>
  </si>
  <si>
    <t>3,461,479</t>
  </si>
  <si>
    <t>29.10.2024 06:34:59</t>
  </si>
  <si>
    <t xml:space="preserve">         62K            53K             4K</t>
  </si>
  <si>
    <t>GVsE4s9878ZR79RhezEDPq1osWbVAM66TBjQQH9Upump</t>
  </si>
  <si>
    <t>FNCP</t>
  </si>
  <si>
    <t>0.003360</t>
  </si>
  <si>
    <t>283,930</t>
  </si>
  <si>
    <t>29.10.2024 05:39:06</t>
  </si>
  <si>
    <t xml:space="preserve">        619K           619K           533K</t>
  </si>
  <si>
    <t>A6bCsh37hM4FybN4MXstnup6WEcichSQNK8AGvXDpump</t>
  </si>
  <si>
    <t>Satan</t>
  </si>
  <si>
    <t>0.205 SOL</t>
  </si>
  <si>
    <t>796,286</t>
  </si>
  <si>
    <t>29.10.2024 04:43:33</t>
  </si>
  <si>
    <t xml:space="preserve">         46K            46K             6K</t>
  </si>
  <si>
    <t>3rGiyMoWPz9HHoovJV2QmuGpHRwvWz9e6BkedqsQpump</t>
  </si>
  <si>
    <t>0.028770</t>
  </si>
  <si>
    <t>2.611 SOL</t>
  </si>
  <si>
    <t>4.520 SOL</t>
  </si>
  <si>
    <t>1.880 SOL</t>
  </si>
  <si>
    <t>71.23%</t>
  </si>
  <si>
    <t>28.10.2024 16:57:19</t>
  </si>
  <si>
    <t xml:space="preserve">        762K           201K            40K</t>
  </si>
  <si>
    <t>71gSnDo5vqite4mVpbKnaqoa6FsuXpamn8jCYZsApump</t>
  </si>
  <si>
    <t>JohnAI</t>
  </si>
  <si>
    <t>0.003120</t>
  </si>
  <si>
    <t>2,027,953</t>
  </si>
  <si>
    <t>28.10.2024 16:54:05</t>
  </si>
  <si>
    <t xml:space="preserve">         18K            18K            22K</t>
  </si>
  <si>
    <t>3WbARz9yrrPeNvxYTAqodqgmxsTS1fceKcuzep2Apump</t>
  </si>
  <si>
    <t>Anubis</t>
  </si>
  <si>
    <t>0.006440</t>
  </si>
  <si>
    <t>1,992,945</t>
  </si>
  <si>
    <t>28.10.2024 16:40:58</t>
  </si>
  <si>
    <t xml:space="preserve">         37K            60K             4K</t>
  </si>
  <si>
    <t>7k7ZFwkFd4TMxLiodCvnXgL9CTBjrjeh2wFH3Mwhpump</t>
  </si>
  <si>
    <t>pump.kin</t>
  </si>
  <si>
    <t>-0.322 SOL</t>
  </si>
  <si>
    <t>1,316,854</t>
  </si>
  <si>
    <t>28.10.2024 09:44:14</t>
  </si>
  <si>
    <t xml:space="preserve">         40K            46K             5K</t>
  </si>
  <si>
    <t>GNVmt2PcTx9Tx7XvocwmfMN7T8vcsyqzhVM9YkU8pump</t>
  </si>
  <si>
    <t>snat</t>
  </si>
  <si>
    <t>0.021500</t>
  </si>
  <si>
    <t>-1.445 SOL</t>
  </si>
  <si>
    <t>17,295,185</t>
  </si>
  <si>
    <t>28.10.2024 08:25:55</t>
  </si>
  <si>
    <t xml:space="preserve">         23K            19K             6K</t>
  </si>
  <si>
    <t>8LN9r6BvpJ39MA1JrTrn3WmEi7BSiqPGnnsMGBScpump</t>
  </si>
  <si>
    <t>Bumps</t>
  </si>
  <si>
    <t>0.003160</t>
  </si>
  <si>
    <t>2,852,452</t>
  </si>
  <si>
    <t>28.10.2024 06:23:20</t>
  </si>
  <si>
    <t>Zw4DsMYU6rFopJzuLTfZ1z5HzFsPfVvUQjD7Ymipump</t>
  </si>
  <si>
    <t>$WCG</t>
  </si>
  <si>
    <t>2,942,179</t>
  </si>
  <si>
    <t>28.10.2024 06:19:36</t>
  </si>
  <si>
    <t>6FiwqcM3PGPzWZXPJ6bQdiXRe3Ht9Ln7Axfp9u7Lpump</t>
  </si>
  <si>
    <t>LEGOAT</t>
  </si>
  <si>
    <t>0.006920</t>
  </si>
  <si>
    <t>290,964</t>
  </si>
  <si>
    <t>28.10.2024 06:14:03</t>
  </si>
  <si>
    <t xml:space="preserve">        302K           290K             3K</t>
  </si>
  <si>
    <t>6Yy5JBkrx6KFgpPZ2iibbk1kHfmS2wAS3sxVjCN2pump</t>
  </si>
  <si>
    <t>ALMEHEIA</t>
  </si>
  <si>
    <t>2,448,146</t>
  </si>
  <si>
    <t>28.10.2024 06:08:10</t>
  </si>
  <si>
    <t>FqhbBvtSWipC3G1HxSatyw9MgkHz95ghRHYwzg2Npump</t>
  </si>
  <si>
    <t>$LEMONC</t>
  </si>
  <si>
    <t>0.209 SOL</t>
  </si>
  <si>
    <t>-0.214 SOL</t>
  </si>
  <si>
    <t>800,557</t>
  </si>
  <si>
    <t>28.10.2024 05:46:37</t>
  </si>
  <si>
    <t>2pF3JytGUKjWJYKWWok2a7BXjs3bPU3jFNnroZGvpump</t>
  </si>
  <si>
    <t>riku</t>
  </si>
  <si>
    <t>0.257 SOL</t>
  </si>
  <si>
    <t>934,417</t>
  </si>
  <si>
    <t>28.10.2024 05:31:14</t>
  </si>
  <si>
    <t>AVck6g2Fphw11drNTQisSxwvr5gER2iy78QiEJEVpump</t>
  </si>
  <si>
    <t>ENIGMA</t>
  </si>
  <si>
    <t>0.003330</t>
  </si>
  <si>
    <t>1,311,551</t>
  </si>
  <si>
    <t>28.10.2024 05:27:27</t>
  </si>
  <si>
    <t xml:space="preserve">        134K           134K             3K</t>
  </si>
  <si>
    <t>9vmHXuQa6qom7HLWphuJKTX5NSSy7PPWPuJBeENapump</t>
  </si>
  <si>
    <t>0.013780</t>
  </si>
  <si>
    <t>-0.830 SOL</t>
  </si>
  <si>
    <t>6,092,461</t>
  </si>
  <si>
    <t>28.10.2024 03:23:56</t>
  </si>
  <si>
    <t xml:space="preserve">         16K            37K             6K</t>
  </si>
  <si>
    <t>Yessir</t>
  </si>
  <si>
    <t>0.000650</t>
  </si>
  <si>
    <t>0.303 SOL</t>
  </si>
  <si>
    <t>-19.37%</t>
  </si>
  <si>
    <t>28.10.2024 03:02:42</t>
  </si>
  <si>
    <t>BCy9LVkt3LHWWLbrM4uF7BqoxyB6eMVJjnu1Jp9Ypump</t>
  </si>
  <si>
    <t>RNV</t>
  </si>
  <si>
    <t>20,175,776</t>
  </si>
  <si>
    <t>27.10.2024 05:21:44</t>
  </si>
  <si>
    <t>5bkinx88vGPcYghbGEJ1sPDzatJghoMCddWPZfk4pump</t>
  </si>
  <si>
    <t>Crashout</t>
  </si>
  <si>
    <t>-2.001 SOL</t>
  </si>
  <si>
    <t>364,859</t>
  </si>
  <si>
    <t>26.10.2024 03:38:32</t>
  </si>
  <si>
    <t xml:space="preserve">        964K           964K           937K</t>
  </si>
  <si>
    <t>6JGSHS9GrE9uG8ix63w3DPMYHrgrJ6J4QyHbBhAepump</t>
  </si>
  <si>
    <t>-2.701 SOL</t>
  </si>
  <si>
    <t>1,287,006</t>
  </si>
  <si>
    <t>25.10.2024 15:46:22</t>
  </si>
  <si>
    <t xml:space="preserve">        394K           207K             9K</t>
  </si>
  <si>
    <t>7CdD3XftGt4vFkkRshJPLPQeKmgnQ4RrE6Cvrrnjpump</t>
  </si>
  <si>
    <t>SUNOO</t>
  </si>
  <si>
    <t>0.002820</t>
  </si>
  <si>
    <t>239.65%</t>
  </si>
  <si>
    <t>25.10.2024 13:17:55</t>
  </si>
  <si>
    <t xml:space="preserve">         49K           127K            18K</t>
  </si>
  <si>
    <t>BxBReZ7gTa4HBC29A3KtmsjqnobvRu9g59gBMbTUpump</t>
  </si>
  <si>
    <t>Iceberg</t>
  </si>
  <si>
    <t>0.004720</t>
  </si>
  <si>
    <t>1.875 SOL</t>
  </si>
  <si>
    <t>0.730 SOL</t>
  </si>
  <si>
    <t>-1.150 SOL</t>
  </si>
  <si>
    <t>-61.15%</t>
  </si>
  <si>
    <t>25.10.2024 13:17:41</t>
  </si>
  <si>
    <t xml:space="preserve">         74K            28K             6K</t>
  </si>
  <si>
    <t>DyvXbodEXuM4Uv9WR6GymGB9fwBakwe6R6g1dcfKpump</t>
  </si>
  <si>
    <t>Ozzy</t>
  </si>
  <si>
    <t>-0.252 SOL</t>
  </si>
  <si>
    <t>-99.82%</t>
  </si>
  <si>
    <t>25.10.2024 12:11:33</t>
  </si>
  <si>
    <t xml:space="preserve">         37K           N/A             5K</t>
  </si>
  <si>
    <t>6yuBDMtZXB2uif5xWcZQ2kNeJmCy7kC3VC4PsfGt8paN</t>
  </si>
  <si>
    <t>-0.304 SOL</t>
  </si>
  <si>
    <t>2,501,105</t>
  </si>
  <si>
    <t>25.10.2024 12:05:22</t>
  </si>
  <si>
    <t>0.003590</t>
  </si>
  <si>
    <t>8.141 SOL</t>
  </si>
  <si>
    <t>6.637 SOL</t>
  </si>
  <si>
    <t>441.42%</t>
  </si>
  <si>
    <t>25.10.2024 11:58:01</t>
  </si>
  <si>
    <t xml:space="preserve">         28K            42K            32K</t>
  </si>
  <si>
    <t>0.411 SOL</t>
  </si>
  <si>
    <t>2,583,517</t>
  </si>
  <si>
    <t>25.10.2024 11:40:07</t>
  </si>
  <si>
    <t>Mello</t>
  </si>
  <si>
    <t>-0.551 SOL</t>
  </si>
  <si>
    <t>18,281,591</t>
  </si>
  <si>
    <t>25.10.2024 11:33:47</t>
  </si>
  <si>
    <t>G2gwDJDdtDTJyZ97GPBevq4HFMgXqbAxr7Eq1LTdpump</t>
  </si>
  <si>
    <t>LILSEB</t>
  </si>
  <si>
    <t>7,456,538</t>
  </si>
  <si>
    <t>25.10.2024 11:31:03</t>
  </si>
  <si>
    <t>BAVqZDmoTugkZQpJfvoAoWJrhKPF4d4p45FcK8uCpump</t>
  </si>
  <si>
    <t>pintinho</t>
  </si>
  <si>
    <t>0.000640</t>
  </si>
  <si>
    <t>1,951,813</t>
  </si>
  <si>
    <t>25.10.2024 11:09:18</t>
  </si>
  <si>
    <t>ASKsum5CRMwf6NcX7jt9MQy9zt7hNp66dF6p2p37pump</t>
  </si>
  <si>
    <t>MUUDUNG</t>
  </si>
  <si>
    <t>1,467,120</t>
  </si>
  <si>
    <t>25.10.2024 10:48:54</t>
  </si>
  <si>
    <t>4G5uGScFqxnoqNHjg98eKH4ZhCJBWB2nAsGUMqfwpump</t>
  </si>
  <si>
    <t>Sonnet3.5</t>
  </si>
  <si>
    <t>790,761</t>
  </si>
  <si>
    <t>25.10.2024 07:37:12</t>
  </si>
  <si>
    <t>GnUvqvSubPqa1b7JP3DHo33YTjRGyKLEaLufRjC7pump</t>
  </si>
  <si>
    <t>HORSEY</t>
  </si>
  <si>
    <t>0.000680</t>
  </si>
  <si>
    <t>-0.301 SOL</t>
  </si>
  <si>
    <t>588,986</t>
  </si>
  <si>
    <t>25.10.2024 04:29:02</t>
  </si>
  <si>
    <t xml:space="preserve">         90K            90K            53K</t>
  </si>
  <si>
    <t>ASzNqvpm61xuzBDqbup2ojfidjKuoZSBkM9ryuErpump</t>
  </si>
  <si>
    <t>ai16z</t>
  </si>
  <si>
    <t>0.001290</t>
  </si>
  <si>
    <t>-0.605 SOL</t>
  </si>
  <si>
    <t>1,853,247</t>
  </si>
  <si>
    <t>25.10.2024 04:21:49</t>
  </si>
  <si>
    <t>gfNfa7A2aJku4M9VPjk3CtVchPFdAoznTkX5fB4pump</t>
  </si>
  <si>
    <t>MPAT</t>
  </si>
  <si>
    <t>0.597 SOL</t>
  </si>
  <si>
    <t>0.293 SOL</t>
  </si>
  <si>
    <t>96.22%</t>
  </si>
  <si>
    <t>24.10.2024 18:27:18</t>
  </si>
  <si>
    <t xml:space="preserve">         39K            39K            23K</t>
  </si>
  <si>
    <t>5erQKZrsPgemDfuLVDMNcB4J85pPmDD78Zp1gsiWpump</t>
  </si>
  <si>
    <t>7.56%</t>
  </si>
  <si>
    <t>24.10.2024 16:54:59</t>
  </si>
  <si>
    <t xml:space="preserve">          2M           443K            21K</t>
  </si>
  <si>
    <t>FoeFu2gnaJpHXXbB4RKHTHAx1YZ4umgB7FTh7kc9pump</t>
  </si>
  <si>
    <t>EGREGOR</t>
  </si>
  <si>
    <t>0.014060</t>
  </si>
  <si>
    <t>2.309 SOL</t>
  </si>
  <si>
    <t>20.701 SOL</t>
  </si>
  <si>
    <t>18.378 SOL</t>
  </si>
  <si>
    <t>791.25%</t>
  </si>
  <si>
    <t>24.10.2024 16:21:51</t>
  </si>
  <si>
    <t xml:space="preserve">          1M            55K            18K</t>
  </si>
  <si>
    <t>43b2WtokZQTt8wJ2Z6xDvq3uaBcZPdp2bvxBXfg3pump</t>
  </si>
  <si>
    <t>McColi</t>
  </si>
  <si>
    <t>4,652,067</t>
  </si>
  <si>
    <t>24.10.2024 15:10:27</t>
  </si>
  <si>
    <t>BGtsquJNAJBtn4rPyJdXBETEwcDB9LFWAP2WQkKFpump</t>
  </si>
  <si>
    <t>TS</t>
  </si>
  <si>
    <t>0.000670</t>
  </si>
  <si>
    <t>1,335,936</t>
  </si>
  <si>
    <t>24.10.2024 14:15:20</t>
  </si>
  <si>
    <t>4XdoF4hbigy5nXxD7C3kfhAd8fwr8ysweNvjU7EEpump</t>
  </si>
  <si>
    <t>$TRIPPY</t>
  </si>
  <si>
    <t>4,783,387</t>
  </si>
  <si>
    <t>24.10.2024 14:13:57</t>
  </si>
  <si>
    <t>26w9vJnoycKVjGeTSqXWAEZ9fab1sqbTeeeR11fDpump</t>
  </si>
  <si>
    <t>Glebe</t>
  </si>
  <si>
    <t>4,434,575</t>
  </si>
  <si>
    <t>24.10.2024 13:48:48</t>
  </si>
  <si>
    <t>3iRtP1eEK8weWpwdMg1fuQ5d1F4HL6PwGuSLHqkfpump</t>
  </si>
  <si>
    <t>AGENTS</t>
  </si>
  <si>
    <t>0.002850</t>
  </si>
  <si>
    <t>-0.827 SOL</t>
  </si>
  <si>
    <t>-82.48%</t>
  </si>
  <si>
    <t>24.10.2024 13:33:20</t>
  </si>
  <si>
    <t xml:space="preserve">        151K            47K             4K</t>
  </si>
  <si>
    <t>9fNERHtBMBRUtCJS6GGkg1JMPhtkV1ko6vFUvMkipump</t>
  </si>
  <si>
    <t>GOATPEPE</t>
  </si>
  <si>
    <t>-1.005 SOL</t>
  </si>
  <si>
    <t>4,022,144</t>
  </si>
  <si>
    <t>24.10.2024 13:14:59</t>
  </si>
  <si>
    <t>E3Vr5iW1AaDYbBX7Ay7gxiMt8WZ2TGGLqENPRupeAaqd</t>
  </si>
  <si>
    <t>-0.506 SOL</t>
  </si>
  <si>
    <t>8,217,694</t>
  </si>
  <si>
    <t>24.10.2024 13:10:55</t>
  </si>
  <si>
    <t>2sMweSVcjaeHKcRCR2biWUBAbxhjw1NfbmAn456apump</t>
  </si>
  <si>
    <t>Kimberley</t>
  </si>
  <si>
    <t>0.003570</t>
  </si>
  <si>
    <t>-2.096 SOL</t>
  </si>
  <si>
    <t>-83.71%</t>
  </si>
  <si>
    <t>24.10.2024 12:46:30</t>
  </si>
  <si>
    <t xml:space="preserve">        106K            95K             4K</t>
  </si>
  <si>
    <t>KMBSmetWeNYrMV12GJ6zQHLj2tQAQ7pyxcXHiofHMAs</t>
  </si>
  <si>
    <t>Mark</t>
  </si>
  <si>
    <t>2,680,623</t>
  </si>
  <si>
    <t>24.10.2024 12:33:16</t>
  </si>
  <si>
    <t>EUuj8j5BiuxKaWyJPYsnt5yEuw7m1asEiA4Bjsmvpump</t>
  </si>
  <si>
    <t>0.005930</t>
  </si>
  <si>
    <t>23.30%</t>
  </si>
  <si>
    <t>24.10.2024 11:44:53</t>
  </si>
  <si>
    <t xml:space="preserve">         90K           141K             4K</t>
  </si>
  <si>
    <t>bop</t>
  </si>
  <si>
    <t>-0.503 SOL</t>
  </si>
  <si>
    <t>5,916,411</t>
  </si>
  <si>
    <t>24.10.2024 11:42:57</t>
  </si>
  <si>
    <t>Hgsbup8esL7ATAojF1zQ3uNqiuE5mHwy4TDpB5iEE4DU</t>
  </si>
  <si>
    <t>794,405</t>
  </si>
  <si>
    <t>24.10.2024 11:41:22</t>
  </si>
  <si>
    <t xml:space="preserve">        222K           222K             5K</t>
  </si>
  <si>
    <t>6g2AP3ufRzWj7FpGZDv2xVCWDCH3GrULqLi9Ha8npump</t>
  </si>
  <si>
    <t>-0.511 SOL</t>
  </si>
  <si>
    <t>1,989,686</t>
  </si>
  <si>
    <t>24.10.2024 11:30:23</t>
  </si>
  <si>
    <t>Ff6rTQ3RqJKogvpqcdvBmTcpYPFoAt2J6nBHtkJnpump</t>
  </si>
  <si>
    <t>0.002130</t>
  </si>
  <si>
    <t>2.669 SOL</t>
  </si>
  <si>
    <t>1.665 SOL</t>
  </si>
  <si>
    <t>166.02%</t>
  </si>
  <si>
    <t>24.10.2024 10:32:52</t>
  </si>
  <si>
    <t xml:space="preserve">          9M           788K             8M</t>
  </si>
  <si>
    <t>3DkVGaNSMTcxFkgGDAm299FaVxgnCw2411vxZTmRpump</t>
  </si>
  <si>
    <t>WOODFUK</t>
  </si>
  <si>
    <t>1,138,009</t>
  </si>
  <si>
    <t>24.10.2024 09:39:58</t>
  </si>
  <si>
    <t>BSLUXLbu56WkrUKjt4YWD6S1T1ytLSdfjPgRBAWipump</t>
  </si>
  <si>
    <t>riri</t>
  </si>
  <si>
    <t>0.001980</t>
  </si>
  <si>
    <t>24.10.2024 09:38:08</t>
  </si>
  <si>
    <t xml:space="preserve">         48K            51K             5K</t>
  </si>
  <si>
    <t>4ns4TUoGgZBUTi36V2ogWbiiueUNTTckMWbEejQapump</t>
  </si>
  <si>
    <t>SIGILS</t>
  </si>
  <si>
    <t>1,481,697</t>
  </si>
  <si>
    <t>24.10.2024 09:33:16</t>
  </si>
  <si>
    <t>Bpaw8Ysp2HCsjPgKC1yJScQLH6LjnX1ewmVJzfAapump</t>
  </si>
  <si>
    <t>0.001400</t>
  </si>
  <si>
    <t>-88.47%</t>
  </si>
  <si>
    <t>24.10.2024 09:08:57</t>
  </si>
  <si>
    <t xml:space="preserve">        209K           209K             5K</t>
  </si>
  <si>
    <t>6J9HJ4hQMcoKGfhwqCwA7fbGJs6VsgodDdLj5mHXpump</t>
  </si>
  <si>
    <t>Ollama</t>
  </si>
  <si>
    <t>1,053,053</t>
  </si>
  <si>
    <t>24.10.2024 08:14:31</t>
  </si>
  <si>
    <t>FkK7eXjzT9aEGu1hjk9GSeM1R9oZ6AGQAGoPM9thpump</t>
  </si>
  <si>
    <t>7.520 SOL</t>
  </si>
  <si>
    <t>3.518 SOL</t>
  </si>
  <si>
    <t>87.91%</t>
  </si>
  <si>
    <t>24.10.2024 08:08:26</t>
  </si>
  <si>
    <t xml:space="preserve">         65M             9M            35M</t>
  </si>
  <si>
    <t>SEFIROT</t>
  </si>
  <si>
    <t>0.002740</t>
  </si>
  <si>
    <t>-0.606 SOL</t>
  </si>
  <si>
    <t>-99.75%</t>
  </si>
  <si>
    <t>24.10.2024 08:01:58</t>
  </si>
  <si>
    <t xml:space="preserve">         35K           114K             4K</t>
  </si>
  <si>
    <t>HnT1MKmvXzsUNgDxBgkDGF8heqezKTLoFA81oQNwpump</t>
  </si>
  <si>
    <t>SHINE</t>
  </si>
  <si>
    <t>0.002000</t>
  </si>
  <si>
    <t>-41.71%</t>
  </si>
  <si>
    <t xml:space="preserve">         35K            33K             4K</t>
  </si>
  <si>
    <t>9W4NHLBFM2MrLW1yRKKLztBPcjGrLGugSCJjCi6wpump</t>
  </si>
  <si>
    <t>buttcoin</t>
  </si>
  <si>
    <t>0.004130</t>
  </si>
  <si>
    <t>1.294 SOL</t>
  </si>
  <si>
    <t>0.669 SOL</t>
  </si>
  <si>
    <t>-48.49%</t>
  </si>
  <si>
    <t>24.10.2024 07:34:23</t>
  </si>
  <si>
    <t xml:space="preserve">         37K           132K             7K</t>
  </si>
  <si>
    <t>4Q7A2HQf544SnCVD16asPRb67xMVw94qaYQCWnvEpump</t>
  </si>
  <si>
    <t>-0.971 SOL</t>
  </si>
  <si>
    <t>-96.97%</t>
  </si>
  <si>
    <t>24.10.2024 07:00:44</t>
  </si>
  <si>
    <t xml:space="preserve">        137K           137K             4K</t>
  </si>
  <si>
    <t>CYBERANGEL</t>
  </si>
  <si>
    <t>-58.27%</t>
  </si>
  <si>
    <t>24.10.2024 05:29:35</t>
  </si>
  <si>
    <t>6SLSh8Y9svmaykckNqEFEaa3X9mZNVWnqGQDt7UPpump</t>
  </si>
  <si>
    <t>cig</t>
  </si>
  <si>
    <t>0.002140</t>
  </si>
  <si>
    <t>99.60%</t>
  </si>
  <si>
    <t>23.10.2024 18:40:11</t>
  </si>
  <si>
    <t xml:space="preserve">        657K             1M           543K</t>
  </si>
  <si>
    <t>exRqAuXs967fDkymNXo4eqZEQihEubstBCXPXxwpump</t>
  </si>
  <si>
    <t>HITLERAI</t>
  </si>
  <si>
    <t>633,488</t>
  </si>
  <si>
    <t>23.10.2024 04:02:39</t>
  </si>
  <si>
    <t xml:space="preserve">        139K           139K            23K</t>
  </si>
  <si>
    <t>3afCLrsso6rzuG8LMqUy5edGdhKnoUcZEDYpodUTpump</t>
  </si>
  <si>
    <t>SKBDDY</t>
  </si>
  <si>
    <t>0.632 SOL</t>
  </si>
  <si>
    <t>-0.570 SOL</t>
  </si>
  <si>
    <t>-47.39%</t>
  </si>
  <si>
    <t>23.10.2024 04:02:25</t>
  </si>
  <si>
    <t xml:space="preserve">        194K           183K            36K</t>
  </si>
  <si>
    <t>FfhENRtsudrPbWaJhuMnYq2fKchHqU1Erd7vK9Gzpump</t>
  </si>
  <si>
    <t>-87.72%</t>
  </si>
  <si>
    <t>21.10.2024 08:23:31</t>
  </si>
  <si>
    <t>GNcALadvasQFZJDdVdfLqajRvH44Jxx1JB7YiAXrpump</t>
  </si>
  <si>
    <t>452,348</t>
  </si>
  <si>
    <t>20.10.2024 05:47:55</t>
  </si>
  <si>
    <t xml:space="preserve">        955K             1M            41K</t>
  </si>
  <si>
    <t>GIRL</t>
  </si>
  <si>
    <t>1.734 SOL</t>
  </si>
  <si>
    <t>-0.268 SOL</t>
  </si>
  <si>
    <t>-13.38%</t>
  </si>
  <si>
    <t>20.10.2024 05:47:01</t>
  </si>
  <si>
    <t xml:space="preserve">        204K           171K            37K</t>
  </si>
  <si>
    <t>4DUMGk8R9YXCmuv22AvFTDRyusrEwj3bKcVzfajwpump</t>
  </si>
  <si>
    <t>322,036</t>
  </si>
  <si>
    <t>19.10.2024 16:02:21</t>
  </si>
  <si>
    <t>HTYdC5YeGTZ88NA9h1WKzzamoXDcjRGxsjaeq4qjpump</t>
  </si>
  <si>
    <t>3,400,498</t>
  </si>
  <si>
    <t>19.10.2024 06:39:25</t>
  </si>
  <si>
    <t xml:space="preserve">         26K            26K             8K</t>
  </si>
  <si>
    <t xml:space="preserve">HANBAO </t>
  </si>
  <si>
    <t>0.002840</t>
  </si>
  <si>
    <t>1.693 SOL</t>
  </si>
  <si>
    <t>0.690 SOL</t>
  </si>
  <si>
    <t>68.80%</t>
  </si>
  <si>
    <t>14.10.2024 16:28:33</t>
  </si>
  <si>
    <t xml:space="preserve">          2M            11M           704K</t>
  </si>
  <si>
    <t>GTFWEVQy5BwQsZJWS4Y6KaZ3or6Yhysh2EEUp8bgpump</t>
  </si>
  <si>
    <t>GROYPER</t>
  </si>
  <si>
    <t>-2.502 SOL</t>
  </si>
  <si>
    <t>3,654,759</t>
  </si>
  <si>
    <t>13.10.2024 18:19:32</t>
  </si>
  <si>
    <t xml:space="preserve">        120K            25K            18K</t>
  </si>
  <si>
    <t>A8zAEJTMgbe6bMXWxUaD9yUVaHtXfWjmuDHHXbUMpump</t>
  </si>
  <si>
    <t>MONACO</t>
  </si>
  <si>
    <t>0.002410</t>
  </si>
  <si>
    <t>-1.362 SOL</t>
  </si>
  <si>
    <t>-90.68%</t>
  </si>
  <si>
    <t>02.10.2024 14:03:43</t>
  </si>
  <si>
    <t xml:space="preserve">         74K             7K            82K</t>
  </si>
  <si>
    <t>A8Dq4ooRzg53tSbhrUhDskX9tYTE4CYfLDbWY6n2pump</t>
  </si>
  <si>
    <t>MOGDENG</t>
  </si>
  <si>
    <t>-47.03%</t>
  </si>
  <si>
    <t>29.09.2024 05:01:42</t>
  </si>
  <si>
    <t>BGctxGyxkc2LCospSFN2Vmb7NZM3UcFKLPvYqMUppump</t>
  </si>
  <si>
    <t>-1.501 SOL</t>
  </si>
  <si>
    <t>3,994,008</t>
  </si>
  <si>
    <t>16.08.2024 05:36:29</t>
  </si>
  <si>
    <t xml:space="preserve">         54K            54K            13K</t>
  </si>
  <si>
    <t>2ogmqDNJ7RvQp3jKUUz3ambtC8ypMHXxj72mV3m8pump</t>
  </si>
  <si>
    <t>C:\</t>
  </si>
  <si>
    <t>0.002810</t>
  </si>
  <si>
    <t>-1.503 SOL</t>
  </si>
  <si>
    <t>2,759,026</t>
  </si>
  <si>
    <t>15.08.2024 03:35:21</t>
  </si>
  <si>
    <t xml:space="preserve">        104K            91K             4K</t>
  </si>
  <si>
    <t>5ndrtYawb2zr8j2DzY1gExvMC6R6yRwQ4TS5VEnQpump</t>
  </si>
  <si>
    <t>855,422</t>
  </si>
  <si>
    <t>15.08.2024 03:02:58</t>
  </si>
  <si>
    <t>Aqx9wRuvJEnfUEuzp15JVcY36fAajhjh1k4fvFRRpump</t>
  </si>
  <si>
    <t>SIZE</t>
  </si>
  <si>
    <t>0.000810</t>
  </si>
  <si>
    <t>-0.902 SOL</t>
  </si>
  <si>
    <t>10,602,776</t>
  </si>
  <si>
    <t>12.08.2024 05:23:27</t>
  </si>
  <si>
    <t>8z7XW3zzgvoitgPRG4sdf6ECArz6FduuseHkaH6Gpump</t>
  </si>
  <si>
    <t>egg</t>
  </si>
  <si>
    <t>0.003320</t>
  </si>
  <si>
    <t>0.352 SOL</t>
  </si>
  <si>
    <t>-1.651 SOL</t>
  </si>
  <si>
    <t>-82.43%</t>
  </si>
  <si>
    <t>12.08.2024 05:22:15</t>
  </si>
  <si>
    <t xml:space="preserve">         25K             5K             4K</t>
  </si>
  <si>
    <t>5Y1zC7uU6WJdqpK53jgLU66dLbuHpBfPDPFa6awspump</t>
  </si>
  <si>
    <t>1,037,413</t>
  </si>
  <si>
    <t>03.08.2024 17:54:02</t>
  </si>
  <si>
    <t xml:space="preserve">        508K           508K            11K</t>
  </si>
  <si>
    <t>B2MWQnPXG4BrajDMkN7UKXw6DhUxhBbYKaU6xVtypump</t>
  </si>
  <si>
    <t>51jpGPfjGnwsPuAEcexBKjycD1oNtaAS1oT3hiZLxyvD</t>
  </si>
  <si>
    <t>1.22 SOL</t>
  </si>
  <si>
    <t>25%</t>
  </si>
  <si>
    <t>-1%</t>
  </si>
  <si>
    <t>-0.68 SOL</t>
  </si>
  <si>
    <t>25 days</t>
  </si>
  <si>
    <t>11.44 SOL</t>
  </si>
  <si>
    <t>36</t>
  </si>
  <si>
    <t>4.1%</t>
  </si>
  <si>
    <t>5.9%</t>
  </si>
  <si>
    <t>10.8%</t>
  </si>
  <si>
    <t>13.4%</t>
  </si>
  <si>
    <t>61.7%</t>
  </si>
  <si>
    <t>20</t>
  </si>
  <si>
    <t>25.7 SOL</t>
  </si>
  <si>
    <t>9.9 SOL</t>
  </si>
  <si>
    <t>-3.3 SOL</t>
  </si>
  <si>
    <t>-39.2 SOL</t>
  </si>
  <si>
    <t>86</t>
  </si>
  <si>
    <t>42</t>
  </si>
  <si>
    <t>87.0K</t>
  </si>
  <si>
    <t>0.000550</t>
  </si>
  <si>
    <t>30.10.2024 19:16:06</t>
  </si>
  <si>
    <t xml:space="preserve">         40K            40K            80K</t>
  </si>
  <si>
    <t>9wdhtc86ugwD5GUBscwzh4nNwxE7HKyX5f6XJ2Z3Kda1</t>
  </si>
  <si>
    <t>Rizz</t>
  </si>
  <si>
    <t>0.005140</t>
  </si>
  <si>
    <t>655,525</t>
  </si>
  <si>
    <t>30.10.2024 15:17:58</t>
  </si>
  <si>
    <t>9F4zdcufgDPBG4tnQK8HSDXuYv1y2R7WNcF3ySEwpump</t>
  </si>
  <si>
    <t>MBGA</t>
  </si>
  <si>
    <t>0.005600</t>
  </si>
  <si>
    <t>422,370</t>
  </si>
  <si>
    <t>29.10.2024 23:37:27</t>
  </si>
  <si>
    <t>qbE2prJqyoJ7bAFKSm3yVnLGpykzETDRah1tXvqTEmo</t>
  </si>
  <si>
    <t>FRIES</t>
  </si>
  <si>
    <t>4,231</t>
  </si>
  <si>
    <t>29.10.2024 22:50:47</t>
  </si>
  <si>
    <t xml:space="preserve">          3M             3M             50</t>
  </si>
  <si>
    <t>7TkU8BHHA9HVRJueJkrR7srJdGyKds1WptQ4zNX9pump</t>
  </si>
  <si>
    <t>0.001690</t>
  </si>
  <si>
    <t>0.329 SOL</t>
  </si>
  <si>
    <t>30.70%</t>
  </si>
  <si>
    <t>29.10.2024 22:46:46</t>
  </si>
  <si>
    <t xml:space="preserve">         41K            41K             5K</t>
  </si>
  <si>
    <t>547,646</t>
  </si>
  <si>
    <t>29.10.2024 22:37:13</t>
  </si>
  <si>
    <t xml:space="preserve">         81K            81K           155K</t>
  </si>
  <si>
    <t>1,462,312</t>
  </si>
  <si>
    <t>29.10.2024 22:33:24</t>
  </si>
  <si>
    <t xml:space="preserve">         12K            12K             3K</t>
  </si>
  <si>
    <t>MILF.GIF</t>
  </si>
  <si>
    <t>-0.187 SOL</t>
  </si>
  <si>
    <t>-74.89%</t>
  </si>
  <si>
    <t>29.10.2024 22:29:26</t>
  </si>
  <si>
    <t xml:space="preserve">         22K            22K             4K</t>
  </si>
  <si>
    <t>2TLm5TCvkv6rfxvki9eN5cVvYgb2e9pbjY9kK4yEMiUs</t>
  </si>
  <si>
    <t>0.011360</t>
  </si>
  <si>
    <t>100.50%</t>
  </si>
  <si>
    <t>29.10.2024 22:19:38</t>
  </si>
  <si>
    <t xml:space="preserve">        216K           674K             8K</t>
  </si>
  <si>
    <t>VOTE</t>
  </si>
  <si>
    <t>3.22%</t>
  </si>
  <si>
    <t>29.10.2024 19:41:47</t>
  </si>
  <si>
    <t xml:space="preserve">        239K           239K             6K</t>
  </si>
  <si>
    <t>AyMwek2yBJxgdomf2q4TgAMQebzoQYdy3HRq6Rojpump</t>
  </si>
  <si>
    <t>PEPE</t>
  </si>
  <si>
    <t>-35.43%</t>
  </si>
  <si>
    <t>29.10.2024 19:37:12</t>
  </si>
  <si>
    <t xml:space="preserve">          7K             5K             4K</t>
  </si>
  <si>
    <t>3Hb3gAqZG6U5yX7tpS2GeLZwMwtzxhdCU9LYfMFctQKU</t>
  </si>
  <si>
    <t>$FF</t>
  </si>
  <si>
    <t>-0.250 SOL</t>
  </si>
  <si>
    <t>13,540</t>
  </si>
  <si>
    <t>29.10.2024 18:52:12</t>
  </si>
  <si>
    <t xml:space="preserve">          3M             3M           647K</t>
  </si>
  <si>
    <t>DqWbfzoFmZPrrQP7MdqYvwZbCkBNu2fSSaJqUrqEVYyX</t>
  </si>
  <si>
    <t>29.10.2024 14:24:15</t>
  </si>
  <si>
    <t xml:space="preserve">         15M            15M            62M</t>
  </si>
  <si>
    <t>TITO</t>
  </si>
  <si>
    <t>644,086</t>
  </si>
  <si>
    <t>29.10.2024 09:05:50</t>
  </si>
  <si>
    <t xml:space="preserve">         69K            69K             9K</t>
  </si>
  <si>
    <t>5UjbS1bECmQo7B5f817151ctvWskB92aDqu9drsipump</t>
  </si>
  <si>
    <t>0.006150</t>
  </si>
  <si>
    <t>462.24%</t>
  </si>
  <si>
    <t>29.10.2024 06:45:38</t>
  </si>
  <si>
    <t xml:space="preserve">        354K             4M             7M</t>
  </si>
  <si>
    <t>DJT</t>
  </si>
  <si>
    <t>29.10.2024 00:06:32</t>
  </si>
  <si>
    <t xml:space="preserve">          2K           N/A             8K</t>
  </si>
  <si>
    <t>6CHJYnqrg5xVH2PGhia3DQf3dNW4MJ4dtbcebjvqpump</t>
  </si>
  <si>
    <t>PEPPERGOD</t>
  </si>
  <si>
    <t>6,107,197</t>
  </si>
  <si>
    <t>28.10.2024 22:42:28</t>
  </si>
  <si>
    <t>FDV29MPNSMsbhBVoNvdgNNivDGsgZAxWkx4au4epump</t>
  </si>
  <si>
    <t>255,112</t>
  </si>
  <si>
    <t>28.10.2024 22:36:50</t>
  </si>
  <si>
    <t xml:space="preserve">        172K           172K            29K</t>
  </si>
  <si>
    <t>uUc6CG5FviFzbvKQWD4xBGyeu6pFVKioiY9tFZQhYzY</t>
  </si>
  <si>
    <t>FUCKGOAT</t>
  </si>
  <si>
    <t>92,661</t>
  </si>
  <si>
    <t>28.10.2024 20:12:33</t>
  </si>
  <si>
    <t xml:space="preserve">        473K           473K             6K</t>
  </si>
  <si>
    <t>9q7dTw5oHvwC6frzaphxYhRNTRivp3BJGGxaXFqTZgUV</t>
  </si>
  <si>
    <t>0.011210</t>
  </si>
  <si>
    <t>-0.361 SOL</t>
  </si>
  <si>
    <t>1,641,736</t>
  </si>
  <si>
    <t>28.10.2024 20:10:15</t>
  </si>
  <si>
    <t xml:space="preserve">        179K            28K             6K</t>
  </si>
  <si>
    <t>8zx4UDmxki7rgetWYbt9zPSH9wiRo1jx8hQmB15apump</t>
  </si>
  <si>
    <t>SIBU</t>
  </si>
  <si>
    <t>0.008410</t>
  </si>
  <si>
    <t>28.10.2024 10:57:37</t>
  </si>
  <si>
    <t xml:space="preserve">        630K           705K            11K</t>
  </si>
  <si>
    <t>37Yd8iMsC1zU1mepZCQnZRcP45iEdtHv1XVoxUm8pump</t>
  </si>
  <si>
    <t>MOON²</t>
  </si>
  <si>
    <t>28.10.2024 10:47:40</t>
  </si>
  <si>
    <t xml:space="preserve">         47K            47K             1M</t>
  </si>
  <si>
    <t>4zSuZRfPXrUd551nPSxVxdnZC5G4dQoBK4D2o7JK6r9q</t>
  </si>
  <si>
    <t>PEPEGOAT</t>
  </si>
  <si>
    <t>472,911</t>
  </si>
  <si>
    <t>28.10.2024 09:33:49</t>
  </si>
  <si>
    <t xml:space="preserve">         93K            93K             1K</t>
  </si>
  <si>
    <t>BpCmvJzgtFHmaRoSjgqhXee9R5ZodTBAmwYvnFv2pump</t>
  </si>
  <si>
    <t>AKIRANATA</t>
  </si>
  <si>
    <t>0.002770</t>
  </si>
  <si>
    <t>-0.253 SOL</t>
  </si>
  <si>
    <t>915,605</t>
  </si>
  <si>
    <t>28.10.2024 09:27:34</t>
  </si>
  <si>
    <t xml:space="preserve">         47K            47K            68K</t>
  </si>
  <si>
    <t>69uUfiS9F9RuthsUKZBjv2myACvTVif23kjKSMyEXXLs</t>
  </si>
  <si>
    <t>226,514</t>
  </si>
  <si>
    <t>28.10.2024 09:02:36</t>
  </si>
  <si>
    <t xml:space="preserve">        193K           193K             8K</t>
  </si>
  <si>
    <t>BWxRRwx2WwsJqihxoK8GVNRKKWD2Pp1DsmWXQ2NuuY3V</t>
  </si>
  <si>
    <t>DGMAGA</t>
  </si>
  <si>
    <t>10,357</t>
  </si>
  <si>
    <t>28.10.2024 08:53:45</t>
  </si>
  <si>
    <t xml:space="preserve">        425M           425M             97</t>
  </si>
  <si>
    <t>BWtcwMyNc37LQ5pqMBFFBubqRogrCgJjCkGKPskijaSX</t>
  </si>
  <si>
    <t>COBIE</t>
  </si>
  <si>
    <t>0.000940</t>
  </si>
  <si>
    <t>232,106</t>
  </si>
  <si>
    <t>28.10.2024 08:50:00</t>
  </si>
  <si>
    <t xml:space="preserve">        190K           190K             4K</t>
  </si>
  <si>
    <t>c5i6GmmtV8feJH6P4ZNPyExdQkEe74tA13dWHqmpump</t>
  </si>
  <si>
    <t>sharp</t>
  </si>
  <si>
    <t>0.007280</t>
  </si>
  <si>
    <t>0.719 SOL</t>
  </si>
  <si>
    <t>41.79%</t>
  </si>
  <si>
    <t xml:space="preserve">         53K            72K            20K</t>
  </si>
  <si>
    <t>HvWFxe8UzcmDS9nFGzZpuFC7RcxgT98N5rsEh6mDpump</t>
  </si>
  <si>
    <t>ARI</t>
  </si>
  <si>
    <t>0.005770</t>
  </si>
  <si>
    <t>69.61%</t>
  </si>
  <si>
    <t>27.10.2024 23:35:37</t>
  </si>
  <si>
    <t xml:space="preserve">        166K           258K            11K</t>
  </si>
  <si>
    <t>9d9nFy1S4YRijRT2LH8GvV6KYk52ktbFcXtmsyc3pump</t>
  </si>
  <si>
    <t>BLOCK</t>
  </si>
  <si>
    <t>0.003830</t>
  </si>
  <si>
    <t>27.10.2024 22:32:28</t>
  </si>
  <si>
    <t xml:space="preserve">         486           N/A            23K</t>
  </si>
  <si>
    <t>3UH6adDN9L8CyeF8ucPSUayZbYNE1rSuYAzvw61spump</t>
  </si>
  <si>
    <t>Polygon</t>
  </si>
  <si>
    <t>-0.500 SOL</t>
  </si>
  <si>
    <t>1,979,475</t>
  </si>
  <si>
    <t>27.10.2024 22:16:16</t>
  </si>
  <si>
    <t xml:space="preserve">         44K            44K             6K</t>
  </si>
  <si>
    <t>D6EBXKMUZKbqKe7vfK6aFWVe5RFSMFRV2phvSo4bpump</t>
  </si>
  <si>
    <t>DRAGGY</t>
  </si>
  <si>
    <t>-99.99%</t>
  </si>
  <si>
    <t>27.10.2024 22:11:54</t>
  </si>
  <si>
    <t xml:space="preserve">         572            572            258</t>
  </si>
  <si>
    <t>24nR93Cfv5qNUUWJWi79j1za4uFY8T4g5Gt71cf6pump</t>
  </si>
  <si>
    <t>0.004210</t>
  </si>
  <si>
    <t>307,317</t>
  </si>
  <si>
    <t>27.10.2024 21:59:44</t>
  </si>
  <si>
    <t xml:space="preserve">        142K           142K             3K</t>
  </si>
  <si>
    <t>AGeuiGf8Wq1eqjV7Ldjw5PccCfTg7KKtZq8LjYJupump</t>
  </si>
  <si>
    <t>GOATAMOTTO</t>
  </si>
  <si>
    <t>470,878</t>
  </si>
  <si>
    <t>27.10.2024 20:54:31</t>
  </si>
  <si>
    <t xml:space="preserve">         92K            92K             5K</t>
  </si>
  <si>
    <t>HZs2NDMRVQ7i71CDq8XqC5JJcUv6HSeQ7y8hrsXsvDzJ</t>
  </si>
  <si>
    <t>🟥</t>
  </si>
  <si>
    <t>469,340</t>
  </si>
  <si>
    <t>27.10.2024 20:53:49</t>
  </si>
  <si>
    <t>2R9ZELvagkmWap97LS3pAmtFGmrKjApQGGBCA7ABpump</t>
  </si>
  <si>
    <t>AVB</t>
  </si>
  <si>
    <t>0.004230</t>
  </si>
  <si>
    <t>3.402 SOL</t>
  </si>
  <si>
    <t>1338.01%</t>
  </si>
  <si>
    <t>27.10.2024 20:32:18</t>
  </si>
  <si>
    <t xml:space="preserve">        155K           155K             5M</t>
  </si>
  <si>
    <t>6d5zHW5B8RkGKd51Lpb9RqFQSqDudr9GJgZ1SgQZpump</t>
  </si>
  <si>
    <t>0.004610</t>
  </si>
  <si>
    <t>27.10.2024 20:18:35</t>
  </si>
  <si>
    <t xml:space="preserve">          8K             8K             2K</t>
  </si>
  <si>
    <t>FsMuyevsQF1cf7djcTDofaK1hfc3ovaJ77BuzPFhpump</t>
  </si>
  <si>
    <t>HTAU</t>
  </si>
  <si>
    <t>221,540</t>
  </si>
  <si>
    <t>27.10.2024 19:22:47</t>
  </si>
  <si>
    <t xml:space="preserve">        199K           199K             4K</t>
  </si>
  <si>
    <t>4XxruSLCtxJTfhibCKE2exW4fUyTgDKVDmzFKa3fpump</t>
  </si>
  <si>
    <t>MELO</t>
  </si>
  <si>
    <t>27.10.2024 19:05:36</t>
  </si>
  <si>
    <t xml:space="preserve">         274           N/A           178K</t>
  </si>
  <si>
    <t>6NSwXa6VMFydCGhWCQz2apSLcqiBi9zeZWK8M4MKpump</t>
  </si>
  <si>
    <t>it</t>
  </si>
  <si>
    <t>494,492</t>
  </si>
  <si>
    <t>27.10.2024 18:38:19</t>
  </si>
  <si>
    <t>FxZC1qcDxmsgDPTM7Brrmyysj5PygvTRZBtZVeiwpump</t>
  </si>
  <si>
    <t>817,710</t>
  </si>
  <si>
    <t>27.10.2024 18:30:41</t>
  </si>
  <si>
    <t>610,606</t>
  </si>
  <si>
    <t>27.10.2024 17:57:14</t>
  </si>
  <si>
    <t xml:space="preserve">         68K            68K             4K</t>
  </si>
  <si>
    <t>3URsM8Vvu2L7rtfHeobyhkno1LWTuDbXivRkEmZxpump</t>
  </si>
  <si>
    <t>0.001780</t>
  </si>
  <si>
    <t>2.504 SOL</t>
  </si>
  <si>
    <t>994.55%</t>
  </si>
  <si>
    <t>27.10.2024 17:49:25</t>
  </si>
  <si>
    <t xml:space="preserve">         82K            82K             1M</t>
  </si>
  <si>
    <t>HdHqKPz3n52e6FCJREKY3MS56TagyvRxsxVYG7E4rF99</t>
  </si>
  <si>
    <t>myst</t>
  </si>
  <si>
    <t>0.000720</t>
  </si>
  <si>
    <t>1.352 SOL</t>
  </si>
  <si>
    <t>444.50%</t>
  </si>
  <si>
    <t>27.10.2024 17:32:46</t>
  </si>
  <si>
    <t xml:space="preserve">         57K           149K           168K</t>
  </si>
  <si>
    <t>Dvmw8Nq6SRoxFWP36PWRycuY8NfT7qHHGa7k3wPTbWWD</t>
  </si>
  <si>
    <t>KERO</t>
  </si>
  <si>
    <t>61.92%</t>
  </si>
  <si>
    <t>27.10.2024 17:32:12</t>
  </si>
  <si>
    <t xml:space="preserve">         97K            97K           157K</t>
  </si>
  <si>
    <t>2Z6TocWzKtddxVe9kxCB3j3A339Z6CDiut5k3a9Apump</t>
  </si>
  <si>
    <t>Skynet</t>
  </si>
  <si>
    <t>0.015330</t>
  </si>
  <si>
    <t>1.401 SOL</t>
  </si>
  <si>
    <t>0.636 SOL</t>
  </si>
  <si>
    <t>83.08%</t>
  </si>
  <si>
    <t>27.10.2024 09:52:25</t>
  </si>
  <si>
    <t xml:space="preserve">         88K             1M            16K</t>
  </si>
  <si>
    <t>ErQa4H1JhXFfooaPnAFX3wiJucajzCgCquGtgbbYhGs8</t>
  </si>
  <si>
    <t>2.869 SOL</t>
  </si>
  <si>
    <t>1114.89%</t>
  </si>
  <si>
    <t>27.10.2024 09:22:36</t>
  </si>
  <si>
    <t xml:space="preserve">         67K             1M           103K</t>
  </si>
  <si>
    <t>65,991</t>
  </si>
  <si>
    <t>26.10.2024 21:35:06</t>
  </si>
  <si>
    <t xml:space="preserve">        667K           667K           400K</t>
  </si>
  <si>
    <t>KPX</t>
  </si>
  <si>
    <t>0.008810</t>
  </si>
  <si>
    <t>26.10.2024 21:13:37</t>
  </si>
  <si>
    <t xml:space="preserve">          2M             2M             4K</t>
  </si>
  <si>
    <t>GvVctoGdyw3eGFq6ahEZXSArtVnjk7BVBPYxgi9rRaf6</t>
  </si>
  <si>
    <t>Link</t>
  </si>
  <si>
    <t>211,195</t>
  </si>
  <si>
    <t>25.10.2024 20:58:16</t>
  </si>
  <si>
    <t xml:space="preserve">        208K           208K            28K</t>
  </si>
  <si>
    <t>ADzp2buxkzgHqMKxVp9prwJhij6Sjp14zuLsFFdKpump</t>
  </si>
  <si>
    <t>176,691</t>
  </si>
  <si>
    <t>25.10.2024 20:46:53</t>
  </si>
  <si>
    <t xml:space="preserve">        248K           248K             5K</t>
  </si>
  <si>
    <t>SWAGGY</t>
  </si>
  <si>
    <t>379,830</t>
  </si>
  <si>
    <t>25.10.2024 20:33:09</t>
  </si>
  <si>
    <t xml:space="preserve">        232K           232K             3K</t>
  </si>
  <si>
    <t>9zzj8kyb6cVX8tWmjGyG2QMBB7UXDf3bt8PYQfyYpump</t>
  </si>
  <si>
    <t>28,850</t>
  </si>
  <si>
    <t>25.10.2024 15:06:40</t>
  </si>
  <si>
    <t xml:space="preserve">          3M             3M           250K</t>
  </si>
  <si>
    <t>1,841,679</t>
  </si>
  <si>
    <t>25.10.2024 14:10:02</t>
  </si>
  <si>
    <t>DhncHp7VRouug7f7D7PXGvZhAHDi7tuMbbmY24MVpump</t>
  </si>
  <si>
    <t>NEIROH</t>
  </si>
  <si>
    <t>0.000970</t>
  </si>
  <si>
    <t>0.447 SOL</t>
  </si>
  <si>
    <t>102.24%</t>
  </si>
  <si>
    <t>24.10.2024 22:40:26</t>
  </si>
  <si>
    <t xml:space="preserve">        158K           158K           421K</t>
  </si>
  <si>
    <t>BJ2ENyjuBGUQJr6CCDBcGAQNQDbayoNbDziDGrWSQQ4</t>
  </si>
  <si>
    <t>EACC</t>
  </si>
  <si>
    <t>0.001450</t>
  </si>
  <si>
    <t>0.900 SOL</t>
  </si>
  <si>
    <t>0.165 SOL</t>
  </si>
  <si>
    <t>-0.737 SOL</t>
  </si>
  <si>
    <t>-81.74%</t>
  </si>
  <si>
    <t>24.10.2024 22:38:57</t>
  </si>
  <si>
    <t xml:space="preserve">        690K           526K            61K</t>
  </si>
  <si>
    <t>HzhhfexEbj3dnVr55mBhiq4Zzh7kSQdDWdjxrMX3pump</t>
  </si>
  <si>
    <t>Akira</t>
  </si>
  <si>
    <t>-72.06%</t>
  </si>
  <si>
    <t>24.10.2024 22:38:20</t>
  </si>
  <si>
    <t xml:space="preserve">         39K            39K             8K</t>
  </si>
  <si>
    <t>3QCf8rb4bjQzSKC58wagLK5i4SaM3N27jE147mw4pump</t>
  </si>
  <si>
    <t>shartcoin</t>
  </si>
  <si>
    <t>-0.321 SOL</t>
  </si>
  <si>
    <t>-64.01%</t>
  </si>
  <si>
    <t>24.10.2024 22:37:33</t>
  </si>
  <si>
    <t>B1kjyyvZSQpkqxUkPqwjoaudovjK74S4V4g4mTj8pump</t>
  </si>
  <si>
    <t>-19.07%</t>
  </si>
  <si>
    <t>24.10.2024 22:36:14</t>
  </si>
  <si>
    <t>7hWcHohzwtLddDUG81H2PkWq6KEkMtSDNkYXsso18Fy3</t>
  </si>
  <si>
    <t>👽</t>
  </si>
  <si>
    <t>0.497 SOL</t>
  </si>
  <si>
    <t>-52.25%</t>
  </si>
  <si>
    <t>24.10.2024 22:35:04</t>
  </si>
  <si>
    <t xml:space="preserve">         76K            76K            36K</t>
  </si>
  <si>
    <t>2QcJHi1JquR58LC836swpkmEn4bqh2Wifhphr2XxkLDT</t>
  </si>
  <si>
    <t>28.96%</t>
  </si>
  <si>
    <t>24.10.2024 22:34:27</t>
  </si>
  <si>
    <t xml:space="preserve">        212K           212K           795K</t>
  </si>
  <si>
    <t>5,840,082</t>
  </si>
  <si>
    <t>22.10.2024 23:26:21</t>
  </si>
  <si>
    <t xml:space="preserve">iwasa </t>
  </si>
  <si>
    <t>579,678</t>
  </si>
  <si>
    <t>22.10.2024 23:21:35</t>
  </si>
  <si>
    <t>CHUdNGxk91c9pWhWnBtkN4PzXkC7USpRm5WYKdpkpump</t>
  </si>
  <si>
    <t>MDHUNTER</t>
  </si>
  <si>
    <t>-0.402 SOL</t>
  </si>
  <si>
    <t>19,799</t>
  </si>
  <si>
    <t>22.10.2024 23:17:23</t>
  </si>
  <si>
    <t xml:space="preserve">          1M             1M             26</t>
  </si>
  <si>
    <t>J9e8RMXoVgtbEoK3PXZUdY9k2VRy4XvVEWu6GNpsNofW</t>
  </si>
  <si>
    <t>TRAIMP</t>
  </si>
  <si>
    <t>87,592</t>
  </si>
  <si>
    <t>22.10.2024 23:05:58</t>
  </si>
  <si>
    <t xml:space="preserve">        804K           804K           229K</t>
  </si>
  <si>
    <t>TrUPjEqGpUph6sMJX8C3yYja9u4RcVUGTCkGG4xLrjG</t>
  </si>
  <si>
    <t>Fu</t>
  </si>
  <si>
    <t>-0.221 SOL</t>
  </si>
  <si>
    <t>-88.19%</t>
  </si>
  <si>
    <t>22.10.2024 23:03:37</t>
  </si>
  <si>
    <t xml:space="preserve">        120K           120K            11K</t>
  </si>
  <si>
    <t>F2xBLb6jj39LJ5rg6wh8VaTq9CLEvDqLFL9gxmEapump</t>
  </si>
  <si>
    <t>-82.69%</t>
  </si>
  <si>
    <t>22.10.2024 23:02:51</t>
  </si>
  <si>
    <t xml:space="preserve">         70K            70K            13K</t>
  </si>
  <si>
    <t>BTCAT</t>
  </si>
  <si>
    <t>0.001770</t>
  </si>
  <si>
    <t>1.147 SOL</t>
  </si>
  <si>
    <t>0.895 SOL</t>
  </si>
  <si>
    <t>355.40%</t>
  </si>
  <si>
    <t>22.10.2024 23:02:08</t>
  </si>
  <si>
    <t xml:space="preserve">         76K             1M             6M</t>
  </si>
  <si>
    <t>3XFiHA2gexzBjqtM5Z7FjJhP6f28D2m79UihBCfkpump</t>
  </si>
  <si>
    <t>Delta</t>
  </si>
  <si>
    <t>-58.61%</t>
  </si>
  <si>
    <t>22.10.2024 23:01:13</t>
  </si>
  <si>
    <t xml:space="preserve">         25K            25K             6K</t>
  </si>
  <si>
    <t>3TDHHYEwTjmav45DzdeGg59UbA9qJuifj2qeHUm6pump</t>
  </si>
  <si>
    <t>KAAT</t>
  </si>
  <si>
    <t>0.000470</t>
  </si>
  <si>
    <t>2.74%</t>
  </si>
  <si>
    <t>22.10.2024 23:00:08</t>
  </si>
  <si>
    <t xml:space="preserve">         75K            75K             4K</t>
  </si>
  <si>
    <t>3VW2XTSNoodobNHenaFWEJEg7ignSFa8Qimx2PZURGjF</t>
  </si>
  <si>
    <t>-0.126 SOL</t>
  </si>
  <si>
    <t>-50.31%</t>
  </si>
  <si>
    <t>22.10.2024 22:59:37</t>
  </si>
  <si>
    <t>namshub</t>
  </si>
  <si>
    <t>-39.99%</t>
  </si>
  <si>
    <t>22.10.2024 22:59:08</t>
  </si>
  <si>
    <t xml:space="preserve">        200K           200K            20K</t>
  </si>
  <si>
    <t>reAZwormetQAZ91WX1iaLRCYAKgKKu2w2uJS2qCpump</t>
  </si>
  <si>
    <t>EPIK</t>
  </si>
  <si>
    <t>0.000830</t>
  </si>
  <si>
    <t>-49.77%</t>
  </si>
  <si>
    <t>22.10.2024 22:58:28</t>
  </si>
  <si>
    <t xml:space="preserve">         37M            37M            16M</t>
  </si>
  <si>
    <t>3BgwJ8b7b9hHX4sgfZ2KJhv9496CoVfsMK2YePevsBRw</t>
  </si>
  <si>
    <t>BOME</t>
  </si>
  <si>
    <t>0.201 SOL</t>
  </si>
  <si>
    <t>22.10.2024 22:57:48</t>
  </si>
  <si>
    <t xml:space="preserve">        641M           641M           609M</t>
  </si>
  <si>
    <t>ukHH6c7mMyiWCf1b9pnWe25TSpkDDt3H5pQZgZ74J82</t>
  </si>
  <si>
    <t>NUSSI</t>
  </si>
  <si>
    <t>0.915 SOL</t>
  </si>
  <si>
    <t>0.153 SOL</t>
  </si>
  <si>
    <t>20.04%</t>
  </si>
  <si>
    <t xml:space="preserve">          3M             1M            16K</t>
  </si>
  <si>
    <t>Du1AQPxZjWQRRjVg5DBcR6ezfHU7RMpD7SsSX1YLpump</t>
  </si>
  <si>
    <t>$SIGHT</t>
  </si>
  <si>
    <t>507,980</t>
  </si>
  <si>
    <t>22.10.2024 01:21:02</t>
  </si>
  <si>
    <t xml:space="preserve">        172K           172K            17K</t>
  </si>
  <si>
    <t>CauybpUD3sjHVC5UEUXVCwxpMTXnrgn3AEF9bE3xpump</t>
  </si>
  <si>
    <t>0.007810</t>
  </si>
  <si>
    <t>74,187</t>
  </si>
  <si>
    <t>22.10.2024 01:20:21</t>
  </si>
  <si>
    <t>BARKY</t>
  </si>
  <si>
    <t>22.10.2024 00:58:18</t>
  </si>
  <si>
    <t xml:space="preserve">          4K           N/A            342</t>
  </si>
  <si>
    <t>3PNhXSrrpLNSnwwKi5HL3uozZokF4d9VSbwARq4npump</t>
  </si>
  <si>
    <t>CGTH</t>
  </si>
  <si>
    <t>-0.175 SOL</t>
  </si>
  <si>
    <t>-67.81%</t>
  </si>
  <si>
    <t>22.10.2024 00:42:36</t>
  </si>
  <si>
    <t>HNcri1fAq5jPrgSFeeF897dKevfD1uaaVHVfWoY1pump</t>
  </si>
  <si>
    <t>BURNER</t>
  </si>
  <si>
    <t>-84.73%</t>
  </si>
  <si>
    <t>22.10.2024 00:42:11</t>
  </si>
  <si>
    <t>7H5KSfxrRzYZcjKoL42VJSeyyucvuiyBvx15oGR9pump</t>
  </si>
  <si>
    <t>CHEMO</t>
  </si>
  <si>
    <t>-65.34%</t>
  </si>
  <si>
    <t>22.10.2024 00:41:44</t>
  </si>
  <si>
    <t xml:space="preserve">         21K             7K             4K</t>
  </si>
  <si>
    <t>2BGXAiDH1wNTV7EG8m5KCBfJQEuZfsKCQEPsd1Cspump</t>
  </si>
  <si>
    <t>SEGA</t>
  </si>
  <si>
    <t>21.86%</t>
  </si>
  <si>
    <t>22.10.2024 00:27:11</t>
  </si>
  <si>
    <t xml:space="preserve">        206K           255K            15K</t>
  </si>
  <si>
    <t>SEGAvHA84vn1Dqy6fsEs5zt8FShNGpRNGjkRjPNocM6</t>
  </si>
  <si>
    <t>CENTS</t>
  </si>
  <si>
    <t>399.11%</t>
  </si>
  <si>
    <t>21.10.2024 23:20:32</t>
  </si>
  <si>
    <t xml:space="preserve">         30K           155K            42K</t>
  </si>
  <si>
    <t>C9FVTtx4WxgHmz55FEvQgykq8rqiLS8xRBVgqQVtpump</t>
  </si>
  <si>
    <t>YONO</t>
  </si>
  <si>
    <t>174,268</t>
  </si>
  <si>
    <t>21.10.2024 23:00:46</t>
  </si>
  <si>
    <t xml:space="preserve">        251K           251K             4K</t>
  </si>
  <si>
    <t>H2upD7hzQaf4s7HcvpsYyZQQpvooUzGTTs5d7wV2pump</t>
  </si>
  <si>
    <t>STRAWBERRY</t>
  </si>
  <si>
    <t>0.231 SOL</t>
  </si>
  <si>
    <t>-10.61%</t>
  </si>
  <si>
    <t>21.10.2024 22:54:57</t>
  </si>
  <si>
    <t xml:space="preserve">        976K           902K            53K</t>
  </si>
  <si>
    <t>CFzhqSNqYZRsUszCGwZ3SJ9iPHLvSumffaS6gWuupump</t>
  </si>
  <si>
    <t>-77.28%</t>
  </si>
  <si>
    <t>21.10.2024 22:42:24</t>
  </si>
  <si>
    <t xml:space="preserve">         22K             5K             4K</t>
  </si>
  <si>
    <t>CCw5LdiNWnUs3J8pzm9w7mED9vkv6Qgq2er5XrnVEfWo</t>
  </si>
  <si>
    <t>183.23%</t>
  </si>
  <si>
    <t>21.10.2024 22:29:32</t>
  </si>
  <si>
    <t xml:space="preserve">         60K            60K            26K</t>
  </si>
  <si>
    <t>F3uDFPSRz3e6SMzNX9gH1QnRSR2r2bqaJMNmv29L5Yxm</t>
  </si>
  <si>
    <t>0.001880</t>
  </si>
  <si>
    <t>5.930 SOL</t>
  </si>
  <si>
    <t>5.678 SOL</t>
  </si>
  <si>
    <t>2254.43%</t>
  </si>
  <si>
    <t>21.10.2024 22:27:43</t>
  </si>
  <si>
    <t>18 days</t>
  </si>
  <si>
    <t xml:space="preserve">        192K             4M             2M</t>
  </si>
  <si>
    <t>J9SXKctbZVws65vjBHL91mqStzq5an1xZxdi6a4h853o</t>
  </si>
  <si>
    <t>BACARDO</t>
  </si>
  <si>
    <t>0.823 SOL</t>
  </si>
  <si>
    <t>810.51%</t>
  </si>
  <si>
    <t>21.10.2024 22:26:01</t>
  </si>
  <si>
    <t>14 days</t>
  </si>
  <si>
    <t xml:space="preserve">        N/A           N/A           158K</t>
  </si>
  <si>
    <t>C1uX3EKJY3X5LocHyVfQnKD8gNCnyk6unk7URiLnEeP1</t>
  </si>
  <si>
    <t>PEEPEE</t>
  </si>
  <si>
    <t>0.001000</t>
  </si>
  <si>
    <t>1.770 SOL</t>
  </si>
  <si>
    <t>1.567 SOL</t>
  </si>
  <si>
    <t>771.68%</t>
  </si>
  <si>
    <t>21.10.2024 22:25:28</t>
  </si>
  <si>
    <t xml:space="preserve">         60K             1M             2M</t>
  </si>
  <si>
    <t>3eMtc3qcr7BEjyzdvY5sGNaibXKanZpm24EowXcex1yp</t>
  </si>
  <si>
    <t>kache</t>
  </si>
  <si>
    <t>-0.180 SOL</t>
  </si>
  <si>
    <t>-71.57%</t>
  </si>
  <si>
    <t>21.10.2024 22:24:51</t>
  </si>
  <si>
    <t xml:space="preserve">         97K            97K            10K</t>
  </si>
  <si>
    <t>J8KoJi7LFNdJiGt8qavfpu2R5jXfiZxeKukhHGXgpump</t>
  </si>
  <si>
    <t>-46.61%</t>
  </si>
  <si>
    <t>21.10.2024 22:23:47</t>
  </si>
  <si>
    <t xml:space="preserve">         12M            12M             6M</t>
  </si>
  <si>
    <t>MIDCURVE</t>
  </si>
  <si>
    <t>0.000730</t>
  </si>
  <si>
    <t>0.317 SOL</t>
  </si>
  <si>
    <t>-36.94%</t>
  </si>
  <si>
    <t>21.10.2024 19:32:24</t>
  </si>
  <si>
    <t>EuATWUwKmQ2P7btU8o47e8frhSu2LpAeRUGSSDz8mSeH</t>
  </si>
  <si>
    <t>0.000560</t>
  </si>
  <si>
    <t>-0.401 SOL</t>
  </si>
  <si>
    <t>1,636,659</t>
  </si>
  <si>
    <t>19.10.2024 22:22:42</t>
  </si>
  <si>
    <t>PkGtNQ1WtLj3sYYDcg9GtPCzoQtyvF6gaND9SyApump</t>
  </si>
  <si>
    <t>ETER</t>
  </si>
  <si>
    <t>0.001050</t>
  </si>
  <si>
    <t>0.828 SOL</t>
  </si>
  <si>
    <t>229.71%</t>
  </si>
  <si>
    <t>19.10.2024 21:57:31</t>
  </si>
  <si>
    <t xml:space="preserve">         91K           607K             8K</t>
  </si>
  <si>
    <t>ACv51sJj43UmcwaRA976U1p1uELs3Lm8TAsRheMRpump</t>
  </si>
  <si>
    <t>BBM</t>
  </si>
  <si>
    <t>452,450</t>
  </si>
  <si>
    <t>19.10.2024 21:25:44</t>
  </si>
  <si>
    <t xml:space="preserve">         97K            97K             5K</t>
  </si>
  <si>
    <t>EJZh9pzXXjEUVyNHjJ1A96iG5uuSDYp9YmjXDiempump</t>
  </si>
  <si>
    <t>680,453</t>
  </si>
  <si>
    <t>19.10.2024 21:19:28</t>
  </si>
  <si>
    <t>SKYNET</t>
  </si>
  <si>
    <t>33.98%</t>
  </si>
  <si>
    <t>19.10.2024 21:07:52</t>
  </si>
  <si>
    <t xml:space="preserve">        104K           281K            33K</t>
  </si>
  <si>
    <t>A9xbrMNmpKfoqwNcTRmBv6NXUukv9ixKXhZL1iLCpump</t>
  </si>
  <si>
    <t>SANOPUS</t>
  </si>
  <si>
    <t>0.001150</t>
  </si>
  <si>
    <t>199.88%</t>
  </si>
  <si>
    <t>19.10.2024 20:07:43</t>
  </si>
  <si>
    <t xml:space="preserve">         62K           385K            13K</t>
  </si>
  <si>
    <t>HZhiTXGPDv8iwrdJyRi3U51dMV4NXMpaFhJBsh7Npump</t>
  </si>
  <si>
    <t>-2.81%</t>
  </si>
  <si>
    <t>19.10.2024 17:52:55</t>
  </si>
  <si>
    <t xml:space="preserve">         72K           112K             4K</t>
  </si>
  <si>
    <t>109,555</t>
  </si>
  <si>
    <t>19.10.2024 17:24:39</t>
  </si>
  <si>
    <t xml:space="preserve">        400M           400M            100</t>
  </si>
  <si>
    <t>AsA21YSLzYqgtv99CFGxZHQ1a45neV5aQggRkbr5JB8i</t>
  </si>
  <si>
    <t>0.997 SOL</t>
  </si>
  <si>
    <t>99.05%</t>
  </si>
  <si>
    <t>19.10.2024 10:27:25</t>
  </si>
  <si>
    <t xml:space="preserve">        135K           135K            19K</t>
  </si>
  <si>
    <t>7VQnrD2345cCND6t85AqtZkpuos5xdjo5qbP88H4pump</t>
  </si>
  <si>
    <t>EREBUS</t>
  </si>
  <si>
    <t>1.930 SOL</t>
  </si>
  <si>
    <t>284.53%</t>
  </si>
  <si>
    <t>19.10.2024 03:19:11</t>
  </si>
  <si>
    <t xml:space="preserve">        197K           197K           121K</t>
  </si>
  <si>
    <t>A17gzfib2UaxteKXzMK37G4AtVqYKRqRLT54aDjYpump</t>
  </si>
  <si>
    <t>blake</t>
  </si>
  <si>
    <t>0.002990</t>
  </si>
  <si>
    <t>128.47%</t>
  </si>
  <si>
    <t>19.10.2024 02:52:29</t>
  </si>
  <si>
    <t xml:space="preserve">        102K           102K             7K</t>
  </si>
  <si>
    <t>5ymzsgQjiaa4bXEPgrVTgNJJWyHUw3En3i9Jppb4pump</t>
  </si>
  <si>
    <t>ORB</t>
  </si>
  <si>
    <t>-43.13%</t>
  </si>
  <si>
    <t>19.10.2024 00:17:22</t>
  </si>
  <si>
    <t xml:space="preserve">          9K             5K             4K</t>
  </si>
  <si>
    <t>B838w261daC8QumSz9CR2vMKv5d1zDSJaiUWFzpdpump</t>
  </si>
  <si>
    <t>-0.499 SOL</t>
  </si>
  <si>
    <t>-99.64%</t>
  </si>
  <si>
    <t>18.10.2024 23:37:59</t>
  </si>
  <si>
    <t xml:space="preserve">          1M             1M            22K</t>
  </si>
  <si>
    <t>3QVfZyLUD3iidbdcs6eSUJJDgnZBY6c9G3L1qtLiR9NS</t>
  </si>
  <si>
    <t>SOL6900</t>
  </si>
  <si>
    <t>-99.92%</t>
  </si>
  <si>
    <t>18.10.2024 23:13:37</t>
  </si>
  <si>
    <t xml:space="preserve">          1M             1M            637</t>
  </si>
  <si>
    <t>H3wrNNCUkjuKfqZEyXipU8Dw9DAoj6RCazkRgMdz6giM</t>
  </si>
  <si>
    <t>🤓</t>
  </si>
  <si>
    <t>-34.62%</t>
  </si>
  <si>
    <t>18.10.2024 20:18:37</t>
  </si>
  <si>
    <t>ErjhXLvFcabDHWVn8byshLna9iHEUMiMwZdwkKafPDRg</t>
  </si>
  <si>
    <t>UWU</t>
  </si>
  <si>
    <t>123.99%</t>
  </si>
  <si>
    <t>18.10.2024 18:56:51</t>
  </si>
  <si>
    <t xml:space="preserve">         86K           134K            12K</t>
  </si>
  <si>
    <t>C82KuqFXK3WticDkjSXuthmzikLYXC1TpqDKQhqipump</t>
  </si>
  <si>
    <t>PUMPKEN</t>
  </si>
  <si>
    <t>304,272</t>
  </si>
  <si>
    <t>18.10.2024 17:29:26</t>
  </si>
  <si>
    <t>8po9AnuTgDS6MZA79zuShuAJfsSfD1z6wtqnvoiHV1iJ</t>
  </si>
  <si>
    <t>avatoor</t>
  </si>
  <si>
    <t>18.10.2024 16:02:32</t>
  </si>
  <si>
    <t xml:space="preserve">         458           N/A             9K</t>
  </si>
  <si>
    <t>D9L5EF1cXvUGWYUQGRL46M3kj8SwspNP7dfnne1fpump</t>
  </si>
  <si>
    <t>TRI</t>
  </si>
  <si>
    <t>3.106 SOL</t>
  </si>
  <si>
    <t>2.605 SOL</t>
  </si>
  <si>
    <t>519.91%</t>
  </si>
  <si>
    <t>18.10.2024 15:32:32</t>
  </si>
  <si>
    <t xml:space="preserve">        132K           132K            31K</t>
  </si>
  <si>
    <t>6GcBQyu2eRRmseamSF6vnNu8fxS1557CUjioJgSzpump</t>
  </si>
  <si>
    <t>SYDN3Y</t>
  </si>
  <si>
    <t>73,136</t>
  </si>
  <si>
    <t>18.10.2024 12:45:23</t>
  </si>
  <si>
    <t xml:space="preserve">         12M            12M           731K</t>
  </si>
  <si>
    <t>aKRa1kLkxgdyrhSX85MVnLgvPkKXNPL2jT3AHLggCRY</t>
  </si>
  <si>
    <t>DEGEN</t>
  </si>
  <si>
    <t>108,166</t>
  </si>
  <si>
    <t>18.10.2024 12:44:24</t>
  </si>
  <si>
    <t xml:space="preserve">        778K           778K             2K</t>
  </si>
  <si>
    <t>ChfogjzeQhKn5BR5U5BjzMD7qE5cLBT8rT4irCCrA99G</t>
  </si>
  <si>
    <t>daemonism</t>
  </si>
  <si>
    <t>0.35%</t>
  </si>
  <si>
    <t>18.10.2024 12:02:00</t>
  </si>
  <si>
    <t xml:space="preserve">         63K            86K            11K</t>
  </si>
  <si>
    <t>AfR8kzgJwJKtZB4A6JzaVa1bmfbQfXE4JJie1aejpump</t>
  </si>
  <si>
    <t>0.001530</t>
  </si>
  <si>
    <t>2.821 SOL</t>
  </si>
  <si>
    <t>2.570 SOL</t>
  </si>
  <si>
    <t>1021.59%</t>
  </si>
  <si>
    <t>18.10.2024 11:51:13</t>
  </si>
  <si>
    <t xml:space="preserve">         37K            37K            21K</t>
  </si>
  <si>
    <t>$FWEL</t>
  </si>
  <si>
    <t>-99.97%</t>
  </si>
  <si>
    <t>18.10.2024 11:48:47</t>
  </si>
  <si>
    <t xml:space="preserve">          2K           N/A           410K</t>
  </si>
  <si>
    <t>9W2YNsYnW321KQtTLN1ifTYkKyJWKzY7R2Vq2vbypump</t>
  </si>
  <si>
    <t>0.386 SOL</t>
  </si>
  <si>
    <t>-23.00%</t>
  </si>
  <si>
    <t>18.10.2024 11:37:10</t>
  </si>
  <si>
    <t xml:space="preserve">         37K            37K             3K</t>
  </si>
  <si>
    <t>DAFFY</t>
  </si>
  <si>
    <t>18.10.2024 11:31:49</t>
  </si>
  <si>
    <t xml:space="preserve">         17K           N/A           116K</t>
  </si>
  <si>
    <t>9G9nKgAjAoSXm2FmaJHftnAib17DFQvL8aSNecWSNuUJ</t>
  </si>
  <si>
    <t>NAKAMOTO</t>
  </si>
  <si>
    <t>-64.45%</t>
  </si>
  <si>
    <t>18.10.2024 11:08:23</t>
  </si>
  <si>
    <t>39C5Bph4Sf7mpSrAENvENVgqwQBV5BTE4m438ibsCgp2</t>
  </si>
  <si>
    <t>Zapp</t>
  </si>
  <si>
    <t>-0.159 SOL</t>
  </si>
  <si>
    <t>-63.03%</t>
  </si>
  <si>
    <t>18.10.2024 11:04:50</t>
  </si>
  <si>
    <t>3ywSBQYJywajRFNcwDsQH28xK16n3qQBhpDXEirZvjzA</t>
  </si>
  <si>
    <t>HINANO6900</t>
  </si>
  <si>
    <t>-4.86%</t>
  </si>
  <si>
    <t>18.10.2024 11:04:18</t>
  </si>
  <si>
    <t>5LGdNYwRLaopjAr7cVK7QNg7fvdYL3PXPpBJtZyddnRp</t>
  </si>
  <si>
    <t>Btclt</t>
  </si>
  <si>
    <t>18.10.2024 11:01:52</t>
  </si>
  <si>
    <t>6MiJGrwixL2DRpFxwPucrc7YWoLxa9F7p2cXch1m4YMK</t>
  </si>
  <si>
    <t>schlong</t>
  </si>
  <si>
    <t>1,900,990</t>
  </si>
  <si>
    <t>17.10.2024 23:25:29</t>
  </si>
  <si>
    <t>6tFonYYPWPUJEGvXcZ72vBr7VCoZMPwAACewNqmktoYJ</t>
  </si>
  <si>
    <t>MGGG</t>
  </si>
  <si>
    <t>7,519,495</t>
  </si>
  <si>
    <t>17.10.2024 23:07:36</t>
  </si>
  <si>
    <t>DMZ5wdYxu13VfoLzdM6ZbZrYXpCAQ5QpPF8iaDEupump</t>
  </si>
  <si>
    <t>autistico</t>
  </si>
  <si>
    <t>6,658,528</t>
  </si>
  <si>
    <t>17.10.2024 23:02:59</t>
  </si>
  <si>
    <t>7BgXeebAoueXe7vwRQidt9yvFp4W1LkzL64mQCi6pump</t>
  </si>
  <si>
    <t>suyu</t>
  </si>
  <si>
    <t>1,151,435</t>
  </si>
  <si>
    <t>17.10.2024 22:47:56</t>
  </si>
  <si>
    <t xml:space="preserve">         39K            39K             3K</t>
  </si>
  <si>
    <t>2DR5jFjKNif7gmyrnsn8scRUWF9bwnimsUCnHf38pump</t>
  </si>
  <si>
    <t>0.534 SOL</t>
  </si>
  <si>
    <t>211.99%</t>
  </si>
  <si>
    <t>17.10.2024 21:49:50</t>
  </si>
  <si>
    <t xml:space="preserve">         32K           131K            31K</t>
  </si>
  <si>
    <t>Tel∅s</t>
  </si>
  <si>
    <t>308,208</t>
  </si>
  <si>
    <t>17.10.2024 21:34:51</t>
  </si>
  <si>
    <t>HX3Lfz2BqD931HGZaahSf4P6ejSd6b8hXr6bNMPGpump</t>
  </si>
  <si>
    <t>FATSHO</t>
  </si>
  <si>
    <t>40.39%</t>
  </si>
  <si>
    <t>17.10.2024 21:27:03</t>
  </si>
  <si>
    <t xml:space="preserve">          4K             8K            84K</t>
  </si>
  <si>
    <t>6Lqgg6qzm8ynZTKTv8nVmsVp6JZCy9Ws2cqVio2j8t7B</t>
  </si>
  <si>
    <t>Smuradge</t>
  </si>
  <si>
    <t>-12.49%</t>
  </si>
  <si>
    <t>17.10.2024 21:24:26</t>
  </si>
  <si>
    <t xml:space="preserve">        921K             1M             5K</t>
  </si>
  <si>
    <t>6PqDMmqJLEMXfWsQD3JBgspJKmgXjBR9taZM3JDppump</t>
  </si>
  <si>
    <t>SCREEN</t>
  </si>
  <si>
    <t>404,838</t>
  </si>
  <si>
    <t>17.10.2024 20:57:34</t>
  </si>
  <si>
    <t>9AJE1ZTeLCgSKiHoUpNV1QDk5pfYxosZmsQLFQX9pump</t>
  </si>
  <si>
    <t>AI GF</t>
  </si>
  <si>
    <t>3,206,460</t>
  </si>
  <si>
    <t>17.10.2024 20:54:07</t>
  </si>
  <si>
    <t>AzfmgqXYN2LRGczfxMGrw5rn3s7jTaT3E99t5e6upump</t>
  </si>
  <si>
    <t>Nikko</t>
  </si>
  <si>
    <t>0.315 SOL</t>
  </si>
  <si>
    <t>25.04%</t>
  </si>
  <si>
    <t>17.10.2024 20:47:17</t>
  </si>
  <si>
    <t xml:space="preserve">         84K           126K             4K</t>
  </si>
  <si>
    <t>qNPq4EhiWQH8sKYMugm2AkcV9AkNy8pvzUzfbEhpump</t>
  </si>
  <si>
    <t>SYNAI</t>
  </si>
  <si>
    <t>0.589 SOL</t>
  </si>
  <si>
    <t>134.17%</t>
  </si>
  <si>
    <t>17.10.2024 18:32:03</t>
  </si>
  <si>
    <t xml:space="preserve">         21K           125K             3K</t>
  </si>
  <si>
    <t>FjLBtcw5YjEYZHj1Qi2K8qhxPZmJdwnR4cg4f4AKpump</t>
  </si>
  <si>
    <t>SOLLY</t>
  </si>
  <si>
    <t>565,270</t>
  </si>
  <si>
    <t>16.10.2024 19:31:52</t>
  </si>
  <si>
    <t xml:space="preserve">         32K            32K             3K</t>
  </si>
  <si>
    <t>ACWuXgmwU87Rh2xs58s5P4nh77eGjqEj1v7aAfxpump</t>
  </si>
  <si>
    <t>DROSE</t>
  </si>
  <si>
    <t>0.008870</t>
  </si>
  <si>
    <t>163,416</t>
  </si>
  <si>
    <t>16.10.2024 19:28:33</t>
  </si>
  <si>
    <t xml:space="preserve">        106K           106K             4K</t>
  </si>
  <si>
    <t>5eegGvfrrAWXqECXKWNgiNh4Hd2mA61MDdXY9LtnEFw1</t>
  </si>
  <si>
    <t>RETARDEUS</t>
  </si>
  <si>
    <t>207,626</t>
  </si>
  <si>
    <t>16.10.2024 19:27:35</t>
  </si>
  <si>
    <t xml:space="preserve">        169K           169K             6K</t>
  </si>
  <si>
    <t>AxR6xWdfa1EYSuog8qxi3o4zu4jLJHFe8uWQR8Dfpump</t>
  </si>
  <si>
    <t>KAORI</t>
  </si>
  <si>
    <t>71,930</t>
  </si>
  <si>
    <t>16.10.2024 19:26:24</t>
  </si>
  <si>
    <t xml:space="preserve">        489K           489K            16K</t>
  </si>
  <si>
    <t>CcTxy8iD42BR4PGA3MV3SdMfa8snn2rRgvXJfdDypump</t>
  </si>
  <si>
    <t>$Doggy</t>
  </si>
  <si>
    <t>264,595</t>
  </si>
  <si>
    <t>16.10.2024 14:11:59</t>
  </si>
  <si>
    <t>8ZynbExv3H9wby8sn5YojDoQdR7qB9rQATf1f5LHpump</t>
  </si>
  <si>
    <t>SIMULATION</t>
  </si>
  <si>
    <t>572,539</t>
  </si>
  <si>
    <t>16.10.2024 12:10:45</t>
  </si>
  <si>
    <t xml:space="preserve">         77K            77K             6K</t>
  </si>
  <si>
    <t>AEiQQoPr7wuaPj47fUpuHhdzeBhWyRzLMVk1rKu7pump</t>
  </si>
  <si>
    <t>WLIB</t>
  </si>
  <si>
    <t>467,019</t>
  </si>
  <si>
    <t>16.10.2024 12:07:26</t>
  </si>
  <si>
    <t xml:space="preserve">        188K           188K             8K</t>
  </si>
  <si>
    <t>655Jywgb8V2xCJeL7h73cs4eqCNQh8kMR2toUHmzpump</t>
  </si>
  <si>
    <t>1008.68%</t>
  </si>
  <si>
    <t>16.10.2024 11:55:20</t>
  </si>
  <si>
    <t xml:space="preserve">         18M            18M           582M</t>
  </si>
  <si>
    <t>RALLY</t>
  </si>
  <si>
    <t>220,709</t>
  </si>
  <si>
    <t>15.10.2024 00:47:55</t>
  </si>
  <si>
    <t>E8Qve3129KybYBPaZHHfLKRuGhCTF2WSp52exACwpump</t>
  </si>
  <si>
    <t>LMAO</t>
  </si>
  <si>
    <t>0.420 SOL</t>
  </si>
  <si>
    <t>0.266 SOL</t>
  </si>
  <si>
    <t>-0.155 SOL</t>
  </si>
  <si>
    <t>15.10.2024 00:47:08</t>
  </si>
  <si>
    <t xml:space="preserve">        102K            11K             4K</t>
  </si>
  <si>
    <t>DRTQMpY1jZivps8gCGx7AwTN4izoe8GP5YJtTmKSpump</t>
  </si>
  <si>
    <t>STUDY</t>
  </si>
  <si>
    <t>82,712</t>
  </si>
  <si>
    <t>14.10.2024 22:53:43</t>
  </si>
  <si>
    <t>Bu8tzATJze1tCtjXfy8g54heQ9vzYF3nm5sMe5gVpump</t>
  </si>
  <si>
    <t>Taichi</t>
  </si>
  <si>
    <t>379,618</t>
  </si>
  <si>
    <t>14.10.2024 16:31:42</t>
  </si>
  <si>
    <t xml:space="preserve">         93K            93K            11K</t>
  </si>
  <si>
    <t>E1qXEimqLpDmPiUNir76NikzVm4hr6cD4W9boxVdpump</t>
  </si>
  <si>
    <t>GOATCUM</t>
  </si>
  <si>
    <t>116,797</t>
  </si>
  <si>
    <t>13.10.2024 22:29:44</t>
  </si>
  <si>
    <t xml:space="preserve">        376K           376K             6K</t>
  </si>
  <si>
    <t>97L8Pp7NnxEz8MLzrASVzPku4rrp8YKDLCKzGkcZpump</t>
  </si>
  <si>
    <t>0.219 SOL</t>
  </si>
  <si>
    <t>87.39%</t>
  </si>
  <si>
    <t>13.10.2024 22:24:48</t>
  </si>
  <si>
    <t xml:space="preserve">         83K           281K             4K</t>
  </si>
  <si>
    <t>EjRQAxU3sLgHBXQrVmC4dF2VfPEpAsSQjp7yP8Atpump</t>
  </si>
  <si>
    <t>GAGY</t>
  </si>
  <si>
    <t>0.000790</t>
  </si>
  <si>
    <t>33.46%</t>
  </si>
  <si>
    <t>13.10.2024 21:34:54</t>
  </si>
  <si>
    <t>DRbDjT4RKZw17QDFB6MT1XVLkxXqwq4YiGQjmGm4msmE</t>
  </si>
  <si>
    <t>JOKR</t>
  </si>
  <si>
    <t>190,179</t>
  </si>
  <si>
    <t>13.10.2024 21:22:55</t>
  </si>
  <si>
    <t>3sCnWuP3njqbuFTB56nSV7TRZFXidWujmWzJurN4pTRo</t>
  </si>
  <si>
    <t>UTK</t>
  </si>
  <si>
    <t>-1.00%</t>
  </si>
  <si>
    <t>13.10.2024 21:14:57</t>
  </si>
  <si>
    <t xml:space="preserve">          8M             8M            18M</t>
  </si>
  <si>
    <t>5XknGDPf8Jii8vQtbeVmBHSDd2ZyvZUvbV53uwsL2P6L</t>
  </si>
  <si>
    <t>BOT</t>
  </si>
  <si>
    <t>13.10.2024 21:14:09</t>
  </si>
  <si>
    <t>5HqEe8oahztGBV3UHZsCdjfitRLr7zP9oun8WvjKSxXR</t>
  </si>
  <si>
    <t>Marie</t>
  </si>
  <si>
    <t>6,093</t>
  </si>
  <si>
    <t>13.10.2024 21:02:47</t>
  </si>
  <si>
    <t xml:space="preserve">          6M             6M            88K</t>
  </si>
  <si>
    <t>BVxi7Le7GDcdiHg5teDQZKHhUC1aaQjy48La9yMPpump</t>
  </si>
  <si>
    <t>MH</t>
  </si>
  <si>
    <t>0.379 SOL</t>
  </si>
  <si>
    <t>88.93%</t>
  </si>
  <si>
    <t>13.10.2024 20:55:54</t>
  </si>
  <si>
    <t>3LXFhwrv4EVTxpXyEgQuQADRmMF8XZctU9Jvkek1pump</t>
  </si>
  <si>
    <t>GFS</t>
  </si>
  <si>
    <t>257,071</t>
  </si>
  <si>
    <t>13.10.2024 15:17:53</t>
  </si>
  <si>
    <t>BSGeuPdbaPV8qKnoyiHUgadibgfwcJDUYJAcxi39Emit</t>
  </si>
  <si>
    <t>4,745</t>
  </si>
  <si>
    <t>13.10.2024 15:03:03</t>
  </si>
  <si>
    <t>9998F79aPpMeyb1gmmqLqwy9ZjBZbtEUC7CMmDrB4jcr</t>
  </si>
  <si>
    <t>342,388</t>
  </si>
  <si>
    <t>13.10.2024 14:17:09</t>
  </si>
  <si>
    <t>5AKsZGXXFAgqQvzt1eVQdSNJSfEb6VNfDUhkoW2spump</t>
  </si>
  <si>
    <t>MAGNET</t>
  </si>
  <si>
    <t>20,995</t>
  </si>
  <si>
    <t>13.10.2024 12:30:19</t>
  </si>
  <si>
    <t>GJT4kpDX9ujxzKsDJw5Lt5xrMoNsDZFGgoYQacxzpump</t>
  </si>
  <si>
    <t>🐔</t>
  </si>
  <si>
    <t>0.348 SOL</t>
  </si>
  <si>
    <t>39.03%</t>
  </si>
  <si>
    <t>13.10.2024 09:43:34</t>
  </si>
  <si>
    <t xml:space="preserve">         49K            49K            13K</t>
  </si>
  <si>
    <t>B1aa56R4FJegCMDLDVZPyA5w4GcRwXTp2GVrQNb2pump</t>
  </si>
  <si>
    <t>-0.601 SOL</t>
  </si>
  <si>
    <t>1,703,744</t>
  </si>
  <si>
    <t>12.10.2024 23:59:42</t>
  </si>
  <si>
    <t xml:space="preserve">         90K            25K             3K</t>
  </si>
  <si>
    <t>SDOGE</t>
  </si>
  <si>
    <t>24,293</t>
  </si>
  <si>
    <t>12.10.2024 22:44:36</t>
  </si>
  <si>
    <t xml:space="preserve">          2M             2M             2M</t>
  </si>
  <si>
    <t>BvSyXBvy76mUgzLSbvvT4NQw5rSM4P5zAsdnvqUJpump</t>
  </si>
  <si>
    <t>CPEPE</t>
  </si>
  <si>
    <t>0.000190</t>
  </si>
  <si>
    <t>1.002 SOL</t>
  </si>
  <si>
    <t>-7.11%</t>
  </si>
  <si>
    <t>12.10.2024 21:47:22</t>
  </si>
  <si>
    <t>U2GE8JkZ6W5NuRP5xXxptT8cKPBTzptix9s4VstQMp8</t>
  </si>
  <si>
    <t>Swarm</t>
  </si>
  <si>
    <t>7,890</t>
  </si>
  <si>
    <t>12.10.2024 21:18:36</t>
  </si>
  <si>
    <t xml:space="preserve">        892K           892K           187K</t>
  </si>
  <si>
    <t>JBSVUpKgYNHt4GLtNebQxTJmZgftTMWENQrziHtGpump</t>
  </si>
  <si>
    <t>$MINU</t>
  </si>
  <si>
    <t>63,363</t>
  </si>
  <si>
    <t>11.10.2024 21:28:24</t>
  </si>
  <si>
    <t>Fzd9CeA9xW2sJwiqUJTuBugDEQ8dn1xiqcnhzcyLavn9</t>
  </si>
  <si>
    <t>bCats</t>
  </si>
  <si>
    <t>160,322</t>
  </si>
  <si>
    <t>11.10.2024 21:23:21</t>
  </si>
  <si>
    <t xml:space="preserve">        109K           109K             8K</t>
  </si>
  <si>
    <t>AnkboVxDxPszZPienGdJzy2qAWbfvm29AHzWwY2doiA2</t>
  </si>
  <si>
    <t>POPHARU</t>
  </si>
  <si>
    <t>23,822</t>
  </si>
  <si>
    <t>11.10.2024 21:12:51</t>
  </si>
  <si>
    <t xml:space="preserve">        739K           739K             7K</t>
  </si>
  <si>
    <t>DR7ditoS8qSNV2J6XMvPpehEvVf2J3HvAStdzqHpump</t>
  </si>
  <si>
    <t>BUKELEE</t>
  </si>
  <si>
    <t>6,261</t>
  </si>
  <si>
    <t>11.10.2024 20:26:12</t>
  </si>
  <si>
    <t>64sd4GgBhAbQZtVm91HcyEcvg97EMhbzTwQKM4o7PHxo</t>
  </si>
  <si>
    <t>ameno</t>
  </si>
  <si>
    <t>33,103</t>
  </si>
  <si>
    <t>11.10.2024 20:23:55</t>
  </si>
  <si>
    <t xml:space="preserve">        531K           531K            67K</t>
  </si>
  <si>
    <t>7CSWFsrB3gPc5o5hxKTJCUbFDq4QyTWpjVG76S1Xpump</t>
  </si>
  <si>
    <t>BlackPEPE</t>
  </si>
  <si>
    <t>825</t>
  </si>
  <si>
    <t>11.10.2024 20:19:30</t>
  </si>
  <si>
    <t>2cSsNQXwAKx8RKa6JnBCtHtfsm5KQYYMWgnUhDxkt645</t>
  </si>
  <si>
    <t>OOGA</t>
  </si>
  <si>
    <t>37,408</t>
  </si>
  <si>
    <t>11.10.2024 20:17:35</t>
  </si>
  <si>
    <t xml:space="preserve">        469K           469K             6K</t>
  </si>
  <si>
    <t>khDgKAP8mRb8PbZnVhLyMhLtaRWvgciAzB2XiSLpump</t>
  </si>
  <si>
    <t>42,810</t>
  </si>
  <si>
    <t>11.10.2024 20:14:23</t>
  </si>
  <si>
    <t xml:space="preserve">        412K           412K            12K</t>
  </si>
  <si>
    <t>HUCXhZ3gvax7umq8gRZeRcjMkBmfUVgPxfUtbdftpump</t>
  </si>
  <si>
    <t>11.10.2024 20:07:08</t>
  </si>
  <si>
    <t>G48twEUrqp6G2Eh1RiJjR9U9tVYKV84qHYxprp3zShic</t>
  </si>
  <si>
    <t>SOLMAX</t>
  </si>
  <si>
    <t>-0.451 SOL</t>
  </si>
  <si>
    <t>1,173,877</t>
  </si>
  <si>
    <t>11.10.2024 19:40:46</t>
  </si>
  <si>
    <t xml:space="preserve">         74K            62K             4K</t>
  </si>
  <si>
    <t>12ikmLqrj2N39Gkcbz4HZBFw1F3BqPk4L6zK396Cpump</t>
  </si>
  <si>
    <t>Pepe</t>
  </si>
  <si>
    <t>11.10.2024 19:26:11</t>
  </si>
  <si>
    <t>94aNm6GLr7enPory3Uq2cN9FUivBJ7VquuZgLJhZ5RQF</t>
  </si>
  <si>
    <t>-5.54%</t>
  </si>
  <si>
    <t>11.10.2024 18:57:02</t>
  </si>
  <si>
    <t xml:space="preserve">         86K           119K             5K</t>
  </si>
  <si>
    <t>7CgKnUxxHB5HG598hyhJfqbB47gN2Fdr7TN7WrTjpump</t>
  </si>
  <si>
    <t>Moon</t>
  </si>
  <si>
    <t>368,675</t>
  </si>
  <si>
    <t>11.10.2024 18:47:16</t>
  </si>
  <si>
    <t>E4nZ9zijieeTuGTgyP99a1YUbdcnjxtjswUQkkypKNxS</t>
  </si>
  <si>
    <t>SLINKY</t>
  </si>
  <si>
    <t>-2.50%</t>
  </si>
  <si>
    <t>11.10.2024 17:58:12</t>
  </si>
  <si>
    <t>B1aoR2RJyTDWMZXy3nAYad9r8eyhEGKm7rA9HB69aHog</t>
  </si>
  <si>
    <t>MELON</t>
  </si>
  <si>
    <t>377,738</t>
  </si>
  <si>
    <t>11.10.2024 16:08:11</t>
  </si>
  <si>
    <t>HvkTyZMxs6S3mBbJSpUXXvqND7iC5FQr1aJBPsvSs4Ui</t>
  </si>
  <si>
    <t xml:space="preserve">FEFE </t>
  </si>
  <si>
    <t>505,055</t>
  </si>
  <si>
    <t>11.10.2024 16:03:38</t>
  </si>
  <si>
    <t>JC96CuK9ZsuAEbNECiUke2yJiwDbqXtLphpTZX11eHvi</t>
  </si>
  <si>
    <t>-0.176 SOL</t>
  </si>
  <si>
    <t>-35.15%</t>
  </si>
  <si>
    <t>11.10.2024 15:05:12</t>
  </si>
  <si>
    <t>7EUeMop2TtcS385byCqbjZRbrrUcgrCnd3K5iBe2MPDa</t>
  </si>
  <si>
    <t>500,279</t>
  </si>
  <si>
    <t>11.10.2024 00:41:37</t>
  </si>
  <si>
    <t>3tU4tYkdWURGAVoBeHgDa7AA5XumNybUnfdyMs3jpump</t>
  </si>
  <si>
    <t>Baby Yolo</t>
  </si>
  <si>
    <t>1,238</t>
  </si>
  <si>
    <t>11.10.2024 00:26:11</t>
  </si>
  <si>
    <t>HQRRfbBKaBERZscSVikVk3FiZ92m7vbZMFcuFY23pump</t>
  </si>
  <si>
    <t>fraud</t>
  </si>
  <si>
    <t>1,597,169</t>
  </si>
  <si>
    <t>10.10.2024 23:59:54</t>
  </si>
  <si>
    <t>4bwhHfFSynKXrWsLK9qpZhBhhDYHMbm5oZtkvfN3pump</t>
  </si>
  <si>
    <t>FBIDOG</t>
  </si>
  <si>
    <t>538,737</t>
  </si>
  <si>
    <t>10.10.2024 23:59:04</t>
  </si>
  <si>
    <t>3SY6y2E2ZomDp3Rrzp7Rddx5hbNrg4iHzVQn4HfQpump</t>
  </si>
  <si>
    <t>Satoshi</t>
  </si>
  <si>
    <t>32,145</t>
  </si>
  <si>
    <t>10.10.2024 01:03:16</t>
  </si>
  <si>
    <t>nkaYQ5onV6GHXMHFVkEbi97MKLUR3Xa2Hvuq8rXpump</t>
  </si>
  <si>
    <t>Moonie</t>
  </si>
  <si>
    <t>73,144</t>
  </si>
  <si>
    <t>10.10.2024 00:23:52</t>
  </si>
  <si>
    <t>ruoNYYyzpCS1eMwxqtuQCQ8UDSVXAeAys7sEYDfpump</t>
  </si>
  <si>
    <t>BabyTrump</t>
  </si>
  <si>
    <t>2,920</t>
  </si>
  <si>
    <t>10.10.2024 00:17:17</t>
  </si>
  <si>
    <t>dxRXqTQXw5QkCpL4stLujbRZenuFbyZMDYZHx5mpump</t>
  </si>
  <si>
    <t>HAWKTOSHI</t>
  </si>
  <si>
    <t>19.57%</t>
  </si>
  <si>
    <t>10.10.2024 00:10:45</t>
  </si>
  <si>
    <t xml:space="preserve">        109K           261K            16K</t>
  </si>
  <si>
    <t>DncJvcLAbkcp2YMhHaTfkWiTGsGsJcstyGzAEEWmqNff</t>
  </si>
  <si>
    <t>7.51%</t>
  </si>
  <si>
    <t>10.10.2024 00:00:12</t>
  </si>
  <si>
    <t xml:space="preserve">        162K           200K             8K</t>
  </si>
  <si>
    <t>KOA</t>
  </si>
  <si>
    <t>-9.04%</t>
  </si>
  <si>
    <t>09.10.2024 23:33:17</t>
  </si>
  <si>
    <t>2a1rz5GsEEeu12YJNcdmDgJX4MQVSkR7z7ci5qsTP1jc</t>
  </si>
  <si>
    <t>YOURMOM</t>
  </si>
  <si>
    <t>0.118 SOL</t>
  </si>
  <si>
    <t>16.88%</t>
  </si>
  <si>
    <t>09.10.2024 23:12:13</t>
  </si>
  <si>
    <t xml:space="preserve">        770K           865K            24K</t>
  </si>
  <si>
    <t>Bp2KgefjvRDhvuLGjXHsSFxmqkJEXk3ZAa1FQ4rWpump</t>
  </si>
  <si>
    <t>robin</t>
  </si>
  <si>
    <t>-43.49%</t>
  </si>
  <si>
    <t>09.10.2024 23:02:04</t>
  </si>
  <si>
    <t>AgBKZLJR5aBsE1GgfKMc1FWrNH8Ywxn1Agwrz937kNbP</t>
  </si>
  <si>
    <t>Pi</t>
  </si>
  <si>
    <t>-11.07%</t>
  </si>
  <si>
    <t>09.10.2024 23:01:12</t>
  </si>
  <si>
    <t>8CjkB5iAPiU3Doq4gaFHtBeYA5anec8rdVSFwNd622u</t>
  </si>
  <si>
    <t>NFA-6900</t>
  </si>
  <si>
    <t>70.83%</t>
  </si>
  <si>
    <t>09.10.2024 22:50:10</t>
  </si>
  <si>
    <t xml:space="preserve">         86K           285K             5K</t>
  </si>
  <si>
    <t>ECLg1WNdaFCKZggU9rd72mCpH2D6iZjnYiewKYREpump</t>
  </si>
  <si>
    <t>Dubaiacces</t>
  </si>
  <si>
    <t>336,450</t>
  </si>
  <si>
    <t>09.10.2024 22:29:59</t>
  </si>
  <si>
    <t>6LdXqDYGdsiimTJGZe4JkGnxHgABK5mSwKtGFoYeiinL</t>
  </si>
  <si>
    <t>$BIGPEPE</t>
  </si>
  <si>
    <t>0.000890</t>
  </si>
  <si>
    <t>-29.53%</t>
  </si>
  <si>
    <t>09.10.2024 22:20:52</t>
  </si>
  <si>
    <t>eJkyzsBy3kEaMtQa8mVet38ineeNSLXjeBeqtkBpump</t>
  </si>
  <si>
    <t>852</t>
  </si>
  <si>
    <t>09.10.2024 22:15:50</t>
  </si>
  <si>
    <t>AnBmZvwLYPYDVTEXtE5yAWrpz7HvkmxQ9UkdXePahAYi</t>
  </si>
  <si>
    <t>FANG</t>
  </si>
  <si>
    <t>50.21%</t>
  </si>
  <si>
    <t>09.10.2024 21:53:42</t>
  </si>
  <si>
    <t xml:space="preserve">         37K            76K             3K</t>
  </si>
  <si>
    <t>3JTHJ71PSfmEpUi7dG2swZDGC3B4jaVEmpnR2RgLpump</t>
  </si>
  <si>
    <t>FBI</t>
  </si>
  <si>
    <t>-0.140 SOL</t>
  </si>
  <si>
    <t>09.10.2024 21:45:01</t>
  </si>
  <si>
    <t xml:space="preserve">         49K            30K             4K</t>
  </si>
  <si>
    <t>BiqsWcELfueNeG3gMhUY5m229bHnyyPHaihSomUfpump</t>
  </si>
  <si>
    <t>JUMPY</t>
  </si>
  <si>
    <t>463,219</t>
  </si>
  <si>
    <t>09.10.2024 13:07:40</t>
  </si>
  <si>
    <t>5n8uF8TbWFixnujP9tXLScH8tgyqY1neoikeUHCipw1n</t>
  </si>
  <si>
    <t>Mimi</t>
  </si>
  <si>
    <t>-32.09%</t>
  </si>
  <si>
    <t>09.10.2024 12:49:42</t>
  </si>
  <si>
    <t xml:space="preserve">         53K            72K             4K</t>
  </si>
  <si>
    <t>3c9YX7TNSKTkUafvmeJE37jHe9WRbofHM6ggtYWmpump</t>
  </si>
  <si>
    <t>everything</t>
  </si>
  <si>
    <t>93.38%</t>
  </si>
  <si>
    <t>09.10.2024 11:19:35</t>
  </si>
  <si>
    <t xml:space="preserve">          1M             5M           201K</t>
  </si>
  <si>
    <t>AKZWqPjXGEDVPcaWoDoLXysLvuURPj9ZprTBX3GYpump</t>
  </si>
  <si>
    <t>CatFather</t>
  </si>
  <si>
    <t>0.000260</t>
  </si>
  <si>
    <t>0.549 SOL</t>
  </si>
  <si>
    <t>-0.549 SOL</t>
  </si>
  <si>
    <t>1,648,179</t>
  </si>
  <si>
    <t>08.10.2024 23:45:39</t>
  </si>
  <si>
    <t xml:space="preserve">         44K            74K             4K</t>
  </si>
  <si>
    <t>B23WJHeWarjCFKcKSJtinashJMLHGssQmau2xjHmcZTA</t>
  </si>
  <si>
    <t>LOAD</t>
  </si>
  <si>
    <t>08.10.2024 22:42:28</t>
  </si>
  <si>
    <t>3TogCRqPWgMaiAkz5dtiijg4q56qQZ3vWCQTEpFDpump</t>
  </si>
  <si>
    <t>CREDIT</t>
  </si>
  <si>
    <t>20.72%</t>
  </si>
  <si>
    <t>08.10.2024 22:39:30</t>
  </si>
  <si>
    <t xml:space="preserve">         65K            18K             7K</t>
  </si>
  <si>
    <t>9D88kY6JjhuVLCYbqJge69dRk4KDU8yhbsAGpXKgpump</t>
  </si>
  <si>
    <t>migraine</t>
  </si>
  <si>
    <t>0.001260</t>
  </si>
  <si>
    <t>-0.389 SOL</t>
  </si>
  <si>
    <t>-55.53%</t>
  </si>
  <si>
    <t>08.10.2024 22:26:07</t>
  </si>
  <si>
    <t xml:space="preserve">         76K            16K           541K</t>
  </si>
  <si>
    <t>7WdDyHa7GDuAvYZAGFGEbDoBUka1S8YvbPgTW2WPpump</t>
  </si>
  <si>
    <t>0.003550</t>
  </si>
  <si>
    <t>3.511 SOL</t>
  </si>
  <si>
    <t>1.408 SOL</t>
  </si>
  <si>
    <t>66.92%</t>
  </si>
  <si>
    <t>08.10.2024 20:38:35</t>
  </si>
  <si>
    <t xml:space="preserve">         68K           437K            28K</t>
  </si>
  <si>
    <t>Aqua</t>
  </si>
  <si>
    <t>190.46%</t>
  </si>
  <si>
    <t>08.10.2024 20:37:57</t>
  </si>
  <si>
    <t xml:space="preserve">         93K           427K           189K</t>
  </si>
  <si>
    <t>5mXAnC2LWxvNF6und1Mokrv4WnPDP9uxzRsyWATYpump</t>
  </si>
  <si>
    <t>FGM</t>
  </si>
  <si>
    <t>129</t>
  </si>
  <si>
    <t>08.10.2024 20:20:34</t>
  </si>
  <si>
    <t>ALdBePTBDqirDSUdpDHrSf7To2GKQxtaTZvrbFVNpump</t>
  </si>
  <si>
    <t>NSSN</t>
  </si>
  <si>
    <t>408,717</t>
  </si>
  <si>
    <t>08.10.2024 20:18:23</t>
  </si>
  <si>
    <t xml:space="preserve">         78K            78K             4K</t>
  </si>
  <si>
    <t>8HHhDJmRKQ4o3evMvq5KU9sXiQ88pzXR7x8ngnNipump</t>
  </si>
  <si>
    <t xml:space="preserve">Dub </t>
  </si>
  <si>
    <t>-24.82%</t>
  </si>
  <si>
    <t>08.10.2024 16:27:15</t>
  </si>
  <si>
    <t>31LtsBgr4U11vEtgGYa2RTd8xTZ1iYEbiUMuNVpSAaNa</t>
  </si>
  <si>
    <t>0.139 SOL</t>
  </si>
  <si>
    <t>1.218 SOL</t>
  </si>
  <si>
    <t>777.48%</t>
  </si>
  <si>
    <t>08.10.2024 16:11:59</t>
  </si>
  <si>
    <t xml:space="preserve">         85K             1M           103K</t>
  </si>
  <si>
    <t>NETCOINorg</t>
  </si>
  <si>
    <t>-99.91%</t>
  </si>
  <si>
    <t>08.10.2024 12:43:29</t>
  </si>
  <si>
    <t>gVLTYV6daXxympqxm3fPzFdc6dHFX67HsyxDUAhc92W</t>
  </si>
  <si>
    <t>toka</t>
  </si>
  <si>
    <t>08.10.2024 11:38:34</t>
  </si>
  <si>
    <t>Bm6VfN44DtLUxpN5LGekZzHFQaZGEKmoDPMF6Lfxpump</t>
  </si>
  <si>
    <t>SQUIG</t>
  </si>
  <si>
    <t>14,201</t>
  </si>
  <si>
    <t>08.10.2024 10:34:38</t>
  </si>
  <si>
    <t>CgStHP82yTJwSpopnLsBgoT7PmocHPGNdAGJf6TPpump</t>
  </si>
  <si>
    <t>PAT</t>
  </si>
  <si>
    <t>0.119 SOL</t>
  </si>
  <si>
    <t>47.31%</t>
  </si>
  <si>
    <t>08.10.2024 09:32:57</t>
  </si>
  <si>
    <t>C2AwapNeunSpHniYAv9RFUJzdz1NA6WxCe1B8jrHpump</t>
  </si>
  <si>
    <t>KIT</t>
  </si>
  <si>
    <t>465,906</t>
  </si>
  <si>
    <t>08.10.2024 09:31:10</t>
  </si>
  <si>
    <t>7HVWK7Uc7pKkk3mUfpToJuw1VmzbEFwd6BmJ2u19pump</t>
  </si>
  <si>
    <t>AAAT</t>
  </si>
  <si>
    <t>1,058</t>
  </si>
  <si>
    <t>08.10.2024 09:15:40</t>
  </si>
  <si>
    <t>6gXujiqdYfWuecCmFvdvAGhN9z5ctvTfpuobFVpQpump</t>
  </si>
  <si>
    <t>SCR</t>
  </si>
  <si>
    <t>-13.75%</t>
  </si>
  <si>
    <t>08.10.2024 08:53:08</t>
  </si>
  <si>
    <t>3MpnRuTcjsX72st7WsLghG4148ainjw3py6eD7hhB1rX</t>
  </si>
  <si>
    <t>Dorae</t>
  </si>
  <si>
    <t>379,409</t>
  </si>
  <si>
    <t>08.10.2024 08:27:33</t>
  </si>
  <si>
    <t>FMFVWPYAsaLZKKt7wYvNyMf1TjA1tN9dNkbD3xJpump</t>
  </si>
  <si>
    <t>MABA</t>
  </si>
  <si>
    <t>1,668</t>
  </si>
  <si>
    <t>08.10.2024 08:24:15</t>
  </si>
  <si>
    <t>FF46fRnwtNtncG8UJvjHPRdjfxYD5sgeGubmaUKb2Kie</t>
  </si>
  <si>
    <t>UPTOBER</t>
  </si>
  <si>
    <t>0.002250</t>
  </si>
  <si>
    <t>1.750 SOL</t>
  </si>
  <si>
    <t>0.977 SOL</t>
  </si>
  <si>
    <t>-0.775 SOL</t>
  </si>
  <si>
    <t>-44.25%</t>
  </si>
  <si>
    <t>08.10.2024 00:44:27</t>
  </si>
  <si>
    <t xml:space="preserve">          8M             2M            27K</t>
  </si>
  <si>
    <t>6vVfbQVRSXcfyQamPqCzcqmA86vCzb2d7B7gmDDqpump</t>
  </si>
  <si>
    <t>JUUL</t>
  </si>
  <si>
    <t>32.17%</t>
  </si>
  <si>
    <t>07.10.2024 23:56:40</t>
  </si>
  <si>
    <t xml:space="preserve">        237K           320K             3K</t>
  </si>
  <si>
    <t>7PFEAuN9Zdr3eTAHtzp8NVtNSQ6j92MRoB768rCNpump</t>
  </si>
  <si>
    <t>1.788 SOL</t>
  </si>
  <si>
    <t>611.85%</t>
  </si>
  <si>
    <t>07.10.2024 23:18:42</t>
  </si>
  <si>
    <t xml:space="preserve">        193K             5M            70K</t>
  </si>
  <si>
    <t>APXEzWaC12YAejZr1v4sBhTcJMosGSA6oV5aTn9Jpump</t>
  </si>
  <si>
    <t>59,613</t>
  </si>
  <si>
    <t>07.10.2024 20:20:23</t>
  </si>
  <si>
    <t>s1YsHmYaMB9WqLLbfFide13kwKFCNMyapaSMpnepump</t>
  </si>
  <si>
    <t>GCAT</t>
  </si>
  <si>
    <t>437,703</t>
  </si>
  <si>
    <t>07.10.2024 20:18:09</t>
  </si>
  <si>
    <t xml:space="preserve">         81K            81K             4K</t>
  </si>
  <si>
    <t>6RVMpYRVtQdsGHZgRSq7kp2CWRWA62NfXEa8Drm9pump</t>
  </si>
  <si>
    <t>4,660,709,201</t>
  </si>
  <si>
    <t>07.10.2024 19:02:50</t>
  </si>
  <si>
    <t>CpaJQJEkYo81iih4ZLKyDAPEKdCPY6c4jor5KsQ6V9cn</t>
  </si>
  <si>
    <t>POMP</t>
  </si>
  <si>
    <t>0.007660</t>
  </si>
  <si>
    <t>-27.64%</t>
  </si>
  <si>
    <t>07.10.2024 18:51:52</t>
  </si>
  <si>
    <t xml:space="preserve">        107K           158K             4K</t>
  </si>
  <si>
    <t>5QvHNdR5M1tUXJWc2uUUWEhLMXNGFrYD5ZFsVYdvnUm4</t>
  </si>
  <si>
    <t>MUSHI</t>
  </si>
  <si>
    <t>-30.70%</t>
  </si>
  <si>
    <t>07.10.2024 18:46:06</t>
  </si>
  <si>
    <t xml:space="preserve">         56K             5K             4K</t>
  </si>
  <si>
    <t>8qm33VtvhXmnGBa61CJmqxmgPPAdrMc95228Fgvrpump</t>
  </si>
  <si>
    <t>145,830</t>
  </si>
  <si>
    <t>07.10.2024 18:22:51</t>
  </si>
  <si>
    <t xml:space="preserve">        301K           301K             5K</t>
  </si>
  <si>
    <t>8Pa281ygrppnAd3NGdJecGUva4WKPQ6QYgjW8hVRpump</t>
  </si>
  <si>
    <t>ELONMUSK</t>
  </si>
  <si>
    <t>-25.11%</t>
  </si>
  <si>
    <t>07.10.2024 18:21:23</t>
  </si>
  <si>
    <t>5dkVqFj6bdGEqisDfz42czWqHowD25KC9ZuP99cMxY8H</t>
  </si>
  <si>
    <t>SatoVerse</t>
  </si>
  <si>
    <t>56.60%</t>
  </si>
  <si>
    <t>07.10.2024 16:24:45</t>
  </si>
  <si>
    <t>4YWD14JtL35Po8AADwxyJgzPEVTxrYRFRSmmzabBaK3w</t>
  </si>
  <si>
    <t>LETO</t>
  </si>
  <si>
    <t>-19.31%</t>
  </si>
  <si>
    <t>07.10.2024 15:56:15</t>
  </si>
  <si>
    <t>ADfJEv5ZMEHvoUJ5r2aCpRJFZiGrJBuBWd91MhSs3fhK</t>
  </si>
  <si>
    <t>SMOKY</t>
  </si>
  <si>
    <t>07.10.2024 14:41:52</t>
  </si>
  <si>
    <t>9jGDCkqp5GypieukZvnhbtZyRU6oyuPqeaetTNJkaFdn</t>
  </si>
  <si>
    <t>KYLO</t>
  </si>
  <si>
    <t>21.36%</t>
  </si>
  <si>
    <t>07.10.2024 14:41:04</t>
  </si>
  <si>
    <t xml:space="preserve">         53K            93K             4K</t>
  </si>
  <si>
    <t>GU8QmVhkKoL7ATZvXycTsfma1a67g5AfxXF34Uatpump</t>
  </si>
  <si>
    <t>LEPER</t>
  </si>
  <si>
    <t>41.43%</t>
  </si>
  <si>
    <t>07.10.2024 14:35:48</t>
  </si>
  <si>
    <t>36veJrc8PLwcyrrYvhhqX31ecad828SuJqjY33ya4zf3</t>
  </si>
  <si>
    <t>BOME2</t>
  </si>
  <si>
    <t>7,349</t>
  </si>
  <si>
    <t>07.10.2024 12:46:02</t>
  </si>
  <si>
    <t>Gg7rjb3ZKCiUu3kMcSRCzTATsADYA1nAja7cZZg6sYdX</t>
  </si>
  <si>
    <t>MALTESE</t>
  </si>
  <si>
    <t>180,516</t>
  </si>
  <si>
    <t>07.10.2024 11:56:49</t>
  </si>
  <si>
    <t>3gax6jMdwWPya1ReRZGeCLZahZBVVcLqSyp5RapYpump</t>
  </si>
  <si>
    <t>383,351</t>
  </si>
  <si>
    <t>07.10.2024 11:53:17</t>
  </si>
  <si>
    <t>5Vz5YNiWkaczNDsQNLcrwrhBBfj7D7DHuRddyWZ9pump</t>
  </si>
  <si>
    <t>DOE</t>
  </si>
  <si>
    <t>14,179</t>
  </si>
  <si>
    <t>07.10.2024 11:52:24</t>
  </si>
  <si>
    <t>8K7YAPjJhwaSvUbDXqoUk6ywHqL8GVnMoEmB74jZpump</t>
  </si>
  <si>
    <t>GENESIS</t>
  </si>
  <si>
    <t>115,644</t>
  </si>
  <si>
    <t>07.10.2024 11:37:33</t>
  </si>
  <si>
    <t>7fhdYnQZvymeeLtqwS5XhmSHXjGu3oVgXVJmSdD5vvhq</t>
  </si>
  <si>
    <t>$BLUK</t>
  </si>
  <si>
    <t>382</t>
  </si>
  <si>
    <t>07.10.2024 11:32:18</t>
  </si>
  <si>
    <t>EscyQXJb8uNjF6pjFgurZcpH5djZ9g14xeWYkZdSqGd9</t>
  </si>
  <si>
    <t>58,625</t>
  </si>
  <si>
    <t>07.10.2024 00:49:57</t>
  </si>
  <si>
    <t>xrxypnCvUytB6TxfQoth47AqEtFYVxRowhLBSk7pump</t>
  </si>
  <si>
    <t>2025</t>
  </si>
  <si>
    <t>1,067,403</t>
  </si>
  <si>
    <t>07.10.2024 00:43:33</t>
  </si>
  <si>
    <t>EupXP9QAfpoajRDTcW6TuvfXYT8UMxWwKjoxNMk5pump</t>
  </si>
  <si>
    <t xml:space="preserve">PAC </t>
  </si>
  <si>
    <t>4,710</t>
  </si>
  <si>
    <t>07.10.2024 00:42:04</t>
  </si>
  <si>
    <t>3EbJyCbVz4rSDwnnThrNdFbJbUbvhyZyij64TKoQ3sJQ</t>
  </si>
  <si>
    <t>bitties</t>
  </si>
  <si>
    <t>5,669</t>
  </si>
  <si>
    <t>06.10.2024 23:17:14</t>
  </si>
  <si>
    <t xml:space="preserve">          5M             5M             3K</t>
  </si>
  <si>
    <t>8apftsiLrdaQTjF2i7p31gxgpBFbW3Wzct4TBLHLpump</t>
  </si>
  <si>
    <t>SHA</t>
  </si>
  <si>
    <t>679</t>
  </si>
  <si>
    <t>06.10.2024 22:50:18</t>
  </si>
  <si>
    <t>FmMevUz1pcWXxkvVQgVPCazu5s4E2yZYwmQvppfKpump</t>
  </si>
  <si>
    <t>650,806</t>
  </si>
  <si>
    <t>06.10.2024 22:36:25</t>
  </si>
  <si>
    <t>5aZ8qZ2tLYfCeEwJaBJYQwajo8AnHRVpwFZ9bKdofPrk</t>
  </si>
  <si>
    <t>POPEYE</t>
  </si>
  <si>
    <t>06.10.2024 22:23:41</t>
  </si>
  <si>
    <t>JEFQc82UMe7Dp7zoDPWH97jxcTLaM7oLq2AugmdhzqYd</t>
  </si>
  <si>
    <t>-99.01%</t>
  </si>
  <si>
    <t>06.10.2024 21:55:04</t>
  </si>
  <si>
    <t>DJRotK6Pg5zcetsyzoKfBuWDHY5ZpQ3GchNFoXqj2fB8</t>
  </si>
  <si>
    <t>yee</t>
  </si>
  <si>
    <t>06.10.2024 21:48:01</t>
  </si>
  <si>
    <t>CWtfgcNsK6kbKKx8UzAvkVA3XdyXvkCbpPFyqNL2oaNB</t>
  </si>
  <si>
    <t>MUSK</t>
  </si>
  <si>
    <t>06.10.2024 20:47:35</t>
  </si>
  <si>
    <t>13E4aP6ycQfLf8F6gknUK2yLvRuG2DZ2hDU9H9n2ZLdG</t>
  </si>
  <si>
    <t>MASTERCAT</t>
  </si>
  <si>
    <t>06.10.2024 20:17:39</t>
  </si>
  <si>
    <t>5Qrm8nGmMeBENtTq8LtcR8rHzdJ224kbPbo3d7aNNGwv</t>
  </si>
  <si>
    <t>grindset</t>
  </si>
  <si>
    <t>131,064</t>
  </si>
  <si>
    <t>06.10.2024 19:57:13</t>
  </si>
  <si>
    <t xml:space="preserve">        269K           269K             8K</t>
  </si>
  <si>
    <t>BdEVTSdqijPfb8TRQmMdDTo9CJsJsDFNhbD4o9yJpump</t>
  </si>
  <si>
    <t>Pini</t>
  </si>
  <si>
    <t>1,693,177</t>
  </si>
  <si>
    <t>06.10.2024 19:46:57</t>
  </si>
  <si>
    <t>7ThZbpzHqRGsVh87p3PmGqYtcypMSpSjJwp2h7qBpump</t>
  </si>
  <si>
    <t xml:space="preserve">Natsu </t>
  </si>
  <si>
    <t>479,282</t>
  </si>
  <si>
    <t>06.10.2024 19:35:03</t>
  </si>
  <si>
    <t>UqULLvAR8hiqSoHQefchCWDSYgyHYMKReLKNmwtpump</t>
  </si>
  <si>
    <t>$ PUMPENG</t>
  </si>
  <si>
    <t>12.14%</t>
  </si>
  <si>
    <t>06.10.2024 19:33:09</t>
  </si>
  <si>
    <t>9jPnGiN3DUxr7PuJ44ueWWzUfAJkAAUDh6dXqHBWpump</t>
  </si>
  <si>
    <t>$ Ruby</t>
  </si>
  <si>
    <t>1,154</t>
  </si>
  <si>
    <t>06.10.2024 18:24:33</t>
  </si>
  <si>
    <t>FeuqG6yGrfHJ1TifTp2V2zojMofHc5uu5Uk2Undnpump</t>
  </si>
  <si>
    <t>-17.81%</t>
  </si>
  <si>
    <t>06.10.2024 12:35:42</t>
  </si>
  <si>
    <t>C5Nt4JVhUhm35NcBDXrpkQKDsJgot1svc9XTHA91Bj7C</t>
  </si>
  <si>
    <t>PUMPIT</t>
  </si>
  <si>
    <t>500,997</t>
  </si>
  <si>
    <t>06.10.2024 11:48:15</t>
  </si>
  <si>
    <t>GPMdgwKGLq9vQuboSh59k95Bqr64fBKoMfA1KhBLpump</t>
  </si>
  <si>
    <t>TRIP</t>
  </si>
  <si>
    <t>1,211,426</t>
  </si>
  <si>
    <t>06.10.2024 11:25:52</t>
  </si>
  <si>
    <t>8LKgBvz6g15YJyjtGx1sLaG1cMD6dDC9CDq5qxpyKXeS</t>
  </si>
  <si>
    <t>-0.242 SOL</t>
  </si>
  <si>
    <t>768,575</t>
  </si>
  <si>
    <t>06.10.2024 01:26:13</t>
  </si>
  <si>
    <t xml:space="preserve">         54K            54K             5K</t>
  </si>
  <si>
    <t>7WupcDqVeUQahV5ahfPoQH99vM2SKnH8oX9CHFCYJ1L4</t>
  </si>
  <si>
    <t>FRIPO</t>
  </si>
  <si>
    <t>119.55%</t>
  </si>
  <si>
    <t>06.10.2024 00:28:18</t>
  </si>
  <si>
    <t xml:space="preserve">         38K            85K             4K</t>
  </si>
  <si>
    <t>AdguFkCYMQAsCM2Kchsq9GrvaaHFAVzY4ra6Ama8UzJW</t>
  </si>
  <si>
    <t>Gonko</t>
  </si>
  <si>
    <t>19,362</t>
  </si>
  <si>
    <t>05.10.2024 12:19:48</t>
  </si>
  <si>
    <t>2YDyr39tphJqRYd5e3BQLE25nKAb3cwQDsVZYTt6LfzR</t>
  </si>
  <si>
    <t>sass</t>
  </si>
  <si>
    <t>94,732</t>
  </si>
  <si>
    <t>05.10.2024 12:06:24</t>
  </si>
  <si>
    <t xml:space="preserve">        186K           186K             5K</t>
  </si>
  <si>
    <t>ExDyFTuBxKBmVTDDWJnd72HEHR2g3HpWuicbCZRBpump</t>
  </si>
  <si>
    <t>MAXI</t>
  </si>
  <si>
    <t>0.025 SOL</t>
  </si>
  <si>
    <t>9.94%</t>
  </si>
  <si>
    <t>05.10.2024 11:23:38</t>
  </si>
  <si>
    <t xml:space="preserve">         77K           170K             6K</t>
  </si>
  <si>
    <t>CqYeGYDePJxpWrmt6udvrH13Pf7WuP5Dh6Dycg3vpump</t>
  </si>
  <si>
    <t>TomCruise</t>
  </si>
  <si>
    <t>1.93%</t>
  </si>
  <si>
    <t>05.10.2024 09:43:28</t>
  </si>
  <si>
    <t>cns3nnVHATcMZazUF2bmajDTGJx1wHYs2JZ9TeMpump</t>
  </si>
  <si>
    <t>FINE</t>
  </si>
  <si>
    <t>288,218</t>
  </si>
  <si>
    <t>05.10.2024 09:20:33</t>
  </si>
  <si>
    <t>AUgwJmKWCWanKQEQotgR4967Fc4byn7iEduq6pXbpump</t>
  </si>
  <si>
    <t>FD5t6ogAKozFSUmTX55sW81oAsF8ZsURBVzDNoQtiPwz</t>
  </si>
  <si>
    <t>5.10 SOL</t>
  </si>
  <si>
    <t>110%</t>
  </si>
  <si>
    <t>24.52 SOL</t>
  </si>
  <si>
    <t>-36.75%</t>
  </si>
  <si>
    <t>1%</t>
  </si>
  <si>
    <t>0.25 SOL</t>
  </si>
  <si>
    <t>4.2%</t>
  </si>
  <si>
    <t>12.5%</t>
  </si>
  <si>
    <t>20.8%</t>
  </si>
  <si>
    <t>37.5%</t>
  </si>
  <si>
    <t>25.2 SOL</t>
  </si>
  <si>
    <t>7.3 SOL</t>
  </si>
  <si>
    <t>1.0 SOL</t>
  </si>
  <si>
    <t>-0.5 SOL</t>
  </si>
  <si>
    <t>-9.6 SOL</t>
  </si>
  <si>
    <t>47.0K</t>
  </si>
  <si>
    <t>Nya~</t>
  </si>
  <si>
    <t>3,271,081</t>
  </si>
  <si>
    <t>30.10.2024 12:18:16</t>
  </si>
  <si>
    <t xml:space="preserve">         53K            53K             7K</t>
  </si>
  <si>
    <t>BuRic2sbA5zTbgXBgCbMmWjn1RCe1vyW5uosyj2spump</t>
  </si>
  <si>
    <t>-62.75%</t>
  </si>
  <si>
    <t>30.10.2024 06:19:51</t>
  </si>
  <si>
    <t xml:space="preserve">        N/A           N/A             5K</t>
  </si>
  <si>
    <t>438GdJseRDxJthNUYL94rvihgqkX32Da3PAY3SQwpump</t>
  </si>
  <si>
    <t>PYP</t>
  </si>
  <si>
    <t>-67.40%</t>
  </si>
  <si>
    <t>30.10.2024 05:47:37</t>
  </si>
  <si>
    <t>HruotNy9c5UuXdgaA9eHh7CpToBMS78TcHNCZZXipump</t>
  </si>
  <si>
    <t>LOO</t>
  </si>
  <si>
    <t>-56.37%</t>
  </si>
  <si>
    <t>30.10.2024 04:48:22</t>
  </si>
  <si>
    <t>G18FV2UdZQaGiMQtoptLxb1N8MYNbgDJJRFAmZhJpump</t>
  </si>
  <si>
    <t>$CRYPTO</t>
  </si>
  <si>
    <t>0.007 SOL</t>
  </si>
  <si>
    <t>-44.91%</t>
  </si>
  <si>
    <t>30.10.2024 04:03:25</t>
  </si>
  <si>
    <t xml:space="preserve">        N/A           N/A             6K</t>
  </si>
  <si>
    <t>EykkrFy4ZArwQnErTxGZuJxJQTv5qLP7WfV2mQ7jpump</t>
  </si>
  <si>
    <t>hug</t>
  </si>
  <si>
    <t>3131.48%</t>
  </si>
  <si>
    <t>30.10.2024 03:49:17</t>
  </si>
  <si>
    <t xml:space="preserve">        N/A             7K             5K</t>
  </si>
  <si>
    <t>BrFH95ptgxMgcHGVaX3gAyHkrXsCgU6QKyPkhzRfpump</t>
  </si>
  <si>
    <t>9.176 SOL</t>
  </si>
  <si>
    <t>9.161 SOL</t>
  </si>
  <si>
    <t>62005.16%</t>
  </si>
  <si>
    <t>30.10.2024 03:37:41</t>
  </si>
  <si>
    <t xml:space="preserve">        N/A            39K            40K</t>
  </si>
  <si>
    <t>-40.93%</t>
  </si>
  <si>
    <t>30.10.2024 02:25:30</t>
  </si>
  <si>
    <t>BV4e4o46s68Yp7ZxEevHvdTBqbbsuRe9TsALAGtVpump</t>
  </si>
  <si>
    <t>-49.31%</t>
  </si>
  <si>
    <t>29.10.2024 20:25:30</t>
  </si>
  <si>
    <t xml:space="preserve">        N/A           N/A             4K</t>
  </si>
  <si>
    <t>-20.80%</t>
  </si>
  <si>
    <t>29.10.2024 18:32:31</t>
  </si>
  <si>
    <t xml:space="preserve">        N/A           N/A            26K</t>
  </si>
  <si>
    <t>dLsp45Jc3MsWd9U6uWDSxyi5xoYeyVBVTBso4CPJCW9</t>
  </si>
  <si>
    <t>MAPA</t>
  </si>
  <si>
    <t>1.983 SOL</t>
  </si>
  <si>
    <t>-1.983 SOL</t>
  </si>
  <si>
    <t>3,712,591</t>
  </si>
  <si>
    <t>29.10.2024 12:00:56</t>
  </si>
  <si>
    <t>14mJzaZsFcdgHDB1njjz9qYbzgbXYAqzVLPJR6cLpump</t>
  </si>
  <si>
    <t>xMusk</t>
  </si>
  <si>
    <t>5.974 SOL</t>
  </si>
  <si>
    <t>5.958 SOL</t>
  </si>
  <si>
    <t>36161.24%</t>
  </si>
  <si>
    <t>29.10.2024 10:38:57</t>
  </si>
  <si>
    <t xml:space="preserve">        N/A           N/A           230K</t>
  </si>
  <si>
    <t>6PfemVoW14xgFywcnhc9zrAW9hV8gGZKCTSe3Ns3pump</t>
  </si>
  <si>
    <t>LINK</t>
  </si>
  <si>
    <t>3.966 SOL</t>
  </si>
  <si>
    <t>-3.393 SOL</t>
  </si>
  <si>
    <t>-85.52%</t>
  </si>
  <si>
    <t>29.10.2024 04:47:06</t>
  </si>
  <si>
    <t xml:space="preserve">        181K            57K             4K</t>
  </si>
  <si>
    <t>BxaRiJpUwPkiUfwUe7bXqMZV5EG8Xx5BZaY6QM3Jpump</t>
  </si>
  <si>
    <t>1.110 SOL</t>
  </si>
  <si>
    <t>11.82%</t>
  </si>
  <si>
    <t>29.10.2024 04:09:30</t>
  </si>
  <si>
    <t>169.54%</t>
  </si>
  <si>
    <t>29.10.2024 03:27:06</t>
  </si>
  <si>
    <t>HENTAI</t>
  </si>
  <si>
    <t>2.025 SOL</t>
  </si>
  <si>
    <t>-1.652 SOL</t>
  </si>
  <si>
    <t>-81.56%</t>
  </si>
  <si>
    <t>29.10.2024 01:30:24</t>
  </si>
  <si>
    <t>14jKhJoAw9UwgrRM2JTYmvJ3NTQYHktZ1EE4fPEDpump</t>
  </si>
  <si>
    <t>8ball</t>
  </si>
  <si>
    <t>1.566 SOL</t>
  </si>
  <si>
    <t>-99.72%</t>
  </si>
  <si>
    <t>29.10.2024 01:06:07</t>
  </si>
  <si>
    <t xml:space="preserve">         19K           N/A             5K</t>
  </si>
  <si>
    <t>5UHS3CGAZpgYuBbd9nNqPTgC7Y3FLgUSoXYFJeX6pump</t>
  </si>
  <si>
    <t>GAMBOL</t>
  </si>
  <si>
    <t>1.379 SOL</t>
  </si>
  <si>
    <t>28.10.2024 23:03:42</t>
  </si>
  <si>
    <t xml:space="preserve">         83K            83K             9K</t>
  </si>
  <si>
    <t>9tfvk9yCRV2sjFmWJPsGWrKLh2kAxX4jka2oAnvGpump</t>
  </si>
  <si>
    <t>MATT</t>
  </si>
  <si>
    <t>0.000840</t>
  </si>
  <si>
    <t>1.518 SOL</t>
  </si>
  <si>
    <t>1.972 SOL</t>
  </si>
  <si>
    <t>0.454 SOL</t>
  </si>
  <si>
    <t>29.88%</t>
  </si>
  <si>
    <t>28.10.2024 22:44:40</t>
  </si>
  <si>
    <t xml:space="preserve">         23K            30K             6K</t>
  </si>
  <si>
    <t>EMFbqVHcFT5oTMVfbU3fgQZHn1QLqPUWJGXWWXQvpump</t>
  </si>
  <si>
    <t>5.347 SOL</t>
  </si>
  <si>
    <t>4.146 SOL</t>
  </si>
  <si>
    <t>345.20%</t>
  </si>
  <si>
    <t>28.10.2024 21:24:34</t>
  </si>
  <si>
    <t xml:space="preserve">        164K           164K            36K</t>
  </si>
  <si>
    <t>0.001920</t>
  </si>
  <si>
    <t>1.900 SOL</t>
  </si>
  <si>
    <t>9.682 SOL</t>
  </si>
  <si>
    <t>509.08%</t>
  </si>
  <si>
    <t>28.10.2024 12:28:09</t>
  </si>
  <si>
    <t xml:space="preserve">        121K           851K             9K</t>
  </si>
  <si>
    <t>-89.05%</t>
  </si>
  <si>
    <t>28.10.2024 11:49:05</t>
  </si>
  <si>
    <t>J9i5JaL2HDj5UgjgbB7Y84sWqRHZPFYxtRHycSTcpump</t>
  </si>
  <si>
    <t>VOID</t>
  </si>
  <si>
    <t>1.359 SOL</t>
  </si>
  <si>
    <t>-0.443 SOL</t>
  </si>
  <si>
    <t>-32.56%</t>
  </si>
  <si>
    <t>28.10.2024 10:02:54</t>
  </si>
  <si>
    <t>3pHJLsdXEv1fUr8fH5vnDVGWEJrWBT1JReAGhUfkpump</t>
  </si>
  <si>
    <t>MALWARE</t>
  </si>
  <si>
    <t>0.000450</t>
  </si>
  <si>
    <t>1.837 SOL</t>
  </si>
  <si>
    <t>2.927 SOL</t>
  </si>
  <si>
    <t>59.29%</t>
  </si>
  <si>
    <t>28.10.2024 05:01:48</t>
  </si>
  <si>
    <t>GtNTAeZ8131TcXR1AmZsAuN6oXNNingkuDX3ehETpump</t>
  </si>
  <si>
    <t>5XSSvhmYL8bCuE5MPdbzC3XaZPmMM6zPdC3acVz1W5KC</t>
  </si>
  <si>
    <t>16.62 SOL</t>
  </si>
  <si>
    <t>57%</t>
  </si>
  <si>
    <t>17.18 SOL</t>
  </si>
  <si>
    <t>1 (4%)</t>
  </si>
  <si>
    <t>-6.23%</t>
  </si>
  <si>
    <t>8%</t>
  </si>
  <si>
    <t>2.27 SOL</t>
  </si>
  <si>
    <t>8.2 SOL</t>
  </si>
  <si>
    <t>-2.3 SOL</t>
  </si>
  <si>
    <t>-2.0 SOL</t>
  </si>
  <si>
    <t>BOPE</t>
  </si>
  <si>
    <t>0.010540</t>
  </si>
  <si>
    <t>8.659 SOL</t>
  </si>
  <si>
    <t>7.626 SOL</t>
  </si>
  <si>
    <t>738.21%</t>
  </si>
  <si>
    <t>30.10.2024 20:16:35</t>
  </si>
  <si>
    <t xml:space="preserve">          7K            74K           124K</t>
  </si>
  <si>
    <t>5xuMTSrhURRr3Ymp7k1QVBAWHxD3H79upnwv3JuApump</t>
  </si>
  <si>
    <t>motion</t>
  </si>
  <si>
    <t>0.009030</t>
  </si>
  <si>
    <t>3.004 SOL</t>
  </si>
  <si>
    <t>-7.88%</t>
  </si>
  <si>
    <t>30.10.2024 18:48:10</t>
  </si>
  <si>
    <t xml:space="preserve">         16K            19K             6K</t>
  </si>
  <si>
    <t>DVEnxHEAWtSvG4qkCTZZfgVes4sPL2HiHeozQWzpump</t>
  </si>
  <si>
    <t>10.543 SOL</t>
  </si>
  <si>
    <t>4.533 SOL</t>
  </si>
  <si>
    <t>75.41%</t>
  </si>
  <si>
    <t>30.10.2024 17:50:51</t>
  </si>
  <si>
    <t xml:space="preserve">        507K             2M           273K</t>
  </si>
  <si>
    <t>EGM</t>
  </si>
  <si>
    <t>30.10.2024 14:59:56</t>
  </si>
  <si>
    <t>CenjrcM7xBVGR66EZQVs5puKGgZokKe9feoNqNdepump</t>
  </si>
  <si>
    <t>Mia</t>
  </si>
  <si>
    <t>0.736 SOL</t>
  </si>
  <si>
    <t>-0.289 SOL</t>
  </si>
  <si>
    <t>-28.21%</t>
  </si>
  <si>
    <t>30.10.2024 00:15:50</t>
  </si>
  <si>
    <t>6hXSEF9L2cMwKGDVyZNRgQmtL979FVJZjxTxNpp5pump</t>
  </si>
  <si>
    <t>Clippy</t>
  </si>
  <si>
    <t>-0.643 SOL</t>
  </si>
  <si>
    <t>-64.07%</t>
  </si>
  <si>
    <t>30.10.2024 00:04:48</t>
  </si>
  <si>
    <t xml:space="preserve">        118K            42K             5K</t>
  </si>
  <si>
    <t>GyGYxT6XVwtAuEEVSn2V6YZ7bgkCxkjVzyWt8ogtpump</t>
  </si>
  <si>
    <t>0.513 SOL</t>
  </si>
  <si>
    <t>0.365 SOL</t>
  </si>
  <si>
    <t>-29.35%</t>
  </si>
  <si>
    <t>29.10.2024 22:15:11</t>
  </si>
  <si>
    <t>6upvcTw6UExfyDnLbqN8ZzbNHg8akixmaHMmrac2pump</t>
  </si>
  <si>
    <t>2.388 SOL</t>
  </si>
  <si>
    <t>-0.618 SOL</t>
  </si>
  <si>
    <t>-20.57%</t>
  </si>
  <si>
    <t>29.10.2024 20:22:03</t>
  </si>
  <si>
    <t xml:space="preserve">         51K            82K            48K</t>
  </si>
  <si>
    <t>Fridge</t>
  </si>
  <si>
    <t>0.007530</t>
  </si>
  <si>
    <t>1.527 SOL</t>
  </si>
  <si>
    <t>-26.51%</t>
  </si>
  <si>
    <t>29.10.2024 15:22:13</t>
  </si>
  <si>
    <t>Gc4PPs6qD45c3iaPH7fGKXhCoRN8VLrq6ejJxPDWpump</t>
  </si>
  <si>
    <t>Zyphra</t>
  </si>
  <si>
    <t>-17.47%</t>
  </si>
  <si>
    <t>29.10.2024 02:18:22</t>
  </si>
  <si>
    <t>J7Dd8Xmm1d1KHpYJenWYyfWpfpXD8unF7x5MPhtUpump</t>
  </si>
  <si>
    <t>PoopWar</t>
  </si>
  <si>
    <t>0.650 SOL</t>
  </si>
  <si>
    <t>26.01%</t>
  </si>
  <si>
    <t>29.10.2024 00:18:59</t>
  </si>
  <si>
    <t xml:space="preserve">          7K             9K             9K</t>
  </si>
  <si>
    <t>EW2nnFQyAvxAnfpmdhwWCyH5GnMo2HHa5mGsnxY4pump</t>
  </si>
  <si>
    <t>XIN</t>
  </si>
  <si>
    <t>-21.39%</t>
  </si>
  <si>
    <t>28.10.2024 21:20:20</t>
  </si>
  <si>
    <t xml:space="preserve">         14K            11K             6K</t>
  </si>
  <si>
    <t>5ooHrhrkoFQfpzazdhYEFn2jpb9BfnSSSAyiX5jNpump</t>
  </si>
  <si>
    <t>COPE</t>
  </si>
  <si>
    <t>0.976 SOL</t>
  </si>
  <si>
    <t>2.214 SOL</t>
  </si>
  <si>
    <t>125.46%</t>
  </si>
  <si>
    <t>28.10.2024 21:13:54</t>
  </si>
  <si>
    <t>3uZjHzG6yB64tNMWw9qwM7ZDSTnEnQtwdMMyZ9JApump</t>
  </si>
  <si>
    <t>1991</t>
  </si>
  <si>
    <t>-1.383 SOL</t>
  </si>
  <si>
    <t>-69.05%</t>
  </si>
  <si>
    <t>28.10.2024 20:24:53</t>
  </si>
  <si>
    <t xml:space="preserve">         95K            30K             4K</t>
  </si>
  <si>
    <t>GcP5RKfcNHoweAKz1D2nQ3MUwug3FGSKceacK88Epump</t>
  </si>
  <si>
    <t>91.22%</t>
  </si>
  <si>
    <t>28.10.2024 06:28:06</t>
  </si>
  <si>
    <t xml:space="preserve">         74K           142K             7K</t>
  </si>
  <si>
    <t>MARVELOUS</t>
  </si>
  <si>
    <t>0.432 SOL</t>
  </si>
  <si>
    <t>-16.24%</t>
  </si>
  <si>
    <t>28.10.2024 03:01:53</t>
  </si>
  <si>
    <t>WSZcqtWHPeWNFfoScMnPMyoRGbYVCuSTcFoVCjvpump</t>
  </si>
  <si>
    <t>4.942 SOL</t>
  </si>
  <si>
    <t>3.936 SOL</t>
  </si>
  <si>
    <t>391.23%</t>
  </si>
  <si>
    <t>27.10.2024 21:19:02</t>
  </si>
  <si>
    <t xml:space="preserve">         33K           218K           301K</t>
  </si>
  <si>
    <t>c/acc</t>
  </si>
  <si>
    <t>1.816 SOL</t>
  </si>
  <si>
    <t>174.94%</t>
  </si>
  <si>
    <t>27.10.2024 21:10:16</t>
  </si>
  <si>
    <t xml:space="preserve">         23K           141K             5K</t>
  </si>
  <si>
    <t>FnGjU9ZEyEehQhoBVmA8NdBHokGm6MiBQNbnUfewpump</t>
  </si>
  <si>
    <t>TINA</t>
  </si>
  <si>
    <t>2.85%</t>
  </si>
  <si>
    <t>27.10.2024 04:46:21</t>
  </si>
  <si>
    <t>9N1913MK7yCyyzy72gWEndfhG6M5dWzZYJS2Mz1Bpump</t>
  </si>
  <si>
    <t>GUDTEK</t>
  </si>
  <si>
    <t>412.84%</t>
  </si>
  <si>
    <t>27.10.2024 04:41:54</t>
  </si>
  <si>
    <t xml:space="preserve">         28K           142K            18K</t>
  </si>
  <si>
    <t>E43RfRz9toQWpFBuqRHX11chqDzjchq2WpMRa76apump</t>
  </si>
  <si>
    <t>-6.56%</t>
  </si>
  <si>
    <t>27.10.2024 03:51:17</t>
  </si>
  <si>
    <t>fsKY1WmZXFhXHBVRUW7khAK4BMgfP9BHfToJJMdpump</t>
  </si>
  <si>
    <t>TH</t>
  </si>
  <si>
    <t>27.10.2024 03:45:11</t>
  </si>
  <si>
    <t>9SWfo6TYEj4QvJmHpoiHpx3vjiG4Lr7R3admshWpump</t>
  </si>
  <si>
    <t>-0.59%</t>
  </si>
  <si>
    <t>26.10.2024 23:50:49</t>
  </si>
  <si>
    <t>BELrzwH96sHKAS8hTbvk8F4WDDVT3S4Z9w6k1LkciUGn</t>
  </si>
  <si>
    <t>3rZTHyQBBU6dGDJikpSKRGzWi1TfGh1VZdkeGnZdfqFB</t>
  </si>
  <si>
    <t>26.59 SOL</t>
  </si>
  <si>
    <t>-4%</t>
  </si>
  <si>
    <t>-2.94 SOL</t>
  </si>
  <si>
    <t>4 (2%)</t>
  </si>
  <si>
    <t>22 days</t>
  </si>
  <si>
    <t>21 h</t>
  </si>
  <si>
    <t>80%</t>
  </si>
  <si>
    <t>61.81 SOL</t>
  </si>
  <si>
    <t>76.5%</t>
  </si>
  <si>
    <t>27.0 SOL</t>
  </si>
  <si>
    <t>21.7 SOL</t>
  </si>
  <si>
    <t>-52.6 SOL</t>
  </si>
  <si>
    <t>63</t>
  </si>
  <si>
    <t>69</t>
  </si>
  <si>
    <t>192.0K</t>
  </si>
  <si>
    <t>0.003000</t>
  </si>
  <si>
    <t>0.594 SOL</t>
  </si>
  <si>
    <t>-75.06%</t>
  </si>
  <si>
    <t>30.10.2024 21:18:52</t>
  </si>
  <si>
    <t xml:space="preserve">         47K           102K            17K</t>
  </si>
  <si>
    <t>4ByRBMVPVRX9ebXy7AqwjjHC1iKgY3ZgfhPvYDptkHC3</t>
  </si>
  <si>
    <t>Pumpfun</t>
  </si>
  <si>
    <t>0.155 SOL</t>
  </si>
  <si>
    <t>-49.03%</t>
  </si>
  <si>
    <t>30.10.2024 21:18:07</t>
  </si>
  <si>
    <t>J4ZKbJ33KMDwx68334gztYRT9HF5xSatzuirWY4pS4DQ</t>
  </si>
  <si>
    <t>foo</t>
  </si>
  <si>
    <t>-0.596 SOL</t>
  </si>
  <si>
    <t>697,276</t>
  </si>
  <si>
    <t>30.10.2024 15:42:09</t>
  </si>
  <si>
    <t xml:space="preserve">        192K           123K             7K</t>
  </si>
  <si>
    <t>41g7KyGh4u6QFkZAEEK1cLYjHfg6TMWECE1YTc5apump</t>
  </si>
  <si>
    <t>1,022,019</t>
  </si>
  <si>
    <t>30.10.2024 11:26:19</t>
  </si>
  <si>
    <t xml:space="preserve">         58K           459K            17K</t>
  </si>
  <si>
    <t>BEWARE</t>
  </si>
  <si>
    <t>370,604</t>
  </si>
  <si>
    <t>30.10.2024 11:25:35</t>
  </si>
  <si>
    <t xml:space="preserve">        273K           630K           256K</t>
  </si>
  <si>
    <t>DqwYJXj2oDY545oAQgfh6x6cMKqEM97BoErdF3hSpump</t>
  </si>
  <si>
    <t>10^33</t>
  </si>
  <si>
    <t>-0.550 SOL</t>
  </si>
  <si>
    <t>-92.08%</t>
  </si>
  <si>
    <t>30.10.2024 10:33:50</t>
  </si>
  <si>
    <t xml:space="preserve">         86K            58K             6K</t>
  </si>
  <si>
    <t>FqLemyT8ZJsxYC8PWskxXSbUdrD46HMZnGq2Vg2ppump</t>
  </si>
  <si>
    <t>0.010220</t>
  </si>
  <si>
    <t>12.403 SOL</t>
  </si>
  <si>
    <t>11.898 SOL</t>
  </si>
  <si>
    <t>2354.68%</t>
  </si>
  <si>
    <t>30.10.2024 10:14:13</t>
  </si>
  <si>
    <t xml:space="preserve">        202K             2M            62M</t>
  </si>
  <si>
    <t>BITCOON</t>
  </si>
  <si>
    <t>0.891 SOL</t>
  </si>
  <si>
    <t>-0.720 SOL</t>
  </si>
  <si>
    <t>-80.40%</t>
  </si>
  <si>
    <t>30.10.2024 04:34:16</t>
  </si>
  <si>
    <t xml:space="preserve">         53K            12K             6K</t>
  </si>
  <si>
    <t>EP1ZtieVMnrXozqUNkqc55rmBTAWaTuNHxAAbkcppump</t>
  </si>
  <si>
    <t>0.009130</t>
  </si>
  <si>
    <t>6.348 SOL</t>
  </si>
  <si>
    <t>4.854 SOL</t>
  </si>
  <si>
    <t>324.85%</t>
  </si>
  <si>
    <t>30.10.2024 04:17:24</t>
  </si>
  <si>
    <t xml:space="preserve">        369K           556K             7M</t>
  </si>
  <si>
    <t>3,257,250</t>
  </si>
  <si>
    <t>30.10.2024 04:14:29</t>
  </si>
  <si>
    <t xml:space="preserve">        142K            39K             4K</t>
  </si>
  <si>
    <t>EH7x3FBdJfdpPRwvYaFoHBBJWWzqC7XWczDG96tJpump</t>
  </si>
  <si>
    <t>-0.298 SOL</t>
  </si>
  <si>
    <t>402,638</t>
  </si>
  <si>
    <t>29.10.2024 23:29:44</t>
  </si>
  <si>
    <t xml:space="preserve">        130K           130K             4K</t>
  </si>
  <si>
    <t>$DCOW</t>
  </si>
  <si>
    <t>1,378,358</t>
  </si>
  <si>
    <t>29.10.2024 23:06:17</t>
  </si>
  <si>
    <t xml:space="preserve">         55K           123K            15K</t>
  </si>
  <si>
    <t>8NsqoB57Mf2Fa9py1eC6LJtuNnP1Gyrq5oN64nv2Zr6Y</t>
  </si>
  <si>
    <t>230,124</t>
  </si>
  <si>
    <t>29.10.2024 22:47:19</t>
  </si>
  <si>
    <t xml:space="preserve">        338K           691K             8K</t>
  </si>
  <si>
    <t>534,627</t>
  </si>
  <si>
    <t>29.10.2024 22:09:01</t>
  </si>
  <si>
    <t xml:space="preserve">         99K            99K             5K</t>
  </si>
  <si>
    <t>7aJjN1NYcCoUeavKcDfY8rsGZXyF1RoYg9fDqtbepump</t>
  </si>
  <si>
    <t>FFPUP</t>
  </si>
  <si>
    <t>3,055,437</t>
  </si>
  <si>
    <t>AdCYzsjWeK9KrBeFgpkXTpGqajSMLJXnhgoUj55Av9dg</t>
  </si>
  <si>
    <t>IUBI</t>
  </si>
  <si>
    <t>-0.795 SOL</t>
  </si>
  <si>
    <t>1,317,370</t>
  </si>
  <si>
    <t>29.10.2024 21:53:07</t>
  </si>
  <si>
    <t xml:space="preserve">        100K           134K            29K</t>
  </si>
  <si>
    <t>6UmGJtWHW13YLJCrdk9jEAnHeSgARTJEfCVV1sX4pump</t>
  </si>
  <si>
    <t>Italia</t>
  </si>
  <si>
    <t>1,009,214</t>
  </si>
  <si>
    <t>29.10.2024 16:35:13</t>
  </si>
  <si>
    <t xml:space="preserve">         86K           128K            35K</t>
  </si>
  <si>
    <t>GsthSaaJHAeCGq5bzCwxUDFP42oagtt6Y6ZC6Exnpump</t>
  </si>
  <si>
    <t>-0.556 SOL</t>
  </si>
  <si>
    <t>-55.83%</t>
  </si>
  <si>
    <t>29.10.2024 16:21:26</t>
  </si>
  <si>
    <t xml:space="preserve">         83K            60K            29K</t>
  </si>
  <si>
    <t>5cdU1CWGFxcgAG3vLbrTi48AsH1ZL2oMRAGDJLrWpump</t>
  </si>
  <si>
    <t>ARIES</t>
  </si>
  <si>
    <t>1,735,464</t>
  </si>
  <si>
    <t>29.10.2024 16:15:14</t>
  </si>
  <si>
    <t>DyjxrHGPiZYeanHJpSQS8gENSPfZgaqh1MdR4AoFpump</t>
  </si>
  <si>
    <t>BID</t>
  </si>
  <si>
    <t>0.005290</t>
  </si>
  <si>
    <t>5.175 SOL</t>
  </si>
  <si>
    <t>3.970 SOL</t>
  </si>
  <si>
    <t>329.37%</t>
  </si>
  <si>
    <t>29.10.2024 16:12:33</t>
  </si>
  <si>
    <t xml:space="preserve">         44K           118K            25K</t>
  </si>
  <si>
    <t>4LzqcMvVM56wSDVpnRfK6VwLKyxJkcDCJuQMaEDkpump</t>
  </si>
  <si>
    <t>Rippus</t>
  </si>
  <si>
    <t>1,164,184</t>
  </si>
  <si>
    <t>29.10.2024 15:53:09</t>
  </si>
  <si>
    <t xml:space="preserve">         56K           232K            13K</t>
  </si>
  <si>
    <t>9AFJZo69ATfqf6qms3kd2hyDg7wKt1MHhr6dg8Tspump</t>
  </si>
  <si>
    <t>Aura</t>
  </si>
  <si>
    <t>914,832</t>
  </si>
  <si>
    <t>29.10.2024 15:20:07</t>
  </si>
  <si>
    <t>Mi4HNi4W2S5yniCxq1t8mA4rWHgMnZbV9izRtMapump</t>
  </si>
  <si>
    <t>-3.44%</t>
  </si>
  <si>
    <t>29.10.2024 15:08:04</t>
  </si>
  <si>
    <t xml:space="preserve">        327K           507K           708K</t>
  </si>
  <si>
    <t>-1.488 SOL</t>
  </si>
  <si>
    <t>72,813</t>
  </si>
  <si>
    <t>29.10.2024 14:45:47</t>
  </si>
  <si>
    <t>CefZxozhhxK88XPJoeWBczYSaBPd35tsKnziTH6Cpump</t>
  </si>
  <si>
    <t>-85.95%</t>
  </si>
  <si>
    <t>29.10.2024 14:45:42</t>
  </si>
  <si>
    <t xml:space="preserve">        155K            46K             7K</t>
  </si>
  <si>
    <t>28.29%</t>
  </si>
  <si>
    <t>29.10.2024 13:58:18</t>
  </si>
  <si>
    <t xml:space="preserve">        630K           517K           338K</t>
  </si>
  <si>
    <t>-0.944 SOL</t>
  </si>
  <si>
    <t>2,631,030</t>
  </si>
  <si>
    <t>29.10.2024 13:43:43</t>
  </si>
  <si>
    <t xml:space="preserve">         55K            34K            14K</t>
  </si>
  <si>
    <t>MILUCE</t>
  </si>
  <si>
    <t>1,170,345</t>
  </si>
  <si>
    <t>29.10.2024 13:11:18</t>
  </si>
  <si>
    <t>9WMEaYeaWTHB3HZD2dPocwD3c7wtw3tgtBSdZcEcpump</t>
  </si>
  <si>
    <t>-0.397 SOL</t>
  </si>
  <si>
    <t>365,494</t>
  </si>
  <si>
    <t>29.10.2024 12:35:41</t>
  </si>
  <si>
    <t xml:space="preserve">        190K           190K            45K</t>
  </si>
  <si>
    <t>-44.32%</t>
  </si>
  <si>
    <t>29.10.2024 11:46:26</t>
  </si>
  <si>
    <t xml:space="preserve">         37K            40K            18K</t>
  </si>
  <si>
    <t>DARK LUCE</t>
  </si>
  <si>
    <t>-0.249 SOL</t>
  </si>
  <si>
    <t>455,290</t>
  </si>
  <si>
    <t>29.10.2024 11:07:51</t>
  </si>
  <si>
    <t>BrgsAX2nx5tT3VxCPvmUu1yWKguFw58Kjqz4vAWQpump</t>
  </si>
  <si>
    <t>Eliza</t>
  </si>
  <si>
    <t>1.238 SOL</t>
  </si>
  <si>
    <t>-1.241 SOL</t>
  </si>
  <si>
    <t>2,415,949</t>
  </si>
  <si>
    <t>29.10.2024 10:58:30</t>
  </si>
  <si>
    <t xml:space="preserve">         26K           250K            17K</t>
  </si>
  <si>
    <t>aLaZ7pqNznDjDUw6D15r4VCmogF8cKtYTaKaUGipump</t>
  </si>
  <si>
    <t>0.005850</t>
  </si>
  <si>
    <t>3.183 SOL</t>
  </si>
  <si>
    <t>2.682 SOL</t>
  </si>
  <si>
    <t>535.45%</t>
  </si>
  <si>
    <t>29.10.2024 09:58:37</t>
  </si>
  <si>
    <t xml:space="preserve">         79K            91K           537K</t>
  </si>
  <si>
    <t>3.256 SOL</t>
  </si>
  <si>
    <t>2.746 SOL</t>
  </si>
  <si>
    <t>539.54%</t>
  </si>
  <si>
    <t>29.10.2024 02:51:23</t>
  </si>
  <si>
    <t xml:space="preserve">         25K            36K            83K</t>
  </si>
  <si>
    <t>59LjgLwuWGnvW2rBZqCyt1JZETj3U2Yajb2uqUbmpump</t>
  </si>
  <si>
    <t>103,169</t>
  </si>
  <si>
    <t>29.10.2024 00:34:42</t>
  </si>
  <si>
    <t xml:space="preserve">        422K           422K            26K</t>
  </si>
  <si>
    <t>POPECAT</t>
  </si>
  <si>
    <t>-0.746 SOL</t>
  </si>
  <si>
    <t>7,394,151</t>
  </si>
  <si>
    <t>28.10.2024 23:33:50</t>
  </si>
  <si>
    <t xml:space="preserve">         18K            19K             6K</t>
  </si>
  <si>
    <t>6UvCcz8f5PpdezoqEwxiiqmYQjE1XZ84A4BwxhScpump</t>
  </si>
  <si>
    <t>BTC-Chan</t>
  </si>
  <si>
    <t>-1.243 SOL</t>
  </si>
  <si>
    <t>527,551</t>
  </si>
  <si>
    <t>28.10.2024 23:03:48</t>
  </si>
  <si>
    <t xml:space="preserve">        191K           527K            58K</t>
  </si>
  <si>
    <t>GSxmz5QR42Btg691U8gpDiRRpFmpBrJ6xdCHLcJSpump</t>
  </si>
  <si>
    <t>CA</t>
  </si>
  <si>
    <t>-0.994 SOL</t>
  </si>
  <si>
    <t>541,156</t>
  </si>
  <si>
    <t>28.10.2024 22:30:25</t>
  </si>
  <si>
    <t xml:space="preserve">        204K           565K            92K</t>
  </si>
  <si>
    <t>E8XbEd58s12PzTyCWmFpWTTrmr46AhT8beVhdps3pump</t>
  </si>
  <si>
    <t>solanism</t>
  </si>
  <si>
    <t>-0.215 SOL</t>
  </si>
  <si>
    <t>-42.32%</t>
  </si>
  <si>
    <t>28.10.2024 22:29:54</t>
  </si>
  <si>
    <t>kMgYLBuBbgYTjMcq7F1UtZK1kv4cuPyttrPTpYXpump</t>
  </si>
  <si>
    <t>0.016000</t>
  </si>
  <si>
    <t>0.314 SOL</t>
  </si>
  <si>
    <t>0.17%</t>
  </si>
  <si>
    <t>28.10.2024 22:07:07</t>
  </si>
  <si>
    <t xml:space="preserve">          3M             7M            75K</t>
  </si>
  <si>
    <t>-0.497 SOL</t>
  </si>
  <si>
    <t>830,971</t>
  </si>
  <si>
    <t>28.10.2024 21:07:15</t>
  </si>
  <si>
    <t xml:space="preserve">         77K           164K            13K</t>
  </si>
  <si>
    <t>2,254,830</t>
  </si>
  <si>
    <t>28.10.2024 21:02:42</t>
  </si>
  <si>
    <t xml:space="preserve">         33K            49K             6K</t>
  </si>
  <si>
    <t>Fd1MDcNFVr68mgraB2t2q8o1XsCseFt5nwnEHDtMpump</t>
  </si>
  <si>
    <t>602,000</t>
  </si>
  <si>
    <t>28.10.2024 20:55:47</t>
  </si>
  <si>
    <t xml:space="preserve">        164K           426K            10K</t>
  </si>
  <si>
    <t>356,243</t>
  </si>
  <si>
    <t>28.10.2024 20:55:32</t>
  </si>
  <si>
    <t>GF43cKkRpMsPAyjMzQJm9YwHqAMPfVA7P79JuHrYpump</t>
  </si>
  <si>
    <t>Chud</t>
  </si>
  <si>
    <t>0.013110</t>
  </si>
  <si>
    <t>1.287 SOL</t>
  </si>
  <si>
    <t>1.556 SOL</t>
  </si>
  <si>
    <t>0.256 SOL</t>
  </si>
  <si>
    <t>19.65%</t>
  </si>
  <si>
    <t>28.10.2024 20:36:33</t>
  </si>
  <si>
    <t xml:space="preserve">         14M            17M            14M</t>
  </si>
  <si>
    <t>6yjNqPzTSanBWSa6dxVEgTjePXBrZ2FoHLDQwYwEsyM6</t>
  </si>
  <si>
    <t>411,664</t>
  </si>
  <si>
    <t>28.10.2024 19:13:46</t>
  </si>
  <si>
    <t>d/acc</t>
  </si>
  <si>
    <t>-0.283 SOL</t>
  </si>
  <si>
    <t>-94.38%</t>
  </si>
  <si>
    <t>28.10.2024 19:01:41</t>
  </si>
  <si>
    <t xml:space="preserve">        190K           114K            25K</t>
  </si>
  <si>
    <t>9uPSeiN816ZsGbobMGFE51eaehkPMcMt3SjtK8hNpump</t>
  </si>
  <si>
    <t>Snuff</t>
  </si>
  <si>
    <t>555,759</t>
  </si>
  <si>
    <t>28.10.2024 18:59:50</t>
  </si>
  <si>
    <t xml:space="preserve">         79K            79K             7K</t>
  </si>
  <si>
    <t>2ohcFFWe9vV16snU71JZME7esJMSksf2BHfYxBKhpump</t>
  </si>
  <si>
    <t>COLOSSUS</t>
  </si>
  <si>
    <t>-0.185 SOL</t>
  </si>
  <si>
    <t>28.10.2024 18:48:36</t>
  </si>
  <si>
    <t>9RDrYyYn6f1zPXWdTpyUk4m5omwDcn6ZySZgp5NZsqkz</t>
  </si>
  <si>
    <t>Sky</t>
  </si>
  <si>
    <t>409,932</t>
  </si>
  <si>
    <t>28.10.2024 17:36:31</t>
  </si>
  <si>
    <t xml:space="preserve">        106K           106K            16K</t>
  </si>
  <si>
    <t>GjXpowEmJecAxHaMgYrxrTsWfuPR7DyLxwe8z2v4YvKW</t>
  </si>
  <si>
    <t>e/acc</t>
  </si>
  <si>
    <t>3.553 SOL</t>
  </si>
  <si>
    <t>645.54%</t>
  </si>
  <si>
    <t>28.10.2024 17:27:40</t>
  </si>
  <si>
    <t xml:space="preserve">         14M             2M            19M</t>
  </si>
  <si>
    <t>GqmEdRD3zGUZdYPeuDeXxCc8Cj1DBmGSYK97TCwSpump</t>
  </si>
  <si>
    <t>1.029 SOL</t>
  </si>
  <si>
    <t>3.31%</t>
  </si>
  <si>
    <t>28.10.2024 16:24:03</t>
  </si>
  <si>
    <t xml:space="preserve">        306K           202K           324K</t>
  </si>
  <si>
    <t>406,038</t>
  </si>
  <si>
    <t>28.10.2024 15:59:32</t>
  </si>
  <si>
    <t xml:space="preserve">        429K           375K            14K</t>
  </si>
  <si>
    <t>322,903</t>
  </si>
  <si>
    <t>28.10.2024 15:44:41</t>
  </si>
  <si>
    <t xml:space="preserve">        588K           252K            79K</t>
  </si>
  <si>
    <t>2.520 SOL</t>
  </si>
  <si>
    <t>2.021 SOL</t>
  </si>
  <si>
    <t>404.97%</t>
  </si>
  <si>
    <t>28.10.2024 14:57:27</t>
  </si>
  <si>
    <t xml:space="preserve">        464K           756K             2M</t>
  </si>
  <si>
    <t>8SgNwESovnbG1oNEaPVhg6CR9mTMSK7jPvcYRe3wpump</t>
  </si>
  <si>
    <t>287,111</t>
  </si>
  <si>
    <t>28.10.2024 14:08:39</t>
  </si>
  <si>
    <t xml:space="preserve">        151K           151K           219K</t>
  </si>
  <si>
    <t>Do3aZ2zeTYFVZg2d473PvkEvw6QtmYc3gUUugoQQEMbo</t>
  </si>
  <si>
    <t>VOF</t>
  </si>
  <si>
    <t>402,670</t>
  </si>
  <si>
    <t>28.10.2024 13:52:46</t>
  </si>
  <si>
    <t xml:space="preserve">        104K           104K            26K</t>
  </si>
  <si>
    <t>39mp4M95uDVfRjzmiKxfjvcyviGsEUbBxqpUTPUupump</t>
  </si>
  <si>
    <t>-60.36%</t>
  </si>
  <si>
    <t>28.10.2024 03:22:27</t>
  </si>
  <si>
    <t xml:space="preserve">         49K            21K             4K</t>
  </si>
  <si>
    <t>2kwdLvRrSmLk5YSnBwdNLAH6sZ1WYdRDrLWLawTjpump</t>
  </si>
  <si>
    <t>147,156</t>
  </si>
  <si>
    <t>28.10.2024 02:58:43</t>
  </si>
  <si>
    <t xml:space="preserve">        296K           296K            40K</t>
  </si>
  <si>
    <t>woke ai</t>
  </si>
  <si>
    <t>302,976</t>
  </si>
  <si>
    <t>28.10.2024 01:25:35</t>
  </si>
  <si>
    <t xml:space="preserve">        144K           144K             6K</t>
  </si>
  <si>
    <t>CaVkp932yfdhZLafw28jmCeCjqUMfVUSpVGhK5xwpump</t>
  </si>
  <si>
    <t>584,968</t>
  </si>
  <si>
    <t>27.10.2024 22:49:11</t>
  </si>
  <si>
    <t xml:space="preserve">        218K           225K             7K</t>
  </si>
  <si>
    <t>-0.602 SOL</t>
  </si>
  <si>
    <t>-60.66%</t>
  </si>
  <si>
    <t>27.10.2024 22:07:28</t>
  </si>
  <si>
    <t xml:space="preserve">          2M             2M           815K</t>
  </si>
  <si>
    <t>2kaRSuDcz1V1kqq1sDmP23Wy98jutHQQgr5fGDWRpump</t>
  </si>
  <si>
    <t>DAWAE</t>
  </si>
  <si>
    <t>0.818 SOL</t>
  </si>
  <si>
    <t>64.73%</t>
  </si>
  <si>
    <t>27.10.2024 21:53:56</t>
  </si>
  <si>
    <t xml:space="preserve">        222K           222K           395K</t>
  </si>
  <si>
    <t>DZSs9nHSr9BBunLNWd6PDstesJ4PBLMFVK1GbZ9urYNZ</t>
  </si>
  <si>
    <t>1,340,403</t>
  </si>
  <si>
    <t>27.10.2024 18:52:35</t>
  </si>
  <si>
    <t xml:space="preserve">         99K           190K            86K</t>
  </si>
  <si>
    <t>1,228,845</t>
  </si>
  <si>
    <t>27.10.2024 14:24:25</t>
  </si>
  <si>
    <t xml:space="preserve">        111K           195K             4K</t>
  </si>
  <si>
    <t>Henlo</t>
  </si>
  <si>
    <t>91,716</t>
  </si>
  <si>
    <t>27.10.2024 13:56:11</t>
  </si>
  <si>
    <t>2xtF1kZQQ14dvVjTsAASPM5Jxax9Gpat8tMETegqpump</t>
  </si>
  <si>
    <t>SBF</t>
  </si>
  <si>
    <t>823,394</t>
  </si>
  <si>
    <t>26.10.2024 15:52:35</t>
  </si>
  <si>
    <t xml:space="preserve">        201K           221K            84K</t>
  </si>
  <si>
    <t>GfHbuqhdpgBE2taZxcGuDf81TSZcWkyKuRwTfTpRGz2f</t>
  </si>
  <si>
    <t>MINECRAFT</t>
  </si>
  <si>
    <t>-0.496 SOL</t>
  </si>
  <si>
    <t>1,923,386</t>
  </si>
  <si>
    <t>26.10.2024 15:43:13</t>
  </si>
  <si>
    <t xml:space="preserve">         45K            45K             6K</t>
  </si>
  <si>
    <t>4z3r3HzPNanqEgKf1mkZNKz8VrZwTn8XPMfaARxbYj7X</t>
  </si>
  <si>
    <t>-1.984 SOL</t>
  </si>
  <si>
    <t>1,459,315</t>
  </si>
  <si>
    <t>26.10.2024 15:40:22</t>
  </si>
  <si>
    <t xml:space="preserve">        324K           121K             8K</t>
  </si>
  <si>
    <t>GIG</t>
  </si>
  <si>
    <t>240,908</t>
  </si>
  <si>
    <t>26.10.2024 03:02:43</t>
  </si>
  <si>
    <t>DFCpcqhV1nUTASKnmfvPnYqWFvb9CaH97BED68jgpump</t>
  </si>
  <si>
    <t>Emerge</t>
  </si>
  <si>
    <t>1,120,898</t>
  </si>
  <si>
    <t>26.10.2024 02:47:33</t>
  </si>
  <si>
    <t xml:space="preserve">         61K           105K            13K</t>
  </si>
  <si>
    <t>CvARs26ujuCphpnFQZ1Lxsk5R6YaHZ5uKUJoRnoLpump</t>
  </si>
  <si>
    <t>ARCANE</t>
  </si>
  <si>
    <t>-89.78%</t>
  </si>
  <si>
    <t>25.10.2024 20:39:39</t>
  </si>
  <si>
    <t xml:space="preserve">        486K           486K            31K</t>
  </si>
  <si>
    <t>CK8jBy1R7JKr6FMSmaHJGi8GS3XPryWFJ1ebX3Uvpump</t>
  </si>
  <si>
    <t>yes</t>
  </si>
  <si>
    <t>-79.41%</t>
  </si>
  <si>
    <t>25.10.2024 19:59:37</t>
  </si>
  <si>
    <t xml:space="preserve">        320K            67K             5K</t>
  </si>
  <si>
    <t>6KsoyYgg2youiScXnpYP4rtHNHZwAiGN5bcB3iN3pump</t>
  </si>
  <si>
    <t>PIGRACING</t>
  </si>
  <si>
    <t>-39.77%</t>
  </si>
  <si>
    <t>25.10.2024 17:36:13</t>
  </si>
  <si>
    <t xml:space="preserve">        146K           104K             6K</t>
  </si>
  <si>
    <t>HDsU3aMuvVAXLf6jR78UmgwBdZ6hKP9VHAjN3vUqpump</t>
  </si>
  <si>
    <t>NOOT</t>
  </si>
  <si>
    <t>-72.59%</t>
  </si>
  <si>
    <t>25.10.2024 17:20:18</t>
  </si>
  <si>
    <t xml:space="preserve">         84K            84K             4K</t>
  </si>
  <si>
    <t>7cZEmUR8rAyBSqPMUdHQzLuiPE7L4HuXiJGiecEFpump</t>
  </si>
  <si>
    <t>290,218</t>
  </si>
  <si>
    <t>25.10.2024 17:05:47</t>
  </si>
  <si>
    <t xml:space="preserve">        612K           874K            20K</t>
  </si>
  <si>
    <t>2,116,161</t>
  </si>
  <si>
    <t>25.10.2024 15:12:55</t>
  </si>
  <si>
    <t xml:space="preserve">         98K           105K             6K</t>
  </si>
  <si>
    <t>2.177 SOL</t>
  </si>
  <si>
    <t>0.688 SOL</t>
  </si>
  <si>
    <t>25.10.2024 15:05:53</t>
  </si>
  <si>
    <t xml:space="preserve">        338K           266K            12K</t>
  </si>
  <si>
    <t>Bibi</t>
  </si>
  <si>
    <t>4,093,313</t>
  </si>
  <si>
    <t>25.10.2024 14:12:18</t>
  </si>
  <si>
    <t xml:space="preserve">         37K            49K             9K</t>
  </si>
  <si>
    <t>E6L9YxLdB2MkKMZXYc9aziSV4EUPp4G1bbYqA2TTpump</t>
  </si>
  <si>
    <t>0.233 SOL</t>
  </si>
  <si>
    <t>130.86%</t>
  </si>
  <si>
    <t>25.10.2024 11:03:14</t>
  </si>
  <si>
    <t xml:space="preserve">        929K           929K             2M</t>
  </si>
  <si>
    <t>FATHER</t>
  </si>
  <si>
    <t>548,462</t>
  </si>
  <si>
    <t>24.10.2024 20:06:40</t>
  </si>
  <si>
    <t xml:space="preserve">         79K            79K             4K</t>
  </si>
  <si>
    <t>3UTbU5UUMmwNHS5aDAtu2UWND22BP7FW5MMSdVAdpump</t>
  </si>
  <si>
    <t>324,503</t>
  </si>
  <si>
    <t>24.10.2024 19:59:30</t>
  </si>
  <si>
    <t>JeetPT</t>
  </si>
  <si>
    <t>-82.35%</t>
  </si>
  <si>
    <t>24.10.2024 19:53:31</t>
  </si>
  <si>
    <t>2hWZg4Q78b3c5FvEsQ9DbjrxF79EL2rDtuBB13Tupump</t>
  </si>
  <si>
    <t>0.003410</t>
  </si>
  <si>
    <t>41.02%</t>
  </si>
  <si>
    <t>24.10.2024 18:51:48</t>
  </si>
  <si>
    <t xml:space="preserve">         49K            55K            20K</t>
  </si>
  <si>
    <t>104.98%</t>
  </si>
  <si>
    <t>24.10.2024 18:43:34</t>
  </si>
  <si>
    <t xml:space="preserve">        192K           394K           223K</t>
  </si>
  <si>
    <t>LSD</t>
  </si>
  <si>
    <t>0.002070</t>
  </si>
  <si>
    <t>-73.37%</t>
  </si>
  <si>
    <t>24.10.2024 17:53:01</t>
  </si>
  <si>
    <t xml:space="preserve">          4M             4M             1M</t>
  </si>
  <si>
    <t>DDti34vnkrCehR8fih6dTGpPuc3w8tL4XQ4QLQhc3xPa</t>
  </si>
  <si>
    <t>-44.35%</t>
  </si>
  <si>
    <t>24.10.2024 17:52:48</t>
  </si>
  <si>
    <t xml:space="preserve">         27K            27K             6K</t>
  </si>
  <si>
    <t>27vMFjJerzLd5iZX2tRWL4eHUTr5Lfh5YWdakU3Zpump</t>
  </si>
  <si>
    <t>MEWING</t>
  </si>
  <si>
    <t>0.009070</t>
  </si>
  <si>
    <t>8.78%</t>
  </si>
  <si>
    <t>24.10.2024 17:51:38</t>
  </si>
  <si>
    <t xml:space="preserve">          2M             3M           741K</t>
  </si>
  <si>
    <t>9bxaVJmUwSc71j8Z2pvUL3UAr1s5fCnwUpvYhqV9jtmw</t>
  </si>
  <si>
    <t>-0.604 SOL</t>
  </si>
  <si>
    <t>-60.85%</t>
  </si>
  <si>
    <t>24.10.2024 17:02:29</t>
  </si>
  <si>
    <t xml:space="preserve">        107K           243K             5K</t>
  </si>
  <si>
    <t>0.564 SOL</t>
  </si>
  <si>
    <t>24.10.2024 16:09:05</t>
  </si>
  <si>
    <t xml:space="preserve">         29M             5M             1M</t>
  </si>
  <si>
    <t>517,493</t>
  </si>
  <si>
    <t>24.10.2024 15:52:31</t>
  </si>
  <si>
    <t xml:space="preserve">        596K           234K             8K</t>
  </si>
  <si>
    <t>VCujxXUKyAHzEWBNDtek7Ho37a5fmRjHS7HKM2tpump</t>
  </si>
  <si>
    <t>EROS</t>
  </si>
  <si>
    <t>0.004070</t>
  </si>
  <si>
    <t>-0.725 SOL</t>
  </si>
  <si>
    <t>-56.01%</t>
  </si>
  <si>
    <t>24.10.2024 15:37:09</t>
  </si>
  <si>
    <t xml:space="preserve">        135K           176K             5K</t>
  </si>
  <si>
    <t>CPfsUf8nXXKZC2VBPTYb7Cnt6GJi934kJvp2odSXpump</t>
  </si>
  <si>
    <t>665,806</t>
  </si>
  <si>
    <t>24.10.2024 15:14:59</t>
  </si>
  <si>
    <t xml:space="preserve">        130K           130K             7K</t>
  </si>
  <si>
    <t>0.006030</t>
  </si>
  <si>
    <t>10.539 SOL</t>
  </si>
  <si>
    <t>8.553 SOL</t>
  </si>
  <si>
    <t>430.61%</t>
  </si>
  <si>
    <t>24.10.2024 14:56:18</t>
  </si>
  <si>
    <t xml:space="preserve">        200K           104K            12K</t>
  </si>
  <si>
    <t>AdKzRJoVKdJ8BNwPy2DiYiujimLr9GQQdc32sQhHpump</t>
  </si>
  <si>
    <t>AICATS</t>
  </si>
  <si>
    <t>1,240,726</t>
  </si>
  <si>
    <t>24.10.2024 12:55:50</t>
  </si>
  <si>
    <t>wGVjXYciac5tNkq1sPreutUTYwTAkkwxnsLKkjTpump</t>
  </si>
  <si>
    <t>90,498</t>
  </si>
  <si>
    <t>24.10.2024 12:41:30</t>
  </si>
  <si>
    <t xml:space="preserve">        962K           962K            67K</t>
  </si>
  <si>
    <t>UVU</t>
  </si>
  <si>
    <t>2,137,119</t>
  </si>
  <si>
    <t>24.10.2024 12:29:34</t>
  </si>
  <si>
    <t>2FKV6CcGiMqtyRC3D6Huv41p7266nWfkYgLpS9Y5pump</t>
  </si>
  <si>
    <t>156</t>
  </si>
  <si>
    <t>299,840</t>
  </si>
  <si>
    <t>24.10.2024 12:28:30</t>
  </si>
  <si>
    <t xml:space="preserve">        275K           275K            21K</t>
  </si>
  <si>
    <t>EsQH1EH1L8HYzargwnarSA8AwAywWPrGNLWbZQ6dpump</t>
  </si>
  <si>
    <t>-0.547 SOL</t>
  </si>
  <si>
    <t>53,422</t>
  </si>
  <si>
    <t>24.10.2024 12:26:46</t>
  </si>
  <si>
    <t xml:space="preserve">          2M             1M           302K</t>
  </si>
  <si>
    <t>IP</t>
  </si>
  <si>
    <t>1,357,322</t>
  </si>
  <si>
    <t>24.10.2024 12:02:37</t>
  </si>
  <si>
    <t>6pi9bTkTMsVD1iRB3VuSGANWZdaHDvr42g9Sy8X3pump</t>
  </si>
  <si>
    <t>$michi</t>
  </si>
  <si>
    <t>68.06%</t>
  </si>
  <si>
    <t>24.10.2024 05:28:56</t>
  </si>
  <si>
    <t xml:space="preserve">        157M           157M           186M</t>
  </si>
  <si>
    <t>5mbK36SZ7J19An8jFochhQS4of8g6BwUjbeCSxBSoWdp</t>
  </si>
  <si>
    <t>336</t>
  </si>
  <si>
    <t>23.10.2024 22:02:00</t>
  </si>
  <si>
    <t xml:space="preserve">         78M           117M             4M</t>
  </si>
  <si>
    <t>SLIMEY</t>
  </si>
  <si>
    <t>52.90%</t>
  </si>
  <si>
    <t>23.10.2024 20:12:26</t>
  </si>
  <si>
    <t xml:space="preserve">        424K           380K             6K</t>
  </si>
  <si>
    <t>HcD1UJc2KK48DfuYCi1wh4Ccn4d7L19gt661SMgQpump</t>
  </si>
  <si>
    <t>10,438</t>
  </si>
  <si>
    <t>23.10.2024 19:22:15</t>
  </si>
  <si>
    <t xml:space="preserve">        818K           818K            12K</t>
  </si>
  <si>
    <t>PSTAR</t>
  </si>
  <si>
    <t>0.008560</t>
  </si>
  <si>
    <t>3.307 SOL</t>
  </si>
  <si>
    <t>2974.51%</t>
  </si>
  <si>
    <t>23.10.2024 19:00:51</t>
  </si>
  <si>
    <t xml:space="preserve">        779K             2M            35K</t>
  </si>
  <si>
    <t>8Z2h8VsYqUoExZNwrtGQ1LQiHru6nnUsPSpvCwNapump</t>
  </si>
  <si>
    <t>STRZY</t>
  </si>
  <si>
    <t>182,005</t>
  </si>
  <si>
    <t>23.10.2024 18:46:51</t>
  </si>
  <si>
    <t xml:space="preserve">        149K           394K             7K</t>
  </si>
  <si>
    <t>6SH9YZqVXfEmb1bV4ZHWtxUAaR4ua9bKjkd6z1ELpump</t>
  </si>
  <si>
    <t>Addict</t>
  </si>
  <si>
    <t>14,366</t>
  </si>
  <si>
    <t>23.10.2024 18:24:56</t>
  </si>
  <si>
    <t xml:space="preserve">        607K           607K            14K</t>
  </si>
  <si>
    <t>9dV5wyv4U9MHtz8r28JNmkVimrE7mAGDiddyK9e3pump</t>
  </si>
  <si>
    <t>4,364</t>
  </si>
  <si>
    <t>23.10.2024 18:00:22</t>
  </si>
  <si>
    <t xml:space="preserve">          2M             2M            18K</t>
  </si>
  <si>
    <t>STARZY</t>
  </si>
  <si>
    <t>96,577</t>
  </si>
  <si>
    <t>23.10.2024 17:48:43</t>
  </si>
  <si>
    <t xml:space="preserve">        202K           162K             6K</t>
  </si>
  <si>
    <t>ApwHnYXaohxasWhLafDiKKzwkJJApHzphmynFJfKtrp5</t>
  </si>
  <si>
    <t>15,729</t>
  </si>
  <si>
    <t>23.10.2024 17:10:07</t>
  </si>
  <si>
    <t xml:space="preserve">        554K           554K            12K</t>
  </si>
  <si>
    <t>-0.803 SOL</t>
  </si>
  <si>
    <t>172,358</t>
  </si>
  <si>
    <t>23.10.2024 16:46:38</t>
  </si>
  <si>
    <t xml:space="preserve">        816K           816K            17K</t>
  </si>
  <si>
    <t>151,767</t>
  </si>
  <si>
    <t>23.10.2024 15:59:11</t>
  </si>
  <si>
    <t xml:space="preserve">        958K           132K             9K</t>
  </si>
  <si>
    <t>X8szRJUVDNKBegUsJbE2pjkhNbrZFHFHvuwcbeZpump</t>
  </si>
  <si>
    <t>EVA</t>
  </si>
  <si>
    <t>96,094</t>
  </si>
  <si>
    <t>23.10.2024 14:23:58</t>
  </si>
  <si>
    <t xml:space="preserve">        266K           215K             6K</t>
  </si>
  <si>
    <t>Ffju557FLtavTnLpMKaRMZNsiiAoxeQmsxStpwnKpump</t>
  </si>
  <si>
    <t>0.003920</t>
  </si>
  <si>
    <t>2.274 SOL</t>
  </si>
  <si>
    <t>804.30%</t>
  </si>
  <si>
    <t>23.10.2024 01:15:01</t>
  </si>
  <si>
    <t xml:space="preserve">         20M            17M             3M</t>
  </si>
  <si>
    <t>-64.63%</t>
  </si>
  <si>
    <t>23.10.2024 00:21:56</t>
  </si>
  <si>
    <t xml:space="preserve">        890K           691K           295K</t>
  </si>
  <si>
    <t>22.10.2024 16:14:07</t>
  </si>
  <si>
    <t xml:space="preserve">        160M           160M           124M</t>
  </si>
  <si>
    <t>2,375</t>
  </si>
  <si>
    <t>21.10.2024 23:54:42</t>
  </si>
  <si>
    <t xml:space="preserve">          4M             4M            16K</t>
  </si>
  <si>
    <t>uhuhu</t>
  </si>
  <si>
    <t>-90.98%</t>
  </si>
  <si>
    <t>21.10.2024 22:53:37</t>
  </si>
  <si>
    <t>8wNBLSSG1kZTihhQ2rRy7A1tgNAgENoYzZvUerD9pump</t>
  </si>
  <si>
    <t>ENKI</t>
  </si>
  <si>
    <t>22,852</t>
  </si>
  <si>
    <t>21.10.2024 21:04:10</t>
  </si>
  <si>
    <t xml:space="preserve">        382K           382K            33K</t>
  </si>
  <si>
    <t>4weXPAD4eYv9tPShCPnRrKUUdaEUTzomCRALZsPrBBGR</t>
  </si>
  <si>
    <t>avg</t>
  </si>
  <si>
    <t>22,986</t>
  </si>
  <si>
    <t>21.10.2024 20:28:29</t>
  </si>
  <si>
    <t xml:space="preserve">        378K           378K            10K</t>
  </si>
  <si>
    <t>C82w36a9CtjYeHJqMPXNwEMFwtuu43kpnjym6dBApump</t>
  </si>
  <si>
    <t>Curvebot</t>
  </si>
  <si>
    <t>37,884</t>
  </si>
  <si>
    <t>21.10.2024 20:22:20</t>
  </si>
  <si>
    <t xml:space="preserve">        491K           433K             9K</t>
  </si>
  <si>
    <t>GyCd6rPZ4QToVHU6tFfhdnNG9ftqEinJAifL6DK1pump</t>
  </si>
  <si>
    <t>coco</t>
  </si>
  <si>
    <t>-79.55%</t>
  </si>
  <si>
    <t>21.10.2024 20:18:14</t>
  </si>
  <si>
    <t xml:space="preserve">         26K            23K             4K</t>
  </si>
  <si>
    <t>GSFxdxAGfBHZGUDeFZUADkZCNSrhTZzket4DC79Cpump</t>
  </si>
  <si>
    <t>35,226</t>
  </si>
  <si>
    <t>21.10.2024 20:09:26</t>
  </si>
  <si>
    <t xml:space="preserve">        248K           248K            20K</t>
  </si>
  <si>
    <t>231,810</t>
  </si>
  <si>
    <t>21.10.2024 20:09:25</t>
  </si>
  <si>
    <t xml:space="preserve">         93K           178K            14K</t>
  </si>
  <si>
    <t>85.60%</t>
  </si>
  <si>
    <t>21.10.2024 20:07:11</t>
  </si>
  <si>
    <t xml:space="preserve">          2M             2M             9M</t>
  </si>
  <si>
    <t>0.036000</t>
  </si>
  <si>
    <t>1.182 SOL</t>
  </si>
  <si>
    <t>0.799 SOL</t>
  </si>
  <si>
    <t>208.97%</t>
  </si>
  <si>
    <t>21.10.2024 03:20:53</t>
  </si>
  <si>
    <t xml:space="preserve">        267M            64M           582M</t>
  </si>
  <si>
    <t>GyatGPT</t>
  </si>
  <si>
    <t>39,720</t>
  </si>
  <si>
    <t>20.10.2024 20:14:46</t>
  </si>
  <si>
    <t xml:space="preserve">        220K           220K             6K</t>
  </si>
  <si>
    <t>9J5mJ9z67MrzqdpwXKJUKqkyutZDSBkJmJgCob7dpump</t>
  </si>
  <si>
    <t>80,757</t>
  </si>
  <si>
    <t>20.10.2024 19:19:14</t>
  </si>
  <si>
    <t xml:space="preserve">        107K           107K            27K</t>
  </si>
  <si>
    <t>9kG8CWxdNeZzg8PLHTaFYmH6ihD1JMegRE1y6G8Dpump</t>
  </si>
  <si>
    <t>⌥</t>
  </si>
  <si>
    <t>260,431</t>
  </si>
  <si>
    <t>20.10.2024 19:18:55</t>
  </si>
  <si>
    <t xml:space="preserve">         90K            53K             4K</t>
  </si>
  <si>
    <t>369pXXK8TCby1xLse25b6u1Y5MbfXcG2d6YKXnk2pump</t>
  </si>
  <si>
    <t>FWOG</t>
  </si>
  <si>
    <t>0.009000</t>
  </si>
  <si>
    <t>-0.735 SOL</t>
  </si>
  <si>
    <t>20.10.2024 16:23:51</t>
  </si>
  <si>
    <t xml:space="preserve">        190M           200M           274M</t>
  </si>
  <si>
    <t>A8C3xuqscfmyLrte3VmTqrAq8kgMASius9AFNANwpump</t>
  </si>
  <si>
    <t>cmd.exe</t>
  </si>
  <si>
    <t>187,968</t>
  </si>
  <si>
    <t>20.10.2024 15:26:26</t>
  </si>
  <si>
    <t xml:space="preserve">         60K           210K            33K</t>
  </si>
  <si>
    <t>GevMhaMtYtvv44pnkaoyBewrTuAK9x532xo55MTjpump</t>
  </si>
  <si>
    <t>HERMES</t>
  </si>
  <si>
    <t>201,997</t>
  </si>
  <si>
    <t>19.10.2024 13:48:07</t>
  </si>
  <si>
    <t>FQeGyoEJ8FGJxPKiWtyV4gnAxr7gU6GeL8u5iEDmpump</t>
  </si>
  <si>
    <t>{D}</t>
  </si>
  <si>
    <t>290,785</t>
  </si>
  <si>
    <t>19.10.2024 13:43:56</t>
  </si>
  <si>
    <t xml:space="preserve">        287K           123K             5K</t>
  </si>
  <si>
    <t>9LhZ3R1CzRCjXJpZRk62Jiq7tcPgjz7SNCWYsR78pump</t>
  </si>
  <si>
    <t>max2049</t>
  </si>
  <si>
    <t>0.014000</t>
  </si>
  <si>
    <t>0.469 SOL</t>
  </si>
  <si>
    <t>221.07%</t>
  </si>
  <si>
    <t>19.10.2024 12:40:32</t>
  </si>
  <si>
    <t xml:space="preserve">        228K           816K            25K</t>
  </si>
  <si>
    <t>658gVRm3K3kGTwKyGhsJ2akKgE7zjDFHTDsscaWtpump</t>
  </si>
  <si>
    <t>0.923 SOL</t>
  </si>
  <si>
    <t>589.51%</t>
  </si>
  <si>
    <t>19.10.2024 12:29:02</t>
  </si>
  <si>
    <t xml:space="preserve">        804K             6M            35M</t>
  </si>
  <si>
    <t>-58.83%</t>
  </si>
  <si>
    <t>19.10.2024 02:32:41</t>
  </si>
  <si>
    <t xml:space="preserve">        658K           286K             7K</t>
  </si>
  <si>
    <t>8,515</t>
  </si>
  <si>
    <t>19.10.2024 01:56:48</t>
  </si>
  <si>
    <t xml:space="preserve">          3M             3M           149K</t>
  </si>
  <si>
    <t>LULO</t>
  </si>
  <si>
    <t>184,309</t>
  </si>
  <si>
    <t>18.10.2024 15:19:18</t>
  </si>
  <si>
    <t>FbvoiCGJQg1F9myTJYgC76ybiDJMLNCvmvb6eAKyUNKZ</t>
  </si>
  <si>
    <t>tweaking</t>
  </si>
  <si>
    <t>139,633</t>
  </si>
  <si>
    <t>18.10.2024 02:58:14</t>
  </si>
  <si>
    <t xml:space="preserve">         62K            62K             4K</t>
  </si>
  <si>
    <t>AapWLqfNfuTpGXXMHSYJhM6uFKjyEZMpVjgPPfofpump</t>
  </si>
  <si>
    <t>wealth</t>
  </si>
  <si>
    <t>63,843</t>
  </si>
  <si>
    <t>18.10.2024 02:55:20</t>
  </si>
  <si>
    <t>Ct9U34iTxLqByBnTznM367Dwn3o5XVZjwcPrJVXSpump</t>
  </si>
  <si>
    <t>TINYd</t>
  </si>
  <si>
    <t>177,177</t>
  </si>
  <si>
    <t>18.10.2024 02:47:34</t>
  </si>
  <si>
    <t xml:space="preserve">         49K            49K             8K</t>
  </si>
  <si>
    <t>E7rM21f6RhcYbhBwKBhnQQccmgN6H7Ls5PRtGMj9pump</t>
  </si>
  <si>
    <t>DOEY</t>
  </si>
  <si>
    <t>204,617</t>
  </si>
  <si>
    <t>18.10.2024 00:59:52</t>
  </si>
  <si>
    <t xml:space="preserve">         90K            81K             6K</t>
  </si>
  <si>
    <t>HvNiAvQNhY1rDQzMh16bY99VFBH5oiYAk2KsriqFpump</t>
  </si>
  <si>
    <t>60,053</t>
  </si>
  <si>
    <t>17.10.2024 22:02:03</t>
  </si>
  <si>
    <t xml:space="preserve">        480K           208K            19K</t>
  </si>
  <si>
    <t>gem</t>
  </si>
  <si>
    <t>49,054</t>
  </si>
  <si>
    <t>17.10.2024 21:33:39</t>
  </si>
  <si>
    <t xml:space="preserve">        178K           178K             7K</t>
  </si>
  <si>
    <t>4BJ1aXPzYhiV3TDPdyfg63cgrVuLbRh2DvejCzS7pump</t>
  </si>
  <si>
    <t>19.59%</t>
  </si>
  <si>
    <t>17.10.2024 15:10:03</t>
  </si>
  <si>
    <t xml:space="preserve">        649K           649K           293K</t>
  </si>
  <si>
    <t>DHoadXCbf6TcadkcMGJ8kFRdDa2sXPQ1KrgodUDRpump</t>
  </si>
  <si>
    <t>STLW</t>
  </si>
  <si>
    <t>85,370</t>
  </si>
  <si>
    <t>16.10.2024 19:35:03</t>
  </si>
  <si>
    <t xml:space="preserve">         92K            92K            80K</t>
  </si>
  <si>
    <t>6j7Nz72bD6PQKLVTQ4wKH1cweQHoPvsYR7qh2capump</t>
  </si>
  <si>
    <t>-18.79%</t>
  </si>
  <si>
    <t>16.10.2024 17:01:09</t>
  </si>
  <si>
    <t xml:space="preserve">        107K           246K             6K</t>
  </si>
  <si>
    <t>FREE</t>
  </si>
  <si>
    <t>0.003740</t>
  </si>
  <si>
    <t>117.74%</t>
  </si>
  <si>
    <t xml:space="preserve">        111K           552K           127K</t>
  </si>
  <si>
    <t>2TYhhwG6zCYMue6QHmcxEHnt8tMhnyq8hbXNUbdrpump</t>
  </si>
  <si>
    <t>fleshbag</t>
  </si>
  <si>
    <t>82,099</t>
  </si>
  <si>
    <t>16.10.2024 14:17:27</t>
  </si>
  <si>
    <t xml:space="preserve">        251K           183K            10K</t>
  </si>
  <si>
    <t>8ypJK8k7mYR14sfmiQzuF68mvamu84KtMn1tvcrjpump</t>
  </si>
  <si>
    <t>BLOCKCHAIN</t>
  </si>
  <si>
    <t>235,895</t>
  </si>
  <si>
    <t>16.10.2024 13:29:50</t>
  </si>
  <si>
    <t>BqeLFSM4P7AMjkwhGMHiccubk2g8os61HPkUePeKpump</t>
  </si>
  <si>
    <t xml:space="preserve">$Oatmeal </t>
  </si>
  <si>
    <t>2,286</t>
  </si>
  <si>
    <t>16.10.2024 12:16:00</t>
  </si>
  <si>
    <t xml:space="preserve">        379K           379K           299K</t>
  </si>
  <si>
    <t>EdaG8TKn36DnrXkVrJ3oSR9qw5hrUXrXS21n84B7AdLP</t>
  </si>
  <si>
    <t>smurfette</t>
  </si>
  <si>
    <t>0.674 SOL</t>
  </si>
  <si>
    <t>341.78%</t>
  </si>
  <si>
    <t>16.10.2024 10:17:54</t>
  </si>
  <si>
    <t xml:space="preserve">        429K           264K            88K</t>
  </si>
  <si>
    <t>6iezmEdeiUCzGGq4kjgyWvFDuajTPNWZqjzV3G2Qpump</t>
  </si>
  <si>
    <t>TrT</t>
  </si>
  <si>
    <t>110.29%</t>
  </si>
  <si>
    <t>16.10.2024 04:07:40</t>
  </si>
  <si>
    <t xml:space="preserve">        287K           287K            45K</t>
  </si>
  <si>
    <t>4dx69VLhJGpswMGdVb2thWsuykyhWRZrrVjLZ1mgpump</t>
  </si>
  <si>
    <t>Freakbob</t>
  </si>
  <si>
    <t>0.004110</t>
  </si>
  <si>
    <t>-84.36%</t>
  </si>
  <si>
    <t>16.10.2024 04:05:48</t>
  </si>
  <si>
    <t xml:space="preserve">        464K             1M            45K</t>
  </si>
  <si>
    <t>6s687jFczAQ95YYYXNGLdki6u9mAH4DUwPXtYpD3pump</t>
  </si>
  <si>
    <t>DASEE</t>
  </si>
  <si>
    <t>-55.58%</t>
  </si>
  <si>
    <t>16.10.2024 04:05:19</t>
  </si>
  <si>
    <t xml:space="preserve">         74K            28K             9K</t>
  </si>
  <si>
    <t>EDXbuD6Hx1BvGMa6WHFCQLDu1fp5NHvvHvzEMfknxNUA</t>
  </si>
  <si>
    <t>ping</t>
  </si>
  <si>
    <t>0.010000</t>
  </si>
  <si>
    <t>-7.55%</t>
  </si>
  <si>
    <t>16.10.2024 01:55:41</t>
  </si>
  <si>
    <t>BCzSJeyX2uVcDrTHzq49Do4vCyL4ZKM4DDo4VhVxpump</t>
  </si>
  <si>
    <t>GMika</t>
  </si>
  <si>
    <t>0.011000</t>
  </si>
  <si>
    <t>16.38%</t>
  </si>
  <si>
    <t>15.10.2024 22:20:17</t>
  </si>
  <si>
    <t xml:space="preserve">          6M             7M             3M</t>
  </si>
  <si>
    <t>HtCqD3o5aF1RXcyGi6AW11PoB3bZmFdA8kvVyhJrpump</t>
  </si>
  <si>
    <t>ZIGGY</t>
  </si>
  <si>
    <t>-34.92%</t>
  </si>
  <si>
    <t>15.10.2024 20:48:02</t>
  </si>
  <si>
    <t xml:space="preserve">        172K           114K           101K</t>
  </si>
  <si>
    <t>4gDCHK6jsPsdZi84N4rY6ACecxBJWsYkcfHhf8bHpump</t>
  </si>
  <si>
    <t>FLUXT</t>
  </si>
  <si>
    <t>24,760</t>
  </si>
  <si>
    <t>15.10.2024 15:39:39</t>
  </si>
  <si>
    <t xml:space="preserve">        352K           352K           190K</t>
  </si>
  <si>
    <t>D1wUhnzTDscCDRdxDwR4h82XkesXgQR4Q2zLhSuYJA5m</t>
  </si>
  <si>
    <t>PVE</t>
  </si>
  <si>
    <t>53,264</t>
  </si>
  <si>
    <t>15.10.2024 15:28:36</t>
  </si>
  <si>
    <t xml:space="preserve">        740K           326K            26K</t>
  </si>
  <si>
    <t>8jT2uVGpC6PbsPcQJ5bmEH9D8pQq41WEUMaUpo9Npump</t>
  </si>
  <si>
    <t>CatGirl</t>
  </si>
  <si>
    <t>60,120</t>
  </si>
  <si>
    <t>15.10.2024 13:23:03</t>
  </si>
  <si>
    <t xml:space="preserve">        466K           361K             6K</t>
  </si>
  <si>
    <t>D389xMs9JUEsPA1w4itsT6cN3vFwYmpQSmsvvdj2g1jX</t>
  </si>
  <si>
    <t>gospodin</t>
  </si>
  <si>
    <t>-51.33%</t>
  </si>
  <si>
    <t>14.10.2024 22:16:30</t>
  </si>
  <si>
    <t xml:space="preserve">          1M           523K            83K</t>
  </si>
  <si>
    <t>FyEUKDB7DjfANVJTwSWPkta3yK8bRjSn2nB9y41Qpump</t>
  </si>
  <si>
    <t>79,410</t>
  </si>
  <si>
    <t>14.10.2024 16:44:29</t>
  </si>
  <si>
    <t xml:space="preserve">        275K           178K             6K</t>
  </si>
  <si>
    <t>GXwESPtbqvtqo1gAdhGErRJz9smz1XYf3QdgxcFdksDm</t>
  </si>
  <si>
    <t>66,649</t>
  </si>
  <si>
    <t>14.10.2024 16:33:23</t>
  </si>
  <si>
    <t xml:space="preserve">        130K           130K             3K</t>
  </si>
  <si>
    <t>70,816</t>
  </si>
  <si>
    <t>14.10.2024 16:22:47</t>
  </si>
  <si>
    <t xml:space="preserve">        123K           123K             4K</t>
  </si>
  <si>
    <t>9QcfKmf5hBuYSNnMk64ZTzkvuSzmUAPZCsEVLLALpump</t>
  </si>
  <si>
    <t>KASUMI</t>
  </si>
  <si>
    <t>-78.28%</t>
  </si>
  <si>
    <t>14.10.2024 16:09:25</t>
  </si>
  <si>
    <t xml:space="preserve">        149K            25K             5K</t>
  </si>
  <si>
    <t>8R7R1qZVpSLatwam92YpwJbkxiqwbofDqydgc989pump</t>
  </si>
  <si>
    <t>-22.31%</t>
  </si>
  <si>
    <t>14.10.2024 15:54:38</t>
  </si>
  <si>
    <t xml:space="preserve">        142K           399K            25K</t>
  </si>
  <si>
    <t>RFC</t>
  </si>
  <si>
    <t>32,996</t>
  </si>
  <si>
    <t>14.10.2024 15:53:26</t>
  </si>
  <si>
    <t xml:space="preserve">        263K           263K             5K</t>
  </si>
  <si>
    <t>5cG69TY1dkJmiucnkvYobCbeC1wDyRHBVrbJbz7bpump</t>
  </si>
  <si>
    <t>SUPER</t>
  </si>
  <si>
    <t>84,312</t>
  </si>
  <si>
    <t>14.10.2024 15:46:23</t>
  </si>
  <si>
    <t xml:space="preserve">        104K           104K             5K</t>
  </si>
  <si>
    <t>12sfroGGyUuTTa74XMiXvA1PdF9v9Fj496Xo8jWupump</t>
  </si>
  <si>
    <t>RUF</t>
  </si>
  <si>
    <t>10,226</t>
  </si>
  <si>
    <t>14.10.2024 15:43:22</t>
  </si>
  <si>
    <t xml:space="preserve">        794K           794K            10K</t>
  </si>
  <si>
    <t>8EQeemcUppYMH1T4JQSh4UNE6DLhJZV7ap6Y7k38pump</t>
  </si>
  <si>
    <t>RUFF</t>
  </si>
  <si>
    <t>14.10.2024 15:38:58</t>
  </si>
  <si>
    <t xml:space="preserve">        593K             2M            19K</t>
  </si>
  <si>
    <t>BWFKLaEYDoMDYzZRB2bYLPhMJTycD9voNihvSL34pump</t>
  </si>
  <si>
    <t>63,759</t>
  </si>
  <si>
    <t>13.10.2024 21:46:45</t>
  </si>
  <si>
    <t xml:space="preserve">        137K           137K            28K</t>
  </si>
  <si>
    <t>EA8gnhyGTGd73LcFZRTybziXcgaPBpidHWBcpa5Lpump</t>
  </si>
  <si>
    <t>waif</t>
  </si>
  <si>
    <t>73,546</t>
  </si>
  <si>
    <t>13.10.2024 17:49:20</t>
  </si>
  <si>
    <t xml:space="preserve">        249K           225K             7K</t>
  </si>
  <si>
    <t>Grznenwm9wYatDMzTcNejRD6pPQ1i2ph4Wo3LDwypump</t>
  </si>
  <si>
    <t>GT3RS</t>
  </si>
  <si>
    <t>16,558</t>
  </si>
  <si>
    <t>13.10.2024 17:21:30</t>
  </si>
  <si>
    <t xml:space="preserve">        525K           525K            58K</t>
  </si>
  <si>
    <t>EpPtathNtBLh4Xn6vJxoaekRpCfhNK4sDhqiaDJfEQ8R</t>
  </si>
  <si>
    <t>-73.74%</t>
  </si>
  <si>
    <t>13.10.2024 15:28:34</t>
  </si>
  <si>
    <t xml:space="preserve">        303K           202K            15K</t>
  </si>
  <si>
    <t>TUNA</t>
  </si>
  <si>
    <t>101,020</t>
  </si>
  <si>
    <t>13.10.2024 02:58:41</t>
  </si>
  <si>
    <t xml:space="preserve">        225K           139K             6K</t>
  </si>
  <si>
    <t>FJLehYsTWsdXP42tgixCvNzMN5PiWkHKNKfFPcCmpump</t>
  </si>
  <si>
    <t>jamong</t>
  </si>
  <si>
    <t>17,429</t>
  </si>
  <si>
    <t>12.10.2024 23:43:26</t>
  </si>
  <si>
    <t xml:space="preserve">         79K           113K             6K</t>
  </si>
  <si>
    <t>EikrgpRn8KDzK3BJhXxRZNbCe2a6viZ9B8g6j66JsYt7</t>
  </si>
  <si>
    <t>DEVIN</t>
  </si>
  <si>
    <t>41.84%</t>
  </si>
  <si>
    <t>12.10.2024 18:46:40</t>
  </si>
  <si>
    <t xml:space="preserve">          3M             3M             2M</t>
  </si>
  <si>
    <t>7gbEP2TAy5wM3TmMp5utCrRvdJ3FFqYjgN5KDpXiWPmo</t>
  </si>
  <si>
    <t>API</t>
  </si>
  <si>
    <t>46,525</t>
  </si>
  <si>
    <t>11.10.2024 20:46:12</t>
  </si>
  <si>
    <t xml:space="preserve">        186K           186K            25K</t>
  </si>
  <si>
    <t>4QmvAPffMFAvDPfHPJg4aepGqCqHKfASGRAUqicSpump</t>
  </si>
  <si>
    <t>132,968</t>
  </si>
  <si>
    <t>11.10.2024 19:03:59</t>
  </si>
  <si>
    <t>7JHwyiD4X5BwBsP1FNZviakgLjXSqx8r6GnHSFUYpump</t>
  </si>
  <si>
    <t>MAXCAT</t>
  </si>
  <si>
    <t>41,119</t>
  </si>
  <si>
    <t>11.10.2024 12:35:28</t>
  </si>
  <si>
    <t xml:space="preserve">        211K           211K             9K</t>
  </si>
  <si>
    <t>DMF7dX8Qg6HknTuh7xD64daPLDShJMM5aZd8oLHepump</t>
  </si>
  <si>
    <t>Miko</t>
  </si>
  <si>
    <t>51,638</t>
  </si>
  <si>
    <t>11.10.2024 04:28:47</t>
  </si>
  <si>
    <t>BKMK1HXX5T73ubUyJ7zEQ8bSMqVGgJ7mrnr56k9Zpump</t>
  </si>
  <si>
    <t>27,636</t>
  </si>
  <si>
    <t>11.10.2024 04:08:46</t>
  </si>
  <si>
    <t xml:space="preserve">        315K           315K             8K</t>
  </si>
  <si>
    <t>BigaGMpcCq3iBp62RcoJw1w2aLGYtqPsPRguYH3xpump</t>
  </si>
  <si>
    <t>29,863</t>
  </si>
  <si>
    <t>10.10.2024 23:41:07</t>
  </si>
  <si>
    <t xml:space="preserve">        995K           834K             9K</t>
  </si>
  <si>
    <t>10.10.2024 23:23:32</t>
  </si>
  <si>
    <t xml:space="preserve">        204K           200K            26K</t>
  </si>
  <si>
    <t>TitsMQfY4vqqK9ZarKZz4foSVKoDPtVAP2bnYvoczp6</t>
  </si>
  <si>
    <t>47,483</t>
  </si>
  <si>
    <t>10.10.2024 17:15:54</t>
  </si>
  <si>
    <t xml:space="preserve">        183K           183K            13K</t>
  </si>
  <si>
    <t>4wvuT22Marg5RWgmw9cB6PVsTPAmxsFBFauybXV4pump</t>
  </si>
  <si>
    <t>153</t>
  </si>
  <si>
    <t>08.10.2024 20:36:39</t>
  </si>
  <si>
    <t xml:space="preserve">        114M           114M           128M</t>
  </si>
  <si>
    <t>JB6yZEJq23TmhhVroc4xTY5AdZjdfTqbscG7pqKt8yhU</t>
  </si>
  <si>
    <t>8.10 SOL</t>
  </si>
  <si>
    <t>-0.51 SOL</t>
  </si>
  <si>
    <t>22 (18%)</t>
  </si>
  <si>
    <t>-3.83%</t>
  </si>
  <si>
    <t>4%</t>
  </si>
  <si>
    <t>138%</t>
  </si>
  <si>
    <t>365.52 SOL</t>
  </si>
  <si>
    <t>30.6%</t>
  </si>
  <si>
    <t>34.7%</t>
  </si>
  <si>
    <t>21.5%</t>
  </si>
  <si>
    <t>21.0 SOL</t>
  </si>
  <si>
    <t>24.4 SOL</t>
  </si>
  <si>
    <t>12.1 SOL</t>
  </si>
  <si>
    <t>-15.0 SOL</t>
  </si>
  <si>
    <t>-43.1 SOL</t>
  </si>
  <si>
    <t>55.5K</t>
  </si>
  <si>
    <t>0.000230</t>
  </si>
  <si>
    <t>-2.041 SOL</t>
  </si>
  <si>
    <t>15,101,287</t>
  </si>
  <si>
    <t>30.10.2024 19:22:49</t>
  </si>
  <si>
    <t>SALLY</t>
  </si>
  <si>
    <t>0.002950</t>
  </si>
  <si>
    <t>1.889 SOL</t>
  </si>
  <si>
    <t>25.69%</t>
  </si>
  <si>
    <t>30.10.2024 18:58:39</t>
  </si>
  <si>
    <t xml:space="preserve">         76K            79K            13K</t>
  </si>
  <si>
    <t>CBaXEiKBcFKb6nSBEkcRcDMkLRsptA1wUm51kuX4pump</t>
  </si>
  <si>
    <t>RUSTLUNG</t>
  </si>
  <si>
    <t>0.002190</t>
  </si>
  <si>
    <t>1.719 SOL</t>
  </si>
  <si>
    <t>1.534 SOL</t>
  </si>
  <si>
    <t>-10.89%</t>
  </si>
  <si>
    <t>30.10.2024 18:56:47</t>
  </si>
  <si>
    <t xml:space="preserve">         67K            58K             3K</t>
  </si>
  <si>
    <t>4u3uoiDGZEbVPQtEit5dT38VXiybKeVDiiCHVkQCpump</t>
  </si>
  <si>
    <t>0.001860</t>
  </si>
  <si>
    <t>9.711 SOL</t>
  </si>
  <si>
    <t>4.709 SOL</t>
  </si>
  <si>
    <t>94.15%</t>
  </si>
  <si>
    <t>30.10.2024 18:05:32</t>
  </si>
  <si>
    <t xml:space="preserve">        317K           259K           511K</t>
  </si>
  <si>
    <t>0.054370</t>
  </si>
  <si>
    <t>1.783 SOL</t>
  </si>
  <si>
    <t>9.306 SOL</t>
  </si>
  <si>
    <t>7.469 SOL</t>
  </si>
  <si>
    <t>406.56%</t>
  </si>
  <si>
    <t>30.10.2024 17:32:08</t>
  </si>
  <si>
    <t xml:space="preserve">         40K            40K            12K</t>
  </si>
  <si>
    <t>Marvin</t>
  </si>
  <si>
    <t>1.239 SOL</t>
  </si>
  <si>
    <t>-0.263 SOL</t>
  </si>
  <si>
    <t>-17.54%</t>
  </si>
  <si>
    <t>30.10.2024 11:07:02</t>
  </si>
  <si>
    <t xml:space="preserve">         30K            30K            32K</t>
  </si>
  <si>
    <t>GpQQj55Sx5JULYrXY3jFyvF595WBh2DM7kjHmETsNXey</t>
  </si>
  <si>
    <t>TATEMU</t>
  </si>
  <si>
    <t>0.002720</t>
  </si>
  <si>
    <t>1.493 SOL</t>
  </si>
  <si>
    <t>-0.67%</t>
  </si>
  <si>
    <t>30.10.2024 10:39:27</t>
  </si>
  <si>
    <t xml:space="preserve">         42K            33K             3K</t>
  </si>
  <si>
    <t>5A93mmvgcXrKm7ypM53MteRX6qvXnsieH7BYFyqCpump</t>
  </si>
  <si>
    <t>Torin</t>
  </si>
  <si>
    <t>0.008430</t>
  </si>
  <si>
    <t>-7.008 SOL</t>
  </si>
  <si>
    <t>10,845,903</t>
  </si>
  <si>
    <t>30.10.2024 06:23:23</t>
  </si>
  <si>
    <t xml:space="preserve">        128K            60K             7K</t>
  </si>
  <si>
    <t>ALKTKLRTyF3P83KMCAvGEtY4CsoMzvh1k38uixCgpump</t>
  </si>
  <si>
    <t>cat&amp;doge</t>
  </si>
  <si>
    <t>0.000460</t>
  </si>
  <si>
    <t>1.680 SOL</t>
  </si>
  <si>
    <t>-17.67%</t>
  </si>
  <si>
    <t>30.10.2024 05:49:48</t>
  </si>
  <si>
    <t>9P4t93CPFrHCAbJZVojC9xBLoTygCyzRP5u9MRkpump</t>
  </si>
  <si>
    <t>NUNYU</t>
  </si>
  <si>
    <t>2.667 SOL</t>
  </si>
  <si>
    <t>30.69%</t>
  </si>
  <si>
    <t>30.10.2024 05:46:25</t>
  </si>
  <si>
    <t xml:space="preserve">         30K            39K             7K</t>
  </si>
  <si>
    <t>7bFBqaeE99Sxr5h44NnABK7dS7pTmsT6uRH7Dm5Vpump</t>
  </si>
  <si>
    <t>0.003240</t>
  </si>
  <si>
    <t>2.33%</t>
  </si>
  <si>
    <t>30.10.2024 03:42:27</t>
  </si>
  <si>
    <t xml:space="preserve">        209K           215K            12K</t>
  </si>
  <si>
    <t>heaven</t>
  </si>
  <si>
    <t>2.400 SOL</t>
  </si>
  <si>
    <t>-2.400 SOL</t>
  </si>
  <si>
    <t>8,959,994</t>
  </si>
  <si>
    <t>29.10.2024 19:09:36</t>
  </si>
  <si>
    <t xml:space="preserve">         27K            49K            29K</t>
  </si>
  <si>
    <t>BCqTynMqcPCod7s7BdjW2nQ1R3YZbrqTfs9MnB4ayQ6R</t>
  </si>
  <si>
    <t>0.007740</t>
  </si>
  <si>
    <t>-2.715 SOL</t>
  </si>
  <si>
    <t>-90.26%</t>
  </si>
  <si>
    <t>29.10.2024 19:07:13</t>
  </si>
  <si>
    <t xml:space="preserve">         70K             7K             4K</t>
  </si>
  <si>
    <t>DJLOLI</t>
  </si>
  <si>
    <t>-1.854 SOL</t>
  </si>
  <si>
    <t>-92.66%</t>
  </si>
  <si>
    <t>29.10.2024 06:57:39</t>
  </si>
  <si>
    <t xml:space="preserve">        253K           253K            20K</t>
  </si>
  <si>
    <t>5DNd2f9xTAJo1wKQ1aWswXrutbpWSzGoyyNHLLoTpump</t>
  </si>
  <si>
    <t>Cody</t>
  </si>
  <si>
    <t>0.072 SOL</t>
  </si>
  <si>
    <t>-2.929 SOL</t>
  </si>
  <si>
    <t>-97.60%</t>
  </si>
  <si>
    <t>29.10.2024 06:57:24</t>
  </si>
  <si>
    <t xml:space="preserve">        672K           538K            14K</t>
  </si>
  <si>
    <t>J7QoEcvcpieuDcuqrA9GZjunGQ3ofkGx4MzgyPmrpump</t>
  </si>
  <si>
    <t>GIGA</t>
  </si>
  <si>
    <t>-26.14%</t>
  </si>
  <si>
    <t>26.10.2024 04:54:44</t>
  </si>
  <si>
    <t>GiGayHvWrr9hQwoHRcHZeyGdPe7irKtL1n77ojA6qLuj</t>
  </si>
  <si>
    <t>NUKETARDIO</t>
  </si>
  <si>
    <t>2.013 SOL</t>
  </si>
  <si>
    <t>0.859 SOL</t>
  </si>
  <si>
    <t>-1.154 SOL</t>
  </si>
  <si>
    <t>-57.34%</t>
  </si>
  <si>
    <t>26.10.2024 01:49:31</t>
  </si>
  <si>
    <t>D7TCisybHpeJTr2dhpceJgLhacKmvTnHfC95chm3pump</t>
  </si>
  <si>
    <t>-0.919 SOL</t>
  </si>
  <si>
    <t>25.10.2024 23:27:48</t>
  </si>
  <si>
    <t xml:space="preserve">         95K            95K             5K</t>
  </si>
  <si>
    <t>4RAauo2MmPWnKUdUUM6TxRRmXKMYKysMjYctB5yQpump</t>
  </si>
  <si>
    <t>2.64%</t>
  </si>
  <si>
    <t>25.10.2024 21:40:00</t>
  </si>
  <si>
    <t xml:space="preserve">         33K            35K            16K</t>
  </si>
  <si>
    <t>CzFjtyyTucuL4ijGvNvwnd7svmJzQyxdkCxPYbKbpump</t>
  </si>
  <si>
    <t>TERCON</t>
  </si>
  <si>
    <t>-1.860 SOL</t>
  </si>
  <si>
    <t>-92.98%</t>
  </si>
  <si>
    <t>25.10.2024 20:21:23</t>
  </si>
  <si>
    <t xml:space="preserve">        232K           232K             5K</t>
  </si>
  <si>
    <t>6i8Ge6jeHEQpgKX92aLJzFs3JfdA4eQgWbDkHLspump</t>
  </si>
  <si>
    <t>USDT</t>
  </si>
  <si>
    <t>0.001820</t>
  </si>
  <si>
    <t>-68.22%</t>
  </si>
  <si>
    <t>25.10.2024 18:15:06</t>
  </si>
  <si>
    <t>EgrtUz4SZWKvimDDLAxye3QZy23qmijqVUXwAJZQpump</t>
  </si>
  <si>
    <t>solana</t>
  </si>
  <si>
    <t>1.240 SOL</t>
  </si>
  <si>
    <t>25.85%</t>
  </si>
  <si>
    <t>25.10.2024 18:05:37</t>
  </si>
  <si>
    <t xml:space="preserve">         16K            18K             6K</t>
  </si>
  <si>
    <t>F2jxE1hXAaadtZ5TJrowzU69Q6vsUP9bGXrXzgGvpump</t>
  </si>
  <si>
    <t>CMRD</t>
  </si>
  <si>
    <t>0.020840</t>
  </si>
  <si>
    <t>0.560 SOL</t>
  </si>
  <si>
    <t>25.10.2024 17:56:49</t>
  </si>
  <si>
    <t>9dmKcmtpHp2qvXEF5W52F4ZtJQNZfs4b7FEdituipump</t>
  </si>
  <si>
    <t>-1.297 SOL</t>
  </si>
  <si>
    <t>-64.85%</t>
  </si>
  <si>
    <t>25.10.2024 04:25:02</t>
  </si>
  <si>
    <t xml:space="preserve">         25K             9K             5K</t>
  </si>
  <si>
    <t>G515b4yGR2PfSzM7HLGFF5KBxw1XQ3f3MU8eqgWHpump</t>
  </si>
  <si>
    <t>2.048 SOL</t>
  </si>
  <si>
    <t>4.965 SOL</t>
  </si>
  <si>
    <t>2.910 SOL</t>
  </si>
  <si>
    <t>141.59%</t>
  </si>
  <si>
    <t>25.10.2024 04:14:07</t>
  </si>
  <si>
    <t xml:space="preserve">         11K            25K             2M</t>
  </si>
  <si>
    <t>OS1</t>
  </si>
  <si>
    <t>4.106 SOL</t>
  </si>
  <si>
    <t>60.19%</t>
  </si>
  <si>
    <t>25.10.2024 01:04:32</t>
  </si>
  <si>
    <t xml:space="preserve">         40K            63K             6K</t>
  </si>
  <si>
    <t>3TQWft46kwQUB4p1p35wSYwX8oUsgkhz6igG9dgxpump</t>
  </si>
  <si>
    <t>HAUCH</t>
  </si>
  <si>
    <t>0.007970</t>
  </si>
  <si>
    <t>4.949 SOL</t>
  </si>
  <si>
    <t>2.668 SOL</t>
  </si>
  <si>
    <t>-2.289 SOL</t>
  </si>
  <si>
    <t>-46.18%</t>
  </si>
  <si>
    <t>25.10.2024 00:42:05</t>
  </si>
  <si>
    <t xml:space="preserve">         58K            23K             6K</t>
  </si>
  <si>
    <t>32hDH2xh76ELNnKSnyAYff5D4oyaKvKnir37XLUwpump</t>
  </si>
  <si>
    <t>🎁</t>
  </si>
  <si>
    <t>1.666 SOL</t>
  </si>
  <si>
    <t>1.453 SOL</t>
  </si>
  <si>
    <t>-0.213 SOL</t>
  </si>
  <si>
    <t>24.10.2024 23:55:59</t>
  </si>
  <si>
    <t xml:space="preserve">         72K            62K             5K</t>
  </si>
  <si>
    <t>8yqCfGyyc9vTkih73KoGXfB6RyZAMKYepZPu8upNpump</t>
  </si>
  <si>
    <t>SENIOR</t>
  </si>
  <si>
    <t>4.952 SOL</t>
  </si>
  <si>
    <t>64.63%</t>
  </si>
  <si>
    <t>24.10.2024 23:33:35</t>
  </si>
  <si>
    <t xml:space="preserve">         88K           146K             4K</t>
  </si>
  <si>
    <t>rrH27XxU4G6hwWkpFsmvfwVRf8D7RSGsUSytMuqpump</t>
  </si>
  <si>
    <t>BSHIBA</t>
  </si>
  <si>
    <t>-1.035 SOL</t>
  </si>
  <si>
    <t>-63.04%</t>
  </si>
  <si>
    <t>24.10.2024 23:28:51</t>
  </si>
  <si>
    <t xml:space="preserve">         19K             7K             5K</t>
  </si>
  <si>
    <t>BsoUXKUJjiZscyU17J9cCQvF8g4uRsz8Akoi9yQcpump</t>
  </si>
  <si>
    <t>MAYO</t>
  </si>
  <si>
    <t>-0.53%</t>
  </si>
  <si>
    <t>24.10.2024 23:27:06</t>
  </si>
  <si>
    <t xml:space="preserve">          2M             2M             1M</t>
  </si>
  <si>
    <t>GB2RP1BbGnFvB62UMzWJ8b5BW8hYcEmwVtkh2ADKpump</t>
  </si>
  <si>
    <t>trent</t>
  </si>
  <si>
    <t>2.134 SOL</t>
  </si>
  <si>
    <t>-1.191 SOL</t>
  </si>
  <si>
    <t>-55.60%</t>
  </si>
  <si>
    <t>24.10.2024 23:25:42</t>
  </si>
  <si>
    <t xml:space="preserve">         55K            25K             5K</t>
  </si>
  <si>
    <t>CQLhG9uZHUtKkupaiDjWy23jmytj1fKdMMeuJk4dpump</t>
  </si>
  <si>
    <t>gpt5</t>
  </si>
  <si>
    <t>2.722 SOL</t>
  </si>
  <si>
    <t>5.393 SOL</t>
  </si>
  <si>
    <t>2.651 SOL</t>
  </si>
  <si>
    <t>96.67%</t>
  </si>
  <si>
    <t>24.10.2024 22:33:10</t>
  </si>
  <si>
    <t xml:space="preserve">         30K            69K             4K</t>
  </si>
  <si>
    <t>8tY1CQVDQrqXcPvYJVQ5THdYseSrFuiSZFXFH17dpump</t>
  </si>
  <si>
    <t>roko</t>
  </si>
  <si>
    <t>1.310 SOL</t>
  </si>
  <si>
    <t>-0.733 SOL</t>
  </si>
  <si>
    <t>-55.88%</t>
  </si>
  <si>
    <t>24.10.2024 22:24:58</t>
  </si>
  <si>
    <t xml:space="preserve">         21K             9K             5K</t>
  </si>
  <si>
    <t>CaV8p2ddwLb5yJhkxwjUFYQLGhNUAMwXgFgEHJ2vpump</t>
  </si>
  <si>
    <t>1.635 SOL</t>
  </si>
  <si>
    <t>24.10.2024 22:00:32</t>
  </si>
  <si>
    <t xml:space="preserve">        139K           151K           114K</t>
  </si>
  <si>
    <t>LISP</t>
  </si>
  <si>
    <t>7.111 SOL</t>
  </si>
  <si>
    <t>5.363 SOL</t>
  </si>
  <si>
    <t>-1.757 SOL</t>
  </si>
  <si>
    <t>-24.67%</t>
  </si>
  <si>
    <t>24.10.2024 21:24:33</t>
  </si>
  <si>
    <t xml:space="preserve">         30K             9K             6K</t>
  </si>
  <si>
    <t>9ELyW753vdqHy1PuLpAkp8d6L9RgWfzHCU9XSHJKpump</t>
  </si>
  <si>
    <t>TOPG.AI</t>
  </si>
  <si>
    <t>1.759 SOL</t>
  </si>
  <si>
    <t>-0.248 SOL</t>
  </si>
  <si>
    <t>-12.37%</t>
  </si>
  <si>
    <t>24.10.2024 15:23:48</t>
  </si>
  <si>
    <t xml:space="preserve">        190K           128K            13K</t>
  </si>
  <si>
    <t>ToP2RcWXPNWWWGJ6W6BSnWwGvkThNiHYS6dTaHTTZHN</t>
  </si>
  <si>
    <t>5.552 SOL</t>
  </si>
  <si>
    <t>11.00%</t>
  </si>
  <si>
    <t>24.10.2024 14:17:36</t>
  </si>
  <si>
    <t xml:space="preserve">        929K             1M            67K</t>
  </si>
  <si>
    <t>1,560,714</t>
  </si>
  <si>
    <t>24.10.2024 04:32:48</t>
  </si>
  <si>
    <t xml:space="preserve">        113K           113K            12K</t>
  </si>
  <si>
    <t>GOSPEL</t>
  </si>
  <si>
    <t>1.363 SOL</t>
  </si>
  <si>
    <t>34.84%</t>
  </si>
  <si>
    <t>24.10.2024 02:31:24</t>
  </si>
  <si>
    <t>9er9LTVGhhGRWYUEBgYJZ1chRedMp5v6PeYiKHP3r2nc</t>
  </si>
  <si>
    <t>meolloween</t>
  </si>
  <si>
    <t>3.625 SOL</t>
  </si>
  <si>
    <t>1.625 SOL</t>
  </si>
  <si>
    <t>81.23%</t>
  </si>
  <si>
    <t>24.10.2024 02:19:57</t>
  </si>
  <si>
    <t xml:space="preserve">        181K           186K            22K</t>
  </si>
  <si>
    <t>GkCQFumKUjvj7Riyfispn2my8b86J4jEuatT9z7apump</t>
  </si>
  <si>
    <t>$FOF</t>
  </si>
  <si>
    <t>1.162 SOL</t>
  </si>
  <si>
    <t>-0.355 SOL</t>
  </si>
  <si>
    <t>-30.53%</t>
  </si>
  <si>
    <t>24.10.2024 00:35:57</t>
  </si>
  <si>
    <t xml:space="preserve">          9K             7K            11K</t>
  </si>
  <si>
    <t>BUUimtoHX2RLC7bHFs4qUh3kzamvb1Sag9JyNEUXpump</t>
  </si>
  <si>
    <t>cicada</t>
  </si>
  <si>
    <t>0.020020</t>
  </si>
  <si>
    <t>23.10.2024 22:52:56</t>
  </si>
  <si>
    <t>67huEYRKsTDkgH1TA7GqSWxaT7EwKxkcRmvMwwYNpump</t>
  </si>
  <si>
    <t>GrimesAI</t>
  </si>
  <si>
    <t>2.180 SOL</t>
  </si>
  <si>
    <t>9.01%</t>
  </si>
  <si>
    <t>23.10.2024 22:47:18</t>
  </si>
  <si>
    <t xml:space="preserve">         40K            46K            24K</t>
  </si>
  <si>
    <t>FQCuFFiNW7NHzsBqr4xfm1ABikCwRDsUiKP9rWahpump</t>
  </si>
  <si>
    <t>SPOOF</t>
  </si>
  <si>
    <t>-0.467 SOL</t>
  </si>
  <si>
    <t>-54.73%</t>
  </si>
  <si>
    <t>23.10.2024 22:40:12</t>
  </si>
  <si>
    <t>4z3e73wTRathvhFakLMY7gce6Qu5bXz3yyDxRBuMpump</t>
  </si>
  <si>
    <t>ERIS</t>
  </si>
  <si>
    <t>-0.271 SOL</t>
  </si>
  <si>
    <t>-27.11%</t>
  </si>
  <si>
    <t>23.10.2024 22:34:57</t>
  </si>
  <si>
    <t xml:space="preserve">         44K            32K             4K</t>
  </si>
  <si>
    <t>8K91PgHN5Swi8a59ZtzsbgXryYzjjBaQ5QRQ59MKpump</t>
  </si>
  <si>
    <t>0.935 SOL</t>
  </si>
  <si>
    <t>-6.54%</t>
  </si>
  <si>
    <t>23.10.2024 22:30:32</t>
  </si>
  <si>
    <t xml:space="preserve">         19K            18K             9K</t>
  </si>
  <si>
    <t>ertdfgcvb</t>
  </si>
  <si>
    <t>2.535 SOL</t>
  </si>
  <si>
    <t>1.739 SOL</t>
  </si>
  <si>
    <t>-0.836 SOL</t>
  </si>
  <si>
    <t>23.10.2024 18:04:36</t>
  </si>
  <si>
    <t xml:space="preserve">         23K            14K             5K</t>
  </si>
  <si>
    <t>DGpsX5Q65taV2kSE6WdP66corzT3CBtrxKVA84zFpump</t>
  </si>
  <si>
    <t>C#56</t>
  </si>
  <si>
    <t>1.524 SOL</t>
  </si>
  <si>
    <t>-58.72%</t>
  </si>
  <si>
    <t>23.10.2024 18:01:15</t>
  </si>
  <si>
    <t xml:space="preserve">         23K            11K             5K</t>
  </si>
  <si>
    <t>DAm4wMSkBaCmcqeBRT4GM7rj5pDqKjDn9REYh2cmpump</t>
  </si>
  <si>
    <t>stardog</t>
  </si>
  <si>
    <t>1.228 SOL</t>
  </si>
  <si>
    <t>1.888 SOL</t>
  </si>
  <si>
    <t>0.640 SOL</t>
  </si>
  <si>
    <t>51.29%</t>
  </si>
  <si>
    <t>23.10.2024 17:37:55</t>
  </si>
  <si>
    <t>AWeYBt9oTrjiax6awEsCweE3ei4GCiTPbfekBtExpump</t>
  </si>
  <si>
    <t>llama8b</t>
  </si>
  <si>
    <t>0.040030</t>
  </si>
  <si>
    <t>2.505 SOL</t>
  </si>
  <si>
    <t>22.79%</t>
  </si>
  <si>
    <t>23.10.2024 17:21:48</t>
  </si>
  <si>
    <t xml:space="preserve">         76K           172K             9K</t>
  </si>
  <si>
    <t>9T8NC8Uouorwh417kQgvBX7NsasdFGc94cbzpEMCpump</t>
  </si>
  <si>
    <t>-8.38%</t>
  </si>
  <si>
    <t>23.10.2024 14:18:37</t>
  </si>
  <si>
    <t xml:space="preserve">         23K            21K            14K</t>
  </si>
  <si>
    <t>GLz7XZbAuqakNKqpheYFZfkj7gcY3K3RxFLQPqFpump</t>
  </si>
  <si>
    <t>3.697 SOL</t>
  </si>
  <si>
    <t>19.26%</t>
  </si>
  <si>
    <t>23.10.2024 12:17:10</t>
  </si>
  <si>
    <t xml:space="preserve">         89K           110K            11K</t>
  </si>
  <si>
    <t>7.433 SOL</t>
  </si>
  <si>
    <t>4.393 SOL</t>
  </si>
  <si>
    <t>144.50%</t>
  </si>
  <si>
    <t>23.10.2024 08:42:33</t>
  </si>
  <si>
    <t xml:space="preserve">        109K           193K             9K</t>
  </si>
  <si>
    <t>yeti</t>
  </si>
  <si>
    <t>-0.924 SOL</t>
  </si>
  <si>
    <t>-90.58%</t>
  </si>
  <si>
    <t>23.10.2024 08:04:26</t>
  </si>
  <si>
    <t xml:space="preserve">         67K             7K             3K</t>
  </si>
  <si>
    <t>75UzQeB8cNV85JMkqzmZn447vQKjfD4Xu3nBXonjqjBW</t>
  </si>
  <si>
    <t>8.82%</t>
  </si>
  <si>
    <t>23.10.2024 04:49:57</t>
  </si>
  <si>
    <t xml:space="preserve">         23K            23K            14K</t>
  </si>
  <si>
    <t>HMuVnkNdVGwvZmRAoABK1FewvvQMebJHoB3xYkkjfbck</t>
  </si>
  <si>
    <t>LoG</t>
  </si>
  <si>
    <t>1.191 SOL</t>
  </si>
  <si>
    <t>16.79%</t>
  </si>
  <si>
    <t>23.10.2024 04:34:36</t>
  </si>
  <si>
    <t xml:space="preserve">         56K            67K            19K</t>
  </si>
  <si>
    <t>A1EwEAGRhyzEnBktbPDbhDrnir2vZa2N7ex7v7i4pump</t>
  </si>
  <si>
    <t>RT</t>
  </si>
  <si>
    <t>-1.006 SOL</t>
  </si>
  <si>
    <t>-77.53%</t>
  </si>
  <si>
    <t>23.10.2024 01:07:43</t>
  </si>
  <si>
    <t xml:space="preserve">         62K            14K             3K</t>
  </si>
  <si>
    <t>z6c62rp7t5RzAC25D8N5f1Xbp4SpACbCJHDrkr4pump</t>
  </si>
  <si>
    <t>1.265 SOL</t>
  </si>
  <si>
    <t>0.966 SOL</t>
  </si>
  <si>
    <t>-0.330 SOL</t>
  </si>
  <si>
    <t>-25.46%</t>
  </si>
  <si>
    <t>23.10.2024 00:58:16</t>
  </si>
  <si>
    <t>8tCpBKDEGNBfFm5V3fJ5LTmYzGfMFqUVUZ59zdRvpump</t>
  </si>
  <si>
    <t>shawty</t>
  </si>
  <si>
    <t>-0.645 SOL</t>
  </si>
  <si>
    <t>-62.61%</t>
  </si>
  <si>
    <t>23.10.2024 00:58:06</t>
  </si>
  <si>
    <t xml:space="preserve">         28K            11K             4K</t>
  </si>
  <si>
    <t>4XzmWDbgdFUxuk7VQoX5yFD7238yqAtaAJMYSi7Tpump</t>
  </si>
  <si>
    <t>6.60%</t>
  </si>
  <si>
    <t>23.10.2024 00:41:04</t>
  </si>
  <si>
    <t xml:space="preserve">         83K           130K             8K</t>
  </si>
  <si>
    <t>1.844 SOL</t>
  </si>
  <si>
    <t>-8.71%</t>
  </si>
  <si>
    <t>22.10.2024 23:55:00</t>
  </si>
  <si>
    <t xml:space="preserve">        266K           245K           420K</t>
  </si>
  <si>
    <t>5.482 SOL</t>
  </si>
  <si>
    <t>1.442 SOL</t>
  </si>
  <si>
    <t>22.10.2024 23:06:35</t>
  </si>
  <si>
    <t xml:space="preserve">          2M             2M            21K</t>
  </si>
  <si>
    <t>Janus</t>
  </si>
  <si>
    <t>-27.44%</t>
  </si>
  <si>
    <t>22.10.2024 18:59:14</t>
  </si>
  <si>
    <t xml:space="preserve">          5K             4K             4K</t>
  </si>
  <si>
    <t>7mngpTKBzmpa9JKRTKy4qQxzKqRHst2yZ6T4WK6gpump</t>
  </si>
  <si>
    <t>VIDEOCAT</t>
  </si>
  <si>
    <t>0.030030</t>
  </si>
  <si>
    <t>8.89%</t>
  </si>
  <si>
    <t>22.10.2024 18:38:24</t>
  </si>
  <si>
    <t xml:space="preserve">         23K            26K             5K</t>
  </si>
  <si>
    <t>B7oxfcQNCf7o5VDj1bAtAh9GBzxn1qdmaaTkpYNupump</t>
  </si>
  <si>
    <t>NYAN CAT</t>
  </si>
  <si>
    <t>0.716 SOL</t>
  </si>
  <si>
    <t>-23.25%</t>
  </si>
  <si>
    <t>22.10.2024 03:29:21</t>
  </si>
  <si>
    <t>3KcNc8HU7MKvasq1J9bqLqcs9HmdQwzRsNJiqwqCpump</t>
  </si>
  <si>
    <t>1337</t>
  </si>
  <si>
    <t>-11.39%</t>
  </si>
  <si>
    <t>22.10.2024 03:21:08</t>
  </si>
  <si>
    <t xml:space="preserve">         56K            53K             4K</t>
  </si>
  <si>
    <t>E1qvAkBs3gPFYL7LvPGA4csZvGrpS3ivMhxC28utpump</t>
  </si>
  <si>
    <t>1.705 SOL</t>
  </si>
  <si>
    <t>-3.28%</t>
  </si>
  <si>
    <t>22.10.2024 03:20:25</t>
  </si>
  <si>
    <t xml:space="preserve">         30K            76K             4K</t>
  </si>
  <si>
    <t>Lebbes</t>
  </si>
  <si>
    <t>58.14%</t>
  </si>
  <si>
    <t>22.10.2024 03:13:20</t>
  </si>
  <si>
    <t xml:space="preserve">         23K            37K             5K</t>
  </si>
  <si>
    <t>67ddENYz9yfmkK28ANn8mBFe8X2MExqYChF1PEfXpump</t>
  </si>
  <si>
    <t>EXAFLOP</t>
  </si>
  <si>
    <t>0.000440</t>
  </si>
  <si>
    <t>-0.446 SOL</t>
  </si>
  <si>
    <t>-44.55%</t>
  </si>
  <si>
    <t>22.10.2024 02:53:37</t>
  </si>
  <si>
    <t>3Xpq3GBR1MzRRMu3ZdhutRt7Ux4fwxEQaWev6PBjpump</t>
  </si>
  <si>
    <t>davinci</t>
  </si>
  <si>
    <t>0.960 SOL</t>
  </si>
  <si>
    <t>-4.00%</t>
  </si>
  <si>
    <t>22.10.2024 02:50:57</t>
  </si>
  <si>
    <t xml:space="preserve">         28K            26K             4K</t>
  </si>
  <si>
    <t>2xrC8L2e3qdrcG7oH6wXmKggAzGgeDuhz3t5Fxv7pump</t>
  </si>
  <si>
    <t>REMILIAI</t>
  </si>
  <si>
    <t>22.10.2024 02:31:53</t>
  </si>
  <si>
    <t xml:space="preserve">        202K           215K            13K</t>
  </si>
  <si>
    <t>55kg2An8ucQzEzXpvNVpYXq9579dETmgkbYVud1vpump</t>
  </si>
  <si>
    <t>-0.153 SOL</t>
  </si>
  <si>
    <t>-7.43%</t>
  </si>
  <si>
    <t>22.10.2024 01:14:31</t>
  </si>
  <si>
    <t xml:space="preserve">         60K            97K            12K</t>
  </si>
  <si>
    <t>JOKERS</t>
  </si>
  <si>
    <t>-0.853 SOL</t>
  </si>
  <si>
    <t>-42.50%</t>
  </si>
  <si>
    <t>22.10.2024 00:02:10</t>
  </si>
  <si>
    <t xml:space="preserve">         56K            33K             4K</t>
  </si>
  <si>
    <t>F7WN7oNKZuonYNjg1cUWTgwjXopZHpQV2qqvJLdLpump</t>
  </si>
  <si>
    <t>ksilisab</t>
  </si>
  <si>
    <t>2.78%</t>
  </si>
  <si>
    <t>21.10.2024 18:54:43</t>
  </si>
  <si>
    <t xml:space="preserve">         19K            21K             9K</t>
  </si>
  <si>
    <t>Exicyp4p8VbwsutHUYbuNA3CHyQUHZuzo7FFN1Yepump</t>
  </si>
  <si>
    <t>Lexapro</t>
  </si>
  <si>
    <t>1.780 SOL</t>
  </si>
  <si>
    <t>-0.227 SOL</t>
  </si>
  <si>
    <t>-11.32%</t>
  </si>
  <si>
    <t>21.10.2024 14:27:53</t>
  </si>
  <si>
    <t>BUCYSH1eoz5CtpNRsocKn2uajqxefn9drX2rzLFDpump</t>
  </si>
  <si>
    <t>AIMEN</t>
  </si>
  <si>
    <t>2.285 SOL</t>
  </si>
  <si>
    <t>11.72%</t>
  </si>
  <si>
    <t>21.10.2024 05:07:05</t>
  </si>
  <si>
    <t xml:space="preserve">         16K            18K             8K</t>
  </si>
  <si>
    <t>69tMhFAhwB5LogKVLreE2xEW71Pt7QWZvc2ULPNNpump</t>
  </si>
  <si>
    <t>FatNigga</t>
  </si>
  <si>
    <t>1.512 SOL</t>
  </si>
  <si>
    <t>-24.69%</t>
  </si>
  <si>
    <t>20.10.2024 22:39:53</t>
  </si>
  <si>
    <t xml:space="preserve">         33K            24K            13K</t>
  </si>
  <si>
    <t>9FqgLV8f43AEqsLCi1FqmqCtacS91X3rxdLfFavwpump</t>
  </si>
  <si>
    <t>-0.488 SOL</t>
  </si>
  <si>
    <t>-24.41%</t>
  </si>
  <si>
    <t>20.10.2024 19:31:42</t>
  </si>
  <si>
    <t xml:space="preserve">        262K           199K            37K</t>
  </si>
  <si>
    <t>VENTURE</t>
  </si>
  <si>
    <t>1.962 SOL</t>
  </si>
  <si>
    <t>20.10.2024 14:57:22</t>
  </si>
  <si>
    <t>7xFLxUtDpQR2PCfhMvJifXMVeNeVJTswaCCqnx7kN9q2</t>
  </si>
  <si>
    <t>LUFI</t>
  </si>
  <si>
    <t>2.40%</t>
  </si>
  <si>
    <t>19.10.2024 23:51:51</t>
  </si>
  <si>
    <t xml:space="preserve">         63K            65K            87K</t>
  </si>
  <si>
    <t>AVWsE5PJv3oZPzmurvD6cSwvS1x7bPhj1nFz2LMHFxoK</t>
  </si>
  <si>
    <t>4.691 SOL</t>
  </si>
  <si>
    <t>0.691 SOL</t>
  </si>
  <si>
    <t>17.27%</t>
  </si>
  <si>
    <t>19.10.2024 22:16:20</t>
  </si>
  <si>
    <t xml:space="preserve">        355K           401K             5M</t>
  </si>
  <si>
    <t>19.10.2024 18:20:22</t>
  </si>
  <si>
    <t xml:space="preserve">         83K            83K             5K</t>
  </si>
  <si>
    <t>1.764 SOL</t>
  </si>
  <si>
    <t>-0.291 SOL</t>
  </si>
  <si>
    <t>-14.18%</t>
  </si>
  <si>
    <t>19.10.2024 18:13:03</t>
  </si>
  <si>
    <t xml:space="preserve">         19K            17K             6K</t>
  </si>
  <si>
    <t>4CaVdzttpJ1ALEeCxsPuMD9fP14YKHm998quUYFspump</t>
  </si>
  <si>
    <t>MLG</t>
  </si>
  <si>
    <t>9.938 SOL</t>
  </si>
  <si>
    <t>3.938 SOL</t>
  </si>
  <si>
    <t>65.63%</t>
  </si>
  <si>
    <t>19.10.2024 16:44:06</t>
  </si>
  <si>
    <t xml:space="preserve">        312K            18K             3M</t>
  </si>
  <si>
    <t>7XJiwLDrjzxDYdZipnJXzpr1iDTmK55XixSFAa7JgNEL</t>
  </si>
  <si>
    <t>👮</t>
  </si>
  <si>
    <t>2.020 SOL</t>
  </si>
  <si>
    <t>1.596 SOL</t>
  </si>
  <si>
    <t>-20.99%</t>
  </si>
  <si>
    <t>19.10.2024 14:56:52</t>
  </si>
  <si>
    <t xml:space="preserve">         36K            36K             5K</t>
  </si>
  <si>
    <t>GmWx66Fa2dgWcUmZCPVTSbW9ujTiGfC9yE5Ns8ivmHF3</t>
  </si>
  <si>
    <t>HPMOR</t>
  </si>
  <si>
    <t>18.51%</t>
  </si>
  <si>
    <t>19.10.2024 14:16:18</t>
  </si>
  <si>
    <t xml:space="preserve">        469K           556K            72K</t>
  </si>
  <si>
    <t>DGNPWhLVfkEJX16jH25c6y3jQWsdVXKPFx2tD3i9pump</t>
  </si>
  <si>
    <t>LILBRO</t>
  </si>
  <si>
    <t>-0.75%</t>
  </si>
  <si>
    <t>19.10.2024 11:48:07</t>
  </si>
  <si>
    <t xml:space="preserve">        N/A           N/A            34K</t>
  </si>
  <si>
    <t>FY1iCDtf1zxsRSsDqeybryLXvQg7K9huMRGVDmCRNwa3</t>
  </si>
  <si>
    <t>WIGGER</t>
  </si>
  <si>
    <t>4.930 SOL</t>
  </si>
  <si>
    <t>146.48%</t>
  </si>
  <si>
    <t>19.10.2024 11:47:35</t>
  </si>
  <si>
    <t xml:space="preserve">         39K            39K            76K</t>
  </si>
  <si>
    <t>GSHfEbqXbUfWg7vHhQFHdPkyiQNh47mehGDh5NeNpump</t>
  </si>
  <si>
    <t>TROOPER</t>
  </si>
  <si>
    <t>-25.04%</t>
  </si>
  <si>
    <t>18.10.2024 08:06:26</t>
  </si>
  <si>
    <t>39uTeePcfcQBJe7VCWL3s5DXJz7n1FRajMB69Ejrpump</t>
  </si>
  <si>
    <t>HELEN</t>
  </si>
  <si>
    <t>1.690 SOL</t>
  </si>
  <si>
    <t>-15.81%</t>
  </si>
  <si>
    <t>18.10.2024 08:06:04</t>
  </si>
  <si>
    <t xml:space="preserve">         91K            91K            68K</t>
  </si>
  <si>
    <t>6iZjpBJPmwBEfJKoG6fKJkJHgn19U5gizLVdyh4vpump</t>
  </si>
  <si>
    <t>RAPED</t>
  </si>
  <si>
    <t>0.075010</t>
  </si>
  <si>
    <t>3.124 SOL</t>
  </si>
  <si>
    <t>-3.199 SOL</t>
  </si>
  <si>
    <t>9,601,979</t>
  </si>
  <si>
    <t>18.10.2024 06:57:10</t>
  </si>
  <si>
    <t xml:space="preserve">         58K            58K             9K</t>
  </si>
  <si>
    <t>GCkgnJ4rfauRomni43MprzRmUAYW6oVKBCuL1SzWpump</t>
  </si>
  <si>
    <t>🍗</t>
  </si>
  <si>
    <t>4,594,128</t>
  </si>
  <si>
    <t>18.10.2024 00:38:03</t>
  </si>
  <si>
    <t xml:space="preserve">         77K            77K            16K</t>
  </si>
  <si>
    <t>2Kg4W6C6dhGGYHjrn6pMYpjDdbXN2T3gYNJ2PApspump</t>
  </si>
  <si>
    <t>PEEK</t>
  </si>
  <si>
    <t>-0.78%</t>
  </si>
  <si>
    <t>17.10.2024 20:09:06</t>
  </si>
  <si>
    <t xml:space="preserve">        382K           380K            37K</t>
  </si>
  <si>
    <t>PrsARm8CKbv5osQ33absu47rEnpfYUyBaUckbD7pump</t>
  </si>
  <si>
    <t>rAI</t>
  </si>
  <si>
    <t>-1.620 SOL</t>
  </si>
  <si>
    <t>-52.95%</t>
  </si>
  <si>
    <t>17.10.2024 02:41:10</t>
  </si>
  <si>
    <t xml:space="preserve">         25K             5K             5K</t>
  </si>
  <si>
    <t>9c8tdGQLcugSApguqsVYpAj9jvTJ2hzszfaeJh3Dpump</t>
  </si>
  <si>
    <t>1.83%</t>
  </si>
  <si>
    <t>17.10.2024 01:21:31</t>
  </si>
  <si>
    <t xml:space="preserve">        N/A             1M           126K</t>
  </si>
  <si>
    <t>6.597 SOL</t>
  </si>
  <si>
    <t>61.18%</t>
  </si>
  <si>
    <t>17.10.2024 01:15:01</t>
  </si>
  <si>
    <t xml:space="preserve">         11K            37K            12K</t>
  </si>
  <si>
    <t>4.504 SOL</t>
  </si>
  <si>
    <t>9.70%</t>
  </si>
  <si>
    <t>16.10.2024 22:01:03</t>
  </si>
  <si>
    <t xml:space="preserve">         32K            35K             5K</t>
  </si>
  <si>
    <t>Elastigirl</t>
  </si>
  <si>
    <t>1.497 SOL</t>
  </si>
  <si>
    <t>74.59%</t>
  </si>
  <si>
    <t>16.10.2024 20:09:33</t>
  </si>
  <si>
    <t xml:space="preserve">         30K            55K             4K</t>
  </si>
  <si>
    <t>DzeWsBjvXFeVgySccRPv2M2rrdKncY29DyTxHtwvpump</t>
  </si>
  <si>
    <t>-9.22%</t>
  </si>
  <si>
    <t>16.10.2024 20:05:44</t>
  </si>
  <si>
    <t xml:space="preserve">         27K            24K            15K</t>
  </si>
  <si>
    <t>5iUY7iEBhayZWLV795JD19wX2xLWPxc8DYTHgJKr3C7q</t>
  </si>
  <si>
    <t>SnowWhite</t>
  </si>
  <si>
    <t>31.03%</t>
  </si>
  <si>
    <t>16.10.2024 19:43:55</t>
  </si>
  <si>
    <t xml:space="preserve">         28K            37K             4K</t>
  </si>
  <si>
    <t>9yoF1Z4hviyUhKbCDqxB3QGBcjt2Peq2Bp9xSXv4pump</t>
  </si>
  <si>
    <t>Pawf</t>
  </si>
  <si>
    <t>1.805 SOL</t>
  </si>
  <si>
    <t>-9.77%</t>
  </si>
  <si>
    <t>16.10.2024 19:29:52</t>
  </si>
  <si>
    <t xml:space="preserve">        106K            97K            23K</t>
  </si>
  <si>
    <t>4YGAZfPGT1ci5ZbqxpoRPfaUvteVYBSDhqk53cM6pawf</t>
  </si>
  <si>
    <t>KALI</t>
  </si>
  <si>
    <t>2.355 SOL</t>
  </si>
  <si>
    <t>5.689 SOL</t>
  </si>
  <si>
    <t>3.334 SOL</t>
  </si>
  <si>
    <t>141.56%</t>
  </si>
  <si>
    <t>16.10.2024 01:24:20</t>
  </si>
  <si>
    <t xml:space="preserve">         30K           105K            60K</t>
  </si>
  <si>
    <t>6CgqwJZEJH7Xerqj3utx3mgFt5X9Rexu5Q97ewDypump</t>
  </si>
  <si>
    <t>PUSSYNIGGA</t>
  </si>
  <si>
    <t>0.63%</t>
  </si>
  <si>
    <t>15.10.2024 23:58:52</t>
  </si>
  <si>
    <t xml:space="preserve">         62K            62K            34K</t>
  </si>
  <si>
    <t>GmAn5J77isuxCGiiAyaEWwNbdiGuabm9oHHHMbMC8Hbr</t>
  </si>
  <si>
    <t>BITZILLA</t>
  </si>
  <si>
    <t>-61.97%</t>
  </si>
  <si>
    <t>15.10.2024 22:55:53</t>
  </si>
  <si>
    <t xml:space="preserve">        121K            46K             3K</t>
  </si>
  <si>
    <t>Zx9HDZZthHoG2MFgvvsJBDrtjLQnc4efxc56iDFzzME</t>
  </si>
  <si>
    <t>SATOSHEUS</t>
  </si>
  <si>
    <t>10.71%</t>
  </si>
  <si>
    <t>15.10.2024 22:40:33</t>
  </si>
  <si>
    <t xml:space="preserve">         88K            97K             4K</t>
  </si>
  <si>
    <t>6LkzKeAnQv5nMbeM2U7XtggywrUtyBuBfPkAbARDpump</t>
  </si>
  <si>
    <t>$GROK</t>
  </si>
  <si>
    <t>-0.784 SOL</t>
  </si>
  <si>
    <t>15.10.2024 22:32:18</t>
  </si>
  <si>
    <t xml:space="preserve">         56K            12K             3K</t>
  </si>
  <si>
    <t>6Y2esZvvmkT15ksFnvYx9383Fx5wnHYrE9aJxLiRpump</t>
  </si>
  <si>
    <t>POPCORN</t>
  </si>
  <si>
    <t>6.54%</t>
  </si>
  <si>
    <t>15.10.2024 22:31:00</t>
  </si>
  <si>
    <t xml:space="preserve">        208K           222K             4K</t>
  </si>
  <si>
    <t>3Rp3hNx6i5oZchWAEAhoApHb71oLQrrQmo8mtyzEpump</t>
  </si>
  <si>
    <t>PvP</t>
  </si>
  <si>
    <t>2.08%</t>
  </si>
  <si>
    <t>15.10.2024 20:30:48</t>
  </si>
  <si>
    <t xml:space="preserve">        118K           120K             5K</t>
  </si>
  <si>
    <t>DaPrVopnA8oUZrf5e7tz4xssL36ZJAekx7RiQzkXpump</t>
  </si>
  <si>
    <t>-1.208 SOL</t>
  </si>
  <si>
    <t>-59.82%</t>
  </si>
  <si>
    <t>15.10.2024 20:20:14</t>
  </si>
  <si>
    <t xml:space="preserve">         11K             5K             3K</t>
  </si>
  <si>
    <t>817UW41dpKWFivRTDsnGZhEUMhFSArEAhnEnfAgFpump</t>
  </si>
  <si>
    <t>DOGAI</t>
  </si>
  <si>
    <t>3.500 SOL</t>
  </si>
  <si>
    <t>0.548 SOL</t>
  </si>
  <si>
    <t>15.66%</t>
  </si>
  <si>
    <t>15.10.2024 20:13:17</t>
  </si>
  <si>
    <t xml:space="preserve">        190K           107K             2M</t>
  </si>
  <si>
    <t>Dogg6xWSgkF8KbsHkTWD3Et4J9a8VBLZjrASURXGiLe1</t>
  </si>
  <si>
    <t>REKITTY</t>
  </si>
  <si>
    <t>-0.883 SOL</t>
  </si>
  <si>
    <t>-33.26%</t>
  </si>
  <si>
    <t>15.10.2024 18:19:42</t>
  </si>
  <si>
    <t>63m8jS5GJ4wsrwJ3CovCscmAADFsv2GYPMBfQZxqpump</t>
  </si>
  <si>
    <t>KAPI</t>
  </si>
  <si>
    <t>0.020070</t>
  </si>
  <si>
    <t>6.946 SOL</t>
  </si>
  <si>
    <t>2.926 SOL</t>
  </si>
  <si>
    <t>72.79%</t>
  </si>
  <si>
    <t>15.10.2024 17:03:34</t>
  </si>
  <si>
    <t xml:space="preserve">         37K            53K             4K</t>
  </si>
  <si>
    <t>EUqJxtA3Ff2Yq1PBBCAikREf6UKZ78BV7g92SvUnP51U</t>
  </si>
  <si>
    <t>DolanAI</t>
  </si>
  <si>
    <t>0.015030</t>
  </si>
  <si>
    <t>2.075 SOL</t>
  </si>
  <si>
    <t>15.10.2024 16:36:33</t>
  </si>
  <si>
    <t xml:space="preserve">        424K           436K             4K</t>
  </si>
  <si>
    <t>tkKmj693DMw2HideDFzBuscKH3Jpj5tyNzWo5VKpump</t>
  </si>
  <si>
    <t>-0.426 SOL</t>
  </si>
  <si>
    <t>-21.32%</t>
  </si>
  <si>
    <t>15.10.2024 16:18:13</t>
  </si>
  <si>
    <t xml:space="preserve">        193K           151K            22K</t>
  </si>
  <si>
    <t>GYeGsWZ2q7T4YWrRYVYCV1xvg6n9d1AAoMoPwqppump</t>
  </si>
  <si>
    <t>2.259 SOL</t>
  </si>
  <si>
    <t>12.12%</t>
  </si>
  <si>
    <t>15.10.2024 15:52:19</t>
  </si>
  <si>
    <t xml:space="preserve">         77K            88K             4K</t>
  </si>
  <si>
    <t>GQtWzUGy4E4cjayPkQBdorLBxSQxHSAJCj78Gr22wbgz</t>
  </si>
  <si>
    <t>-43.82%</t>
  </si>
  <si>
    <t>15.10.2024 15:37:40</t>
  </si>
  <si>
    <t>8dyFJwU2yoi236XVqnCg5wJVAg4pDz6mhoGy2NmJ1oSZ</t>
  </si>
  <si>
    <t>Choccy</t>
  </si>
  <si>
    <t>0.015040</t>
  </si>
  <si>
    <t>5.118 SOL</t>
  </si>
  <si>
    <t>27.46%</t>
  </si>
  <si>
    <t>15.10.2024 15:29:39</t>
  </si>
  <si>
    <t xml:space="preserve">        106K           120K            36K</t>
  </si>
  <si>
    <t>9LZmD16W9Mw7jJAg8WG5EBpkCoLYJsTPopR6VnTCpump</t>
  </si>
  <si>
    <t>BoDi</t>
  </si>
  <si>
    <t>0.090080</t>
  </si>
  <si>
    <t>12.466 SOL</t>
  </si>
  <si>
    <t>15.10.2024 15:11:58</t>
  </si>
  <si>
    <t xml:space="preserve">          1M           229K            18K</t>
  </si>
  <si>
    <t>82QjqWG4Fyk2FGQF8j1qzKRdr6416J6KLWtmeWbSpump</t>
  </si>
  <si>
    <t>TRST</t>
  </si>
  <si>
    <t>-0.07%</t>
  </si>
  <si>
    <t>15.10.2024 14:54:49</t>
  </si>
  <si>
    <t xml:space="preserve">         36K            36K           238K</t>
  </si>
  <si>
    <t>6oq8ZYYaZJX9V8bxaz46396zRNBcpjRdJpkj3t6Qpump</t>
  </si>
  <si>
    <t>HACHI</t>
  </si>
  <si>
    <t>2.286 SOL</t>
  </si>
  <si>
    <t>14.32%</t>
  </si>
  <si>
    <t>15.10.2024 14:00:24</t>
  </si>
  <si>
    <t xml:space="preserve">        473K           540K             2M</t>
  </si>
  <si>
    <t>4amstKcbziHCqwev9esMtRGDTdjHSviiNXT7WtajgjUq</t>
  </si>
  <si>
    <t>E2DpJoKuLoJgbqwWDsALS97HYwuipBv4hY6uwJR7rGFS</t>
  </si>
  <si>
    <t>17.97 SOL</t>
  </si>
  <si>
    <t>63%</t>
  </si>
  <si>
    <t>53.09 SOL</t>
  </si>
  <si>
    <t>7 (9%)</t>
  </si>
  <si>
    <t>-8.42%</t>
  </si>
  <si>
    <t>7%</t>
  </si>
  <si>
    <t>1.4%</t>
  </si>
  <si>
    <t>32.4%</t>
  </si>
  <si>
    <t>35.1%</t>
  </si>
  <si>
    <t>24.3%</t>
  </si>
  <si>
    <t>21</t>
  </si>
  <si>
    <t>57.1 SOL</t>
  </si>
  <si>
    <t>13.6 SOL</t>
  </si>
  <si>
    <t>0.4 SOL</t>
  </si>
  <si>
    <t>6.2 SOL</t>
  </si>
  <si>
    <t>-6.2 SOL</t>
  </si>
  <si>
    <t>-17.9 SOL</t>
  </si>
  <si>
    <t>14</t>
  </si>
  <si>
    <t>67.0K</t>
  </si>
  <si>
    <t>0.051020</t>
  </si>
  <si>
    <t>3.033 SOL</t>
  </si>
  <si>
    <t>-2.221 SOL</t>
  </si>
  <si>
    <t>30.10.2024 15:53:59</t>
  </si>
  <si>
    <t>tutu</t>
  </si>
  <si>
    <t>0.093040</t>
  </si>
  <si>
    <t>5.365 SOL</t>
  </si>
  <si>
    <t>7.261 SOL</t>
  </si>
  <si>
    <t>1.804 SOL</t>
  </si>
  <si>
    <t>33.05%</t>
  </si>
  <si>
    <t>30.10.2024 14:58:21</t>
  </si>
  <si>
    <t xml:space="preserve">         32K            95K             6K</t>
  </si>
  <si>
    <t>3M85pJDvorLLtdq9zNcB2r5N36JvBvPpSFrB7pEnpump</t>
  </si>
  <si>
    <t>PumpkinCat</t>
  </si>
  <si>
    <t>0.027010</t>
  </si>
  <si>
    <t>26.61%</t>
  </si>
  <si>
    <t>30.10.2024 13:23:16</t>
  </si>
  <si>
    <t xml:space="preserve">         81K           106K            11K</t>
  </si>
  <si>
    <t>457AAMBTifCBTjSs4yeqAydxbCWunHGvMbbQ5NwGGJ3m</t>
  </si>
  <si>
    <t>50/20/30</t>
  </si>
  <si>
    <t>1.034 SOL</t>
  </si>
  <si>
    <t>-15.79%</t>
  </si>
  <si>
    <t>30.10.2024 11:11:33</t>
  </si>
  <si>
    <t xml:space="preserve">         12K            11K             7K</t>
  </si>
  <si>
    <t>2g4MabGp2sTVc71GNeptJyjKVAuGaMiY93RNgVi9pump</t>
  </si>
  <si>
    <t>Act1H</t>
  </si>
  <si>
    <t>0.114050</t>
  </si>
  <si>
    <t>6.600 SOL</t>
  </si>
  <si>
    <t>1.404 SOL</t>
  </si>
  <si>
    <t>-5.310 SOL</t>
  </si>
  <si>
    <t>-79.09%</t>
  </si>
  <si>
    <t>30.10.2024 09:45:42</t>
  </si>
  <si>
    <t xml:space="preserve">        229K             9K             5K</t>
  </si>
  <si>
    <t>5mPMVLVAPGctMY9WKNM1gLUVMWZQbUw9MExUBQpwpump</t>
  </si>
  <si>
    <t>0.078030</t>
  </si>
  <si>
    <t>4.389 SOL</t>
  </si>
  <si>
    <t>7.64%</t>
  </si>
  <si>
    <t>30.10.2024 07:43:56</t>
  </si>
  <si>
    <t xml:space="preserve">          1M             2M           144K</t>
  </si>
  <si>
    <t>arlo</t>
  </si>
  <si>
    <t>1.274 SOL</t>
  </si>
  <si>
    <t>-8.29%</t>
  </si>
  <si>
    <t>30.10.2024 06:02:17</t>
  </si>
  <si>
    <t>F5EW3pWErmBgx9YjCHCGccmDSuANjkCw5UAxGTrgpump</t>
  </si>
  <si>
    <t>RIPKOLS</t>
  </si>
  <si>
    <t>19.71%</t>
  </si>
  <si>
    <t>30.10.2024 04:06:23</t>
  </si>
  <si>
    <t>BCADLpQJkC9faS5RSrpK4fno3eYvXhxokwLdUzCRpump</t>
  </si>
  <si>
    <t>USGP</t>
  </si>
  <si>
    <t>-42.82%</t>
  </si>
  <si>
    <t>30.10.2024 03:59:24</t>
  </si>
  <si>
    <t>8Zj3EuWZ4xDY2taAYRp7zaXizR9aaofrgWbEGzkepump</t>
  </si>
  <si>
    <t>AIDOGE</t>
  </si>
  <si>
    <t>1.398 SOL</t>
  </si>
  <si>
    <t>19.13%</t>
  </si>
  <si>
    <t>30.10.2024 03:57:21</t>
  </si>
  <si>
    <t>HJmWxUmgJTAZCs6jQTuC1G4CGQUufiJDo6a39AY9pump</t>
  </si>
  <si>
    <t>30.10.2024 03:27:11</t>
  </si>
  <si>
    <t xml:space="preserve">         33K            18K             4K</t>
  </si>
  <si>
    <t>Gold</t>
  </si>
  <si>
    <t>-0.682 SOL</t>
  </si>
  <si>
    <t>-66.39%</t>
  </si>
  <si>
    <t>29.10.2024 15:13:09</t>
  </si>
  <si>
    <t>HdRYGZ8cnW1Nn8EmVVBRm34juimJbVAfT2VjHx2upump</t>
  </si>
  <si>
    <t>-24.01%</t>
  </si>
  <si>
    <t>29.10.2024 11:27:47</t>
  </si>
  <si>
    <t xml:space="preserve">         14K            11K             9K</t>
  </si>
  <si>
    <t>5UBSpwhQYbREDrfC33W2CVEbziymJ3X93y8wy3HKpump</t>
  </si>
  <si>
    <t>Miggy</t>
  </si>
  <si>
    <t>0.063020</t>
  </si>
  <si>
    <t>1.318 SOL</t>
  </si>
  <si>
    <t>-2.745 SOL</t>
  </si>
  <si>
    <t>-67.56%</t>
  </si>
  <si>
    <t>29.10.2024 06:01:20</t>
  </si>
  <si>
    <t xml:space="preserve">         77K            11K             4K</t>
  </si>
  <si>
    <t>58ofVUi8HEDL22i6BMgv4Xycirs7uHgLVqfRiXS7pump</t>
  </si>
  <si>
    <t>0.039020</t>
  </si>
  <si>
    <t>-0.684 SOL</t>
  </si>
  <si>
    <t>-44.47%</t>
  </si>
  <si>
    <t>29.10.2024 03:55:12</t>
  </si>
  <si>
    <t xml:space="preserve">         19K            11K            13K</t>
  </si>
  <si>
    <t>Musketeers</t>
  </si>
  <si>
    <t>-1.32%</t>
  </si>
  <si>
    <t>29.10.2024 03:12:47</t>
  </si>
  <si>
    <t>sDtEU6sj6PAgeEySatrZKWwXqbt81DP9D3gZaCMpump</t>
  </si>
  <si>
    <t>2.164 SOL</t>
  </si>
  <si>
    <t>-1.899 SOL</t>
  </si>
  <si>
    <t>-46.74%</t>
  </si>
  <si>
    <t>28.10.2024 16:34:22</t>
  </si>
  <si>
    <t xml:space="preserve">         91K           179K            23K</t>
  </si>
  <si>
    <t>UI</t>
  </si>
  <si>
    <t>1.071 SOL</t>
  </si>
  <si>
    <t>28.10.2024 11:10:25</t>
  </si>
  <si>
    <t>51kmNUKPUWe3R8658Ei6Vv6xhXYosuGXKmLG2r8Epump</t>
  </si>
  <si>
    <t>-88.69%</t>
  </si>
  <si>
    <t>28.10.2024 02:41:16</t>
  </si>
  <si>
    <t xml:space="preserve">          1M             1M            58K</t>
  </si>
  <si>
    <t>0.069030</t>
  </si>
  <si>
    <t>12.013 SOL</t>
  </si>
  <si>
    <t>9.944 SOL</t>
  </si>
  <si>
    <t>480.59%</t>
  </si>
  <si>
    <t>28.10.2024 02:40:49</t>
  </si>
  <si>
    <t xml:space="preserve">         55K           218K            40K</t>
  </si>
  <si>
    <t>Yod</t>
  </si>
  <si>
    <t>-59.11%</t>
  </si>
  <si>
    <t>27.10.2024 15:19:28</t>
  </si>
  <si>
    <t>7NjLbkLzSywdXav5DinK9H48h9LLgjVEYJSxfAU1pump</t>
  </si>
  <si>
    <t>2.877 SOL</t>
  </si>
  <si>
    <t>0.866 SOL</t>
  </si>
  <si>
    <t>43.07%</t>
  </si>
  <si>
    <t>27.10.2024 14:06:27</t>
  </si>
  <si>
    <t xml:space="preserve">          5M             5M             4M</t>
  </si>
  <si>
    <t>TSN</t>
  </si>
  <si>
    <t>1.153 SOL</t>
  </si>
  <si>
    <t>10.87%</t>
  </si>
  <si>
    <t>27.10.2024 07:17:48</t>
  </si>
  <si>
    <t>AD2nQGtybh4H18GgyDmFC5FPiALkFCB6yUrVKQuMpump</t>
  </si>
  <si>
    <t>$CONFESS</t>
  </si>
  <si>
    <t>0.914 SOL</t>
  </si>
  <si>
    <t>-1.097 SOL</t>
  </si>
  <si>
    <t>-54.55%</t>
  </si>
  <si>
    <t>26.10.2024 04:11:12</t>
  </si>
  <si>
    <t xml:space="preserve">        301K           137K             8K</t>
  </si>
  <si>
    <t>3vaY9DDZSYaLZNyaaSnsR9DHjSdtM2fTCxVLbEdZpump</t>
  </si>
  <si>
    <t>-17.53%</t>
  </si>
  <si>
    <t>26.10.2024 02:57:53</t>
  </si>
  <si>
    <t xml:space="preserve">         69K            56K             4K</t>
  </si>
  <si>
    <t>mine</t>
  </si>
  <si>
    <t>27.10%</t>
  </si>
  <si>
    <t>26.10.2024 01:32:14</t>
  </si>
  <si>
    <t xml:space="preserve">         55K            70K             4K</t>
  </si>
  <si>
    <t>8jepeomB4DBZiRqdSpADfoPdoXWRybCn9q3dDtHDpump</t>
  </si>
  <si>
    <t>2.068 SOL</t>
  </si>
  <si>
    <t>102.78%</t>
  </si>
  <si>
    <t>25.10.2024 14:44:55</t>
  </si>
  <si>
    <t xml:space="preserve">        202K           213K           191K</t>
  </si>
  <si>
    <t>r/GPT-5</t>
  </si>
  <si>
    <t>0.752 SOL</t>
  </si>
  <si>
    <t>19.56%</t>
  </si>
  <si>
    <t>25.10.2024 07:25:59</t>
  </si>
  <si>
    <t>EdMWYNDe6oRC4y3z2owYUBUJRbJvm7vSn4szMJHZpump</t>
  </si>
  <si>
    <t>aifolio</t>
  </si>
  <si>
    <t>1.020 SOL</t>
  </si>
  <si>
    <t>1.328 SOL</t>
  </si>
  <si>
    <t>28.82%</t>
  </si>
  <si>
    <t>25.10.2024 06:39:10</t>
  </si>
  <si>
    <t xml:space="preserve">         18K            23K             6K</t>
  </si>
  <si>
    <t>2JXMiG6Z7TtdbeL4u6YkegdjkW29NaP6WRb7NotFpump</t>
  </si>
  <si>
    <t>MOON</t>
  </si>
  <si>
    <t>0.639 SOL</t>
  </si>
  <si>
    <t>-1.373 SOL</t>
  </si>
  <si>
    <t>-68.23%</t>
  </si>
  <si>
    <t>25.10.2024 05:59:37</t>
  </si>
  <si>
    <t xml:space="preserve">         83K            18K             6K</t>
  </si>
  <si>
    <t>8Uta7sNbvr7mXR4bn9zSLW4KaGZn8ULK4GFHPjSCvjmR</t>
  </si>
  <si>
    <t>Racist AI</t>
  </si>
  <si>
    <t>1.714 SOL</t>
  </si>
  <si>
    <t>-0.757 SOL</t>
  </si>
  <si>
    <t>-43.87%</t>
  </si>
  <si>
    <t>25.10.2024 04:11:59</t>
  </si>
  <si>
    <t>7rjezVi6x4pmwqSvejsRd9uc3WdrWLyhkJ4QpGgWpump</t>
  </si>
  <si>
    <t>memex</t>
  </si>
  <si>
    <t>25.10.2024 03:04:34</t>
  </si>
  <si>
    <t xml:space="preserve">         32K            23K             5K</t>
  </si>
  <si>
    <t>FT64dAkw8oY44zY16dya4RrZaCFPoTSb9KqxXVtSpump</t>
  </si>
  <si>
    <t>0.034030</t>
  </si>
  <si>
    <t>5.081 SOL</t>
  </si>
  <si>
    <t>25.96%</t>
  </si>
  <si>
    <t>24.10.2024 06:20:34</t>
  </si>
  <si>
    <t xml:space="preserve">        220K            39K            12K</t>
  </si>
  <si>
    <t>0.061030</t>
  </si>
  <si>
    <t>8.230 SOL</t>
  </si>
  <si>
    <t>7.169 SOL</t>
  </si>
  <si>
    <t>675.70%</t>
  </si>
  <si>
    <t>24.10.2024 06:12:06</t>
  </si>
  <si>
    <t xml:space="preserve">         56K           396K             4M</t>
  </si>
  <si>
    <t>23.10.2024 15:15:02</t>
  </si>
  <si>
    <t xml:space="preserve">        165K           165K            15K</t>
  </si>
  <si>
    <t>6yDq43NrbnGeVChQv9iPqcAP3uNCc5K459nLeMYbpump</t>
  </si>
  <si>
    <t>0.033030</t>
  </si>
  <si>
    <t>51.936 SOL</t>
  </si>
  <si>
    <t>49.903 SOL</t>
  </si>
  <si>
    <t>2454.62%</t>
  </si>
  <si>
    <t>22.10.2024 16:24:12</t>
  </si>
  <si>
    <t xml:space="preserve">        118K             3M             2M</t>
  </si>
  <si>
    <t>Lotus</t>
  </si>
  <si>
    <t>-1.37%</t>
  </si>
  <si>
    <t>22.10.2024 05:08:37</t>
  </si>
  <si>
    <t xml:space="preserve">        505K           500K           146K</t>
  </si>
  <si>
    <t>GuwRqNESB6rjuWJa8YsJzoc9WinvWiti7bz3gqUqpump</t>
  </si>
  <si>
    <t>7.06%</t>
  </si>
  <si>
    <t>22.10.2024 03:47:52</t>
  </si>
  <si>
    <t xml:space="preserve">        155K           165K             4K</t>
  </si>
  <si>
    <t>1.104 SOL</t>
  </si>
  <si>
    <t>10.14%</t>
  </si>
  <si>
    <t>22.10.2024 03:12:42</t>
  </si>
  <si>
    <t xml:space="preserve">        348K           385K            13K</t>
  </si>
  <si>
    <t>SPOOD</t>
  </si>
  <si>
    <t>1.086 SOL</t>
  </si>
  <si>
    <t>8.42%</t>
  </si>
  <si>
    <t>21.10.2024 09:35:59</t>
  </si>
  <si>
    <t xml:space="preserve">        125K           135K            59K</t>
  </si>
  <si>
    <t>s3F676k9yAc2zJBFXuBFXq32nYGAQucyfS9ET2aqikp</t>
  </si>
  <si>
    <t>6.22%</t>
  </si>
  <si>
    <t>21.10.2024 07:59:27</t>
  </si>
  <si>
    <t xml:space="preserve">         77K            81K            14K</t>
  </si>
  <si>
    <t>-0.352 SOL</t>
  </si>
  <si>
    <t>-35.08%</t>
  </si>
  <si>
    <t>21.10.2024 06:33:34</t>
  </si>
  <si>
    <t xml:space="preserve">         72K            46K             5K</t>
  </si>
  <si>
    <t>GCEQGw7bMWddpKqgZxTCqxNNXrz8npxv787nVcESpump</t>
  </si>
  <si>
    <t>0.003020</t>
  </si>
  <si>
    <t>155.54%</t>
  </si>
  <si>
    <t>21.10.2024 06:30:46</t>
  </si>
  <si>
    <t xml:space="preserve">        139K           285K           189K</t>
  </si>
  <si>
    <t>DoomConf</t>
  </si>
  <si>
    <t>11.18%</t>
  </si>
  <si>
    <t>21.10.2024 05:34:56</t>
  </si>
  <si>
    <t>FeVkS61RagC8GCrgpEqACNjHHS5RiFJaJfJJnJYdpump</t>
  </si>
  <si>
    <t>wojak</t>
  </si>
  <si>
    <t>-49.24%</t>
  </si>
  <si>
    <t>21.10.2024 03:02:19</t>
  </si>
  <si>
    <t xml:space="preserve">         49K            26K             7K</t>
  </si>
  <si>
    <t>GC6PU1pC8SKhEKpvs5QSV8HMrzimjRHg3abxki2hpump</t>
  </si>
  <si>
    <t>Fbb4</t>
  </si>
  <si>
    <t>0.264 SOL</t>
  </si>
  <si>
    <t>-15.35%</t>
  </si>
  <si>
    <t>21.10.2024 02:43:50</t>
  </si>
  <si>
    <t xml:space="preserve">         12K            11K            22K</t>
  </si>
  <si>
    <t>HTz8NdeEZEGNT7niWdkAohgqpFeMZAXmTTP7zkEtpump</t>
  </si>
  <si>
    <t>0.127 SOL</t>
  </si>
  <si>
    <t>-62.13%</t>
  </si>
  <si>
    <t>20.10.2024 13:21:37</t>
  </si>
  <si>
    <t>GgQQqPuSmfurmRCpkYa4egTHcryaeLbxJbSZQLPpump</t>
  </si>
  <si>
    <t>-6.37%</t>
  </si>
  <si>
    <t>20.10.2024 06:29:27</t>
  </si>
  <si>
    <t xml:space="preserve">        437K           411K           240K</t>
  </si>
  <si>
    <t>0.440 SOL</t>
  </si>
  <si>
    <t>-91.89%</t>
  </si>
  <si>
    <t>20.10.2024 04:52:01</t>
  </si>
  <si>
    <t xml:space="preserve">        153K            12K             5K</t>
  </si>
  <si>
    <t>BjNjvabyz9N3qa5KFScViafHXzYytJF6eA3HRsSRpump</t>
  </si>
  <si>
    <t>Novus</t>
  </si>
  <si>
    <t>0.474 SOL</t>
  </si>
  <si>
    <t>18.03%</t>
  </si>
  <si>
    <t>20.10.2024 02:44:20</t>
  </si>
  <si>
    <t xml:space="preserve">        450K           534K             9K</t>
  </si>
  <si>
    <t>vyPu3cip3jEDPqkigX92LcLdwyaFxmbg7UJmSVipump</t>
  </si>
  <si>
    <t>548R1NaN</t>
  </si>
  <si>
    <t>-0.193 SOL</t>
  </si>
  <si>
    <t>-32.66%</t>
  </si>
  <si>
    <t>20.10.2024 02:29:39</t>
  </si>
  <si>
    <t xml:space="preserve">         35K            25K             5K</t>
  </si>
  <si>
    <t>nxUowNwiA4148vaL7T1F4HACQKGtuvqfK7cBXMgpump</t>
  </si>
  <si>
    <t>broAI</t>
  </si>
  <si>
    <t>-0.670 SOL</t>
  </si>
  <si>
    <t>-85.73%</t>
  </si>
  <si>
    <t>20.10.2024 01:46:23</t>
  </si>
  <si>
    <t xml:space="preserve">         55K             7K             4K</t>
  </si>
  <si>
    <t>5mBucr58svXiQEaQSrWzGkSCJmc6nb18GEq4R3m4pump</t>
  </si>
  <si>
    <t>-4.46%</t>
  </si>
  <si>
    <t>19.10.2024 13:58:00</t>
  </si>
  <si>
    <t xml:space="preserve">          7M             7M           619K</t>
  </si>
  <si>
    <t>-53.84%</t>
  </si>
  <si>
    <t>19.10.2024 13:38:29</t>
  </si>
  <si>
    <t xml:space="preserve">        652K           307K             5K</t>
  </si>
  <si>
    <t xml:space="preserve">Leilan </t>
  </si>
  <si>
    <t>0.187 SOL</t>
  </si>
  <si>
    <t>19.10.2024 12:10:22</t>
  </si>
  <si>
    <t xml:space="preserve">        271K           127K            63K</t>
  </si>
  <si>
    <t>66irswy3sn6ueuW48jW8PKp1iumqKrD6U7tgCfuywm4</t>
  </si>
  <si>
    <t>Guide</t>
  </si>
  <si>
    <t>-80.14%</t>
  </si>
  <si>
    <t>19.10.2024 09:47:34</t>
  </si>
  <si>
    <t>3KJ84L2onhMTUPhyGjZXuHHVrnE8HJcdUof15YPjpump</t>
  </si>
  <si>
    <t>0.705 SOL</t>
  </si>
  <si>
    <t>0.45%</t>
  </si>
  <si>
    <t>19.10.2024 06:59:53</t>
  </si>
  <si>
    <t xml:space="preserve">        285K           288K            22K</t>
  </si>
  <si>
    <t>JEO</t>
  </si>
  <si>
    <t>0.737 SOL</t>
  </si>
  <si>
    <t>92.88%</t>
  </si>
  <si>
    <t>19.10.2024 04:27:43</t>
  </si>
  <si>
    <t xml:space="preserve">         65K           127K             7K</t>
  </si>
  <si>
    <t>3einv8VqfmyqESXFYDZahupJ1mSCZdif2YRSqdTgpump</t>
  </si>
  <si>
    <t>0.428 SOL</t>
  </si>
  <si>
    <t>4.03%</t>
  </si>
  <si>
    <t>18.10.2024 14:33:26</t>
  </si>
  <si>
    <t xml:space="preserve">        241K           257K            19K</t>
  </si>
  <si>
    <t>xcog</t>
  </si>
  <si>
    <t>0.022020</t>
  </si>
  <si>
    <t>0.927 SOL</t>
  </si>
  <si>
    <t>12.76%</t>
  </si>
  <si>
    <t>18.10.2024 12:26:47</t>
  </si>
  <si>
    <t xml:space="preserve">          2M             2M            27K</t>
  </si>
  <si>
    <t>ETZDTrZp1tWSTPHf22cyUXiv5xGzXuBFEwJAsE8ypump</t>
  </si>
  <si>
    <t>GODHEAD</t>
  </si>
  <si>
    <t>-0.354 SOL</t>
  </si>
  <si>
    <t>-57.87%</t>
  </si>
  <si>
    <t>18.10.2024 08:37:41</t>
  </si>
  <si>
    <t xml:space="preserve">         21K             9K             9K</t>
  </si>
  <si>
    <t>9Hc9pdCB5dTbBhZdpGM1n4a9r96HzDjo6Aiz8gG5pump</t>
  </si>
  <si>
    <t>🧀</t>
  </si>
  <si>
    <t>-29.54%</t>
  </si>
  <si>
    <t>18.10.2024 06:46:04</t>
  </si>
  <si>
    <t>AsDHAjiyq86a5z5jTsUP5jVUN3vdtB6oMGs42SZTpump</t>
  </si>
  <si>
    <t>TatTvamAsi</t>
  </si>
  <si>
    <t>-44.04%</t>
  </si>
  <si>
    <t>18.10.2024 06:19:29</t>
  </si>
  <si>
    <t>4ZMqMjxNJ4vkBgUgbEfEPi3MiSdB2WTJBN4nVKErpump</t>
  </si>
  <si>
    <t>Tyler</t>
  </si>
  <si>
    <t>7.26%</t>
  </si>
  <si>
    <t>18.10.2024 04:05:42</t>
  </si>
  <si>
    <t xml:space="preserve">        237M           260M             49</t>
  </si>
  <si>
    <t>2M7dWwr1o4aavnVudcPSEz5pD4DjLr2DyUUditEK6kdN</t>
  </si>
  <si>
    <t>Max</t>
  </si>
  <si>
    <t>-39.90%</t>
  </si>
  <si>
    <t>18.10.2024 03:25:25</t>
  </si>
  <si>
    <t>2wVfVV8G7wL8Vi1gWQjvJutxB4vcyEszJk8iZhPjpump</t>
  </si>
  <si>
    <t>Bambu</t>
  </si>
  <si>
    <t>17.10.2024 08:29:45</t>
  </si>
  <si>
    <t xml:space="preserve">        169K           193K             6K</t>
  </si>
  <si>
    <t>6N1Uz7QB9d7SpFbETtsHjx3TJaN2ZwdVodXmUYrtpump</t>
  </si>
  <si>
    <t>GAMBLER</t>
  </si>
  <si>
    <t>-8.56%</t>
  </si>
  <si>
    <t>17.10.2024 08:00:34</t>
  </si>
  <si>
    <t xml:space="preserve">        199K           185K            12K</t>
  </si>
  <si>
    <t>C52ic7Tf7HxJcv6K7U2UWMJSngofZWQ7DXtpWU4hpump</t>
  </si>
  <si>
    <t>7.35%</t>
  </si>
  <si>
    <t>17.10.2024 05:25:09</t>
  </si>
  <si>
    <t xml:space="preserve">          2M             2M            52K</t>
  </si>
  <si>
    <t>HAREM</t>
  </si>
  <si>
    <t>0.013020</t>
  </si>
  <si>
    <t>-41.25%</t>
  </si>
  <si>
    <t>16.10.2024 12:35:59</t>
  </si>
  <si>
    <t>AvHAytUpQqyhR5Y7H5TrR3iAEUzUGpSfYwXrvCspump</t>
  </si>
  <si>
    <t>bros</t>
  </si>
  <si>
    <t>-73.76%</t>
  </si>
  <si>
    <t>16.10.2024 07:21:49</t>
  </si>
  <si>
    <t>GsZLaz4xcF2r4hoGR45BTNL2Pwm3wEJkcbtBqPE58TvQ</t>
  </si>
  <si>
    <t>MECHAI</t>
  </si>
  <si>
    <t>-7.32%</t>
  </si>
  <si>
    <t>16.10.2024 04:13:55</t>
  </si>
  <si>
    <t>3DvFijskPpGMTE7DDYGZ5MmwErUMb18exwHbiLc4pump</t>
  </si>
  <si>
    <t>QR</t>
  </si>
  <si>
    <t>16.14%</t>
  </si>
  <si>
    <t>15.10.2024 09:43:22</t>
  </si>
  <si>
    <t xml:space="preserve">         49K            70K             4K</t>
  </si>
  <si>
    <t>8MocH7Bq3BdEH3WUR3PHz22mKTymjJsVu4tvwVT7pump</t>
  </si>
  <si>
    <t>MUSCAT</t>
  </si>
  <si>
    <t>-54.47%</t>
  </si>
  <si>
    <t>15.10.2024 09:20:47</t>
  </si>
  <si>
    <t>5QSa6HT2wqsZN4eJPMmk9nrA4XHWnZSTibiA4ZPnpump</t>
  </si>
  <si>
    <t>DUMAY</t>
  </si>
  <si>
    <t>-32.25%</t>
  </si>
  <si>
    <t>15.10.2024 08:54:08</t>
  </si>
  <si>
    <t>sht8q98AS6sP9fVYBRCdXj8HAz6YFRiChjbXz7bpump</t>
  </si>
  <si>
    <t>AiY7b8nU9uinJ6cKNgF9j3VUFDLfYvpmNTiD4miNDdLF</t>
  </si>
  <si>
    <t>3.19 SOL</t>
  </si>
  <si>
    <t>-9%</t>
  </si>
  <si>
    <t>-0.47 SOL</t>
  </si>
  <si>
    <t>21%</t>
  </si>
  <si>
    <t>0.65 SOL</t>
  </si>
  <si>
    <t>21.2%</t>
  </si>
  <si>
    <t>60.6%</t>
  </si>
  <si>
    <t>0.5 SOL</t>
  </si>
  <si>
    <t>362.0K</t>
  </si>
  <si>
    <t>37.90%</t>
  </si>
  <si>
    <t>30.10.2024 17:32:03</t>
  </si>
  <si>
    <t xml:space="preserve">          1M             1M            35K</t>
  </si>
  <si>
    <t>169.00%</t>
  </si>
  <si>
    <t>30.10.2024 17:27:35</t>
  </si>
  <si>
    <t>62,911</t>
  </si>
  <si>
    <t xml:space="preserve">        280K           280K            12K</t>
  </si>
  <si>
    <t>0.031030</t>
  </si>
  <si>
    <t>25.77%</t>
  </si>
  <si>
    <t>30.10.2024 10:36:02</t>
  </si>
  <si>
    <t xml:space="preserve">        811K           294K           245K</t>
  </si>
  <si>
    <t>0.026030</t>
  </si>
  <si>
    <t>69.64%</t>
  </si>
  <si>
    <t>30.10.2024 10:23:55</t>
  </si>
  <si>
    <t xml:space="preserve">        792K           610K           537K</t>
  </si>
  <si>
    <t>0.235 SOL</t>
  </si>
  <si>
    <t>211.89%</t>
  </si>
  <si>
    <t>30.10.2024 07:54:25</t>
  </si>
  <si>
    <t xml:space="preserve">        102K           102K           303K</t>
  </si>
  <si>
    <t>50.85%</t>
  </si>
  <si>
    <t>30.10.2024 07:22:23</t>
  </si>
  <si>
    <t xml:space="preserve">          3M           772K           144K</t>
  </si>
  <si>
    <t>34,869</t>
  </si>
  <si>
    <t>30.10.2024 05:51:43</t>
  </si>
  <si>
    <t xml:space="preserve">          2M           658K           273K</t>
  </si>
  <si>
    <t>54,767</t>
  </si>
  <si>
    <t xml:space="preserve">        322K           322K            40K</t>
  </si>
  <si>
    <t>30,663</t>
  </si>
  <si>
    <t xml:space="preserve">        573K           573K            12K</t>
  </si>
  <si>
    <t>134,172</t>
  </si>
  <si>
    <t>30.10.2024 01:33:37</t>
  </si>
  <si>
    <t xml:space="preserve">        132K           132K            79K</t>
  </si>
  <si>
    <t>103,708</t>
  </si>
  <si>
    <t>30.10.2024 00:32:53</t>
  </si>
  <si>
    <t xml:space="preserve">        380K           306K             8K</t>
  </si>
  <si>
    <t>416,717</t>
  </si>
  <si>
    <t>29.10.2024 23:12:41</t>
  </si>
  <si>
    <t>Rex</t>
  </si>
  <si>
    <t>10,558</t>
  </si>
  <si>
    <t>29.10.2024 23:01:31</t>
  </si>
  <si>
    <t xml:space="preserve">          2M             2M           714K</t>
  </si>
  <si>
    <t>Hm4dVV7PtackAn2ePAv4kPNVxfhFahxndCJHCYqdpump</t>
  </si>
  <si>
    <t>197.63%</t>
  </si>
  <si>
    <t xml:space="preserve">        283K           283K           511K</t>
  </si>
  <si>
    <t>48,452</t>
  </si>
  <si>
    <t>29.10.2024 15:47:16</t>
  </si>
  <si>
    <t xml:space="preserve">        362K           362K             7K</t>
  </si>
  <si>
    <t>0.129 SOL</t>
  </si>
  <si>
    <t>115.92%</t>
  </si>
  <si>
    <t>29.10.2024 15:29:10</t>
  </si>
  <si>
    <t xml:space="preserve">        306K           570K           287K</t>
  </si>
  <si>
    <t>125,498</t>
  </si>
  <si>
    <t>29.10.2024 15:28:30</t>
  </si>
  <si>
    <t xml:space="preserve">        134K           134K            70K</t>
  </si>
  <si>
    <t>579,633</t>
  </si>
  <si>
    <t>29.10.2024 09:36:09</t>
  </si>
  <si>
    <t xml:space="preserve">         62K            62K             8K</t>
  </si>
  <si>
    <t>0.282 SOL</t>
  </si>
  <si>
    <t>153.93%</t>
  </si>
  <si>
    <t>29.10.2024 06:44:42</t>
  </si>
  <si>
    <t xml:space="preserve">        925K           925K             1M</t>
  </si>
  <si>
    <t>29.10.2024 05:05:07</t>
  </si>
  <si>
    <t xml:space="preserve">        130K           271K             2M</t>
  </si>
  <si>
    <t>35.21%</t>
  </si>
  <si>
    <t>29.10.2024 05:03:37</t>
  </si>
  <si>
    <t xml:space="preserve">          3M             9M             7M</t>
  </si>
  <si>
    <t>0.267 SOL</t>
  </si>
  <si>
    <t>140.40%</t>
  </si>
  <si>
    <t xml:space="preserve">        325K           325K            20K</t>
  </si>
  <si>
    <t>78,519</t>
  </si>
  <si>
    <t>29.10.2024 03:28:39</t>
  </si>
  <si>
    <t xml:space="preserve">        223K           223K             5K</t>
  </si>
  <si>
    <t>209,896</t>
  </si>
  <si>
    <t xml:space="preserve">         83K            83K            65K</t>
  </si>
  <si>
    <t>15,936</t>
  </si>
  <si>
    <t>41,200</t>
  </si>
  <si>
    <t>29.10.2024 00:15:04</t>
  </si>
  <si>
    <t xml:space="preserve">        427K           427K            34K</t>
  </si>
  <si>
    <t>18,172</t>
  </si>
  <si>
    <t>28.10.2024 22:56:35</t>
  </si>
  <si>
    <t xml:space="preserve">        968K           968K             9K</t>
  </si>
  <si>
    <t>380,675</t>
  </si>
  <si>
    <t>28.10.2024 22:55:59</t>
  </si>
  <si>
    <t xml:space="preserve">         46K            46K             7K</t>
  </si>
  <si>
    <t>306,261</t>
  </si>
  <si>
    <t>28.10.2024 22:36:21</t>
  </si>
  <si>
    <t xml:space="preserve">         58K            58K            10K</t>
  </si>
  <si>
    <t>63.20%</t>
  </si>
  <si>
    <t>28.10.2024 15:39:19</t>
  </si>
  <si>
    <t xml:space="preserve">        206K           737K            27K</t>
  </si>
  <si>
    <t>11,247</t>
  </si>
  <si>
    <t>28.10.2024 14:53:07</t>
  </si>
  <si>
    <t xml:space="preserve">          2M             2M           212K</t>
  </si>
  <si>
    <t>41,302</t>
  </si>
  <si>
    <t>28.10.2024 08:49:02</t>
  </si>
  <si>
    <t xml:space="preserve">        426K           426K            23K</t>
  </si>
  <si>
    <t>AgzBBqaY8UxVtFZhTZMpSUTd2TCh4AFHwjYSsrwLjyAW</t>
  </si>
  <si>
    <t>133.51 SOL</t>
  </si>
  <si>
    <t>38%</t>
  </si>
  <si>
    <t>87%</t>
  </si>
  <si>
    <t>138.99 SOL</t>
  </si>
  <si>
    <t>28 (62%)</t>
  </si>
  <si>
    <t>-3.03%</t>
  </si>
  <si>
    <t>2.2%</t>
  </si>
  <si>
    <t>4.4%</t>
  </si>
  <si>
    <t>26.7%</t>
  </si>
  <si>
    <t>53.3%</t>
  </si>
  <si>
    <t>8.9%</t>
  </si>
  <si>
    <t>70.5 SOL</t>
  </si>
  <si>
    <t>76.3 SOL</t>
  </si>
  <si>
    <t>5.8 SOL</t>
  </si>
  <si>
    <t>-9.0 SOL</t>
  </si>
  <si>
    <t>-6.9 SOL</t>
  </si>
  <si>
    <t>9.0K</t>
  </si>
  <si>
    <t>BABY</t>
  </si>
  <si>
    <t>-11.35%</t>
  </si>
  <si>
    <t>29.10.2024 23:30:40</t>
  </si>
  <si>
    <t xml:space="preserve">          7K             5K             3K</t>
  </si>
  <si>
    <t>Hck5e8vDC8xEVNtwofYXPgQ19T5nWa4k8joELwQDpump</t>
  </si>
  <si>
    <t>-0.856 SOL</t>
  </si>
  <si>
    <t>-81.55%</t>
  </si>
  <si>
    <t>29.10.2024 21:17:14</t>
  </si>
  <si>
    <t>A94MAPA9AAskSmKT2j6pGjdGEcZU4P4R5m6WEiogpump</t>
  </si>
  <si>
    <t>-0.231 SOL</t>
  </si>
  <si>
    <t>29.10.2024 20:14:51</t>
  </si>
  <si>
    <t>RZLR</t>
  </si>
  <si>
    <t>1.927 SOL</t>
  </si>
  <si>
    <t>-0.623 SOL</t>
  </si>
  <si>
    <t>-24.42%</t>
  </si>
  <si>
    <t>29.10.2024 01:15:27</t>
  </si>
  <si>
    <t xml:space="preserve">        234K           234K             9M</t>
  </si>
  <si>
    <t>D8kgv5BRyfxUgTJGhkPJcw1Neo1eaneENC5XxC99pump</t>
  </si>
  <si>
    <t>LUNA</t>
  </si>
  <si>
    <t>0.220200</t>
  </si>
  <si>
    <t>13.936 SOL</t>
  </si>
  <si>
    <t>78.198 SOL</t>
  </si>
  <si>
    <t>64.041 SOL</t>
  </si>
  <si>
    <t>452.39%</t>
  </si>
  <si>
    <t>28.10.2024 22:41:46</t>
  </si>
  <si>
    <t xml:space="preserve">         33K             7K             4K</t>
  </si>
  <si>
    <t>FDdEAQ77Eo5VzDMJVsnVRxkKid91eQUatXyvpdxRpump</t>
  </si>
  <si>
    <t>Colossus</t>
  </si>
  <si>
    <t>0.272070</t>
  </si>
  <si>
    <t>28.000 SOL</t>
  </si>
  <si>
    <t>24.637 SOL</t>
  </si>
  <si>
    <t>-3.635 SOL</t>
  </si>
  <si>
    <t>-12.86%</t>
  </si>
  <si>
    <t>28.10.2024 21:08:00</t>
  </si>
  <si>
    <t xml:space="preserve">          1M             1M           130K</t>
  </si>
  <si>
    <t>8SuMAjoZeLGaaekNHP235Dv4soXsrcseFXefT3A9pump</t>
  </si>
  <si>
    <t>-11.98%</t>
  </si>
  <si>
    <t>28.10.2024 14:57:03</t>
  </si>
  <si>
    <t>CAPO</t>
  </si>
  <si>
    <t>0.190030</t>
  </si>
  <si>
    <t>3.809 SOL</t>
  </si>
  <si>
    <t>3.906 SOL</t>
  </si>
  <si>
    <t>-2.34%</t>
  </si>
  <si>
    <t>28.10.2024 01:33:51</t>
  </si>
  <si>
    <t xml:space="preserve">          4K            12K             3K</t>
  </si>
  <si>
    <t>5no2E6m23bsRukeXVghCSgAYRXuav74sfGgPTaW7pump</t>
  </si>
  <si>
    <t>666</t>
  </si>
  <si>
    <t>0.170020</t>
  </si>
  <si>
    <t>2.280 SOL</t>
  </si>
  <si>
    <t>1.340 SOL</t>
  </si>
  <si>
    <t>54.70%</t>
  </si>
  <si>
    <t>28.10.2024 01:31:49</t>
  </si>
  <si>
    <t>7xWjG1AmjFKcjo8ebAQdv3mUbe4p6exZHHUSGkfPpump</t>
  </si>
  <si>
    <t>1.150140</t>
  </si>
  <si>
    <t>10.298 SOL</t>
  </si>
  <si>
    <t>23.672 SOL</t>
  </si>
  <si>
    <t>12.223 SOL</t>
  </si>
  <si>
    <t>106.77%</t>
  </si>
  <si>
    <t>28.10.2024 01:30:10</t>
  </si>
  <si>
    <t xml:space="preserve">         10K            34K             4K</t>
  </si>
  <si>
    <t>FrbTvy9eRBHzCGNyuc3KqwGKYx9vk2soDTzBAafNpump</t>
  </si>
  <si>
    <t>0.085010</t>
  </si>
  <si>
    <t>-16.18%</t>
  </si>
  <si>
    <t>27.10.2024 20:43:06</t>
  </si>
  <si>
    <t>/ɔŋ.ɣə</t>
  </si>
  <si>
    <t>2.385 SOL</t>
  </si>
  <si>
    <t>14.41%</t>
  </si>
  <si>
    <t>27.10.2024 20:41:39</t>
  </si>
  <si>
    <t>gXWNN1nTWKjhqLcM9HpEr6UHdn3sSbC6VLx7XXvpump</t>
  </si>
  <si>
    <t>GOAL</t>
  </si>
  <si>
    <t>0.185020</t>
  </si>
  <si>
    <t>0.825 SOL</t>
  </si>
  <si>
    <t>-3.660 SOL</t>
  </si>
  <si>
    <t>-81.61%</t>
  </si>
  <si>
    <t>27.10.2024 17:44:06</t>
  </si>
  <si>
    <t xml:space="preserve">        206K             5K             4K</t>
  </si>
  <si>
    <t>ZR6df31VQDG9gEoHPJFxgdrZY6KwZh4tAWWq7kApump</t>
  </si>
  <si>
    <t>-26.07%</t>
  </si>
  <si>
    <t>27.10.2024 16:19:42</t>
  </si>
  <si>
    <t xml:space="preserve">         12K             9K             3K</t>
  </si>
  <si>
    <t>1.030 SOL</t>
  </si>
  <si>
    <t>27.10.2024 02:42:20</t>
  </si>
  <si>
    <t>0.784 SOL</t>
  </si>
  <si>
    <t>-27.73%</t>
  </si>
  <si>
    <t>27.10.2024 02:36:10</t>
  </si>
  <si>
    <t>DnQ8XWr3QdhcNw5ZEc6iko7bZSHfqszjTLNxyoCwpump</t>
  </si>
  <si>
    <t>Toni</t>
  </si>
  <si>
    <t>-2.76%</t>
  </si>
  <si>
    <t>26.10.2024 22:12:07</t>
  </si>
  <si>
    <t>8xS4arKak6fv3TMnFeojkjqG7HaRjGcxwHkDih3YQQu9</t>
  </si>
  <si>
    <t>koma</t>
  </si>
  <si>
    <t>2.568 SOL</t>
  </si>
  <si>
    <t>23.17%</t>
  </si>
  <si>
    <t>26.10.2024 22:03:39</t>
  </si>
  <si>
    <t xml:space="preserve">          9K            12K             9K</t>
  </si>
  <si>
    <t>DJfrje1JscN1fJMB3aUTBh8SsYxiDZ88GJDPStMbpump</t>
  </si>
  <si>
    <t>4.137 SOL</t>
  </si>
  <si>
    <t>1.28%</t>
  </si>
  <si>
    <t>26.10.2024 22:02:44</t>
  </si>
  <si>
    <t xml:space="preserve">         42K            44K            17K</t>
  </si>
  <si>
    <t>CTRL</t>
  </si>
  <si>
    <t>28.34%</t>
  </si>
  <si>
    <t>26.10.2024 22:02:08</t>
  </si>
  <si>
    <t>3cKryQr5NfBD12gE3r3MAiGvARUY7SA9pWqtyRb1pump</t>
  </si>
  <si>
    <t>spacejesus</t>
  </si>
  <si>
    <t>-6.79%</t>
  </si>
  <si>
    <t>26.10.2024 22:00:31</t>
  </si>
  <si>
    <t>DLkvHmHi3caM6gKtkShBhnYGXGbGkhfND3sAQ1Jupump</t>
  </si>
  <si>
    <t>PRISM</t>
  </si>
  <si>
    <t>0.135010</t>
  </si>
  <si>
    <t>4.010 SOL</t>
  </si>
  <si>
    <t>26.10.2024 21:59:16</t>
  </si>
  <si>
    <t>1avW39hv8D247STn9AVyCxe7KiP69JzVXJy3nnwpump</t>
  </si>
  <si>
    <t>COLD</t>
  </si>
  <si>
    <t>-30.77%</t>
  </si>
  <si>
    <t>26.10.2024 21:57:10</t>
  </si>
  <si>
    <t xml:space="preserve">          8K             5K             4K</t>
  </si>
  <si>
    <t>17MC7PZ3FYV4iFwhUicX9ETtZHeFAQnnWPKL38ppump</t>
  </si>
  <si>
    <t>0.105020</t>
  </si>
  <si>
    <t>5.647 SOL</t>
  </si>
  <si>
    <t>22.63%</t>
  </si>
  <si>
    <t>26.10.2024 21:52:58</t>
  </si>
  <si>
    <t xml:space="preserve">         39K           303K            27K</t>
  </si>
  <si>
    <t>COOK</t>
  </si>
  <si>
    <t>5.237 SOL</t>
  </si>
  <si>
    <t>5.452 SOL</t>
  </si>
  <si>
    <t>26.10.2024 21:52:23</t>
  </si>
  <si>
    <t>13kgoNWyqxnDrs3UfWjzVwTy5h8UEEZrRsQjXGy7pump</t>
  </si>
  <si>
    <t>moni</t>
  </si>
  <si>
    <t>0.220020</t>
  </si>
  <si>
    <t>-1.13%</t>
  </si>
  <si>
    <t>26.10.2024 21:47:52</t>
  </si>
  <si>
    <t>7kQRpzVjbQrBPnkebRDt5Zcwg4ynxQ7c6QohWjeDpump</t>
  </si>
  <si>
    <t>BADGER</t>
  </si>
  <si>
    <t>26.10.2024 21:42:51</t>
  </si>
  <si>
    <t>9aooKDKQ375YQ81ConbsWTGJwByC6dsQTZrvtbufHCh4</t>
  </si>
  <si>
    <t>FAT</t>
  </si>
  <si>
    <t>4.065 SOL</t>
  </si>
  <si>
    <t>-1.69%</t>
  </si>
  <si>
    <t>26.10.2024 21:41:37</t>
  </si>
  <si>
    <t>64zRGSHxDoEd7vXvgUrZPEW21sMGQbaDFoX29BG3eFi1</t>
  </si>
  <si>
    <t>shrook</t>
  </si>
  <si>
    <t>0.585 SOL</t>
  </si>
  <si>
    <t>-46.08%</t>
  </si>
  <si>
    <t>26.10.2024 21:39:56</t>
  </si>
  <si>
    <t>66Qk1MK4uJGoxwmGrPKX4Uvssb3xYgjck4vPvne3shKv</t>
  </si>
  <si>
    <t>UTYA</t>
  </si>
  <si>
    <t>-8.26%</t>
  </si>
  <si>
    <t>26.10.2024 21:38:50</t>
  </si>
  <si>
    <t>H5xeU8yPnBVNwgv5ChHhv74rkbDTG99rXDH4ydc4XwX2</t>
  </si>
  <si>
    <t>maci</t>
  </si>
  <si>
    <t>4.536 SOL</t>
  </si>
  <si>
    <t>4.059 SOL</t>
  </si>
  <si>
    <t>-0.563 SOL</t>
  </si>
  <si>
    <t>-12.17%</t>
  </si>
  <si>
    <t>26.10.2024 21:37:42</t>
  </si>
  <si>
    <t>1265m4Q8ACgg6yfn896oX7xA3HVu3HafkosL8xmApump</t>
  </si>
  <si>
    <t>2.378 SOL</t>
  </si>
  <si>
    <t>24.54%</t>
  </si>
  <si>
    <t>26.10.2024 21:37:07</t>
  </si>
  <si>
    <t>9TfYwLqYXuNNBo2yorgFXpK8Z7XZ2QjVzMaNRdKypump</t>
  </si>
  <si>
    <t>3.638 SOL</t>
  </si>
  <si>
    <t>47.74%</t>
  </si>
  <si>
    <t>26.10.2024 21:36:34</t>
  </si>
  <si>
    <t>128UJtR2e4Y3k8vZ51uTuoDPpE6Hca8H6Ht6hcEJpump</t>
  </si>
  <si>
    <t>SOB</t>
  </si>
  <si>
    <t>-0.162 SOL</t>
  </si>
  <si>
    <t>-7.78%</t>
  </si>
  <si>
    <t>26.10.2024 21:34:52</t>
  </si>
  <si>
    <t xml:space="preserve">          9K             9K             8K</t>
  </si>
  <si>
    <t>HBWrm4TsXbo5rKJySTCYSpw1L2fyQZPS6DPVUpwxGEzt</t>
  </si>
  <si>
    <t>1.553 SOL</t>
  </si>
  <si>
    <t>26.10.2024 21:34:02</t>
  </si>
  <si>
    <t>CwkGWGF6k2ZTtvbVeQgobUFmYQCL1AnBZi3BYFSzpump</t>
  </si>
  <si>
    <t>gud</t>
  </si>
  <si>
    <t>26.10.2024 21:28:33</t>
  </si>
  <si>
    <t>J4TqJkCe9naGFvoyfj8mMzC2gznzFQKras4PBUdnpump</t>
  </si>
  <si>
    <t>sym</t>
  </si>
  <si>
    <t>1.977 SOL</t>
  </si>
  <si>
    <t>21.38%</t>
  </si>
  <si>
    <t>26.10.2024 21:27:09</t>
  </si>
  <si>
    <t>8mKhWVJBqTVcyhUv1j1L8sjfXYAxj6Y6eWrCwWy3eZyq</t>
  </si>
  <si>
    <t>3.003 SOL</t>
  </si>
  <si>
    <t>44.05%</t>
  </si>
  <si>
    <t>26.10.2024 21:25:10</t>
  </si>
  <si>
    <t xml:space="preserve">         16K            25K            11K</t>
  </si>
  <si>
    <t>SID%</t>
  </si>
  <si>
    <t>2.080 SOL</t>
  </si>
  <si>
    <t>26.10.2024 21:09:47</t>
  </si>
  <si>
    <t>2Y45y3GcpywHbaDPZcyT79oSEEgsw1V4LJEwrLoHpump</t>
  </si>
  <si>
    <t>SG</t>
  </si>
  <si>
    <t>2.182 SOL</t>
  </si>
  <si>
    <t>78.65%</t>
  </si>
  <si>
    <t>26.10.2024 21:02:24</t>
  </si>
  <si>
    <t xml:space="preserve">         12K            23K             5K</t>
  </si>
  <si>
    <t>7mGhojefHezMUUr8J3hyuH7QfqyTXRKhRyTFQtc8pump</t>
  </si>
  <si>
    <t>VIRTUS</t>
  </si>
  <si>
    <t>3.339 SOL</t>
  </si>
  <si>
    <t>-63.16%</t>
  </si>
  <si>
    <t>26.10.2024 20:47:07</t>
  </si>
  <si>
    <t>EfMVLH9LyZLE7iyB1oM5RkiwQ8GMduRsWRXFkEhdpump</t>
  </si>
  <si>
    <t>CAKE</t>
  </si>
  <si>
    <t>1.033 SOL</t>
  </si>
  <si>
    <t>37.72%</t>
  </si>
  <si>
    <t>26.10.2024 01:47:53</t>
  </si>
  <si>
    <t>5ua1oPedsjTPEf7X58PFyoQ7KvJFpMgQ4SUET6hT18Ff</t>
  </si>
  <si>
    <t>AOL</t>
  </si>
  <si>
    <t>9.43%</t>
  </si>
  <si>
    <t>26.10.2024 01:43:36</t>
  </si>
  <si>
    <t>CBFNfgpeEEx24rboxsijcQWStETixsewK4z1WnpBeNuc</t>
  </si>
  <si>
    <t>ROXY</t>
  </si>
  <si>
    <t>1.080180</t>
  </si>
  <si>
    <t>10.144 SOL</t>
  </si>
  <si>
    <t>81.683 SOL</t>
  </si>
  <si>
    <t>70.459 SOL</t>
  </si>
  <si>
    <t>627.76%</t>
  </si>
  <si>
    <t>25.10.2024 20:00:50</t>
  </si>
  <si>
    <t xml:space="preserve">          7K           656K            12K</t>
  </si>
  <si>
    <t>pNiRivfUujP5uafVU5oKJCLkHxQnt4jttXZKz74pump</t>
  </si>
  <si>
    <t>2.446 SOL</t>
  </si>
  <si>
    <t>-7.71%</t>
  </si>
  <si>
    <t>18.10.2024 21:40:30</t>
  </si>
  <si>
    <t xml:space="preserve">         30K           100K           157K</t>
  </si>
  <si>
    <t>4zbQaWrHATRCE5S2f38URBAwJubET6FAFQzjfo38DFLu</t>
  </si>
  <si>
    <t>58.95 SOL</t>
  </si>
  <si>
    <t>185%</t>
  </si>
  <si>
    <t>72.58 SOL</t>
  </si>
  <si>
    <t>1 (8%)</t>
  </si>
  <si>
    <t>14 h</t>
  </si>
  <si>
    <t>-46.78%</t>
  </si>
  <si>
    <t>31%</t>
  </si>
  <si>
    <t>16.79 SOL</t>
  </si>
  <si>
    <t>46.2%</t>
  </si>
  <si>
    <t>48.7 SOL</t>
  </si>
  <si>
    <t>37.2 SOL</t>
  </si>
  <si>
    <t>-12.5 SOL</t>
  </si>
  <si>
    <t>163.0K</t>
  </si>
  <si>
    <t>POTUS</t>
  </si>
  <si>
    <t>3.121 SOL</t>
  </si>
  <si>
    <t>55.95%</t>
  </si>
  <si>
    <t>30.10.2024 20:18:11</t>
  </si>
  <si>
    <t xml:space="preserve">        419K           419K           515K</t>
  </si>
  <si>
    <t>Fy4DC1btDJnDtqs7zaEoxTyeZWsGBNPcmnFANFgmpump</t>
  </si>
  <si>
    <t>POPGOAT</t>
  </si>
  <si>
    <t>52.680 SOL</t>
  </si>
  <si>
    <t>48.679 SOL</t>
  </si>
  <si>
    <t>1216.69%</t>
  </si>
  <si>
    <t>29.10.2024 14:21:19</t>
  </si>
  <si>
    <t xml:space="preserve">        163K           350K           447K</t>
  </si>
  <si>
    <t>DtWz93pDUZe5cYqBFmZjXq1wzZqZPygCeox5d3ajpump</t>
  </si>
  <si>
    <t>-2.928 SOL</t>
  </si>
  <si>
    <t>-97.55%</t>
  </si>
  <si>
    <t>27.10.2024 15:04:12</t>
  </si>
  <si>
    <t xml:space="preserve">        250K           302K             4K</t>
  </si>
  <si>
    <t>BZasDyB47q8t4TsBDz1QzMEtji5NKcgGD7mWBRjMpump</t>
  </si>
  <si>
    <t>6.200 SOL</t>
  </si>
  <si>
    <t>129.61%</t>
  </si>
  <si>
    <t>26.10.2024 21:21:25</t>
  </si>
  <si>
    <t xml:space="preserve">          5K            11K             4K</t>
  </si>
  <si>
    <t>39WcEuRp1poYHyjEtDVXA5vcy85F7gy6UurEL157pump</t>
  </si>
  <si>
    <t>VIORA</t>
  </si>
  <si>
    <t>0.001680</t>
  </si>
  <si>
    <t>18.136 SOL</t>
  </si>
  <si>
    <t>14.134 SOL</t>
  </si>
  <si>
    <t>353.20%</t>
  </si>
  <si>
    <t>25.10.2024 12:00:13</t>
  </si>
  <si>
    <t xml:space="preserve">          2M           385K            41K</t>
  </si>
  <si>
    <t>BhbfgSh5P742DE5eMx24iZXNZeD2vNRFBZe3EP9Mpump</t>
  </si>
  <si>
    <t>-0.095 SOL</t>
  </si>
  <si>
    <t>-23.77%</t>
  </si>
  <si>
    <t>21.10.2024 12:13:39</t>
  </si>
  <si>
    <t xml:space="preserve">        429K           317K            10K</t>
  </si>
  <si>
    <t>SATAN</t>
  </si>
  <si>
    <t>19.10.2024 12:40:11</t>
  </si>
  <si>
    <t xml:space="preserve">        163K           415K            13K</t>
  </si>
  <si>
    <t>54A7rix3sh5n3hKpZ1VMABLAqrnod8PUCs5AXVsGpump</t>
  </si>
  <si>
    <t>3.674 SOL</t>
  </si>
  <si>
    <t>1.219 SOL</t>
  </si>
  <si>
    <t>-2.456 SOL</t>
  </si>
  <si>
    <t>-66.83%</t>
  </si>
  <si>
    <t>18.10.2024 18:33:09</t>
  </si>
  <si>
    <t xml:space="preserve">         30K            11K             3K</t>
  </si>
  <si>
    <t>2gMovG6QWCubWR5ayTXdJyvq18bFzFxeZ22k5UdKpump</t>
  </si>
  <si>
    <t>WOLF</t>
  </si>
  <si>
    <t>0.001890</t>
  </si>
  <si>
    <t>2.796 SOL</t>
  </si>
  <si>
    <t>-1.437 SOL</t>
  </si>
  <si>
    <t>-51.35%</t>
  </si>
  <si>
    <t>16.10.2024 01:38:59</t>
  </si>
  <si>
    <t xml:space="preserve">         25K            25K            17K</t>
  </si>
  <si>
    <t>3wJ8vbpzdXnWL2SkB3fzkdKgyAUPaK98BD9C9B2bpump</t>
  </si>
  <si>
    <t>0.002940</t>
  </si>
  <si>
    <t>5.922 SOL</t>
  </si>
  <si>
    <t>25.524 SOL</t>
  </si>
  <si>
    <t>19.599 SOL</t>
  </si>
  <si>
    <t>330.77%</t>
  </si>
  <si>
    <t>13.10.2024 18:28:21</t>
  </si>
  <si>
    <t xml:space="preserve">        348K            26K            29K</t>
  </si>
  <si>
    <t>CXAtTTTyrHYt1B7pc8CJThygsTLWszd9ASffCE1Npump</t>
  </si>
  <si>
    <t>-72.32%</t>
  </si>
  <si>
    <t>13.10.2024 16:38:22</t>
  </si>
  <si>
    <t xml:space="preserve">         25K             7K             3K</t>
  </si>
  <si>
    <t>HwoTcHHEcUNm3AmfnMTUeg4vFxjNrYoBMM8Yy8tLpump</t>
  </si>
  <si>
    <t>PEPECHAD</t>
  </si>
  <si>
    <t>2.692 SOL</t>
  </si>
  <si>
    <t>-2.107 SOL</t>
  </si>
  <si>
    <t>-78.24%</t>
  </si>
  <si>
    <t>12.10.2024 05:36:56</t>
  </si>
  <si>
    <t>842FK7G2wxFDgNToxFXFETizmNMJTfKrrJ2kUP6qpump</t>
  </si>
  <si>
    <t>3.783 SOL</t>
  </si>
  <si>
    <t>-3.384 SOL</t>
  </si>
  <si>
    <t>-89.44%</t>
  </si>
  <si>
    <t>08.10.2024 19:24:04</t>
  </si>
  <si>
    <t xml:space="preserve">         21K             3M            70K</t>
  </si>
  <si>
    <t>FaLrBGyPcnSHZZ9GeGHvWJ7BdNFHYsnRqqYEujRcJLpM</t>
  </si>
  <si>
    <t>345.74 SOL</t>
  </si>
  <si>
    <t>158%</t>
  </si>
  <si>
    <t>323.35 SOL</t>
  </si>
  <si>
    <t>1 (6%)</t>
  </si>
  <si>
    <t>-5.86%</t>
  </si>
  <si>
    <t>53%</t>
  </si>
  <si>
    <t>107.3 SOL</t>
  </si>
  <si>
    <t>41.2%</t>
  </si>
  <si>
    <t>35.3%</t>
  </si>
  <si>
    <t>364.5 SOL</t>
  </si>
  <si>
    <t>7.0 SOL</t>
  </si>
  <si>
    <t>-11.3 SOL</t>
  </si>
  <si>
    <t>-36.8 SOL</t>
  </si>
  <si>
    <t>968.0K</t>
  </si>
  <si>
    <t>3.859 SOL</t>
  </si>
  <si>
    <t>-1.149 SOL</t>
  </si>
  <si>
    <t>-22.95%</t>
  </si>
  <si>
    <t>30.10.2024 16:48:25</t>
  </si>
  <si>
    <t xml:space="preserve">        262K           202K             9K</t>
  </si>
  <si>
    <t>0.084110</t>
  </si>
  <si>
    <t>379.540 SOL</t>
  </si>
  <si>
    <t>364.455 SOL</t>
  </si>
  <si>
    <t>2416.16%</t>
  </si>
  <si>
    <t>30.10.2024 16:28:56</t>
  </si>
  <si>
    <t xml:space="preserve">        825K            35M            62M</t>
  </si>
  <si>
    <t>-18.012 SOL</t>
  </si>
  <si>
    <t>986,775</t>
  </si>
  <si>
    <t>30.10.2024 16:16:23</t>
  </si>
  <si>
    <t>3Wp5z1GtPqKwyiaicXa7nyXhBVJJ5JgAwzWXuPXqpump</t>
  </si>
  <si>
    <t>10.190 SOL</t>
  </si>
  <si>
    <t>1.78%</t>
  </si>
  <si>
    <t>30.10.2024 15:50:57</t>
  </si>
  <si>
    <t xml:space="preserve">          2M             3M           211K</t>
  </si>
  <si>
    <t>-17.008 SOL</t>
  </si>
  <si>
    <t>637,575</t>
  </si>
  <si>
    <t>30.10.2024 05:37:42</t>
  </si>
  <si>
    <t xml:space="preserve">          5M             4M             4M</t>
  </si>
  <si>
    <t>27.586 SOL</t>
  </si>
  <si>
    <t>30.888 SOL</t>
  </si>
  <si>
    <t>3.286 SOL</t>
  </si>
  <si>
    <t>11.90%</t>
  </si>
  <si>
    <t>29.10.2024 05:33:16</t>
  </si>
  <si>
    <t xml:space="preserve">        968K             4M             7M</t>
  </si>
  <si>
    <t>4.377 SOL</t>
  </si>
  <si>
    <t>-1.631 SOL</t>
  </si>
  <si>
    <t>-27.15%</t>
  </si>
  <si>
    <t>29.10.2024 04:36:21</t>
  </si>
  <si>
    <t xml:space="preserve">        936K           683K            20K</t>
  </si>
  <si>
    <t>-1.780 SOL</t>
  </si>
  <si>
    <t>-59.17%</t>
  </si>
  <si>
    <t>28.10.2024 19:29:13</t>
  </si>
  <si>
    <t xml:space="preserve">        487K           199K             6K</t>
  </si>
  <si>
    <t>12.141 SOL</t>
  </si>
  <si>
    <t>-3.875 SOL</t>
  </si>
  <si>
    <t>-24.20%</t>
  </si>
  <si>
    <t>28.10.2024 19:05:09</t>
  </si>
  <si>
    <t xml:space="preserve">          2M           871K           212K</t>
  </si>
  <si>
    <t>NEONVEINS</t>
  </si>
  <si>
    <t>3.631 SOL</t>
  </si>
  <si>
    <t>-27.50%</t>
  </si>
  <si>
    <t>28.10.2024 17:02:56</t>
  </si>
  <si>
    <t xml:space="preserve">        507K           368K             5K</t>
  </si>
  <si>
    <t>52vEwpTrQaPT6u8iZYcrmAf5seUgDaabje12cNzw2iME</t>
  </si>
  <si>
    <t>19.202 SOL</t>
  </si>
  <si>
    <t>1.194 SOL</t>
  </si>
  <si>
    <t>28.10.2024 16:40:57</t>
  </si>
  <si>
    <t xml:space="preserve">          2M             2M           515K</t>
  </si>
  <si>
    <t>9.500 SOL</t>
  </si>
  <si>
    <t>8.951 SOL</t>
  </si>
  <si>
    <t>-0.557 SOL</t>
  </si>
  <si>
    <t>28.10.2024 14:56:00</t>
  </si>
  <si>
    <t xml:space="preserve">          1M             1M             1M</t>
  </si>
  <si>
    <t>9.832 SOL</t>
  </si>
  <si>
    <t>3.41%</t>
  </si>
  <si>
    <t>28.10.2024 14:44:53</t>
  </si>
  <si>
    <t xml:space="preserve">         12M            13M             7M</t>
  </si>
  <si>
    <t>0.008420</t>
  </si>
  <si>
    <t>29.915 SOL</t>
  </si>
  <si>
    <t>27.227 SOL</t>
  </si>
  <si>
    <t>-2.697 SOL</t>
  </si>
  <si>
    <t>-9.01%</t>
  </si>
  <si>
    <t>28.10.2024 14:33:37</t>
  </si>
  <si>
    <t xml:space="preserve">          7M             2M           940K</t>
  </si>
  <si>
    <t>INT</t>
  </si>
  <si>
    <t>4.044 SOL</t>
  </si>
  <si>
    <t>34.26%</t>
  </si>
  <si>
    <t>27.10.2024 09:00:20</t>
  </si>
  <si>
    <t xml:space="preserve">        149K           183K             7K</t>
  </si>
  <si>
    <t>5ZqPs7FK9EQwXHqdygfqHCV2r7VEYBcd5qVH9vU9pump</t>
  </si>
  <si>
    <t>Cuttlefish</t>
  </si>
  <si>
    <t>3.544 SOL</t>
  </si>
  <si>
    <t>17.82%</t>
  </si>
  <si>
    <t>27.10.2024 07:58:44</t>
  </si>
  <si>
    <t xml:space="preserve">        153K           181K            15K</t>
  </si>
  <si>
    <t>pcEgPrpHFuFCmSSfWUykJfQv7AUfUD1xbhw71oHy7om</t>
  </si>
  <si>
    <t>8.435 SOL</t>
  </si>
  <si>
    <t>5.33%</t>
  </si>
  <si>
    <t>27.10.2024 07:14:03</t>
  </si>
  <si>
    <t xml:space="preserve">        396K           417K            34K</t>
  </si>
  <si>
    <t>7ZxY2EbTdSme1Vwn2HtzWZNXzBJLfUu89gqFaV5ew1h</t>
  </si>
  <si>
    <t>36%</t>
  </si>
  <si>
    <t>34 days</t>
  </si>
  <si>
    <t>4 h</t>
  </si>
  <si>
    <t>-39.84%</t>
  </si>
  <si>
    <t>1.04 SOL</t>
  </si>
  <si>
    <t>24.2%</t>
  </si>
  <si>
    <t>15.2%</t>
  </si>
  <si>
    <t>48.5%</t>
  </si>
  <si>
    <t>-0.1 SOL</t>
  </si>
  <si>
    <t>-2.7 SOL</t>
  </si>
  <si>
    <t>1.0M</t>
  </si>
  <si>
    <t>1.21%</t>
  </si>
  <si>
    <t>30.10.2024 06:05:40</t>
  </si>
  <si>
    <t xml:space="preserve">        206K           220K            14K</t>
  </si>
  <si>
    <t>mozart</t>
  </si>
  <si>
    <t>0.001800</t>
  </si>
  <si>
    <t>281,685</t>
  </si>
  <si>
    <t>29.10.2024 09:14:30</t>
  </si>
  <si>
    <t xml:space="preserve">         70K            70K             5K</t>
  </si>
  <si>
    <t>AU8PyvTMbHWaMFuR3LpNCdSVtUJ4AX4ugTJ6gh8Mpump</t>
  </si>
  <si>
    <t>32.40%</t>
  </si>
  <si>
    <t>29.10.2024 03:51:56</t>
  </si>
  <si>
    <t xml:space="preserve">         13M            13M            62M</t>
  </si>
  <si>
    <t>0.015010</t>
  </si>
  <si>
    <t>-9.99%</t>
  </si>
  <si>
    <t>28.10.2024 20:59:27</t>
  </si>
  <si>
    <t xml:space="preserve">          1M             2M            45K</t>
  </si>
  <si>
    <t>Child AI</t>
  </si>
  <si>
    <t>0.010900</t>
  </si>
  <si>
    <t>110.78%</t>
  </si>
  <si>
    <t>28.10.2024 10:04:59</t>
  </si>
  <si>
    <t xml:space="preserve">          2M             2M           555K</t>
  </si>
  <si>
    <t>EYrci5wDqErWHXjKPLxeWtbXq36JcFKzCC7JoMi1pump</t>
  </si>
  <si>
    <t>0.014890</t>
  </si>
  <si>
    <t>-8.20%</t>
  </si>
  <si>
    <t>28.10.2024 10:04:35</t>
  </si>
  <si>
    <t>0.009810</t>
  </si>
  <si>
    <t>33.00%</t>
  </si>
  <si>
    <t>28.10.2024 09:39:57</t>
  </si>
  <si>
    <t xml:space="preserve">        438K           638K            11K</t>
  </si>
  <si>
    <t>0.009350</t>
  </si>
  <si>
    <t>28.10.2024 08:39:24</t>
  </si>
  <si>
    <t xml:space="preserve">         56K            72K             4K</t>
  </si>
  <si>
    <t>Defaced</t>
  </si>
  <si>
    <t>690,352</t>
  </si>
  <si>
    <t>27.10.2024 14:12:00</t>
  </si>
  <si>
    <t xml:space="preserve">         48K            48K             5K</t>
  </si>
  <si>
    <t>6FbHd9DjMQK9ZUFEUaQchNqhfczzVfqqZozNnbqXpump</t>
  </si>
  <si>
    <t>Yes</t>
  </si>
  <si>
    <t>7,086</t>
  </si>
  <si>
    <t>27.10.2024 08:55:54</t>
  </si>
  <si>
    <t xml:space="preserve">          2M             2M            82K</t>
  </si>
  <si>
    <t>6Rx89EvU1fNGv5htXGTUs3HPoQjcYSLh8KDd5RPwpump</t>
  </si>
  <si>
    <t>CLINST</t>
  </si>
  <si>
    <t>0.010490</t>
  </si>
  <si>
    <t>26.10.2024 11:38:36</t>
  </si>
  <si>
    <t xml:space="preserve">        229K           229K            96K</t>
  </si>
  <si>
    <t>8jv1q4Z1jbd22A5MSWruC77DhHESwMr6Er3D8hBXpump</t>
  </si>
  <si>
    <t>42,200</t>
  </si>
  <si>
    <t>26.10.2024 11:38:02</t>
  </si>
  <si>
    <t xml:space="preserve">        768K           768K            11K</t>
  </si>
  <si>
    <t>0.008600</t>
  </si>
  <si>
    <t>26.39%</t>
  </si>
  <si>
    <t>25.10.2024 15:31:08</t>
  </si>
  <si>
    <t xml:space="preserve">        512K           702K            25M</t>
  </si>
  <si>
    <t>MEMO</t>
  </si>
  <si>
    <t>41,979</t>
  </si>
  <si>
    <t>25.10.2024 04:02:57</t>
  </si>
  <si>
    <t xml:space="preserve">        798K           798K            10K</t>
  </si>
  <si>
    <t>oJ4EYgeDfviyFYDNmyXSjpMqjuXwq7wpGP1rm1Hpump</t>
  </si>
  <si>
    <t>17,489</t>
  </si>
  <si>
    <t>25.10.2024 02:14:34</t>
  </si>
  <si>
    <t xml:space="preserve">          2M             2M            12K</t>
  </si>
  <si>
    <t>babalon</t>
  </si>
  <si>
    <t>0.001790</t>
  </si>
  <si>
    <t>0.223 SOL</t>
  </si>
  <si>
    <t>-0.225 SOL</t>
  </si>
  <si>
    <t>1,597,096</t>
  </si>
  <si>
    <t>24.10.2024 13:31:05</t>
  </si>
  <si>
    <t>31Zf2b5Bf7zJrk5pQ15ffcrvbXuVqLos8Z5NkJ1qpump</t>
  </si>
  <si>
    <t>0.010580</t>
  </si>
  <si>
    <t>20.41%</t>
  </si>
  <si>
    <t>24.10.2024 10:52:14</t>
  </si>
  <si>
    <t xml:space="preserve">          9M            12M             4M</t>
  </si>
  <si>
    <t>0.010630</t>
  </si>
  <si>
    <t>-5.47%</t>
  </si>
  <si>
    <t>24.10.2024 03:04:00</t>
  </si>
  <si>
    <t xml:space="preserve">         48M            48M            35M</t>
  </si>
  <si>
    <t>Shoggoth</t>
  </si>
  <si>
    <t>0.012200</t>
  </si>
  <si>
    <t>1.425 SOL</t>
  </si>
  <si>
    <t>1.213 SOL</t>
  </si>
  <si>
    <t>571.66%</t>
  </si>
  <si>
    <t>23.10.2024 15:18:22</t>
  </si>
  <si>
    <t xml:space="preserve">          2M             7M            12M</t>
  </si>
  <si>
    <t>H2c31USxu35MDkBrGph8pUDUnmzo2e4Rf4hnvL2Upump</t>
  </si>
  <si>
    <t>-2.22%</t>
  </si>
  <si>
    <t>23.10.2024 12:16:15</t>
  </si>
  <si>
    <t>29,573</t>
  </si>
  <si>
    <t>23.10.2024 06:28:33</t>
  </si>
  <si>
    <t>loop</t>
  </si>
  <si>
    <t>0.009780</t>
  </si>
  <si>
    <t>-82.99%</t>
  </si>
  <si>
    <t>22.10.2024 03:07:43</t>
  </si>
  <si>
    <t xml:space="preserve">        689K           689K            17K</t>
  </si>
  <si>
    <t>33ihhsv2zxE1uxRQTpKKkLzFq1gL514G11brfgqGpump</t>
  </si>
  <si>
    <t>0.004680</t>
  </si>
  <si>
    <t>0.654 SOL</t>
  </si>
  <si>
    <t>319.59%</t>
  </si>
  <si>
    <t>22.10.2024 02:04:38</t>
  </si>
  <si>
    <t xml:space="preserve">          6M            11M            24M</t>
  </si>
  <si>
    <t>0.002150</t>
  </si>
  <si>
    <t>28,999</t>
  </si>
  <si>
    <t>21.10.2024 12:58:00</t>
  </si>
  <si>
    <t xml:space="preserve">          1M             1M           402K</t>
  </si>
  <si>
    <t>0.008350</t>
  </si>
  <si>
    <t>-79.92%</t>
  </si>
  <si>
    <t>21.10.2024 12:07:56</t>
  </si>
  <si>
    <t xml:space="preserve">          2M           424K           189K</t>
  </si>
  <si>
    <t>0.001250</t>
  </si>
  <si>
    <t>-71.84%</t>
  </si>
  <si>
    <t>18.10.2024 23:39:19</t>
  </si>
  <si>
    <t xml:space="preserve">        271K            77K            10K</t>
  </si>
  <si>
    <t>0.005460</t>
  </si>
  <si>
    <t>103.42%</t>
  </si>
  <si>
    <t>14.10.2024 15:46:12</t>
  </si>
  <si>
    <t xml:space="preserve">          3M             1M            19K</t>
  </si>
  <si>
    <t>POD</t>
  </si>
  <si>
    <t>5,168</t>
  </si>
  <si>
    <t>29.09.2024 00:17:34</t>
  </si>
  <si>
    <t xml:space="preserve">          7M             7M            55K</t>
  </si>
  <si>
    <t>AiYhnwWiqbdSiEHgAzqrurcdoZx4V21mnuMt5ps2pump</t>
  </si>
  <si>
    <t>Gogo</t>
  </si>
  <si>
    <t>27.09.2024 06:31:15</t>
  </si>
  <si>
    <t xml:space="preserve">          2M             2M            13K</t>
  </si>
  <si>
    <t>5Qyg1Q9DH9mv7CdFn2Qe1go2BFXe1MgVSvkEnf6Fpump</t>
  </si>
  <si>
    <t>JONA</t>
  </si>
  <si>
    <t>8,359</t>
  </si>
  <si>
    <t>27.09.2024 03:30:33</t>
  </si>
  <si>
    <t xml:space="preserve">          4M             4M            95K</t>
  </si>
  <si>
    <t>FEFwYgVvKaNUMxKaUB7vpoQ9dZkoHAzfHa1p4joXEaKA</t>
  </si>
  <si>
    <t>WINKY</t>
  </si>
  <si>
    <t>652,295</t>
  </si>
  <si>
    <t>27.09.2024 02:30:47</t>
  </si>
  <si>
    <t>4qtgF3MLRPmMA5JLwv7cq1cMxnTzr79kk4xuicW1Uxn1</t>
  </si>
  <si>
    <t>Hope</t>
  </si>
  <si>
    <t>0.003380</t>
  </si>
  <si>
    <t>-79.83%</t>
  </si>
  <si>
    <t>27.09.2024 00:41:27</t>
  </si>
  <si>
    <t xml:space="preserve">        236K            49K             8K</t>
  </si>
  <si>
    <t>572CVtzp3HySAYG2ok1iWt1tgVWupdj9bqmfGXLzpump</t>
  </si>
  <si>
    <t>omochi</t>
  </si>
  <si>
    <t>19.76%</t>
  </si>
  <si>
    <t>26.09.2024 07:49:17</t>
  </si>
  <si>
    <t xml:space="preserve">          6M             7M           518K</t>
  </si>
  <si>
    <t>ESVRQ6phc55VCw7sWB6JgW3PeTB6N68kvwjfsMPcpump</t>
  </si>
  <si>
    <t>8321eKJ6VRfUS9LEJAniU1pWtUynDNQYZtixiPEpkc7A</t>
  </si>
  <si>
    <t>6.99 SOL</t>
  </si>
  <si>
    <t>145.15 SOL</t>
  </si>
  <si>
    <t>72 (90%)</t>
  </si>
  <si>
    <t>3.03%</t>
  </si>
  <si>
    <t>2.5%</t>
  </si>
  <si>
    <t>8.8%</t>
  </si>
  <si>
    <t>31.2%</t>
  </si>
  <si>
    <t>45.0%</t>
  </si>
  <si>
    <t>89.9 SOL</t>
  </si>
  <si>
    <t>51.0 SOL</t>
  </si>
  <si>
    <t>19.0 SOL</t>
  </si>
  <si>
    <t>18.3 SOL</t>
  </si>
  <si>
    <t>-26.3 SOL</t>
  </si>
  <si>
    <t>-6.7 SOL</t>
  </si>
  <si>
    <t>Strepito</t>
  </si>
  <si>
    <t>5.889 SOL</t>
  </si>
  <si>
    <t>47.05%</t>
  </si>
  <si>
    <t>30.10.2024 21:29:07</t>
  </si>
  <si>
    <t>BXF8EqjURoD78aqV8juicqxyUfTRt5macp9SVzMzpump</t>
  </si>
  <si>
    <t>catdg</t>
  </si>
  <si>
    <t>4.657 SOL</t>
  </si>
  <si>
    <t>3.821 SOL</t>
  </si>
  <si>
    <t>-0.838 SOL</t>
  </si>
  <si>
    <t>-17.98%</t>
  </si>
  <si>
    <t>30.10.2024 21:13:58</t>
  </si>
  <si>
    <t>9zCKe3S7qSw5Amndisrnr2qSeMrapKg7b6ERvzqFpump</t>
  </si>
  <si>
    <t>Maya</t>
  </si>
  <si>
    <t>0.101310</t>
  </si>
  <si>
    <t>3.347 SOL</t>
  </si>
  <si>
    <t>-2.858 SOL</t>
  </si>
  <si>
    <t>-82.89%</t>
  </si>
  <si>
    <t>30.10.2024 17:55:55</t>
  </si>
  <si>
    <t xml:space="preserve">         25K             4K             5K</t>
  </si>
  <si>
    <t>PrnszTip5B15WUuqrtSfh4fVHuojR8TsUBTnGQzpump</t>
  </si>
  <si>
    <t>Eternal</t>
  </si>
  <si>
    <t>4.723 SOL</t>
  </si>
  <si>
    <t>-4.55%</t>
  </si>
  <si>
    <t>30.10.2024 17:20:54</t>
  </si>
  <si>
    <t>AsBNqCEo9wR5H5UWpRSsQm9joYHhENJURMST8ZaEpump</t>
  </si>
  <si>
    <t>Flex</t>
  </si>
  <si>
    <t>3.920 SOL</t>
  </si>
  <si>
    <t>3.254 SOL</t>
  </si>
  <si>
    <t>30.10.2024 17:09:36</t>
  </si>
  <si>
    <t>DV3LvrFYmYp8dg9HyfTvpx4ioftfjkNRjbprLiNWpump</t>
  </si>
  <si>
    <t>4.295 SOL</t>
  </si>
  <si>
    <t>-2.549 SOL</t>
  </si>
  <si>
    <t>-37.24%</t>
  </si>
  <si>
    <t>30.10.2024 17:04:28</t>
  </si>
  <si>
    <t xml:space="preserve">         12K             9K             4K</t>
  </si>
  <si>
    <t>6.357 SOL</t>
  </si>
  <si>
    <t>7.277 SOL</t>
  </si>
  <si>
    <t>0.919 SOL</t>
  </si>
  <si>
    <t>14.45%</t>
  </si>
  <si>
    <t>30.10.2024 16:59:39</t>
  </si>
  <si>
    <t>3.730 SOL</t>
  </si>
  <si>
    <t>7.549 SOL</t>
  </si>
  <si>
    <t>3.818 SOL</t>
  </si>
  <si>
    <t>102.33%</t>
  </si>
  <si>
    <t>30.10.2024 16:48:32</t>
  </si>
  <si>
    <t>?ac</t>
  </si>
  <si>
    <t>1.896 SOL</t>
  </si>
  <si>
    <t>-7.40%</t>
  </si>
  <si>
    <t>30.10.2024 16:26:56</t>
  </si>
  <si>
    <t>6NHsJ8zzh3oaW61tPTYCtk9hAmPqBFB4Q4thrzWTpump</t>
  </si>
  <si>
    <t>12.561 SOL</t>
  </si>
  <si>
    <t>8.415 SOL</t>
  </si>
  <si>
    <t>202.97%</t>
  </si>
  <si>
    <t>30.10.2024 16:20:47</t>
  </si>
  <si>
    <t>2 sec</t>
  </si>
  <si>
    <t xml:space="preserve">          9K            25K             5K</t>
  </si>
  <si>
    <t>gpu cat</t>
  </si>
  <si>
    <t>6.237 SOL</t>
  </si>
  <si>
    <t>-0.844 SOL</t>
  </si>
  <si>
    <t>-11.93%</t>
  </si>
  <si>
    <t>30.10.2024 15:57:24</t>
  </si>
  <si>
    <t>9vbyfijhYJDGPqGJYu2Gs78VmYRivCu8GX7f7Z18pump</t>
  </si>
  <si>
    <t>GFMDOG</t>
  </si>
  <si>
    <t>4.892 SOL</t>
  </si>
  <si>
    <t>-19.98%</t>
  </si>
  <si>
    <t>30.10.2024 15:00:37</t>
  </si>
  <si>
    <t>41XN5xD3mdFwuqm2hQxHTVMfLw7n58DqFnPrkivkpump</t>
  </si>
  <si>
    <t>4.501 SOL</t>
  </si>
  <si>
    <t>139.01%</t>
  </si>
  <si>
    <t>30.10.2024 14:44:35</t>
  </si>
  <si>
    <t>EVAAI</t>
  </si>
  <si>
    <t>4.927 SOL</t>
  </si>
  <si>
    <t>5.620 SOL</t>
  </si>
  <si>
    <t>14.01%</t>
  </si>
  <si>
    <t>30.10.2024 14:37:53</t>
  </si>
  <si>
    <t>5y2zvZCUVE6bHxT25xdAi7icfAc2jH3rjBj6RfvGpump</t>
  </si>
  <si>
    <t>BO</t>
  </si>
  <si>
    <t>-9.08%</t>
  </si>
  <si>
    <t>30.10.2024 01:33:27</t>
  </si>
  <si>
    <t>EHvFSJSD1MkwW5JexkkZpBB9awzGcfXzD1R2dEUKpump</t>
  </si>
  <si>
    <t>Synthia</t>
  </si>
  <si>
    <t>2.234 SOL</t>
  </si>
  <si>
    <t>-1.787 SOL</t>
  </si>
  <si>
    <t>-44.44%</t>
  </si>
  <si>
    <t>30.10.2024 00:38:08</t>
  </si>
  <si>
    <t>EaZAoRiAponLCG6QMr3UPmc8hP2g246PwxbfJnmJpump</t>
  </si>
  <si>
    <t>SYNTHIA</t>
  </si>
  <si>
    <t>4.812 SOL</t>
  </si>
  <si>
    <t>6.087 SOL</t>
  </si>
  <si>
    <t>23.87%</t>
  </si>
  <si>
    <t>30.10.2024 00:33:21</t>
  </si>
  <si>
    <t>7dRub4cETgNFfMSgFYeW8HGeSmMu5AJcLuyZMbokpump</t>
  </si>
  <si>
    <t>PACMAN</t>
  </si>
  <si>
    <t>-0.416 SOL</t>
  </si>
  <si>
    <t>-16.17%</t>
  </si>
  <si>
    <t>30.10.2024 00:24:54</t>
  </si>
  <si>
    <t>BqoWb77bVx9AgyfhMQixP1dhJYsU6Va56oGbGkkJpump</t>
  </si>
  <si>
    <t>TokoMadobe</t>
  </si>
  <si>
    <t>2.817 SOL</t>
  </si>
  <si>
    <t>0.651 SOL</t>
  </si>
  <si>
    <t>30.06%</t>
  </si>
  <si>
    <t>29.10.2024 23:05:28</t>
  </si>
  <si>
    <t>HeqJy4tBdRBzfksbACoT2fsMuUkGAbmUhVMHmA8rpump</t>
  </si>
  <si>
    <t>4.628 SOL</t>
  </si>
  <si>
    <t>3.677 SOL</t>
  </si>
  <si>
    <t>-0.952 SOL</t>
  </si>
  <si>
    <t>29.10.2024 19:45:53</t>
  </si>
  <si>
    <t>G3epgsoDVrpEvjejcCyFyfvyR8YhvwSqw5WkELnGpump</t>
  </si>
  <si>
    <t>FFDOG</t>
  </si>
  <si>
    <t>3.944 SOL</t>
  </si>
  <si>
    <t>29.10.2024 18:46:14</t>
  </si>
  <si>
    <t>DWyhndxZVyL5HHDNQDX7CfxX7bF8pGT3KeriNXLMvAMC</t>
  </si>
  <si>
    <t>pSHIBA</t>
  </si>
  <si>
    <t>3.949 SOL</t>
  </si>
  <si>
    <t>3.736 SOL</t>
  </si>
  <si>
    <t>-5.43%</t>
  </si>
  <si>
    <t>29.10.2024 18:31:00</t>
  </si>
  <si>
    <t>7G7tLo4H9q1CjwRyjf9d13usDPwjWwEueFx3XZiCpump</t>
  </si>
  <si>
    <t>3.368 SOL</t>
  </si>
  <si>
    <t>-1.640 SOL</t>
  </si>
  <si>
    <t>-47.27%</t>
  </si>
  <si>
    <t>29.10.2024 18:25:11</t>
  </si>
  <si>
    <t>8hBbGwRttxU1xG6YUGqRwxs2eP26ZYBHxztTC5prpump</t>
  </si>
  <si>
    <t>CAI</t>
  </si>
  <si>
    <t>4.172 SOL</t>
  </si>
  <si>
    <t>29.10.2024 18:16:44</t>
  </si>
  <si>
    <t>EK4VriLqDYxVegnHXNDZ5R6uEoWcQUtYPGEmmcbjpump</t>
  </si>
  <si>
    <t>Buraq</t>
  </si>
  <si>
    <t>1.841 SOL</t>
  </si>
  <si>
    <t>-0.532 SOL</t>
  </si>
  <si>
    <t>-22.41%</t>
  </si>
  <si>
    <t>29.10.2024 18:10:29</t>
  </si>
  <si>
    <t>7B8m1uatMnx1mkx2WMXGWyH3Wc6egbCbtEgarHbvpump</t>
  </si>
  <si>
    <t>Bernini</t>
  </si>
  <si>
    <t>2.867 SOL</t>
  </si>
  <si>
    <t>2.437 SOL</t>
  </si>
  <si>
    <t>-17.91%</t>
  </si>
  <si>
    <t>29.10.2024 17:33:17</t>
  </si>
  <si>
    <t>FtVkMr8KDsiETNJbo5tWh33MeYLoEaBfimNzs3wTnaFx</t>
  </si>
  <si>
    <t>4.825 SOL</t>
  </si>
  <si>
    <t>9.831 SOL</t>
  </si>
  <si>
    <t>4.905 SOL</t>
  </si>
  <si>
    <t>99.57%</t>
  </si>
  <si>
    <t>29.10.2024 16:09:53</t>
  </si>
  <si>
    <t xml:space="preserve">          9K            19K             5K</t>
  </si>
  <si>
    <t xml:space="preserve">Proxima </t>
  </si>
  <si>
    <t>7.231 SOL</t>
  </si>
  <si>
    <t>4.497 SOL</t>
  </si>
  <si>
    <t>-2.736 SOL</t>
  </si>
  <si>
    <t>-37.83%</t>
  </si>
  <si>
    <t>29.10.2024 14:50:36</t>
  </si>
  <si>
    <t>5pnvwnDcTcJ5jFBpzjTh7p2osPUiU3fUspjEX41Epump</t>
  </si>
  <si>
    <t>0.201310</t>
  </si>
  <si>
    <t>5.038 SOL</t>
  </si>
  <si>
    <t>18.569 SOL</t>
  </si>
  <si>
    <t>13.330 SOL</t>
  </si>
  <si>
    <t>254.43%</t>
  </si>
  <si>
    <t>29.10.2024 14:34:31</t>
  </si>
  <si>
    <t>3.611 SOL</t>
  </si>
  <si>
    <t>2.758 SOL</t>
  </si>
  <si>
    <t>-0.954 SOL</t>
  </si>
  <si>
    <t>-25.70%</t>
  </si>
  <si>
    <t>Proxima</t>
  </si>
  <si>
    <t>0.301320</t>
  </si>
  <si>
    <t>36.948 SOL</t>
  </si>
  <si>
    <t>33.285 SOL</t>
  </si>
  <si>
    <t>908.73%</t>
  </si>
  <si>
    <t>29.10.2024 13:27:45</t>
  </si>
  <si>
    <t xml:space="preserve">          7K            62K             4K</t>
  </si>
  <si>
    <t>C4BifihNaDcfRFZL9N9xwcd832e8TFQgbPbHMEXipump</t>
  </si>
  <si>
    <t>CHRIST</t>
  </si>
  <si>
    <t>54.99%</t>
  </si>
  <si>
    <t>29.10.2024 12:52:23</t>
  </si>
  <si>
    <t xml:space="preserve">         11K            16K             4K</t>
  </si>
  <si>
    <t>H79HgWNrsLYjieNGvN8NuX97RMY1B7RJPowE5cDbpump</t>
  </si>
  <si>
    <t>5.639 SOL</t>
  </si>
  <si>
    <t>1.332 SOL</t>
  </si>
  <si>
    <t>30.94%</t>
  </si>
  <si>
    <t>29.10.2024 03:55:29</t>
  </si>
  <si>
    <t>E9CZvpPCbz1xxNNeXZe759g5vbw3oHGScde3FhpHpump</t>
  </si>
  <si>
    <t>4.119 SOL</t>
  </si>
  <si>
    <t>3.532 SOL</t>
  </si>
  <si>
    <t>-0.588 SOL</t>
  </si>
  <si>
    <t>-14.28%</t>
  </si>
  <si>
    <t>29.10.2024 03:02:15</t>
  </si>
  <si>
    <t>FbJryrNvtpJgGnnufZVdbyKkQLjNDtuKjoe8QAwCpump</t>
  </si>
  <si>
    <t>5.062 SOL</t>
  </si>
  <si>
    <t>4.150 SOL</t>
  </si>
  <si>
    <t>-0.914 SOL</t>
  </si>
  <si>
    <t>-18.06%</t>
  </si>
  <si>
    <t>29.10.2024 02:59:18</t>
  </si>
  <si>
    <t>7UWcAKYqhjRsXny62tjB58esgtNXChWRvAwkZUhLpump</t>
  </si>
  <si>
    <t>0.034850</t>
  </si>
  <si>
    <t>4.430 SOL</t>
  </si>
  <si>
    <t>9.798 SOL</t>
  </si>
  <si>
    <t>5.333 SOL</t>
  </si>
  <si>
    <t>119.45%</t>
  </si>
  <si>
    <t>29.10.2024 02:26:42</t>
  </si>
  <si>
    <t>Phan</t>
  </si>
  <si>
    <t>0.040310</t>
  </si>
  <si>
    <t>3.589 SOL</t>
  </si>
  <si>
    <t>10.70%</t>
  </si>
  <si>
    <t>29.10.2024 01:10:55</t>
  </si>
  <si>
    <t>DFdvhBAB73XfgdQvyTQKvuVQ7FJAHD5QHEPC4ukpump</t>
  </si>
  <si>
    <t>3.214 SOL</t>
  </si>
  <si>
    <t>3.708 SOL</t>
  </si>
  <si>
    <t>15.32%</t>
  </si>
  <si>
    <t>29.10.2024 00:35:03</t>
  </si>
  <si>
    <t>XpTDtXwR3XBx7u8LhHmyrbjbjFXJFCapTX8i2kkpump</t>
  </si>
  <si>
    <t>2.342 SOL</t>
  </si>
  <si>
    <t>4.097 SOL</t>
  </si>
  <si>
    <t>1.753 SOL</t>
  </si>
  <si>
    <t>74.79%</t>
  </si>
  <si>
    <t>28.10.2024 23:50:31</t>
  </si>
  <si>
    <t>AzQ9z5SmBB7utdENgXnKguCfgwZuStB4TspAWEKEpump</t>
  </si>
  <si>
    <t>RONALD</t>
  </si>
  <si>
    <t>-4.45%</t>
  </si>
  <si>
    <t>28.10.2024 21:42:54</t>
  </si>
  <si>
    <t>FoJYdfkQDQSLYoXahXqY5v17eaaNLgcvsBJ1Jr7Dpump</t>
  </si>
  <si>
    <t>Chiitan</t>
  </si>
  <si>
    <t>0.693 SOL</t>
  </si>
  <si>
    <t>31.82%</t>
  </si>
  <si>
    <t>28.10.2024 21:39:39</t>
  </si>
  <si>
    <t>BZ9hewd3X8KRcYWF5uXcaUNJuTVyunpHFss7NCczpump</t>
  </si>
  <si>
    <t>CBM</t>
  </si>
  <si>
    <t>7.188 SOL</t>
  </si>
  <si>
    <t>2.677 SOL</t>
  </si>
  <si>
    <t>59.33%</t>
  </si>
  <si>
    <t>28.10.2024 21:35:01</t>
  </si>
  <si>
    <t>A22zdm7aSuXeS26pNQpoazXBZnC4hzY6wkDJL8HBpump</t>
  </si>
  <si>
    <t>RGPT</t>
  </si>
  <si>
    <t>8.818 SOL</t>
  </si>
  <si>
    <t>6.081 SOL</t>
  </si>
  <si>
    <t>222.20%</t>
  </si>
  <si>
    <t>28.10.2024 19:35:28</t>
  </si>
  <si>
    <t xml:space="preserve">         12K            40K             5K</t>
  </si>
  <si>
    <t>BkVwR9hsVhuTmHfctELB8gwqSX7XBE9Tkvm9rwbupump</t>
  </si>
  <si>
    <t>HAI</t>
  </si>
  <si>
    <t>0.040910</t>
  </si>
  <si>
    <t>6.271 SOL</t>
  </si>
  <si>
    <t>4.977 SOL</t>
  </si>
  <si>
    <t>-1.335 SOL</t>
  </si>
  <si>
    <t>-21.15%</t>
  </si>
  <si>
    <t>28.10.2024 18:45:41</t>
  </si>
  <si>
    <t>6zbiNfZRdK1pKCGdidGJCzjXajFQMZVxLP6GC7b5pump</t>
  </si>
  <si>
    <t>0.073910</t>
  </si>
  <si>
    <t>1.975 SOL</t>
  </si>
  <si>
    <t>-1.172 SOL</t>
  </si>
  <si>
    <t>-37.23%</t>
  </si>
  <si>
    <t>28.10.2024 17:10:19</t>
  </si>
  <si>
    <t>5JpJH2x1RQL6V197nA63yuzpcq4faRgv3iqhX3gb7P6Y</t>
  </si>
  <si>
    <t>sky</t>
  </si>
  <si>
    <t>0.051300</t>
  </si>
  <si>
    <t>4.963 SOL</t>
  </si>
  <si>
    <t>5.643 SOL</t>
  </si>
  <si>
    <t>0.629 SOL</t>
  </si>
  <si>
    <t>12.55%</t>
  </si>
  <si>
    <t>28.10.2024 17:09:21</t>
  </si>
  <si>
    <t>6oGUHU1MyhdjVfM5aGcHRWEgdE9JJsdhnHNkYgFpZknm</t>
  </si>
  <si>
    <t>Pelegrin</t>
  </si>
  <si>
    <t>5.080 SOL</t>
  </si>
  <si>
    <t>1.414 SOL</t>
  </si>
  <si>
    <t>38.57%</t>
  </si>
  <si>
    <t>28.10.2024 17:02:31</t>
  </si>
  <si>
    <t xml:space="preserve">         11K            16K            14K</t>
  </si>
  <si>
    <t>9pXyjZjGcHC5LKviV2RCsrmsLooW16SBNMPj6B6eGJsT</t>
  </si>
  <si>
    <t>PARTICLE</t>
  </si>
  <si>
    <t>3.397 SOL</t>
  </si>
  <si>
    <t>5.924 SOL</t>
  </si>
  <si>
    <t>2.525 SOL</t>
  </si>
  <si>
    <t>74.28%</t>
  </si>
  <si>
    <t>28.10.2024 16:17:57</t>
  </si>
  <si>
    <t>F9jpGjgzpYR4mfz2Mu5jb7PGsX64RAidHfD4AqCApump</t>
  </si>
  <si>
    <t>3t3sting</t>
  </si>
  <si>
    <t>5.43%</t>
  </si>
  <si>
    <t>28.10.2024 16:16:06</t>
  </si>
  <si>
    <t>TrAhKMKXwrAcauN9Pg2WaAJka6HQKpkEq8ZUn53pump</t>
  </si>
  <si>
    <t>PAWGPUAH</t>
  </si>
  <si>
    <t>7.135 SOL</t>
  </si>
  <si>
    <t>3.255 SOL</t>
  </si>
  <si>
    <t>-3.881 SOL</t>
  </si>
  <si>
    <t>-54.39%</t>
  </si>
  <si>
    <t>28.10.2024 16:11:29</t>
  </si>
  <si>
    <t>DnK8H3Aa79fuMPGn4KtuPJbYHRFPRrVqWZRYAZTmpump</t>
  </si>
  <si>
    <t>0.237020</t>
  </si>
  <si>
    <t>3.359 SOL</t>
  </si>
  <si>
    <t>60.170 SOL</t>
  </si>
  <si>
    <t>56.573 SOL</t>
  </si>
  <si>
    <t>1573.17%</t>
  </si>
  <si>
    <t>28.10.2024 14:02:32</t>
  </si>
  <si>
    <t xml:space="preserve">          7K            76K             4K</t>
  </si>
  <si>
    <t>Guild</t>
  </si>
  <si>
    <t>0.040540</t>
  </si>
  <si>
    <t>-0.798 SOL</t>
  </si>
  <si>
    <t>-31.50%</t>
  </si>
  <si>
    <t>28.10.2024 13:52:23</t>
  </si>
  <si>
    <t>FiRb4Se6dSUmQfwPRbAoFLAjBPfNVeaNV8dao5xepump</t>
  </si>
  <si>
    <t>TRAI</t>
  </si>
  <si>
    <t>0.026330</t>
  </si>
  <si>
    <t>1.658 SOL</t>
  </si>
  <si>
    <t>-0.675 SOL</t>
  </si>
  <si>
    <t>-28.92%</t>
  </si>
  <si>
    <t>28.10.2024 13:34:05</t>
  </si>
  <si>
    <t>CuaMcgt7fakHKHC6SB5ccbMYqd3HWvKkGpM8pk3cpump</t>
  </si>
  <si>
    <t>Sawyer</t>
  </si>
  <si>
    <t>2.289 SOL</t>
  </si>
  <si>
    <t>-0.383 SOL</t>
  </si>
  <si>
    <t>-16.73%</t>
  </si>
  <si>
    <t>28.10.2024 05:44:04</t>
  </si>
  <si>
    <t>1 sec</t>
  </si>
  <si>
    <t>4tEp5G8EpfvzuZNL5oTYfkXD21mhVTbomo4kga6vpump</t>
  </si>
  <si>
    <t>etoz</t>
  </si>
  <si>
    <t>2.805 SOL</t>
  </si>
  <si>
    <t>12.73%</t>
  </si>
  <si>
    <t>28.10.2024 02:48:27</t>
  </si>
  <si>
    <t>6KHh21UbaYTkrPkRY9YqnZfGXP2Po5dgphctEnEqpump</t>
  </si>
  <si>
    <t>QUANTA</t>
  </si>
  <si>
    <t>17.73%</t>
  </si>
  <si>
    <t>28.10.2024 01:46:36</t>
  </si>
  <si>
    <t>CewyDzgbaYfsE6jbYikzYwrCSqXWmZUgboBYGaQ8pump</t>
  </si>
  <si>
    <t>intern</t>
  </si>
  <si>
    <t>3.145 SOL</t>
  </si>
  <si>
    <t>-9.98%</t>
  </si>
  <si>
    <t>28.10.2024 01:42:00</t>
  </si>
  <si>
    <t>HFMPhasm9QSV1RPf15FxGmJw8VunK8P3HNFV7kzZbAnN</t>
  </si>
  <si>
    <t>-0.92%</t>
  </si>
  <si>
    <t>28.10.2024 01:39:20</t>
  </si>
  <si>
    <t>EsRopjRRKuMhpWdTnTs9WsQZn23JetZ3enLkiVWipump</t>
  </si>
  <si>
    <t>0.031920</t>
  </si>
  <si>
    <t>11.432 SOL</t>
  </si>
  <si>
    <t>7.632 SOL</t>
  </si>
  <si>
    <t>200.84%</t>
  </si>
  <si>
    <t>28.10.2024 01:30:13</t>
  </si>
  <si>
    <t>@MEME</t>
  </si>
  <si>
    <t>2.742 SOL</t>
  </si>
  <si>
    <t>7.22%</t>
  </si>
  <si>
    <t>27.10.2024 22:31:22</t>
  </si>
  <si>
    <t>H2usZiLVvPJYLozDHrsFDQLc7qxWsAxNqHaM5WsYpump</t>
  </si>
  <si>
    <t>5.013 SOL</t>
  </si>
  <si>
    <t>1.856 SOL</t>
  </si>
  <si>
    <t>58.80%</t>
  </si>
  <si>
    <t>27.10.2024 17:54:07</t>
  </si>
  <si>
    <t>1.63%</t>
  </si>
  <si>
    <t>27.10.2024 17:24:52</t>
  </si>
  <si>
    <t>GX21WoLuJJZctuwBb9rGBE38i1EtNNFXqjAsC8mgpump</t>
  </si>
  <si>
    <t>3.967 SOL</t>
  </si>
  <si>
    <t>3.312 SOL</t>
  </si>
  <si>
    <t>-16.54%</t>
  </si>
  <si>
    <t>27.10.2024 17:22:45</t>
  </si>
  <si>
    <t>G2haB7dhfbRvz9LhxP9QcTwcxLWFyvRdvwWrQspBpump</t>
  </si>
  <si>
    <t>DATA</t>
  </si>
  <si>
    <t>3.041 SOL</t>
  </si>
  <si>
    <t>4.285 SOL</t>
  </si>
  <si>
    <t>1.243 SOL</t>
  </si>
  <si>
    <t>40.85%</t>
  </si>
  <si>
    <t>27.10.2024 16:50:04</t>
  </si>
  <si>
    <t>7PCzWWf2raZsYQ6WGAtwea9txZWbJ5L7EZwYhUpApump</t>
  </si>
  <si>
    <t>Banksy</t>
  </si>
  <si>
    <t>3.057 SOL</t>
  </si>
  <si>
    <t>4.926 SOL</t>
  </si>
  <si>
    <t>61.04%</t>
  </si>
  <si>
    <t>27.10.2024 15:54:04</t>
  </si>
  <si>
    <t xml:space="preserve">          9K            14K             4K</t>
  </si>
  <si>
    <t>EhhdV9bUeKAAB3qMpyQsugP4CGp4fA1e7LQqE1Xpump</t>
  </si>
  <si>
    <t>HEART</t>
  </si>
  <si>
    <t>6.030 SOL</t>
  </si>
  <si>
    <t>1.536 SOL</t>
  </si>
  <si>
    <t>27.10.2024 15:13:13</t>
  </si>
  <si>
    <t>7DfhBRC1KAdpycSH58VQhN3AuyNsPDsxiCaRjCdapump</t>
  </si>
  <si>
    <t>CHATGPT</t>
  </si>
  <si>
    <t>19.70%</t>
  </si>
  <si>
    <t>27.10.2024 14:58:58</t>
  </si>
  <si>
    <t>GH8WzSckBr2GhjWjZgVyVb4jSu45kPCdVRbi82D6pump</t>
  </si>
  <si>
    <t>LOM</t>
  </si>
  <si>
    <t>3.043 SOL</t>
  </si>
  <si>
    <t>2.517 SOL</t>
  </si>
  <si>
    <t>-0.527 SOL</t>
  </si>
  <si>
    <t>27.10.2024 13:59:34</t>
  </si>
  <si>
    <t>Sy62iXPSPYhsVKpAJvek4abq7nUZEUUPxonJXg6pump</t>
  </si>
  <si>
    <t>1.059 SOL</t>
  </si>
  <si>
    <t>0.643 SOL</t>
  </si>
  <si>
    <t>60.64%</t>
  </si>
  <si>
    <t>27.10.2024 13:49:28</t>
  </si>
  <si>
    <t>6fwWweWz2NwbcUhFWFfvmf6t74cw2wBCeKmsqiHbpump</t>
  </si>
  <si>
    <t>DEYE</t>
  </si>
  <si>
    <t>4.001 SOL</t>
  </si>
  <si>
    <t>4.121 SOL</t>
  </si>
  <si>
    <t>2.95%</t>
  </si>
  <si>
    <t>27.10.2024 13:37:59</t>
  </si>
  <si>
    <t>Gidur9smXtqCKd2kHXEipWASpcdrs1rubX7FbVWspump</t>
  </si>
  <si>
    <t>0.014600</t>
  </si>
  <si>
    <t>2.579 SOL</t>
  </si>
  <si>
    <t>3.295 SOL</t>
  </si>
  <si>
    <t>0.702 SOL</t>
  </si>
  <si>
    <t>27.06%</t>
  </si>
  <si>
    <t>27.10.2024 13:15:04</t>
  </si>
  <si>
    <t>23hvoMuPmF7qYcEA7AGk3RCYndiLSepJMeomEU6Dpump</t>
  </si>
  <si>
    <t>MCB</t>
  </si>
  <si>
    <t>4.639 SOL</t>
  </si>
  <si>
    <t>3.987 SOL</t>
  </si>
  <si>
    <t>-0.654 SOL</t>
  </si>
  <si>
    <t>-14.10%</t>
  </si>
  <si>
    <t>27.10.2024 12:41:47</t>
  </si>
  <si>
    <t>Ccc9N3nGL7yYHBbYbNifWQSN5McqkkT7JV9E2viCpump</t>
  </si>
  <si>
    <t>3.143 SOL</t>
  </si>
  <si>
    <t>20.29%</t>
  </si>
  <si>
    <t>27.10.2024 09:55:52</t>
  </si>
  <si>
    <t xml:space="preserve">          7K             9K             6K</t>
  </si>
  <si>
    <t>F3zJzRbdGJUC4PKhZPpokttpesZTgRcVPDWrDGg6pump</t>
  </si>
  <si>
    <t>pmarca</t>
  </si>
  <si>
    <t>0.026200</t>
  </si>
  <si>
    <t>2.347 SOL</t>
  </si>
  <si>
    <t>-0.548 SOL</t>
  </si>
  <si>
    <t>-23.08%</t>
  </si>
  <si>
    <t>27.10.2024 08:43:44</t>
  </si>
  <si>
    <t>D2DXxC1sNAaYKDHZYZpxx8gx3ye6hFESLQ3f8acEpump</t>
  </si>
  <si>
    <t>3.125 SOL</t>
  </si>
  <si>
    <t>2.938 SOL</t>
  </si>
  <si>
    <t>-6.02%</t>
  </si>
  <si>
    <t>27.10.2024 02:32:44</t>
  </si>
  <si>
    <t xml:space="preserve">         11K            11K            18K</t>
  </si>
  <si>
    <t>NOVUS</t>
  </si>
  <si>
    <t>0.071850</t>
  </si>
  <si>
    <t>4.528 SOL</t>
  </si>
  <si>
    <t>4.375 SOL</t>
  </si>
  <si>
    <t>-4.89%</t>
  </si>
  <si>
    <t>27.10.2024 01:12:44</t>
  </si>
  <si>
    <t>72CYn6EbjFbHVhdt6segqUbZgZGRFF9Nw6BkKwoSpump</t>
  </si>
  <si>
    <t>void</t>
  </si>
  <si>
    <t>2.389 SOL</t>
  </si>
  <si>
    <t>-8.25%</t>
  </si>
  <si>
    <t>27.10.2024 00:39:02</t>
  </si>
  <si>
    <t>5rHu5UEKyorb2Fz5qBes16GwRt8DSiPyGMVpshtcpump</t>
  </si>
  <si>
    <t>0.035710</t>
  </si>
  <si>
    <t>2.613 SOL</t>
  </si>
  <si>
    <t>2.419 SOL</t>
  </si>
  <si>
    <t>-0.230 SOL</t>
  </si>
  <si>
    <t>26.10.2024 23:36:43</t>
  </si>
  <si>
    <t>J3jRvZbneZTDz54Prf7SB9pgHt1JZV2TkFgxocBYpump</t>
  </si>
  <si>
    <t>MILO</t>
  </si>
  <si>
    <t>0.030710</t>
  </si>
  <si>
    <t>1.761 SOL</t>
  </si>
  <si>
    <t>-0.430 SOL</t>
  </si>
  <si>
    <t>-19.61%</t>
  </si>
  <si>
    <t>26.10.2024 23:17:24</t>
  </si>
  <si>
    <t>AGMB8FmJV2PE4vpUQFUh2o4YMFe4djoLVRzjdstzpump</t>
  </si>
  <si>
    <t>GOODSAMO</t>
  </si>
  <si>
    <t>3.042 SOL</t>
  </si>
  <si>
    <t>3.138 SOL</t>
  </si>
  <si>
    <t>26.10.2024 23:08:09</t>
  </si>
  <si>
    <t>5oCYTPLznNrFp6n32cE3gtJvF1xn1LBkLiJzzUXfpump</t>
  </si>
  <si>
    <t>5uVSrj7GCLJjgrZQgPGch7xLDQaZsPmKDs7yEW4iQ4jE</t>
  </si>
  <si>
    <t>51.75 SOL</t>
  </si>
  <si>
    <t>122%</t>
  </si>
  <si>
    <t>72.52 SOL</t>
  </si>
  <si>
    <t>1 (7%)</t>
  </si>
  <si>
    <t>24%</t>
  </si>
  <si>
    <t>14.19 SOL</t>
  </si>
  <si>
    <t>1.8 SOL</t>
  </si>
  <si>
    <t>6.7%</t>
  </si>
  <si>
    <t>20.0%</t>
  </si>
  <si>
    <t>41.8 SOL</t>
  </si>
  <si>
    <t>48.8 SOL</t>
  </si>
  <si>
    <t>-17.0 SOL</t>
  </si>
  <si>
    <t>197.0K</t>
  </si>
  <si>
    <t>30.10.2024 20:17:02</t>
  </si>
  <si>
    <t xml:space="preserve">        470K           470K           515K</t>
  </si>
  <si>
    <t>0.001540</t>
  </si>
  <si>
    <t>45.779 SOL</t>
  </si>
  <si>
    <t>41.777 SOL</t>
  </si>
  <si>
    <t>1044.03%</t>
  </si>
  <si>
    <t>28.10.2024 21:09:12</t>
  </si>
  <si>
    <t xml:space="preserve">        214K           373K           447K</t>
  </si>
  <si>
    <t>-2.937 SOL</t>
  </si>
  <si>
    <t>-97.88%</t>
  </si>
  <si>
    <t xml:space="preserve">        283K             7K             4K</t>
  </si>
  <si>
    <t>4.683 SOL</t>
  </si>
  <si>
    <t>-4.29%</t>
  </si>
  <si>
    <t>26.10.2024 21:29:51</t>
  </si>
  <si>
    <t xml:space="preserve">         32K            30K             3K</t>
  </si>
  <si>
    <t>-1.239 SOL</t>
  </si>
  <si>
    <t>-45.89%</t>
  </si>
  <si>
    <t xml:space="preserve">         11K             5K             4K</t>
  </si>
  <si>
    <t>$EX</t>
  </si>
  <si>
    <t>-2.976 SOL</t>
  </si>
  <si>
    <t>-99.18%</t>
  </si>
  <si>
    <t>26.10.2024 14:57:30</t>
  </si>
  <si>
    <t xml:space="preserve">        434K           434K             3K</t>
  </si>
  <si>
    <t>6Z8FyduQMGYtM25QhX3BB3FTLK7WuJzcF2QmKV7mpump</t>
  </si>
  <si>
    <t>15.916 SOL</t>
  </si>
  <si>
    <t>11.915 SOL</t>
  </si>
  <si>
    <t>297.75%</t>
  </si>
  <si>
    <t>25.10.2024 11:59:38</t>
  </si>
  <si>
    <t xml:space="preserve">          2M           401K            41K</t>
  </si>
  <si>
    <t xml:space="preserve">        433K           313K            10K</t>
  </si>
  <si>
    <t>0.001220</t>
  </si>
  <si>
    <t>2.240 SOL</t>
  </si>
  <si>
    <t>-1.761 SOL</t>
  </si>
  <si>
    <t>-44.01%</t>
  </si>
  <si>
    <t>19.10.2024 12:38:26</t>
  </si>
  <si>
    <t xml:space="preserve">        197K           439K            13K</t>
  </si>
  <si>
    <t>7.259 SOL</t>
  </si>
  <si>
    <t>0.851 SOL</t>
  </si>
  <si>
    <t>-6.409 SOL</t>
  </si>
  <si>
    <t>-88.28%</t>
  </si>
  <si>
    <t xml:space="preserve">         60K             7K             3K</t>
  </si>
  <si>
    <t>6.170 SOL</t>
  </si>
  <si>
    <t>7.368 SOL</t>
  </si>
  <si>
    <t>19.38%</t>
  </si>
  <si>
    <t>16.10.2024 01:39:00</t>
  </si>
  <si>
    <t xml:space="preserve">         53K            53K            17K</t>
  </si>
  <si>
    <t>0.002330</t>
  </si>
  <si>
    <t>8.171 SOL</t>
  </si>
  <si>
    <t>25.300 SOL</t>
  </si>
  <si>
    <t>17.126 SOL</t>
  </si>
  <si>
    <t>209.53%</t>
  </si>
  <si>
    <t>13.10.2024 18:10:57</t>
  </si>
  <si>
    <t xml:space="preserve">        396K            46K            29K</t>
  </si>
  <si>
    <t>-0.173 SOL</t>
  </si>
  <si>
    <t>-72.55%</t>
  </si>
  <si>
    <t>4.618 SOL</t>
  </si>
  <si>
    <t>-4.486 SOL</t>
  </si>
  <si>
    <t>-97.12%</t>
  </si>
  <si>
    <t xml:space="preserve">         28K            28K            15K</t>
  </si>
  <si>
    <t>24.794 SOL</t>
  </si>
  <si>
    <t>19.791 SOL</t>
  </si>
  <si>
    <t>395.63%</t>
  </si>
  <si>
    <t>08.10.2024 19:23:41</t>
  </si>
  <si>
    <t xml:space="preserve">         30K             3M            70K</t>
  </si>
  <si>
    <t>CjWGTaxJSRLMKkPchBFXVBtRPQbLUT6YD9n9BvjnW1U6</t>
  </si>
  <si>
    <t>7.19 SOL</t>
  </si>
  <si>
    <t>149%</t>
  </si>
  <si>
    <t>82.82 SOL</t>
  </si>
  <si>
    <t>2 (7%)</t>
  </si>
  <si>
    <t>30.30%</t>
  </si>
  <si>
    <t>7.1%</t>
  </si>
  <si>
    <t>14.3%</t>
  </si>
  <si>
    <t>21.4%</t>
  </si>
  <si>
    <t>32.1%</t>
  </si>
  <si>
    <t>10.7%</t>
  </si>
  <si>
    <t>23</t>
  </si>
  <si>
    <t>65.4 SOL</t>
  </si>
  <si>
    <t>7.1 SOL</t>
  </si>
  <si>
    <t>3.5 SOL</t>
  </si>
  <si>
    <t>-4.1 SOL</t>
  </si>
  <si>
    <t>15.0K</t>
  </si>
  <si>
    <t>Dogeism</t>
  </si>
  <si>
    <t>2.873 SOL</t>
  </si>
  <si>
    <t>174.16%</t>
  </si>
  <si>
    <t>30.10.2024 03:48:42</t>
  </si>
  <si>
    <t>AoYP54Mb6iur6qe5UgvM1Y7UgBirAp3doKmADJS6pump</t>
  </si>
  <si>
    <t>BUCK</t>
  </si>
  <si>
    <t>0.882 SOL</t>
  </si>
  <si>
    <t>-1.364 SOL</t>
  </si>
  <si>
    <t>-60.72%</t>
  </si>
  <si>
    <t>30.10.2024 02:15:22</t>
  </si>
  <si>
    <t>jYQU2FGq99B7Gd8LMHndn7DDBmkr1FRpUhAuS7Kpump</t>
  </si>
  <si>
    <t>18.17%</t>
  </si>
  <si>
    <t>30.10.2024 01:56:55</t>
  </si>
  <si>
    <t>CeyrR2WKghUTPgA1y29ja3q2MsZxdvUfzXCq4Dp9pump</t>
  </si>
  <si>
    <t>1.726 SOL</t>
  </si>
  <si>
    <t>6.520 SOL</t>
  </si>
  <si>
    <t>4.780 SOL</t>
  </si>
  <si>
    <t>274.65%</t>
  </si>
  <si>
    <t>29.10.2024 22:56:10</t>
  </si>
  <si>
    <t xml:space="preserve">         18K            63K             5K</t>
  </si>
  <si>
    <t>BC</t>
  </si>
  <si>
    <t>56.79%</t>
  </si>
  <si>
    <t>29.10.2024 22:30:27</t>
  </si>
  <si>
    <t>F9yjswuJPKtDLyV6FC1SRCNs978of13YVUe284gGBLB9</t>
  </si>
  <si>
    <t>me</t>
  </si>
  <si>
    <t>1.786 SOL</t>
  </si>
  <si>
    <t>5.725 SOL</t>
  </si>
  <si>
    <t>3.925 SOL</t>
  </si>
  <si>
    <t>218.11%</t>
  </si>
  <si>
    <t>29.10.2024 19:45:51</t>
  </si>
  <si>
    <t xml:space="preserve">         14K            46K             6K</t>
  </si>
  <si>
    <t>CWiBWhGfbe1en8cBcgSP5wbPDtjMyxUFgftTJ4B3pump</t>
  </si>
  <si>
    <t>GONEFOREVR</t>
  </si>
  <si>
    <t>1.099 SOL</t>
  </si>
  <si>
    <t>1.450 SOL</t>
  </si>
  <si>
    <t>30.29%</t>
  </si>
  <si>
    <t>29.10.2024 05:46:08</t>
  </si>
  <si>
    <t>86PUZKz1GeYoyVbQ11orSPsyfE3b7z4N5SgmdNeopEKN</t>
  </si>
  <si>
    <t>BIFF</t>
  </si>
  <si>
    <t>34.31%</t>
  </si>
  <si>
    <t>29.10.2024 03:56:04</t>
  </si>
  <si>
    <t>AqbnH8F9asgRbbUnNtsChhmPipA5gf6CG6pA8KYCpump</t>
  </si>
  <si>
    <t>0.042060</t>
  </si>
  <si>
    <t>4.409 SOL</t>
  </si>
  <si>
    <t>49.487 SOL</t>
  </si>
  <si>
    <t>45.036 SOL</t>
  </si>
  <si>
    <t>1011.76%</t>
  </si>
  <si>
    <t>29.10.2024 00:43:50</t>
  </si>
  <si>
    <t xml:space="preserve">         35K           426K            10K</t>
  </si>
  <si>
    <t>magist</t>
  </si>
  <si>
    <t>2.081 SOL</t>
  </si>
  <si>
    <t>1.417 SOL</t>
  </si>
  <si>
    <t>-0.678 SOL</t>
  </si>
  <si>
    <t>28.10.2024 21:38:29</t>
  </si>
  <si>
    <t>9TE8MhzDUCXyW8yqcQ2UFsfsQdDPc8woGtPXqpptpump</t>
  </si>
  <si>
    <t>GENZ</t>
  </si>
  <si>
    <t>2.049 SOL</t>
  </si>
  <si>
    <t>-1.033 SOL</t>
  </si>
  <si>
    <t>-50.09%</t>
  </si>
  <si>
    <t>28.10.2024 21:34:58</t>
  </si>
  <si>
    <t>9sx2rvX8rYugFHgc4AjVPkZp2d5cMGS9Eo4TTCkvpump</t>
  </si>
  <si>
    <t>1.678 SOL</t>
  </si>
  <si>
    <t>0.767 SOL</t>
  </si>
  <si>
    <t>84.10%</t>
  </si>
  <si>
    <t>28.10.2024 21:21:24</t>
  </si>
  <si>
    <t xml:space="preserve">         23K            42K             5K</t>
  </si>
  <si>
    <t>0.028020</t>
  </si>
  <si>
    <t>1.862 SOL</t>
  </si>
  <si>
    <t>22.271 SOL</t>
  </si>
  <si>
    <t>20.381 SOL</t>
  </si>
  <si>
    <t>1078.10%</t>
  </si>
  <si>
    <t>28.10.2024 10:27:50</t>
  </si>
  <si>
    <t xml:space="preserve">         16K           232K            27K</t>
  </si>
  <si>
    <t>3.182 SOL</t>
  </si>
  <si>
    <t>69.16%</t>
  </si>
  <si>
    <t>28.10.2024 08:34:19</t>
  </si>
  <si>
    <t>PP</t>
  </si>
  <si>
    <t>3.225 SOL</t>
  </si>
  <si>
    <t>10.46%</t>
  </si>
  <si>
    <t>28.10.2024 02:31:47</t>
  </si>
  <si>
    <t>CQMtZwp3dT5HuvCaUUpZC1RLCC8NrXUXTirJM9hHpump</t>
  </si>
  <si>
    <t>1.070 SOL</t>
  </si>
  <si>
    <t>0.320 SOL</t>
  </si>
  <si>
    <t>-0.764 SOL</t>
  </si>
  <si>
    <t>-70.45%</t>
  </si>
  <si>
    <t>28.10.2024 02:19:03</t>
  </si>
  <si>
    <t>rm5QLKRycSyrUvrohUqezs9oCU4RvLQyni5dLNrpump</t>
  </si>
  <si>
    <t>28.10.2024 00:07:47</t>
  </si>
  <si>
    <t xml:space="preserve">         35K            35K            24K</t>
  </si>
  <si>
    <t>1.396 SOL</t>
  </si>
  <si>
    <t>-0.217 SOL</t>
  </si>
  <si>
    <t>-15.39%</t>
  </si>
  <si>
    <t>27.10.2024 23:39:14</t>
  </si>
  <si>
    <t>DoBWcVPKnyma6xGQypSJGMUibeDh4rCZskwaPxJEpump</t>
  </si>
  <si>
    <t>@AI</t>
  </si>
  <si>
    <t>1.548 SOL</t>
  </si>
  <si>
    <t>102.25%</t>
  </si>
  <si>
    <t>27.10.2024 21:25:50</t>
  </si>
  <si>
    <t xml:space="preserve">         19K            40K             5K</t>
  </si>
  <si>
    <t>2DrfBeGy3iXWgmUfwxqPcA4QHkR3aPmDquu1dj5Zpump</t>
  </si>
  <si>
    <t>dain</t>
  </si>
  <si>
    <t>-0.364 SOL</t>
  </si>
  <si>
    <t>27.10.2024 21:00:19</t>
  </si>
  <si>
    <t xml:space="preserve">         25K            21K             5K</t>
  </si>
  <si>
    <t>HQpyJhMPcC2DqKGraja626q2zwjreHGoMJV6hVVEpump</t>
  </si>
  <si>
    <t>AI God</t>
  </si>
  <si>
    <t>1.785 SOL</t>
  </si>
  <si>
    <t>0.25%</t>
  </si>
  <si>
    <t>27.10.2024 09:11:46</t>
  </si>
  <si>
    <t>4X3ELQXGtcdqCghUwxsQPW3SmTUNiQQ75sKVux8apump</t>
  </si>
  <si>
    <t>Bioform</t>
  </si>
  <si>
    <t>1.322 SOL</t>
  </si>
  <si>
    <t>78.10%</t>
  </si>
  <si>
    <t>27.10.2024 02:42:07</t>
  </si>
  <si>
    <t>BNiqJWdU61R7SHPLEpP96srpxVyPA7mZKnBmuxh6pump</t>
  </si>
  <si>
    <t xml:space="preserve">AGI </t>
  </si>
  <si>
    <t>1.672 SOL</t>
  </si>
  <si>
    <t>-0.899 SOL</t>
  </si>
  <si>
    <t>-53.32%</t>
  </si>
  <si>
    <t>27.10.2024 02:24:59</t>
  </si>
  <si>
    <t>6vJ686Js22gV57Qy5Lb94JKeT6DBF7E7hoEcNoy5pump</t>
  </si>
  <si>
    <t>4.138 SOL</t>
  </si>
  <si>
    <t>4.807 SOL</t>
  </si>
  <si>
    <t>15.39%</t>
  </si>
  <si>
    <t>27.10.2024 02:07:11</t>
  </si>
  <si>
    <t>mira</t>
  </si>
  <si>
    <t>2.328 SOL</t>
  </si>
  <si>
    <t>15.57%</t>
  </si>
  <si>
    <t>27.10.2024 00:52:01</t>
  </si>
  <si>
    <t xml:space="preserve">        109K           127K             4K</t>
  </si>
  <si>
    <t>AoeAh1Cu2qBFVAPRuKxUkn275sTksT6nFWPrt8Twpump</t>
  </si>
  <si>
    <t>2.648 SOL</t>
  </si>
  <si>
    <t>57.07%</t>
  </si>
  <si>
    <t>26.10.2024 23:37:29</t>
  </si>
  <si>
    <t>8WQTMFRs9mBYz2nzsXknv7i9tJFGNiUQPyEZendQpump</t>
  </si>
  <si>
    <t>2.345 SOL</t>
  </si>
  <si>
    <t>4.109 SOL</t>
  </si>
  <si>
    <t>74.18%</t>
  </si>
  <si>
    <t>26.10.2024 21:24:31</t>
  </si>
  <si>
    <t xml:space="preserve">         23K            40K             5K</t>
  </si>
  <si>
    <t>76pKbRjyFyz8YyWBuT9gzP8nu6xXnH3Q4MB2xaTzpump</t>
  </si>
  <si>
    <t>12.49%</t>
  </si>
  <si>
    <t>26.10.2024 15:49:58</t>
  </si>
  <si>
    <t>CdTBh3kn4wY8CV8o29M7CB4borfn6FeK8WFih6fq3m3h</t>
  </si>
  <si>
    <t>60.61 SOL</t>
  </si>
  <si>
    <t>129%</t>
  </si>
  <si>
    <t>67.89 SOL</t>
  </si>
  <si>
    <t>10 h</t>
  </si>
  <si>
    <t>-50.30%</t>
  </si>
  <si>
    <t>17.04 SOL</t>
  </si>
  <si>
    <t>50.6 SOL</t>
  </si>
  <si>
    <t>42.4 SOL</t>
  </si>
  <si>
    <t>-24.3 SOL</t>
  </si>
  <si>
    <t>109.5K</t>
  </si>
  <si>
    <t>3.070 SOL</t>
  </si>
  <si>
    <t>53.41%</t>
  </si>
  <si>
    <t>30.10.2024 20:18:21</t>
  </si>
  <si>
    <t xml:space="preserve">        410K           410K           515K</t>
  </si>
  <si>
    <t>54.568 SOL</t>
  </si>
  <si>
    <t>50.566 SOL</t>
  </si>
  <si>
    <t>1263.47%</t>
  </si>
  <si>
    <t>29.10.2024 14:27:42</t>
  </si>
  <si>
    <t xml:space="preserve">        346K           155K           447K</t>
  </si>
  <si>
    <t>-2.925 SOL</t>
  </si>
  <si>
    <t>-97.49%</t>
  </si>
  <si>
    <t xml:space="preserve">        243K             7K             4K</t>
  </si>
  <si>
    <t>15.079 SOL</t>
  </si>
  <si>
    <t>11.614 SOL</t>
  </si>
  <si>
    <t>335.14%</t>
  </si>
  <si>
    <t>26.10.2024 21:29:50</t>
  </si>
  <si>
    <t xml:space="preserve">         23K            97K             3K</t>
  </si>
  <si>
    <t>-1.521 SOL</t>
  </si>
  <si>
    <t>-56.32%</t>
  </si>
  <si>
    <t xml:space="preserve">         30K            12K             4K</t>
  </si>
  <si>
    <t>18.510 SOL</t>
  </si>
  <si>
    <t>14.509 SOL</t>
  </si>
  <si>
    <t>362.56%</t>
  </si>
  <si>
    <t xml:space="preserve">          2M           366K            41K</t>
  </si>
  <si>
    <t>-23.48%</t>
  </si>
  <si>
    <t xml:space="preserve">        339K           427K            10K</t>
  </si>
  <si>
    <t>-1.772 SOL</t>
  </si>
  <si>
    <t>-44.27%</t>
  </si>
  <si>
    <t xml:space="preserve">        158K           409K            13K</t>
  </si>
  <si>
    <t>1.321 SOL</t>
  </si>
  <si>
    <t>-2.732 SOL</t>
  </si>
  <si>
    <t>-67.41%</t>
  </si>
  <si>
    <t xml:space="preserve">         33K            11K             3K</t>
  </si>
  <si>
    <t>4.408 SOL</t>
  </si>
  <si>
    <t>-3.575 SOL</t>
  </si>
  <si>
    <t>-81.05%</t>
  </si>
  <si>
    <t xml:space="preserve">         39K            39K            17K</t>
  </si>
  <si>
    <t>6.178 SOL</t>
  </si>
  <si>
    <t>22.483 SOL</t>
  </si>
  <si>
    <t>16.302 SOL</t>
  </si>
  <si>
    <t>263.76%</t>
  </si>
  <si>
    <t>13.10.2024 18:31:45</t>
  </si>
  <si>
    <t xml:space="preserve">        341K            28K            29K</t>
  </si>
  <si>
    <t>-73.13%</t>
  </si>
  <si>
    <t>9.783 SOL</t>
  </si>
  <si>
    <t>-9.650 SOL</t>
  </si>
  <si>
    <t>-98.62%</t>
  </si>
  <si>
    <t xml:space="preserve">         61K            61K            15K</t>
  </si>
  <si>
    <t>4.124 SOL</t>
  </si>
  <si>
    <t>-3.720 SOL</t>
  </si>
  <si>
    <t>-90.17%</t>
  </si>
  <si>
    <t>08.10.2024 19:24:29</t>
  </si>
  <si>
    <t xml:space="preserve">         23K             3M            70K</t>
  </si>
  <si>
    <t>DyzM5wENV6YwvC5umXYjGxb1WCE4FfZy11bc7A3EsXLJ</t>
  </si>
  <si>
    <t>1.60 SOL</t>
  </si>
  <si>
    <t>-61%</t>
  </si>
  <si>
    <t>-157.38 SOL</t>
  </si>
  <si>
    <t>2 (13%)</t>
  </si>
  <si>
    <t>106%</t>
  </si>
  <si>
    <t>274.4 SOL</t>
  </si>
  <si>
    <t>320</t>
  </si>
  <si>
    <t>2.5 SOL</t>
  </si>
  <si>
    <t>13.3%</t>
  </si>
  <si>
    <t>60.0%</t>
  </si>
  <si>
    <t>35.3 SOL</t>
  </si>
  <si>
    <t>5.7 SOL</t>
  </si>
  <si>
    <t>-197.4 SOL</t>
  </si>
  <si>
    <t>988.0K</t>
  </si>
  <si>
    <t>0.009890</t>
  </si>
  <si>
    <t>26.623 SOL</t>
  </si>
  <si>
    <t>-26.633 SOL</t>
  </si>
  <si>
    <t>630,010</t>
  </si>
  <si>
    <t>29.10.2024 19:14:48</t>
  </si>
  <si>
    <t xml:space="preserve">          7M            11M             8M</t>
  </si>
  <si>
    <t>4.985 SOL</t>
  </si>
  <si>
    <t>5.185 SOL</t>
  </si>
  <si>
    <t>3.96%</t>
  </si>
  <si>
    <t>29.10.2024 15:07:47</t>
  </si>
  <si>
    <t xml:space="preserve">        491K           491K           402K</t>
  </si>
  <si>
    <t>BRC</t>
  </si>
  <si>
    <t>0.001130</t>
  </si>
  <si>
    <t>2.755 SOL</t>
  </si>
  <si>
    <t>28.10.2024 16:22:51</t>
  </si>
  <si>
    <t xml:space="preserve">        104K           104K            59K</t>
  </si>
  <si>
    <t>9MnSGZn2PMMpo21SiMjCMnUnhh8JpFWE8xy9gtzGpump</t>
  </si>
  <si>
    <t>kleros</t>
  </si>
  <si>
    <t>0.009800</t>
  </si>
  <si>
    <t>1.937 SOL</t>
  </si>
  <si>
    <t>-4.072 SOL</t>
  </si>
  <si>
    <t>-67.76%</t>
  </si>
  <si>
    <t>28.10.2024 16:22:08</t>
  </si>
  <si>
    <t xml:space="preserve">        398K           568K            13K</t>
  </si>
  <si>
    <t>6G9UoNmvtpgdwzwNQuqCrTD4Bz3j8VyKVJPsjKnrpump</t>
  </si>
  <si>
    <t>AvatarOS</t>
  </si>
  <si>
    <t>-3.006 SOL</t>
  </si>
  <si>
    <t>4,523,545</t>
  </si>
  <si>
    <t>28.10.2024 16:08:52</t>
  </si>
  <si>
    <t xml:space="preserve">        121K           109K             8K</t>
  </si>
  <si>
    <t>8q3PiifMQxnjs1NAETVXw8xMVN8q3Zfuoops9BSjpump</t>
  </si>
  <si>
    <t>COK</t>
  </si>
  <si>
    <t>0.002610</t>
  </si>
  <si>
    <t>9.873 SOL</t>
  </si>
  <si>
    <t>0.870 SOL</t>
  </si>
  <si>
    <t>9.67%</t>
  </si>
  <si>
    <t>28.10.2024 16:08:23</t>
  </si>
  <si>
    <t xml:space="preserve">          2M             2M            10M</t>
  </si>
  <si>
    <t>Dnb9dLSXxAarXVexehzeH8W8nFmLMNJSuGoaddZSwtog</t>
  </si>
  <si>
    <t>-4.986 SOL</t>
  </si>
  <si>
    <t>589,653</t>
  </si>
  <si>
    <t>28.10.2024 15:39:24</t>
  </si>
  <si>
    <t xml:space="preserve">          1M             1M           212K</t>
  </si>
  <si>
    <t>KAMA</t>
  </si>
  <si>
    <t>0.001940</t>
  </si>
  <si>
    <t>54.237 SOL</t>
  </si>
  <si>
    <t>-54.239 SOL</t>
  </si>
  <si>
    <t>1,573,522</t>
  </si>
  <si>
    <t>28.10.2024 12:21:04</t>
  </si>
  <si>
    <t xml:space="preserve">          7M             8M             8M</t>
  </si>
  <si>
    <t>HnKkzR1YtFbUUxM6g3iVRS2RY68KHhGV7bNdfF1GCsJB</t>
  </si>
  <si>
    <t>tremp</t>
  </si>
  <si>
    <t>0.002380</t>
  </si>
  <si>
    <t>94.516 SOL</t>
  </si>
  <si>
    <t>-94.518 SOL</t>
  </si>
  <si>
    <t>56,444</t>
  </si>
  <si>
    <t>28.10.2024 12:20:36</t>
  </si>
  <si>
    <t xml:space="preserve">         37M            28M            42M</t>
  </si>
  <si>
    <t>FU1q8vJpZNUrmqsciSjp8bAKKidGsLmouB8CBdf8TKQv</t>
  </si>
  <si>
    <t>0.013550</t>
  </si>
  <si>
    <t>15.952 SOL</t>
  </si>
  <si>
    <t>20.584 SOL</t>
  </si>
  <si>
    <t>27.10.2024 23:34:35</t>
  </si>
  <si>
    <t xml:space="preserve">        584K             1M           728K</t>
  </si>
  <si>
    <t>-2.991 SOL</t>
  </si>
  <si>
    <t>2,361,725</t>
  </si>
  <si>
    <t>27.10.2024 06:36:21</t>
  </si>
  <si>
    <t xml:space="preserve">        216K           216K             7K</t>
  </si>
  <si>
    <t>531,968</t>
  </si>
  <si>
    <t>26.10.2024 07:13:17</t>
  </si>
  <si>
    <t xml:space="preserve">        988K           988K            19K</t>
  </si>
  <si>
    <t>GRpS5quvyxPCx3nARqyyNSyd51D8MwWw1Rb5GT6Zpump</t>
  </si>
  <si>
    <t>17.786 SOL</t>
  </si>
  <si>
    <t>53.080 SOL</t>
  </si>
  <si>
    <t>35.285 SOL</t>
  </si>
  <si>
    <t>198.28%</t>
  </si>
  <si>
    <t>26.10.2024 04:21:27</t>
  </si>
  <si>
    <t xml:space="preserve">          8M             9M            35M</t>
  </si>
  <si>
    <t>0.002930</t>
  </si>
  <si>
    <t>9.970 SOL</t>
  </si>
  <si>
    <t>9.284 SOL</t>
  </si>
  <si>
    <t>-0.689 SOL</t>
  </si>
  <si>
    <t>25.10.2024 13:30:13</t>
  </si>
  <si>
    <t xml:space="preserve">          8M             7M             9M</t>
  </si>
  <si>
    <t>0.003350</t>
  </si>
  <si>
    <t>3.988 SOL</t>
  </si>
  <si>
    <t>-3.991 SOL</t>
  </si>
  <si>
    <t>2,321,547</t>
  </si>
  <si>
    <t>19.10.2024 19:34:56</t>
  </si>
  <si>
    <t xml:space="preserve">        355K           266K            34K</t>
  </si>
  <si>
    <t>ASYYqwd3opdXHmmK3KSDHrtB1gCmZzB8PA8QVbaB39Qx</t>
  </si>
  <si>
    <t>3rAXtQcRZdihvjENs3h5atuYzzShvMqq9Hdp93roexTo</t>
  </si>
  <si>
    <t>2.67 SOL</t>
  </si>
  <si>
    <t>67%</t>
  </si>
  <si>
    <t>241%</t>
  </si>
  <si>
    <t>15.08 SOL</t>
  </si>
  <si>
    <t>28 days</t>
  </si>
  <si>
    <t>85.35%</t>
  </si>
  <si>
    <t>0.02 SOL</t>
  </si>
  <si>
    <t>12.6 SOL</t>
  </si>
  <si>
    <t>3.2 SOL</t>
  </si>
  <si>
    <t>-1.2 SOL</t>
  </si>
  <si>
    <t>13.5K</t>
  </si>
  <si>
    <t>borzoi</t>
  </si>
  <si>
    <t>0.070020</t>
  </si>
  <si>
    <t>1.620 SOL</t>
  </si>
  <si>
    <t>163.57%</t>
  </si>
  <si>
    <t>29.10.2024 21:52:54</t>
  </si>
  <si>
    <t xml:space="preserve">         18K            16K             4K</t>
  </si>
  <si>
    <t>6AgVRn4XTq8Pdw48otNhB1wju32xENzj5eLdrXAtpump</t>
  </si>
  <si>
    <t>sss</t>
  </si>
  <si>
    <t>0.110030</t>
  </si>
  <si>
    <t>13.625 SOL</t>
  </si>
  <si>
    <t>12.595 SOL</t>
  </si>
  <si>
    <t>1222.10%</t>
  </si>
  <si>
    <t>24.10.2024 21:11:14</t>
  </si>
  <si>
    <t xml:space="preserve">          7K            67K             4K</t>
  </si>
  <si>
    <t>DKco1J7LLv8mm4HCHEXudVJ3YGP9SDn4ig3dUD1qpump</t>
  </si>
  <si>
    <t>speed</t>
  </si>
  <si>
    <t>-0.816 SOL</t>
  </si>
  <si>
    <t>-80.37%</t>
  </si>
  <si>
    <t>23.10.2024 23:36:36</t>
  </si>
  <si>
    <t xml:space="preserve">        302K           352K            32K</t>
  </si>
  <si>
    <t>C1jXwDMkaLEpFUAJ8yrr7tLavCeNdZgbHC8rvcG1pump</t>
  </si>
  <si>
    <t>EXO</t>
  </si>
  <si>
    <t>156.52%</t>
  </si>
  <si>
    <t>23.10.2024 23:27:50</t>
  </si>
  <si>
    <t xml:space="preserve">        609K             1M            25K</t>
  </si>
  <si>
    <t>2ho4cNvfFV9DWvw7DzCqrN2HMRdvzYJFHTR2Ts8Kpump</t>
  </si>
  <si>
    <t>ketchup</t>
  </si>
  <si>
    <t>15.10.2024 20:50:38</t>
  </si>
  <si>
    <t xml:space="preserve">          7K            46K             3K</t>
  </si>
  <si>
    <t>YkwABffuPCRwkXj5zwd9Ad21Pmjdas5HK85EUezpump</t>
  </si>
  <si>
    <t>cauli joe</t>
  </si>
  <si>
    <t>0.384 SOL</t>
  </si>
  <si>
    <t>-34.85%</t>
  </si>
  <si>
    <t>10.10.2024 22:58:55</t>
  </si>
  <si>
    <t>7daivae3qLwR6BE2ChagJNbkNEHkNGrb36tGyQHkpump</t>
  </si>
  <si>
    <t>wCAT</t>
  </si>
  <si>
    <t>367.52%</t>
  </si>
  <si>
    <t>09.10.2024 22:34:07</t>
  </si>
  <si>
    <t xml:space="preserve">          9K            47K             4K</t>
  </si>
  <si>
    <t>8fjdpbBiDC7zYSgTnX78VR9pJv11YpHJKdqUfB6Apump</t>
  </si>
  <si>
    <t>X</t>
  </si>
  <si>
    <t>0.579 SOL</t>
  </si>
  <si>
    <t>-0.388 SOL</t>
  </si>
  <si>
    <t>-63.87%</t>
  </si>
  <si>
    <t>03.10.2024 21:57:06</t>
  </si>
  <si>
    <t>BP5SWoed66yLAjZwM6aDR6YfBHEUgEtkGSJdAQ2rpump</t>
  </si>
  <si>
    <t>MEGA</t>
  </si>
  <si>
    <t>01.10.2024 20:37:19</t>
  </si>
  <si>
    <t>JDmbyH3vaY5BJ1sniMUNVeBe78CgK1FLJ32Qxw2Lpump</t>
  </si>
  <si>
    <t>7t7WLyaPZV3F7i2DTDAq853kxFg81qQhZhQ2BzmCxn5a</t>
  </si>
  <si>
    <t>7.91 SOL</t>
  </si>
  <si>
    <t>45.99 SOL</t>
  </si>
  <si>
    <t>10 (19%)</t>
  </si>
  <si>
    <t>-5.13%</t>
  </si>
  <si>
    <t>3.8%</t>
  </si>
  <si>
    <t>22.6%</t>
  </si>
  <si>
    <t>49.1%</t>
  </si>
  <si>
    <t>11.3%</t>
  </si>
  <si>
    <t>44</t>
  </si>
  <si>
    <t>40.1 SOL</t>
  </si>
  <si>
    <t>5.9 SOL</t>
  </si>
  <si>
    <t>-7.9 SOL</t>
  </si>
  <si>
    <t>-5.6 SOL</t>
  </si>
  <si>
    <t>lcat</t>
  </si>
  <si>
    <t>1.181 SOL</t>
  </si>
  <si>
    <t>-26.40%</t>
  </si>
  <si>
    <t>30.10.2024 13:16:52</t>
  </si>
  <si>
    <t>92wtJ1W6a8utz68oBWAmvt4mhUH9kEriG48NJ1P3pump</t>
  </si>
  <si>
    <t>night</t>
  </si>
  <si>
    <t>1.317 SOL</t>
  </si>
  <si>
    <t>-30.60%</t>
  </si>
  <si>
    <t>30.10.2024 10:17:52</t>
  </si>
  <si>
    <t>GQ6DeVBzQiDMZe9MeG5MRvbVXzjGi6mjTX5TbaANpump</t>
  </si>
  <si>
    <t>aimeme</t>
  </si>
  <si>
    <t>30.10.2024 10:17:42</t>
  </si>
  <si>
    <t xml:space="preserve">          7K             7K             7K</t>
  </si>
  <si>
    <t>GuK1VZoVkejHeuBu2UYGRbvwRsKMk9TrVpGNBfRdpump</t>
  </si>
  <si>
    <t>typeshit</t>
  </si>
  <si>
    <t>0.031210</t>
  </si>
  <si>
    <t>-0.275 SOL</t>
  </si>
  <si>
    <t>-76.48%</t>
  </si>
  <si>
    <t>30.10.2024 10:17:11</t>
  </si>
  <si>
    <t>9uuFvWWx7hV766DqQAxJQeixt2wth5druyDHE9VGpump</t>
  </si>
  <si>
    <t>FAG</t>
  </si>
  <si>
    <t>1.342 SOL</t>
  </si>
  <si>
    <t>1.276 SOL</t>
  </si>
  <si>
    <t>-4.96%</t>
  </si>
  <si>
    <t>30.10.2024 07:14:07</t>
  </si>
  <si>
    <t>9g3UjSZfY1GUU5F9yHGjzEGmgZwGhKPm2Gut4HGWpump</t>
  </si>
  <si>
    <t>42pages</t>
  </si>
  <si>
    <t>3.878 SOL</t>
  </si>
  <si>
    <t>4.296 SOL</t>
  </si>
  <si>
    <t>0.338 SOL</t>
  </si>
  <si>
    <t>29.10.2024 23:32:12</t>
  </si>
  <si>
    <t xml:space="preserve">         25K            26K             7K</t>
  </si>
  <si>
    <t>6NYCTKHWEN6Bzpsbo7RQCpRdEmhTVTa1Yw4CJQtkpump</t>
  </si>
  <si>
    <t>txn</t>
  </si>
  <si>
    <t>2.302 SOL</t>
  </si>
  <si>
    <t>1.966 SOL</t>
  </si>
  <si>
    <t>-0.339 SOL</t>
  </si>
  <si>
    <t>-14.70%</t>
  </si>
  <si>
    <t>29.10.2024 22:32:47</t>
  </si>
  <si>
    <t>2Tza5kqyreMnCgfotTsSVS4PUzjSqnYFDiJYXkZWpump</t>
  </si>
  <si>
    <t>14.89%</t>
  </si>
  <si>
    <t>29.10.2024 18:59:29</t>
  </si>
  <si>
    <t>AhLpvnNvaMRK1it5iDgtnjCvpyqHrSsitwYJmTQ9tHRQ</t>
  </si>
  <si>
    <t>POPFEGG</t>
  </si>
  <si>
    <t>1.150 SOL</t>
  </si>
  <si>
    <t>1.145 SOL</t>
  </si>
  <si>
    <t>-0.76%</t>
  </si>
  <si>
    <t>29.10.2024 18:51:35</t>
  </si>
  <si>
    <t xml:space="preserve">          5K             3K             4K</t>
  </si>
  <si>
    <t>8LUoiJEWVSTNa8PmqkGiNczzXqCYtuPShCkpQYK1kZz5</t>
  </si>
  <si>
    <t>0.051940</t>
  </si>
  <si>
    <t>4.272 SOL</t>
  </si>
  <si>
    <t>9.438 SOL</t>
  </si>
  <si>
    <t>5.114 SOL</t>
  </si>
  <si>
    <t>118.27%</t>
  </si>
  <si>
    <t>29.10.2024 15:47:26</t>
  </si>
  <si>
    <t xml:space="preserve">         18K            70K             5K</t>
  </si>
  <si>
    <t>27EnpSWPXANqnYQqTD9Pe1QPJgQzgawNzj7DATcipump</t>
  </si>
  <si>
    <t>HOLY6900</t>
  </si>
  <si>
    <t>0.155010</t>
  </si>
  <si>
    <t>-0.425 SOL</t>
  </si>
  <si>
    <t>-64.81%</t>
  </si>
  <si>
    <t>29.10.2024 10:30:27</t>
  </si>
  <si>
    <t>3BpRk7eDSg1GPsY5qkLATeMc9sYiKRS1V6p4RPNFpump</t>
  </si>
  <si>
    <t>Untitle</t>
  </si>
  <si>
    <t>0.175020</t>
  </si>
  <si>
    <t>0.677 SOL</t>
  </si>
  <si>
    <t>-44.90%</t>
  </si>
  <si>
    <t>29.10.2024 09:34:20</t>
  </si>
  <si>
    <t>5ns6Uat1SbE5LhJvhp73weDPuCYeb33LN2FUCdKvndQU</t>
  </si>
  <si>
    <t>LONGCAT</t>
  </si>
  <si>
    <t>0.165030</t>
  </si>
  <si>
    <t>1.489 SOL</t>
  </si>
  <si>
    <t>-2.553 SOL</t>
  </si>
  <si>
    <t>29.10.2024 09:33:41</t>
  </si>
  <si>
    <t>ARsKsw5eBtihJ3JDyX7qfsiLXNHaRA7Box8Ct2RPpump</t>
  </si>
  <si>
    <t>0.170010</t>
  </si>
  <si>
    <t>-0.537 SOL</t>
  </si>
  <si>
    <t>-80.15%</t>
  </si>
  <si>
    <t>29.10.2024 08:50:19</t>
  </si>
  <si>
    <t xml:space="preserve">         10K            10K            605</t>
  </si>
  <si>
    <t>7Ur24uf2VgDf1NXA5CmhxGfVbvHrwBJW8GDtEzUnsWj5</t>
  </si>
  <si>
    <t>PDOG</t>
  </si>
  <si>
    <t>1.204 SOL</t>
  </si>
  <si>
    <t>1.488 SOL</t>
  </si>
  <si>
    <t>14.94%</t>
  </si>
  <si>
    <t>29.10.2024 03:44:06</t>
  </si>
  <si>
    <t xml:space="preserve">         18K            16K             5K</t>
  </si>
  <si>
    <t>EVEWgtCYLtAXLC9Qn8sqoaGaAM6EVyMFjMBGAhapump</t>
  </si>
  <si>
    <t>SIRI</t>
  </si>
  <si>
    <t>0.050020</t>
  </si>
  <si>
    <t>3.379 SOL</t>
  </si>
  <si>
    <t>119.71%</t>
  </si>
  <si>
    <t>29.10.2024 03:08:18</t>
  </si>
  <si>
    <t xml:space="preserve">          9K            28K             5K</t>
  </si>
  <si>
    <t>DekUj1FjwCzK4uNA1zH6tdyn2fXVuTDUTq4a45tZpump</t>
  </si>
  <si>
    <t>Muezza</t>
  </si>
  <si>
    <t>1.163 SOL</t>
  </si>
  <si>
    <t>-0.450 SOL</t>
  </si>
  <si>
    <t>-38.61%</t>
  </si>
  <si>
    <t>28.10.2024 21:24:27</t>
  </si>
  <si>
    <t>4JefKowhk11mm3dLmkG6idvTgSy4fQLtkRwLxnNvpump</t>
  </si>
  <si>
    <t>VCOIN</t>
  </si>
  <si>
    <t>2.809 SOL</t>
  </si>
  <si>
    <t>38.06%</t>
  </si>
  <si>
    <t>28.10.2024 21:12:21</t>
  </si>
  <si>
    <t>EuKJKo1tx4YT8eSRw3hxSECDiy98iuwhhhMw8o1Rpump</t>
  </si>
  <si>
    <t>SUZIE</t>
  </si>
  <si>
    <t>1.178 SOL</t>
  </si>
  <si>
    <t>8.02%</t>
  </si>
  <si>
    <t>28.10.2024 21:06:37</t>
  </si>
  <si>
    <t>H5rPqALZmc7v1zwJHTnbhcukiXV7bRREgWzKK6YPpump</t>
  </si>
  <si>
    <t>RetAI</t>
  </si>
  <si>
    <t>-9.70%</t>
  </si>
  <si>
    <t>28.10.2024 21:05:17</t>
  </si>
  <si>
    <t>Fn2rq1CMxnDuP4oojqWGU5uEwRmujM5RUrvJcxcPpump</t>
  </si>
  <si>
    <t>28.10.2024 18:57:49</t>
  </si>
  <si>
    <t>A7eqVn6W9FPPL1aiHj7rxjgv4jATPYwHoiXEVaUspump</t>
  </si>
  <si>
    <t>1.676 SOL</t>
  </si>
  <si>
    <t>1.529 SOL</t>
  </si>
  <si>
    <t>28.10.2024 18:42:32</t>
  </si>
  <si>
    <t>3UbpyNgS1wpDeYqhWEFoigEpgNCkqY5zRj8kEQfGpump</t>
  </si>
  <si>
    <t>0.065010</t>
  </si>
  <si>
    <t>-12.24%</t>
  </si>
  <si>
    <t>28.10.2024 17:26:51</t>
  </si>
  <si>
    <t xml:space="preserve">         28K            25K            16K</t>
  </si>
  <si>
    <t>Luce</t>
  </si>
  <si>
    <t>0.005910</t>
  </si>
  <si>
    <t>-30.97%</t>
  </si>
  <si>
    <t>28.10.2024 17:11:49</t>
  </si>
  <si>
    <t>D1YX7shum4NUX7ucfXLApDabWnbDxLYQpKaz1Ybxpump</t>
  </si>
  <si>
    <t>MENSCH</t>
  </si>
  <si>
    <t>2.333 SOL</t>
  </si>
  <si>
    <t>2.851 SOL</t>
  </si>
  <si>
    <t>0.443 SOL</t>
  </si>
  <si>
    <t>18.41%</t>
  </si>
  <si>
    <t>28.10.2024 17:06:48</t>
  </si>
  <si>
    <t>4kaAUW5d3gRTYzQTDopoAavzw9wRH6W5BSY4vcAVpump</t>
  </si>
  <si>
    <t>larpAI</t>
  </si>
  <si>
    <t>0.004830</t>
  </si>
  <si>
    <t>2.435 SOL</t>
  </si>
  <si>
    <t>2.404 SOL</t>
  </si>
  <si>
    <t>-1.46%</t>
  </si>
  <si>
    <t>28.10.2024 16:06:16</t>
  </si>
  <si>
    <t>4qJKESevbjNmBsRdrZjXcLEokpbErckEQPW7iVx4pump</t>
  </si>
  <si>
    <t>TDS</t>
  </si>
  <si>
    <t>-22.11%</t>
  </si>
  <si>
    <t>27.10.2024 21:35:14</t>
  </si>
  <si>
    <t xml:space="preserve">         21K            23K            10K</t>
  </si>
  <si>
    <t>FeYQWQL1s9kYVvNTb8ZnwamoZV8hTWxcAVNNfWadpump</t>
  </si>
  <si>
    <t>-0.761 SOL</t>
  </si>
  <si>
    <t>-66.43%</t>
  </si>
  <si>
    <t>27.10.2024 13:38:39</t>
  </si>
  <si>
    <t>Gijon</t>
  </si>
  <si>
    <t>1.950 SOL</t>
  </si>
  <si>
    <t>-0.189 SOL</t>
  </si>
  <si>
    <t>-8.84%</t>
  </si>
  <si>
    <t>27.10.2024 11:41:14</t>
  </si>
  <si>
    <t>8Laj2YQbYr8JoRfacFu9xHLoZGnFhqZp6rf9spT3pump</t>
  </si>
  <si>
    <t>4.941 SOL</t>
  </si>
  <si>
    <t>-1.022 SOL</t>
  </si>
  <si>
    <t>-20.36%</t>
  </si>
  <si>
    <t>26.10.2024 21:52:25</t>
  </si>
  <si>
    <t>0.035010</t>
  </si>
  <si>
    <t>2.032 SOL</t>
  </si>
  <si>
    <t>0.189 SOL</t>
  </si>
  <si>
    <t>9.16%</t>
  </si>
  <si>
    <t>26.10.2024 21:39:51</t>
  </si>
  <si>
    <t>2.243 SOL</t>
  </si>
  <si>
    <t>-0.295 SOL</t>
  </si>
  <si>
    <t>-12.93%</t>
  </si>
  <si>
    <t>26.10.2024 21:30:45</t>
  </si>
  <si>
    <t>Enchant</t>
  </si>
  <si>
    <t>0.063620</t>
  </si>
  <si>
    <t>3.557 SOL</t>
  </si>
  <si>
    <t>4.781 SOL</t>
  </si>
  <si>
    <t>1.160 SOL</t>
  </si>
  <si>
    <t>32.05%</t>
  </si>
  <si>
    <t>26.10.2024 20:45:09</t>
  </si>
  <si>
    <t xml:space="preserve">         11K            14K             3K</t>
  </si>
  <si>
    <t>HS7Ro4ZbcrFgbbfHvppzkmD7wAAD36gpFQ2nKsQWpump</t>
  </si>
  <si>
    <t>Moshi</t>
  </si>
  <si>
    <t>0.075020</t>
  </si>
  <si>
    <t>2.788 SOL</t>
  </si>
  <si>
    <t>54.83%</t>
  </si>
  <si>
    <t>26.10.2024 20:35:18</t>
  </si>
  <si>
    <t xml:space="preserve">          7K            25K             6K</t>
  </si>
  <si>
    <t>AU9nmK9YeVvM1h57jKzytdfuNLoV8dhPedQdLceepump</t>
  </si>
  <si>
    <t>PinkSheep</t>
  </si>
  <si>
    <t>0.210030</t>
  </si>
  <si>
    <t>2.972 SOL</t>
  </si>
  <si>
    <t>-18.74%</t>
  </si>
  <si>
    <t>26.10.2024 17:59:53</t>
  </si>
  <si>
    <t>5jyY898Rx3MTw1kHX92LQSUvDNHDRyiJ7BQW7eaCpump</t>
  </si>
  <si>
    <t>1.434 SOL</t>
  </si>
  <si>
    <t>-67.02%</t>
  </si>
  <si>
    <t>26.10.2024 05:27:09</t>
  </si>
  <si>
    <t xml:space="preserve">         32K            32K             6K</t>
  </si>
  <si>
    <t>BhNwyd3QGBwfy4mUPGsqPUBnV9AgKN5U9nkSAH5fpump</t>
  </si>
  <si>
    <t>mommy</t>
  </si>
  <si>
    <t>1.523 SOL</t>
  </si>
  <si>
    <t>1.382 SOL</t>
  </si>
  <si>
    <t>-15.13%</t>
  </si>
  <si>
    <t>26.10.2024 05:26:43</t>
  </si>
  <si>
    <t>EGiQ6KgDD4eWdvQ5oUQPFCVXAN7uCFRqcYAX2f2Mpump</t>
  </si>
  <si>
    <t>JUNOO</t>
  </si>
  <si>
    <t>0.235040</t>
  </si>
  <si>
    <t>4.793 SOL</t>
  </si>
  <si>
    <t>4.770 SOL</t>
  </si>
  <si>
    <t>25.10.2024 11:44:27</t>
  </si>
  <si>
    <t>Cose1iLX2N1SE9XwZjkwnQ8oKWnqLu4wRMtqvjp6pump</t>
  </si>
  <si>
    <t>Consortium</t>
  </si>
  <si>
    <t>3.314 SOL</t>
  </si>
  <si>
    <t>4.40%</t>
  </si>
  <si>
    <t>25.10.2024 05:23:00</t>
  </si>
  <si>
    <t>CQYMbho9FPLy8QxuJquhr34PQCT6LtJuHzpQ2Mvpump</t>
  </si>
  <si>
    <t>#TRUMP</t>
  </si>
  <si>
    <t>0.064840</t>
  </si>
  <si>
    <t>1.614 SOL</t>
  </si>
  <si>
    <t>15.312 SOL</t>
  </si>
  <si>
    <t>13.633 SOL</t>
  </si>
  <si>
    <t>812.13%</t>
  </si>
  <si>
    <t>25.10.2024 04:54:38</t>
  </si>
  <si>
    <t xml:space="preserve">         11K            67K            68K</t>
  </si>
  <si>
    <t>64wxywau8FvYQXVKxusf5nc4ACBeiCaCyRpBxbHzpump</t>
  </si>
  <si>
    <t>0.045010</t>
  </si>
  <si>
    <t>25.10.2024 03:47:13</t>
  </si>
  <si>
    <t>3YTN37Q5RzJ5TJEMyZSTYMtiRozn9UUXySno9GNTpump</t>
  </si>
  <si>
    <t>0.042420</t>
  </si>
  <si>
    <t>2.014 SOL</t>
  </si>
  <si>
    <t>4.026 SOL</t>
  </si>
  <si>
    <t>95.71%</t>
  </si>
  <si>
    <t>24.10.2024 16:26:15</t>
  </si>
  <si>
    <t xml:space="preserve">         19K            35K             3K</t>
  </si>
  <si>
    <t>2cvMDBEgDu3K8tZVPUvpa3A394V1MswP7Y5mD3LYpump</t>
  </si>
  <si>
    <t>survivor</t>
  </si>
  <si>
    <t>2.211 SOL</t>
  </si>
  <si>
    <t>1.580 SOL</t>
  </si>
  <si>
    <t>-0.676 SOL</t>
  </si>
  <si>
    <t>-29.96%</t>
  </si>
  <si>
    <t>24.10.2024 16:21:22</t>
  </si>
  <si>
    <t>AKTCoYT1F1wf5hveHfBzwaZH9xKLWcCgDN6w13gppump</t>
  </si>
  <si>
    <t>0.869 SOL</t>
  </si>
  <si>
    <t>-21.40%</t>
  </si>
  <si>
    <t>24.10.2024 16:08:00</t>
  </si>
  <si>
    <t xml:space="preserve">         35K            30K             7K</t>
  </si>
  <si>
    <t>8B5rfcbs3dMzocUjhbrAH5yVi6uz5hPvCXVdVYsvpump</t>
  </si>
  <si>
    <t>MotherAI</t>
  </si>
  <si>
    <t>-0.72%</t>
  </si>
  <si>
    <t>24.10.2024 13:51:43</t>
  </si>
  <si>
    <t>CNHGRkiYdt39jq8rgZ6rBhzFrJbK8BFQpQFdNdTYpump</t>
  </si>
  <si>
    <t>RGB</t>
  </si>
  <si>
    <t>24.10.2024 11:58:17</t>
  </si>
  <si>
    <t>3aXBQf6ghaTy3HQWDTdwcE8WJ4AuLrcJeEuJEdzPpump</t>
  </si>
  <si>
    <t>Tate AI</t>
  </si>
  <si>
    <t>0.090010</t>
  </si>
  <si>
    <t>1.771 SOL</t>
  </si>
  <si>
    <t>2.778 SOL</t>
  </si>
  <si>
    <t>149.26%</t>
  </si>
  <si>
    <t>24.10.2024 06:57:44</t>
  </si>
  <si>
    <t>GqCzSCFUDCgY3jdgN1bRcRDrTJbvu2LXQyCRHqMbpump</t>
  </si>
  <si>
    <t>SHABI</t>
  </si>
  <si>
    <t>1.868 SOL</t>
  </si>
  <si>
    <t>89.69%</t>
  </si>
  <si>
    <t>24.10.2024 06:14:50</t>
  </si>
  <si>
    <t>4vUPAZMg3UJAbYDxYVnGJEgQ7Vye2e5AwXsRcHEVpump</t>
  </si>
  <si>
    <t xml:space="preserve">GRUMPY </t>
  </si>
  <si>
    <t>0.120060</t>
  </si>
  <si>
    <t>28.317 SOL</t>
  </si>
  <si>
    <t>26.424 SOL</t>
  </si>
  <si>
    <t>1395.52%</t>
  </si>
  <si>
    <t>23.10.2024 21:00:12</t>
  </si>
  <si>
    <t xml:space="preserve">          7K            86K             4K</t>
  </si>
  <si>
    <t>DfFXNtqWf37ToztB3tKQqbcdA9rQCX8TU3WHPaYApump</t>
  </si>
  <si>
    <t>64.04%</t>
  </si>
  <si>
    <t>23.10.2024 20:14:19</t>
  </si>
  <si>
    <t xml:space="preserve">          7K            11K             4K</t>
  </si>
  <si>
    <t>7L2yu8ACjp4W3T79yZkK5M2FWmRgq9T4rMjiUSgopump</t>
  </si>
  <si>
    <t>Transhiba</t>
  </si>
  <si>
    <t>21.40%</t>
  </si>
  <si>
    <t>22.10.2024 10:12:28</t>
  </si>
  <si>
    <t>AF7gwu4SFa4Uo28DLe4trpMoYeu8QiRbZSziFgctpump</t>
  </si>
  <si>
    <t>ZEL</t>
  </si>
  <si>
    <t>1.584 SOL</t>
  </si>
  <si>
    <t>-49.62%</t>
  </si>
  <si>
    <t>22.10.2024 10:12:10</t>
  </si>
  <si>
    <t xml:space="preserve">         11K             5K             6K</t>
  </si>
  <si>
    <t>DnHmMD9KBnVMDDY3nisRZVVyF1LB382VadWU1nJhpump</t>
  </si>
  <si>
    <t>HILTON</t>
  </si>
  <si>
    <t>0.98%</t>
  </si>
  <si>
    <t>22.10.2024 05:53:10</t>
  </si>
  <si>
    <t>Bo8JgJUhg9HzvnhHTMuHg3BznjLQ5FtzycVLrk82F3L2</t>
  </si>
  <si>
    <t>66VRzczw81D31rpraaApSJQnqUu56x6U1Qa6BV2darrj</t>
  </si>
  <si>
    <t>8.90 SOL</t>
  </si>
  <si>
    <t>-42%</t>
  </si>
  <si>
    <t>-9.18 SOL</t>
  </si>
  <si>
    <t>4.57 SOL</t>
  </si>
  <si>
    <t>8.6%</t>
  </si>
  <si>
    <t>15.5%</t>
  </si>
  <si>
    <t>72.4%</t>
  </si>
  <si>
    <t>27</t>
  </si>
  <si>
    <t>4.8 SOL</t>
  </si>
  <si>
    <t>-1.0 SOL</t>
  </si>
  <si>
    <t>-14.7 SOL</t>
  </si>
  <si>
    <t>32.0K</t>
  </si>
  <si>
    <t>CSOL</t>
  </si>
  <si>
    <t>0.000910</t>
  </si>
  <si>
    <t>15.82%</t>
  </si>
  <si>
    <t>30.10.2024 21:09:28</t>
  </si>
  <si>
    <t xml:space="preserve">         11K            46K             9K</t>
  </si>
  <si>
    <t>C8jdetV1VZhYDtCEQnYwPxz5aPeBMr5hAyrtQmAEpump</t>
  </si>
  <si>
    <t>e+</t>
  </si>
  <si>
    <t>3,198,709</t>
  </si>
  <si>
    <t>30.10.2024 18:31:42</t>
  </si>
  <si>
    <t>FmKQFFGGXao7HX3qSVQs9gqyvsjr2NakYbDkRR4upump</t>
  </si>
  <si>
    <t>S/ACC</t>
  </si>
  <si>
    <t>5,702,570</t>
  </si>
  <si>
    <t>EFT5ANnvvoykCdLNoxYhqmJCfaEg7SMNbWYYQcnLpump</t>
  </si>
  <si>
    <t>SPARK</t>
  </si>
  <si>
    <t>3,900,022</t>
  </si>
  <si>
    <t>30.10.2024 18:11:28</t>
  </si>
  <si>
    <t>5i1354qt9xk2W7FRuHUvQBjjXavSL9MFNwtnLGkHpump</t>
  </si>
  <si>
    <t>GC</t>
  </si>
  <si>
    <t>408,267</t>
  </si>
  <si>
    <t>30.10.2024 16:00:24</t>
  </si>
  <si>
    <t xml:space="preserve">        107K           107K             9K</t>
  </si>
  <si>
    <t>2hXcuLXuTe8u16XiKGijfMCWRAfCd9HV4b5QKFLypump</t>
  </si>
  <si>
    <t>|| ||| | |</t>
  </si>
  <si>
    <t>2,505,356</t>
  </si>
  <si>
    <t>30.10.2024 13:35:45</t>
  </si>
  <si>
    <t>C6gSSAgnsKEG7UQqFiWhnQaaVZY7kYpfdS4o6hvWpump</t>
  </si>
  <si>
    <t>FCL</t>
  </si>
  <si>
    <t>1,354,101</t>
  </si>
  <si>
    <t>30.10.2024 04:19:01</t>
  </si>
  <si>
    <t>HhSRJUqq9jvdw8BjYBMxpEmyTxtr1ze1NGLTuvPNpump</t>
  </si>
  <si>
    <t>376,418</t>
  </si>
  <si>
    <t>29.10.2024 21:38:20</t>
  </si>
  <si>
    <t>552,315</t>
  </si>
  <si>
    <t>29.10.2024 21:30:50</t>
  </si>
  <si>
    <t>1,906,234</t>
  </si>
  <si>
    <t>29.10.2024 20:51:38</t>
  </si>
  <si>
    <t xml:space="preserve">         91K            91K            73K</t>
  </si>
  <si>
    <t>MAK</t>
  </si>
  <si>
    <t>-0.265 SOL</t>
  </si>
  <si>
    <t>225,442</t>
  </si>
  <si>
    <t>29.10.2024 20:19:27</t>
  </si>
  <si>
    <t xml:space="preserve">        195K           195K             5K</t>
  </si>
  <si>
    <t>62QyG6oudoTb4kMyfZKzz3TmSgEaq6aMrW7Hd2wXpump</t>
  </si>
  <si>
    <t>878,661</t>
  </si>
  <si>
    <t>29.10.2024 19:46:17</t>
  </si>
  <si>
    <t>Brave-tan</t>
  </si>
  <si>
    <t>2,702,265</t>
  </si>
  <si>
    <t>29.10.2024 19:37:11</t>
  </si>
  <si>
    <t>AoXoZehv1C8gj1vzkonFprH4PNnnY3MmZJvEf2xTpump</t>
  </si>
  <si>
    <t>Tier</t>
  </si>
  <si>
    <t>29.10.2024 18:28:00</t>
  </si>
  <si>
    <t xml:space="preserve">         47K           130K             5K</t>
  </si>
  <si>
    <t>55mboDZnLzV5uFsH8egLcW2Q6Yh5UUeM86DndJcbpump</t>
  </si>
  <si>
    <t>5,209,099</t>
  </si>
  <si>
    <t>29.10.2024 18:12:48</t>
  </si>
  <si>
    <t>1,528,276</t>
  </si>
  <si>
    <t>29.10.2024 16:56:22</t>
  </si>
  <si>
    <t xml:space="preserve">         28K            28K             7K</t>
  </si>
  <si>
    <t>7KXJouu7ET4CLiBEd83RpuUGPhWgsHNsSRr5WFCgpump</t>
  </si>
  <si>
    <t>PRETZELS</t>
  </si>
  <si>
    <t>5,510,288</t>
  </si>
  <si>
    <t>29.10.2024 16:18:47</t>
  </si>
  <si>
    <t>3U1DEtCMjmAr19UJaAFDj6NLqua5SQoGMaVGZHTipump</t>
  </si>
  <si>
    <t>1,095,259</t>
  </si>
  <si>
    <t xml:space="preserve">         40K            40K             9K</t>
  </si>
  <si>
    <t>698,084</t>
  </si>
  <si>
    <t>29.10.2024 15:26:40</t>
  </si>
  <si>
    <t>$LOOCE</t>
  </si>
  <si>
    <t>1,974,535</t>
  </si>
  <si>
    <t>29.10.2024 14:44:43</t>
  </si>
  <si>
    <t>5KyQyikL7TGGCHmSihcYV94tnQVCZFCTX7VzJULQpump</t>
  </si>
  <si>
    <t>RPI</t>
  </si>
  <si>
    <t>1,475,078</t>
  </si>
  <si>
    <t>29.10.2024 13:51:41</t>
  </si>
  <si>
    <t>257hednrE9gv9VbZqdsvg3mecbfxH2umhh4mT6sxpump</t>
  </si>
  <si>
    <t>1,208,414</t>
  </si>
  <si>
    <t>29.10.2024 13:51:08</t>
  </si>
  <si>
    <t>-0.273 SOL</t>
  </si>
  <si>
    <t>1,991,154</t>
  </si>
  <si>
    <t>29.10.2024 13:01:32</t>
  </si>
  <si>
    <t>Candle</t>
  </si>
  <si>
    <t>1,580,001</t>
  </si>
  <si>
    <t>29.10.2024 12:15:40</t>
  </si>
  <si>
    <t>DK9sTJuCmgV6N3GVqM2CkDCtMj4TTuYVk5rt1WN4pump</t>
  </si>
  <si>
    <t>Jeetism</t>
  </si>
  <si>
    <t>-0.562 SOL</t>
  </si>
  <si>
    <t>2,598,077</t>
  </si>
  <si>
    <t>28.10.2024 21:17:53</t>
  </si>
  <si>
    <t>8cjP3RWLkMgYZDHebuKChRvBPTYkYAo39Xv8dQGDpump</t>
  </si>
  <si>
    <t>JNF</t>
  </si>
  <si>
    <t>-15.07%</t>
  </si>
  <si>
    <t>28.10.2024 21:17:13</t>
  </si>
  <si>
    <t xml:space="preserve">         63K            53K            46K</t>
  </si>
  <si>
    <t>Ho6DXgPrzKyniNEhcfrqG7zX76Hq9QVfUKERzJvu8dCe</t>
  </si>
  <si>
    <t>AM</t>
  </si>
  <si>
    <t>0.466 SOL</t>
  </si>
  <si>
    <t>7,463,212</t>
  </si>
  <si>
    <t>28.10.2024 21:06:00</t>
  </si>
  <si>
    <t xml:space="preserve">         11K            11K             7K</t>
  </si>
  <si>
    <t>GNqX7whjU4kq5Rwyb18ow13ZSZFHFrUFTQotwxpzpump</t>
  </si>
  <si>
    <t>Vintage</t>
  </si>
  <si>
    <t>0.709 SOL</t>
  </si>
  <si>
    <t>34.91%</t>
  </si>
  <si>
    <t>28.10.2024 20:27:05</t>
  </si>
  <si>
    <t>8yh3WbFkiMQrLeesWMcuqWbvgjkHkyzQY1SMgTSWpump</t>
  </si>
  <si>
    <t>STARGATE</t>
  </si>
  <si>
    <t>0.349 SOL</t>
  </si>
  <si>
    <t>-0.165 SOL</t>
  </si>
  <si>
    <t>-32.11%</t>
  </si>
  <si>
    <t>28.10.2024 19:03:48</t>
  </si>
  <si>
    <t xml:space="preserve">          9K            12K             6K</t>
  </si>
  <si>
    <t>7hrj9SBDLVjmidN8tdL8JfPAqmiw9uW2J4Hhdskdpump</t>
  </si>
  <si>
    <t>FISHDICK</t>
  </si>
  <si>
    <t>5.282 SOL</t>
  </si>
  <si>
    <t>4.769 SOL</t>
  </si>
  <si>
    <t>929.88%</t>
  </si>
  <si>
    <t>28.10.2024 18:56:44</t>
  </si>
  <si>
    <t xml:space="preserve">         26K           447K           244K</t>
  </si>
  <si>
    <t>GZv3qcCmBXtdcwCe4j5ZrsRexxMbRLJdtv1dWXKZpump</t>
  </si>
  <si>
    <t>-0.434 SOL</t>
  </si>
  <si>
    <t>8,192,188</t>
  </si>
  <si>
    <t>28.10.2024 18:35:02</t>
  </si>
  <si>
    <t>GAuM7vQ4DHKkVRyHMGirikiX9GdbkLSkt9a23iPigxrj</t>
  </si>
  <si>
    <t>Bordone</t>
  </si>
  <si>
    <t>10,302,291</t>
  </si>
  <si>
    <t>28.10.2024 17:08:26</t>
  </si>
  <si>
    <t>Ek7oxnAeXivbhTSuPHKBhJg4VegpHbyTrHGCHAgeLrtp</t>
  </si>
  <si>
    <t>Fweddy</t>
  </si>
  <si>
    <t>0.433 SOL</t>
  </si>
  <si>
    <t>0.431 SOL</t>
  </si>
  <si>
    <t>28.10.2024 16:32:35</t>
  </si>
  <si>
    <t>AhT65Hwc4tzGp3UvuZmvF9rPY5VKwPmqb7sRuKL5pump</t>
  </si>
  <si>
    <t>-0.529 SOL</t>
  </si>
  <si>
    <t>4,047,991</t>
  </si>
  <si>
    <t>28.10.2024 16:11:06</t>
  </si>
  <si>
    <t xml:space="preserve">         23K            23K             6K</t>
  </si>
  <si>
    <t>DN5c7rUrvCWrTzMCWdurbEjoUpUSkcAab6QLZDurxV71</t>
  </si>
  <si>
    <t>SENDIT</t>
  </si>
  <si>
    <t>3,921,122</t>
  </si>
  <si>
    <t>28.10.2024 14:26:23</t>
  </si>
  <si>
    <t>4PG38vjJYPoh1LWCNYnyEEy8p1K8Ta4duz1PwxEj5EEb</t>
  </si>
  <si>
    <t>HALLO</t>
  </si>
  <si>
    <t>-0.514 SOL</t>
  </si>
  <si>
    <t>10,253,941</t>
  </si>
  <si>
    <t>28.10.2024 14:16:19</t>
  </si>
  <si>
    <t>7J8z956mCy44jipd1Sm4UdYNVBYstH9HTkBU2jd1ABY4</t>
  </si>
  <si>
    <t>-29.30%</t>
  </si>
  <si>
    <t>28.10.2024 13:10:40</t>
  </si>
  <si>
    <t xml:space="preserve">         83K            83K             7K</t>
  </si>
  <si>
    <t>HLLWN</t>
  </si>
  <si>
    <t>-35.29%</t>
  </si>
  <si>
    <t>28.10.2024 12:58:58</t>
  </si>
  <si>
    <t xml:space="preserve">        204K           264K             5K</t>
  </si>
  <si>
    <t>CVcAA5iKzvQg5yYrEFs3AoRWZZUgdpNKUEeyaUPpump</t>
  </si>
  <si>
    <t>1,661,309</t>
  </si>
  <si>
    <t>28.10.2024 12:50:15</t>
  </si>
  <si>
    <t xml:space="preserve">        528M           528M             25</t>
  </si>
  <si>
    <t>5LHMBZNAxuZpqMCnrsZZoiJD2njvQssc44C1nB3i3na</t>
  </si>
  <si>
    <t>Unknown</t>
  </si>
  <si>
    <t>1,179,300</t>
  </si>
  <si>
    <t>28.10.2024 12:37:25</t>
  </si>
  <si>
    <t>8oRZGPwTykqrqa7CRdJ9vN4koAkwsDUNKvFgQLZcpump</t>
  </si>
  <si>
    <t>FISHPUSSY</t>
  </si>
  <si>
    <t>28.10.2024 12:34:11</t>
  </si>
  <si>
    <t>CQLNjfGwo3v6j231j31f6fZjkt7gzHj3T6kWUKftpump</t>
  </si>
  <si>
    <t>28.10.2024 12:33:32</t>
  </si>
  <si>
    <t xml:space="preserve">        157K           157K            27K</t>
  </si>
  <si>
    <t>981,981</t>
  </si>
  <si>
    <t>28.10.2024 10:45:56</t>
  </si>
  <si>
    <t xml:space="preserve">         91K            91K             6K</t>
  </si>
  <si>
    <t>3by6xyXDMH81jtG1gVBXdtmfmRBJE1xuhwJff7fYBtiL</t>
  </si>
  <si>
    <t>Ggool</t>
  </si>
  <si>
    <t>-0.512 SOL</t>
  </si>
  <si>
    <t>6,542,130</t>
  </si>
  <si>
    <t>28.10.2024 08:48:14</t>
  </si>
  <si>
    <t>Fz3NeA5sXZSd3kNbiq77kBhSPqe8NKLc6CTkcwS8G4gW</t>
  </si>
  <si>
    <t>1,524,692</t>
  </si>
  <si>
    <t>28.10.2024 08:36:23</t>
  </si>
  <si>
    <t>3.14159</t>
  </si>
  <si>
    <t>4,215,731</t>
  </si>
  <si>
    <t>28.10.2024 08:22:39</t>
  </si>
  <si>
    <t>9EC4PVN93UoWK6ZbcS9agf31Mou7eCTQufxp1L1ypump</t>
  </si>
  <si>
    <t>4,248,055</t>
  </si>
  <si>
    <t>28.10.2024 06:28:23</t>
  </si>
  <si>
    <t>94pux2sMbGYxHJRZ3TqJQSUcw46io1B7vL4B6URYpump</t>
  </si>
  <si>
    <t>581,847</t>
  </si>
  <si>
    <t>28.10.2024 06:25:30</t>
  </si>
  <si>
    <t xml:space="preserve">        151K           151K             7K</t>
  </si>
  <si>
    <t>1.253 SOL</t>
  </si>
  <si>
    <t>249.82%</t>
  </si>
  <si>
    <t>28.10.2024 04:55:55</t>
  </si>
  <si>
    <t xml:space="preserve">         32K           188K            16K</t>
  </si>
  <si>
    <t>JAYLENE</t>
  </si>
  <si>
    <t>-25.62%</t>
  </si>
  <si>
    <t>28.10.2024 04:42:47</t>
  </si>
  <si>
    <t xml:space="preserve">         47K            35K             3K</t>
  </si>
  <si>
    <t>2DuCLRbQwWsSdJEPi96A8tTwrWir4yHJZkuntzKrpump</t>
  </si>
  <si>
    <t>PS2</t>
  </si>
  <si>
    <t>0.000370</t>
  </si>
  <si>
    <t>1,141,256</t>
  </si>
  <si>
    <t>28.10.2024 02:58:22</t>
  </si>
  <si>
    <t>HNhLKtM2K2P7Acxf1xyeJVLUTdwHchBrf42QNEsppump</t>
  </si>
  <si>
    <t>SOGE</t>
  </si>
  <si>
    <t>35.84%</t>
  </si>
  <si>
    <t>28.10.2024 02:07:56</t>
  </si>
  <si>
    <t xml:space="preserve">         47K            65K             4K</t>
  </si>
  <si>
    <t>AXuW6LnrUF8StrSqUcRsjajS1BjiAxRwJQory6XjR6tH</t>
  </si>
  <si>
    <t>SOLAR</t>
  </si>
  <si>
    <t>0.30%</t>
  </si>
  <si>
    <t>28.10.2024 00:55:40</t>
  </si>
  <si>
    <t xml:space="preserve">         63K            63K            62K</t>
  </si>
  <si>
    <t>GNJrBUuUnExsQYBAFy22Hw1qSmSJdWEgy8VawAn3uzUb</t>
  </si>
  <si>
    <t>-0.157 SOL</t>
  </si>
  <si>
    <t>-31.29%</t>
  </si>
  <si>
    <t>28.10.2024 00:37:13</t>
  </si>
  <si>
    <t xml:space="preserve">         81K            56K             7K</t>
  </si>
  <si>
    <t>$FAM</t>
  </si>
  <si>
    <t>135,214</t>
  </si>
  <si>
    <t>28.10.2024 00:17:11</t>
  </si>
  <si>
    <t xml:space="preserve">        130K           130K            45K</t>
  </si>
  <si>
    <t>Q8mBqEZesckxGiifTFUuL954dP2Ay5V3P5zey9Dpump</t>
  </si>
  <si>
    <t>black.gif</t>
  </si>
  <si>
    <t>437,321</t>
  </si>
  <si>
    <t>27.10.2024 23:42:18</t>
  </si>
  <si>
    <t xml:space="preserve">         38K            38K            23K</t>
  </si>
  <si>
    <t>GEstgLtfTnsYqnMBMv1PJBkzGnudktTm9WdARxA3w7v5</t>
  </si>
  <si>
    <t>158,419</t>
  </si>
  <si>
    <t xml:space="preserve">        111K           111K             9K</t>
  </si>
  <si>
    <t>2xuV9RSDJxAHvmjAujTR5Fp9cgUzSsDH4DivS9bupump</t>
  </si>
  <si>
    <t>0.000760</t>
  </si>
  <si>
    <t>872,122</t>
  </si>
  <si>
    <t>27.10.2024 22:09:27</t>
  </si>
  <si>
    <t xml:space="preserve">         21K            21K             6K</t>
  </si>
  <si>
    <t>E35DHmjCFK1xszJpVtDmnamHY1GA1mh1Cur15xgmaXNQ</t>
  </si>
  <si>
    <t>11.55 SOL</t>
  </si>
  <si>
    <t>-100%</t>
  </si>
  <si>
    <t>-2.40 SOL</t>
  </si>
  <si>
    <t>-</t>
  </si>
  <si>
    <t>0.39 SOL</t>
  </si>
  <si>
    <t>227</t>
  </si>
  <si>
    <t>100.0%</t>
  </si>
  <si>
    <t>107.0K</t>
  </si>
  <si>
    <t>3,902,697</t>
  </si>
  <si>
    <t>16.10.2024 05:57:21</t>
  </si>
  <si>
    <t xml:space="preserve">        107K           107K            17K</t>
  </si>
  <si>
    <t>A1HrPYkcjwRkKFZXHjBqkHoF5YQgvDNhSJVSvayAjDrc</t>
  </si>
  <si>
    <t>49.79 SOL</t>
  </si>
  <si>
    <t>42.36 SOL</t>
  </si>
  <si>
    <t>-72.45%</t>
  </si>
  <si>
    <t>17.47 SOL</t>
  </si>
  <si>
    <t>61.5%</t>
  </si>
  <si>
    <t>39.6 SOL</t>
  </si>
  <si>
    <t>34.1 SOL</t>
  </si>
  <si>
    <t>-32.3 SOL</t>
  </si>
  <si>
    <t>174.0K</t>
  </si>
  <si>
    <t>3.156 SOL</t>
  </si>
  <si>
    <t>1.155 SOL</t>
  </si>
  <si>
    <t>57.71%</t>
  </si>
  <si>
    <t>30.10.2024 20:17:41</t>
  </si>
  <si>
    <t xml:space="preserve">        435K           435K           515K</t>
  </si>
  <si>
    <t>43.590 SOL</t>
  </si>
  <si>
    <t>39.588 SOL</t>
  </si>
  <si>
    <t>989.29%</t>
  </si>
  <si>
    <t>29.10.2024 06:13:45</t>
  </si>
  <si>
    <t xml:space="preserve">        179K           357K           447K</t>
  </si>
  <si>
    <t>-2.931 SOL</t>
  </si>
  <si>
    <t>-97.68%</t>
  </si>
  <si>
    <t xml:space="preserve">        262K             7K             4K</t>
  </si>
  <si>
    <t>-2.175 SOL</t>
  </si>
  <si>
    <t>-80.56%</t>
  </si>
  <si>
    <t>19.109 SOL</t>
  </si>
  <si>
    <t>15.108 SOL</t>
  </si>
  <si>
    <t>377.54%</t>
  </si>
  <si>
    <t>25.10.2024 11:59:56</t>
  </si>
  <si>
    <t xml:space="preserve">          2M           369K            41K</t>
  </si>
  <si>
    <t>-24.35%</t>
  </si>
  <si>
    <t xml:space="preserve">        429K           315K            10K</t>
  </si>
  <si>
    <t>-2.052 SOL</t>
  </si>
  <si>
    <t>-51.28%</t>
  </si>
  <si>
    <t xml:space="preserve">        174K           109K            13K</t>
  </si>
  <si>
    <t>5.011 SOL</t>
  </si>
  <si>
    <t>-3.884 SOL</t>
  </si>
  <si>
    <t>-77.49%</t>
  </si>
  <si>
    <t xml:space="preserve">         40K             9K             3K</t>
  </si>
  <si>
    <t>7.002 SOL</t>
  </si>
  <si>
    <t>-6.955 SOL</t>
  </si>
  <si>
    <t>-99.31%</t>
  </si>
  <si>
    <t xml:space="preserve">         62K            62K            17K</t>
  </si>
  <si>
    <t>5.697 SOL</t>
  </si>
  <si>
    <t>24.659 SOL</t>
  </si>
  <si>
    <t>18.960 SOL</t>
  </si>
  <si>
    <t>332.64%</t>
  </si>
  <si>
    <t>13.10.2024 18:22:45</t>
  </si>
  <si>
    <t xml:space="preserve">        364K            23K            29K</t>
  </si>
  <si>
    <t>-5.898 SOL</t>
  </si>
  <si>
    <t>-97.79%</t>
  </si>
  <si>
    <t xml:space="preserve">         37K            37K            15K</t>
  </si>
  <si>
    <t>9.816 SOL</t>
  </si>
  <si>
    <t>-8.276 SOL</t>
  </si>
  <si>
    <t>-84.30%</t>
  </si>
  <si>
    <t xml:space="preserve">         60K             3M            70K</t>
  </si>
  <si>
    <t>49SH2SQVjG6dbnQhQS4QjbewjuUAsLABe7GhX3uLDEJD</t>
  </si>
  <si>
    <t>98.03 SOL</t>
  </si>
  <si>
    <t>-7%</t>
  </si>
  <si>
    <t>-3.57 SOL</t>
  </si>
  <si>
    <t>98%</t>
  </si>
  <si>
    <t>50.43 SOL</t>
  </si>
  <si>
    <t>87</t>
  </si>
  <si>
    <t>87.5%</t>
  </si>
  <si>
    <t>36.4 SOL</t>
  </si>
  <si>
    <t>-39.9 SOL</t>
  </si>
  <si>
    <t>134.0K</t>
  </si>
  <si>
    <t>MEDUSA</t>
  </si>
  <si>
    <t>11.015 SOL</t>
  </si>
  <si>
    <t>47.382 SOL</t>
  </si>
  <si>
    <t>36.366 SOL</t>
  </si>
  <si>
    <t>330.11%</t>
  </si>
  <si>
    <t>20.10.2024 07:29:10</t>
  </si>
  <si>
    <t xml:space="preserve">         12K             4M           600K</t>
  </si>
  <si>
    <t>Fosp9yoXQBdx8YqyURZePYzgpCnxp9XsfnQq69DRvvU4</t>
  </si>
  <si>
    <t>32.412 SOL</t>
  </si>
  <si>
    <t>-32.412 SOL</t>
  </si>
  <si>
    <t>1,122,596</t>
  </si>
  <si>
    <t>18.10.2024 14:58:46</t>
  </si>
  <si>
    <t xml:space="preserve">          5M             6M           157K</t>
  </si>
  <si>
    <t>289,441</t>
  </si>
  <si>
    <t>14.10.2024 16:51:43</t>
  </si>
  <si>
    <t xml:space="preserve">        121K           121K             4K</t>
  </si>
  <si>
    <t>$KUNT</t>
  </si>
  <si>
    <t>468,955</t>
  </si>
  <si>
    <t>14.10.2024 15:58:55</t>
  </si>
  <si>
    <t xml:space="preserve">        188K           188K            14K</t>
  </si>
  <si>
    <t>ERBeYFBP2oA1MpcpMAGEEpzBZVmBhjQu1BG4yML5pump</t>
  </si>
  <si>
    <t>AYANE</t>
  </si>
  <si>
    <t>-1.487 SOL</t>
  </si>
  <si>
    <t>1,965,671</t>
  </si>
  <si>
    <t>14.10.2024 15:41:46</t>
  </si>
  <si>
    <t xml:space="preserve">        134K           134K             7K</t>
  </si>
  <si>
    <t>4v14k2vBuoNSDLnMa12qK2pqokp8K7ZpVU7uWjZgpump</t>
  </si>
  <si>
    <t>DIDDY</t>
  </si>
  <si>
    <t>0.000210</t>
  </si>
  <si>
    <t>10.10.2024 19:23:13</t>
  </si>
  <si>
    <t xml:space="preserve">        362K           675K            36K</t>
  </si>
  <si>
    <t>5QQRKwnJsoy5MHbYvUe1zgtNUGhesQ5SErQvnAZgpump</t>
  </si>
  <si>
    <t>GIGADRAKE</t>
  </si>
  <si>
    <t>-1.015 SOL</t>
  </si>
  <si>
    <t>4,363,241</t>
  </si>
  <si>
    <t>09.10.2024 07:55:48</t>
  </si>
  <si>
    <t>2rPPBwzMcY1CsirvaAs8YD7YasswoB35LNmeKJDMpump</t>
  </si>
  <si>
    <t>-2.824 SOL</t>
  </si>
  <si>
    <t>-94.93%</t>
  </si>
  <si>
    <t>07.10.2024 18:21:25</t>
  </si>
  <si>
    <t xml:space="preserve">        134K             7K             4K</t>
  </si>
  <si>
    <t>BSiEYXb9cMCyAmi2J4aHi19nGMQgetUrD4Hyv7DxeWW3</t>
  </si>
  <si>
    <t>52.16 SOL</t>
  </si>
  <si>
    <t>48.70 SOL</t>
  </si>
  <si>
    <t>16 h</t>
  </si>
  <si>
    <t>2.61%</t>
  </si>
  <si>
    <t>4.4 SOL</t>
  </si>
  <si>
    <t>41.9 SOL</t>
  </si>
  <si>
    <t>14.9 SOL</t>
  </si>
  <si>
    <t>-2.1 SOL</t>
  </si>
  <si>
    <t>214.0K</t>
  </si>
  <si>
    <t>3.111 SOL</t>
  </si>
  <si>
    <t>55.48%</t>
  </si>
  <si>
    <t>30.10.2024 20:17:52</t>
  </si>
  <si>
    <t xml:space="preserve">        426K           426K           515K</t>
  </si>
  <si>
    <t>0.001230</t>
  </si>
  <si>
    <t>45.934 SOL</t>
  </si>
  <si>
    <t>41.932 SOL</t>
  </si>
  <si>
    <t>1047.99%</t>
  </si>
  <si>
    <t>29.10.2024 11:26:07</t>
  </si>
  <si>
    <t xml:space="preserve">        171K           353K           447K</t>
  </si>
  <si>
    <t>-2.930 SOL</t>
  </si>
  <si>
    <t>-97.62%</t>
  </si>
  <si>
    <t xml:space="preserve">        257K             7K             4K</t>
  </si>
  <si>
    <t>3.491 SOL</t>
  </si>
  <si>
    <t>0.790 SOL</t>
  </si>
  <si>
    <t>29.27%</t>
  </si>
  <si>
    <t>17.147 SOL</t>
  </si>
  <si>
    <t>13.146 SOL</t>
  </si>
  <si>
    <t>328.52%</t>
  </si>
  <si>
    <t xml:space="preserve">          2M           389K            41K</t>
  </si>
  <si>
    <t>-24.06%</t>
  </si>
  <si>
    <t xml:space="preserve">        341K           255K            10K</t>
  </si>
  <si>
    <t>-1.965 SOL</t>
  </si>
  <si>
    <t>-49.11%</t>
  </si>
  <si>
    <t xml:space="preserve">        169K           418K            13K</t>
  </si>
  <si>
    <t>-3.017 SOL</t>
  </si>
  <si>
    <t>-91.04%</t>
  </si>
  <si>
    <t>4.712 SOL</t>
  </si>
  <si>
    <t>57.00%</t>
  </si>
  <si>
    <t>13.10.2024 18:24:25</t>
  </si>
  <si>
    <t xml:space="preserve">        355K           517K            29K</t>
  </si>
  <si>
    <t>-0.183 SOL</t>
  </si>
  <si>
    <t>-73.10%</t>
  </si>
  <si>
    <t>3.653 SOL</t>
  </si>
  <si>
    <t>-3.521 SOL</t>
  </si>
  <si>
    <t>-96.35%</t>
  </si>
  <si>
    <t xml:space="preserve">         23K            23K            15K</t>
  </si>
  <si>
    <t>286.34%</t>
  </si>
  <si>
    <t>08.10.2024 19:24:05</t>
  </si>
  <si>
    <t xml:space="preserve">        658K             3M            70K</t>
  </si>
  <si>
    <t>49Y67vr5whXpTTv8rA4zcgF8JVYi7QFZSc7zbMCXqKkX</t>
  </si>
  <si>
    <t>17.10 SOL</t>
  </si>
  <si>
    <t>1.11 SOL</t>
  </si>
  <si>
    <t>6 (9%)</t>
  </si>
  <si>
    <t>86 days</t>
  </si>
  <si>
    <t>-2.21%</t>
  </si>
  <si>
    <t>1.01 SOL</t>
  </si>
  <si>
    <t>4.5%</t>
  </si>
  <si>
    <t>39.4%</t>
  </si>
  <si>
    <t>30.3%</t>
  </si>
  <si>
    <t>7.9 SOL</t>
  </si>
  <si>
    <t>10.7 SOL</t>
  </si>
  <si>
    <t>-5.4 SOL</t>
  </si>
  <si>
    <t>-15.2 SOL</t>
  </si>
  <si>
    <t>334.0K</t>
  </si>
  <si>
    <t>-81.45%</t>
  </si>
  <si>
    <t>28.10.2024 17:09:17</t>
  </si>
  <si>
    <t xml:space="preserve">        334K           334K             5K</t>
  </si>
  <si>
    <t>-0.993 SOL</t>
  </si>
  <si>
    <t>28.10.2024 15:32:45</t>
  </si>
  <si>
    <t xml:space="preserve">          8M             8M             2M</t>
  </si>
  <si>
    <t>-0.381 SOL</t>
  </si>
  <si>
    <t>-37.77%</t>
  </si>
  <si>
    <t>28.10.2024 10:54:22</t>
  </si>
  <si>
    <t xml:space="preserve">        453K           285K             9K</t>
  </si>
  <si>
    <t>BAN</t>
  </si>
  <si>
    <t>28.10.2024 06:40:27</t>
  </si>
  <si>
    <t>HfZYTkK7xURjQbo1UVgEQBXwiRpVWmkXwqUVDEAPpump</t>
  </si>
  <si>
    <t>28.10.2024 06:04:21</t>
  </si>
  <si>
    <t xml:space="preserve">          4M             4M           212K</t>
  </si>
  <si>
    <t>GAMBIT</t>
  </si>
  <si>
    <t>-77.58%</t>
  </si>
  <si>
    <t>27.10.2024 18:57:35</t>
  </si>
  <si>
    <t xml:space="preserve">        408K            91K             5K</t>
  </si>
  <si>
    <t>E4PwDXy9p9dAfoV9xvWDSkHHDVPWFawxGhmkGbYfpump</t>
  </si>
  <si>
    <t>rebirth</t>
  </si>
  <si>
    <t>-55.70%</t>
  </si>
  <si>
    <t>27.10.2024 18:42:03</t>
  </si>
  <si>
    <t xml:space="preserve">         55K            25K             4K</t>
  </si>
  <si>
    <t>Agr13e1w2zp7JzRpgxqa7hG7yoBz2hjZyZ9ZXYC2pump</t>
  </si>
  <si>
    <t>Chris</t>
  </si>
  <si>
    <t>0.161460</t>
  </si>
  <si>
    <t>4.200 SOL</t>
  </si>
  <si>
    <t>5.281 SOL</t>
  </si>
  <si>
    <t>21.08%</t>
  </si>
  <si>
    <t>27.10.2024 17:08:31</t>
  </si>
  <si>
    <t xml:space="preserve">         53K           350K            15K</t>
  </si>
  <si>
    <t>Acze6KGwihrzHPZS1RPYNvfUtm2MZ7YSDHiuxLuRpump</t>
  </si>
  <si>
    <t>1.486 SOL</t>
  </si>
  <si>
    <t>0.478 SOL</t>
  </si>
  <si>
    <t>47.39%</t>
  </si>
  <si>
    <t>27.10.2024 15:33:52</t>
  </si>
  <si>
    <t>CREEPER</t>
  </si>
  <si>
    <t>0.036310</t>
  </si>
  <si>
    <t>0.759 SOL</t>
  </si>
  <si>
    <t>-0.278 SOL</t>
  </si>
  <si>
    <t>-26.79%</t>
  </si>
  <si>
    <t>27.10.2024 14:48:38</t>
  </si>
  <si>
    <t xml:space="preserve">         93K            93K             9K</t>
  </si>
  <si>
    <t>CcSSLycEGqhZtZW2jnzrhA5Q8csa1THeZGrHM7Jupump</t>
  </si>
  <si>
    <t>-0.628 SOL</t>
  </si>
  <si>
    <t>-62.26%</t>
  </si>
  <si>
    <t>27.10.2024 14:43:45</t>
  </si>
  <si>
    <t>NOSE</t>
  </si>
  <si>
    <t>0.876 SOL</t>
  </si>
  <si>
    <t>-19.16%</t>
  </si>
  <si>
    <t>27.10.2024 14:26:02</t>
  </si>
  <si>
    <t xml:space="preserve">         26K            21K             6K</t>
  </si>
  <si>
    <t>DAjMk1tm5g5QcTXtXEJqHiuJtvhjKubNMqLY5ryDpump</t>
  </si>
  <si>
    <t>Dance</t>
  </si>
  <si>
    <t>-47.67%</t>
  </si>
  <si>
    <t>27.10.2024 11:52:34</t>
  </si>
  <si>
    <t xml:space="preserve">         32K            16K             6K</t>
  </si>
  <si>
    <t>Bg1AVerdroKKmGGU8fw4p7ZF8qUMgJE1QMpLYfT4pump</t>
  </si>
  <si>
    <t>3.406 SOL</t>
  </si>
  <si>
    <t>1.394 SOL</t>
  </si>
  <si>
    <t>69.31%</t>
  </si>
  <si>
    <t>27.10.2024 11:33:16</t>
  </si>
  <si>
    <t xml:space="preserve">          4M             7M           940K</t>
  </si>
  <si>
    <t>0.473 SOL</t>
  </si>
  <si>
    <t>-0.535 SOL</t>
  </si>
  <si>
    <t>-53.07%</t>
  </si>
  <si>
    <t>27.10.2024 10:47:12</t>
  </si>
  <si>
    <t xml:space="preserve">        473K           473K            14K</t>
  </si>
  <si>
    <t>3.232 SOL</t>
  </si>
  <si>
    <t>7.44%</t>
  </si>
  <si>
    <t>27.10.2024 08:33:16</t>
  </si>
  <si>
    <t xml:space="preserve">          2M             2M            61K</t>
  </si>
  <si>
    <t>4.46%</t>
  </si>
  <si>
    <t>27.10.2024 08:15:15</t>
  </si>
  <si>
    <t xml:space="preserve">          2M             2M            32K</t>
  </si>
  <si>
    <t>TTOR</t>
  </si>
  <si>
    <t>2.698 SOL</t>
  </si>
  <si>
    <t>28.75%</t>
  </si>
  <si>
    <t>27.10.2024 07:56:29</t>
  </si>
  <si>
    <t>FtMUyU78jxtsrdfkZbKrGUkyz4kmULndttmgWkFGpump</t>
  </si>
  <si>
    <t>3.175 SOL</t>
  </si>
  <si>
    <t>5.54%</t>
  </si>
  <si>
    <t>27.10.2024 07:53:52</t>
  </si>
  <si>
    <t xml:space="preserve">          3M             3M            32K</t>
  </si>
  <si>
    <t>7.31%</t>
  </si>
  <si>
    <t>27.10.2024 07:13:21</t>
  </si>
  <si>
    <t xml:space="preserve">         42K            46K            14K</t>
  </si>
  <si>
    <t>Garçon</t>
  </si>
  <si>
    <t>2.161 SOL</t>
  </si>
  <si>
    <t>101.80%</t>
  </si>
  <si>
    <t>27.10.2024 06:55:56</t>
  </si>
  <si>
    <t xml:space="preserve">          9K            21K             4K</t>
  </si>
  <si>
    <t>Hp3Z6DrKELNP67cndiZEPsBnKdQfLq5TwJHaehdApump</t>
  </si>
  <si>
    <t>Kaesarin</t>
  </si>
  <si>
    <t>0.068030</t>
  </si>
  <si>
    <t>3.65%</t>
  </si>
  <si>
    <t>27.10.2024 06:26:21</t>
  </si>
  <si>
    <t xml:space="preserve">          7K            14K             7K</t>
  </si>
  <si>
    <t>9WbqfMPhNJHGiyWjJfPhX8aRyMv1hPkX1WNWoSKopump</t>
  </si>
  <si>
    <t>-4.90%</t>
  </si>
  <si>
    <t>27.10.2024 06:26:04</t>
  </si>
  <si>
    <t xml:space="preserve">        134K           100K             7K</t>
  </si>
  <si>
    <t>░</t>
  </si>
  <si>
    <t>0.104020</t>
  </si>
  <si>
    <t>4.094 SOL</t>
  </si>
  <si>
    <t>31.89%</t>
  </si>
  <si>
    <t>26.10.2024 19:29:40</t>
  </si>
  <si>
    <t xml:space="preserve">        663K           412K            11K</t>
  </si>
  <si>
    <t>3n1xUaWFVV1s8WTzpwSdn2Ku5MJ2w1uC8RXWxBZxpump</t>
  </si>
  <si>
    <t>PORKCHOP</t>
  </si>
  <si>
    <t>-29.20%</t>
  </si>
  <si>
    <t>26.10.2024 18:26:08</t>
  </si>
  <si>
    <t>8pMehyGNB6dSrXgjvJ3NBqPJ4qz2SsKt6f8A1qV8LpRv</t>
  </si>
  <si>
    <t>-91.30%</t>
  </si>
  <si>
    <t>26.10.2024 18:10:40</t>
  </si>
  <si>
    <t xml:space="preserve">        111K             9K             5K</t>
  </si>
  <si>
    <t>MCDOG</t>
  </si>
  <si>
    <t>42.84%</t>
  </si>
  <si>
    <t>26.10.2024 18:02:26</t>
  </si>
  <si>
    <t>GsMUoEdBQWTtBVNX3E1tANjz2qLnFMqAT9pFgctDzZed</t>
  </si>
  <si>
    <t>frog</t>
  </si>
  <si>
    <t>1.331 SOL</t>
  </si>
  <si>
    <t>24.07%</t>
  </si>
  <si>
    <t>26.10.2024 17:23:46</t>
  </si>
  <si>
    <t>BXHPjMMg1w7re5CcAumtCfhAQ1SzLexeqeA7Mh4Vpump</t>
  </si>
  <si>
    <t>0.861 SOL</t>
  </si>
  <si>
    <t>42.90%</t>
  </si>
  <si>
    <t>26.10.2024 09:35:46</t>
  </si>
  <si>
    <t xml:space="preserve">        102K           147K            26K</t>
  </si>
  <si>
    <t>-4.50%</t>
  </si>
  <si>
    <t>26.10.2024 09:02:24</t>
  </si>
  <si>
    <t>CJkaR15A4KTdRUiTkAEAasrR318Wi3LVn4XCok6upump</t>
  </si>
  <si>
    <t>-16.61%</t>
  </si>
  <si>
    <t>26.10.2024 07:59:52</t>
  </si>
  <si>
    <t xml:space="preserve">        681K           681K            14K</t>
  </si>
  <si>
    <t>1.689 SOL</t>
  </si>
  <si>
    <t>56.56%</t>
  </si>
  <si>
    <t>26.10.2024 05:27:03</t>
  </si>
  <si>
    <t xml:space="preserve">         16K            33K            20K</t>
  </si>
  <si>
    <t>no</t>
  </si>
  <si>
    <t>2.166 SOL</t>
  </si>
  <si>
    <t>98.35%</t>
  </si>
  <si>
    <t>25.10.2024 18:48:32</t>
  </si>
  <si>
    <t>2mvoHYNhydtQYkxycy1rcJ4y36j8sYM3AXxCuzwSpump</t>
  </si>
  <si>
    <t>6.766 SOL</t>
  </si>
  <si>
    <t>3.64%</t>
  </si>
  <si>
    <t>25.10.2024 18:10:56</t>
  </si>
  <si>
    <t xml:space="preserve">          3M             1M            25M</t>
  </si>
  <si>
    <t>1.169 SOL</t>
  </si>
  <si>
    <t>15.98%</t>
  </si>
  <si>
    <t>25.10.2024 17:44:16</t>
  </si>
  <si>
    <t xml:space="preserve">        230K           230K           189K</t>
  </si>
  <si>
    <t>5.505 SOL</t>
  </si>
  <si>
    <t>25.10.2024 11:22:23</t>
  </si>
  <si>
    <t xml:space="preserve">        144M           158M           231M</t>
  </si>
  <si>
    <t>3.962 SOL</t>
  </si>
  <si>
    <t>24.10.2024 18:50:38</t>
  </si>
  <si>
    <t xml:space="preserve">         10M             4M            10M</t>
  </si>
  <si>
    <t>0.032040</t>
  </si>
  <si>
    <t>9.841 SOL</t>
  </si>
  <si>
    <t>5.809 SOL</t>
  </si>
  <si>
    <t>144.07%</t>
  </si>
  <si>
    <t>24.10.2024 16:07:10</t>
  </si>
  <si>
    <t xml:space="preserve">        844K             7M             4M</t>
  </si>
  <si>
    <t>0.412 SOL</t>
  </si>
  <si>
    <t>-18.86%</t>
  </si>
  <si>
    <t>24.10.2024 15:51:17</t>
  </si>
  <si>
    <t xml:space="preserve">        422K             1M             8K</t>
  </si>
  <si>
    <t>$pols</t>
  </si>
  <si>
    <t>-0.044 SOL</t>
  </si>
  <si>
    <t>24.10.2024 08:56:25</t>
  </si>
  <si>
    <t>FjxvF1cEg2YyFXVyNh83sqSFYZg6vzXUHLRHHGBDpump</t>
  </si>
  <si>
    <t>ShillyAI</t>
  </si>
  <si>
    <t>-56.42%</t>
  </si>
  <si>
    <t>24.10.2024 08:33:17</t>
  </si>
  <si>
    <t xml:space="preserve">         90K            40K             4K</t>
  </si>
  <si>
    <t>8Agf3dshLNCimvpyZDYSG3bSWkKEQRze8sBcLPkLpump</t>
  </si>
  <si>
    <t>🦑</t>
  </si>
  <si>
    <t>0.11%</t>
  </si>
  <si>
    <t>24.10.2024 08:01:35</t>
  </si>
  <si>
    <t xml:space="preserve">         93K            95K            12K</t>
  </si>
  <si>
    <t>7tkovTKbcdfFvQ1PfnPAY9o1B5fqo6Z56ouAafYnpump</t>
  </si>
  <si>
    <t>leo</t>
  </si>
  <si>
    <t>1,257,218</t>
  </si>
  <si>
    <t>24.10.2024 05:10:00</t>
  </si>
  <si>
    <t>GtK39puktRBNPxVZw8ZuWtWZKPW5h3JDzU2Xpmg7pump</t>
  </si>
  <si>
    <t>124,610</t>
  </si>
  <si>
    <t>24.10.2024 04:59:20</t>
  </si>
  <si>
    <t>ANTS</t>
  </si>
  <si>
    <t>48.75%</t>
  </si>
  <si>
    <t>24.10.2024 04:11:48</t>
  </si>
  <si>
    <t>Czmtmx2rmGE8LVWEK5GkAy2Reg2kLLE9UvqxZ8sHkDAZ</t>
  </si>
  <si>
    <t>SHAR</t>
  </si>
  <si>
    <t>6.166 SOL</t>
  </si>
  <si>
    <t>23.12%</t>
  </si>
  <si>
    <t>23.10.2024 15:16:27</t>
  </si>
  <si>
    <t xml:space="preserve">         44M            54M           959K</t>
  </si>
  <si>
    <t>9jZgvgS2bWtQiYzv48GcWzY4tnkeRSANbTm8Kp1LmSyS</t>
  </si>
  <si>
    <t>0.068040</t>
  </si>
  <si>
    <t>3.900 SOL</t>
  </si>
  <si>
    <t>-10.25%</t>
  </si>
  <si>
    <t>23.10.2024 11:22:24</t>
  </si>
  <si>
    <t xml:space="preserve">          3M           500K            33K</t>
  </si>
  <si>
    <t>0.092410</t>
  </si>
  <si>
    <t>2.551 SOL</t>
  </si>
  <si>
    <t>-0.542 SOL</t>
  </si>
  <si>
    <t>-17.52%</t>
  </si>
  <si>
    <t>23.10.2024 07:19:42</t>
  </si>
  <si>
    <t>REYNA</t>
  </si>
  <si>
    <t>102.44%</t>
  </si>
  <si>
    <t>23.10.2024 06:48:25</t>
  </si>
  <si>
    <t xml:space="preserve">        142K           320K             5K</t>
  </si>
  <si>
    <t>DuLuUb4QegcAEbDYgnuaz9BJhJFTfvDbJDdJ3q9Mpump</t>
  </si>
  <si>
    <t>1.068 SOL</t>
  </si>
  <si>
    <t>-0.386 SOL</t>
  </si>
  <si>
    <t>-35.86%</t>
  </si>
  <si>
    <t>23.10.2024 05:19:57</t>
  </si>
  <si>
    <t>9.22%</t>
  </si>
  <si>
    <t>22.10.2024 16:54:07</t>
  </si>
  <si>
    <t>0.064020</t>
  </si>
  <si>
    <t>-3.064 SOL</t>
  </si>
  <si>
    <t>62,128</t>
  </si>
  <si>
    <t>22.10.2024 16:20:41</t>
  </si>
  <si>
    <t xml:space="preserve">          5M            11M           339K</t>
  </si>
  <si>
    <t>0.835 SOL</t>
  </si>
  <si>
    <t>-1.177 SOL</t>
  </si>
  <si>
    <t>-58.51%</t>
  </si>
  <si>
    <t>19.10.2024 10:44:31</t>
  </si>
  <si>
    <t xml:space="preserve">        712K           170K             7K</t>
  </si>
  <si>
    <t>7BgPsAGkLuEDSnJA2AtMBxiYtTwMFrwwBirFPr4jpump</t>
  </si>
  <si>
    <t>1.172 SOL</t>
  </si>
  <si>
    <t>0.164 SOL</t>
  </si>
  <si>
    <t>16.24%</t>
  </si>
  <si>
    <t>19.10.2024 09:06:35</t>
  </si>
  <si>
    <t xml:space="preserve">          1M             2M            12M</t>
  </si>
  <si>
    <t>$HIVE</t>
  </si>
  <si>
    <t>2.548 SOL</t>
  </si>
  <si>
    <t>-15.40%</t>
  </si>
  <si>
    <t>19.10.2024 04:21:23</t>
  </si>
  <si>
    <t xml:space="preserve">        287K           507K             7K</t>
  </si>
  <si>
    <t>KBFs8Zb1V1tT9x7Ba3AWQo8jSNyL6GLuXjBx6kHpump</t>
  </si>
  <si>
    <t>6.757 SOL</t>
  </si>
  <si>
    <t>18.10.2024 09:17:37</t>
  </si>
  <si>
    <t xml:space="preserve">        785K           734K            27K</t>
  </si>
  <si>
    <t>MiladyCult</t>
  </si>
  <si>
    <t>0.486 SOL</t>
  </si>
  <si>
    <t>-10.65%</t>
  </si>
  <si>
    <t>17.10.2024 05:21:17</t>
  </si>
  <si>
    <t>5BFrw2H1dyjif5QBQ8ZmAniYGpBzo3gMDJa8DL9kpump</t>
  </si>
  <si>
    <t>JUPCAT</t>
  </si>
  <si>
    <t>-0.473 SOL</t>
  </si>
  <si>
    <t>-46.90%</t>
  </si>
  <si>
    <t>13.10.2024 04:58:30</t>
  </si>
  <si>
    <t xml:space="preserve">        266K           142K             7K</t>
  </si>
  <si>
    <t>GiUesszTKXCNR1vCzovHh79GqhyBJPfqTuTD7ofipump</t>
  </si>
  <si>
    <t>NOS</t>
  </si>
  <si>
    <t>66,335</t>
  </si>
  <si>
    <t>10.10.2024 08:28:23</t>
  </si>
  <si>
    <t xml:space="preserve">          6M             5M             2M</t>
  </si>
  <si>
    <t>24gG4br5xFBRmxdqpgirtxgcr7BaWoErQfc2uyDp2Qhh</t>
  </si>
  <si>
    <t>Kek</t>
  </si>
  <si>
    <t>112,972</t>
  </si>
  <si>
    <t>07.08.2024 06:36:02</t>
  </si>
  <si>
    <t xml:space="preserve">          2M             2M            17K</t>
  </si>
  <si>
    <t>GXDSgxcGwJhTEZnCQkXpKUKVL8rmK9UYPXbNPszPpump</t>
  </si>
  <si>
    <t>AAAAAA</t>
  </si>
  <si>
    <t>05.08.2024 05:49:46</t>
  </si>
  <si>
    <t>5pArRJFWZYbrMquLfKKEf8xGfn7xfN1DqjaHF4mypump</t>
  </si>
  <si>
    <t>PAWS</t>
  </si>
  <si>
    <t>0.436 SOL</t>
  </si>
  <si>
    <t>-58.69%</t>
  </si>
  <si>
    <t>04.08.2024 01:46:06</t>
  </si>
  <si>
    <t>HmV9TpGSZWFaJ6ryaz1osYx6sgrpCavVKAas7m8Wpump</t>
  </si>
  <si>
    <t>pepe</t>
  </si>
  <si>
    <t>2.406 SOL</t>
  </si>
  <si>
    <t>0.382 SOL</t>
  </si>
  <si>
    <t>18.89%</t>
  </si>
  <si>
    <t>03.08.2024 21:38:48</t>
  </si>
  <si>
    <t xml:space="preserve">        259K           222K             6K</t>
  </si>
  <si>
    <t>8t59RDhHiYva8yDYEAtbQ1Dv1BZzFerGDeadesZG8bit</t>
  </si>
  <si>
    <t>BSOL</t>
  </si>
  <si>
    <t>19.07%</t>
  </si>
  <si>
    <t>03.08.2024 09:35:01</t>
  </si>
  <si>
    <t xml:space="preserve">         30K            35K            22K</t>
  </si>
  <si>
    <t>8dHTQvSJEYro4C3BN3o4dfdBH1YBduHUzuY2NLzpFafL</t>
  </si>
  <si>
    <t>BEIBEI</t>
  </si>
  <si>
    <t>20.12%</t>
  </si>
  <si>
    <t>03.08.2024 09:03:01</t>
  </si>
  <si>
    <t xml:space="preserve">         44K            55K            12K</t>
  </si>
  <si>
    <t>CibH51JbBBbqTvGABmrAm14WPt7dSnm8mzWVcN6qzF9q</t>
  </si>
  <si>
    <t>Chitan</t>
  </si>
  <si>
    <t>5.920 SOL</t>
  </si>
  <si>
    <t>17.93%</t>
  </si>
  <si>
    <t>03.08.2024 08:48:28</t>
  </si>
  <si>
    <t>J95PxHUEytzTGbf9DpLpyPHXnUTWN4FbRk2Jnc5nYKa3</t>
  </si>
  <si>
    <t>2rC2M2j5WwuL5c7EHmMUSKnXHpVp2TQcnru7gbfERwS3</t>
  </si>
  <si>
    <t>6.46 SOL</t>
  </si>
  <si>
    <t>5.48 SOL</t>
  </si>
  <si>
    <t>-30.65%</t>
  </si>
  <si>
    <t>1.65 SOL</t>
  </si>
  <si>
    <t>17.2%</t>
  </si>
  <si>
    <t>13.8%</t>
  </si>
  <si>
    <t>10.3%</t>
  </si>
  <si>
    <t>3.3 SOL</t>
  </si>
  <si>
    <t>8.0 SOL</t>
  </si>
  <si>
    <t>1.6 SOL</t>
  </si>
  <si>
    <t>-0.3 SOL</t>
  </si>
  <si>
    <t>26</t>
  </si>
  <si>
    <t>76.0K</t>
  </si>
  <si>
    <t>29,030</t>
  </si>
  <si>
    <t>30.10.2024 17:14:30</t>
  </si>
  <si>
    <t>0.002260</t>
  </si>
  <si>
    <t>604.68%</t>
  </si>
  <si>
    <t>29.10.2024 18:11:19</t>
  </si>
  <si>
    <t xml:space="preserve">        276K             4M            10M</t>
  </si>
  <si>
    <t>∞</t>
  </si>
  <si>
    <t>0.009510</t>
  </si>
  <si>
    <t>-0.310 SOL</t>
  </si>
  <si>
    <t>114,360</t>
  </si>
  <si>
    <t>29.10.2024 15:39:11</t>
  </si>
  <si>
    <t xml:space="preserve">        461K           461K             7K</t>
  </si>
  <si>
    <t>7LzF7BgpmXapBUMmJMwyP5o4uC2rr7T8keRc4R3kpump</t>
  </si>
  <si>
    <t>MM</t>
  </si>
  <si>
    <t>-73.09%</t>
  </si>
  <si>
    <t>29.10.2024 12:22:20</t>
  </si>
  <si>
    <t xml:space="preserve">         28K            30K             6K</t>
  </si>
  <si>
    <t>2sAeTUeDoAUCb7wwLMBXuqxBsaCGMRs84H4itrxopump</t>
  </si>
  <si>
    <t>Cali</t>
  </si>
  <si>
    <t>553,531</t>
  </si>
  <si>
    <t>29.10.2024 11:52:10</t>
  </si>
  <si>
    <t>GBf5P7Ucj6NwBYrwj4pMEEfEMJUG99gvhcQHwbypump</t>
  </si>
  <si>
    <t>0.019300</t>
  </si>
  <si>
    <t>58.21%</t>
  </si>
  <si>
    <t>28.10.2024 15:38:42</t>
  </si>
  <si>
    <t>109,356</t>
  </si>
  <si>
    <t>28.10.2024 15:11:47</t>
  </si>
  <si>
    <t xml:space="preserve">        482K           482K            14K</t>
  </si>
  <si>
    <t>🎈</t>
  </si>
  <si>
    <t>511,309</t>
  </si>
  <si>
    <t>28.10.2024 14:25:39</t>
  </si>
  <si>
    <t>DFwNZPHkZWix2LutzYKD5rzpyayKSLY5Uw88pRDypump</t>
  </si>
  <si>
    <t>1,012,071</t>
  </si>
  <si>
    <t>28.10.2024 13:49:46</t>
  </si>
  <si>
    <t>91jaduSqmLCd79cuwWwkjhA8GPd7k1BAjLNgsMoBpump</t>
  </si>
  <si>
    <t>GPS</t>
  </si>
  <si>
    <t>0.001740</t>
  </si>
  <si>
    <t>1.774 SOL</t>
  </si>
  <si>
    <t>1.464 SOL</t>
  </si>
  <si>
    <t>472.73%</t>
  </si>
  <si>
    <t>28.10.2024 00:29:50</t>
  </si>
  <si>
    <t xml:space="preserve">         28K           241K             7K</t>
  </si>
  <si>
    <t>A9Fie1WTbEzY6xTTUXB5hhGXkbqsNrRqbfxyRCs3pump</t>
  </si>
  <si>
    <t>Miro</t>
  </si>
  <si>
    <t>32.99%</t>
  </si>
  <si>
    <t>27.10.2024 18:01:19</t>
  </si>
  <si>
    <t xml:space="preserve">         44K           178K             7K</t>
  </si>
  <si>
    <t>BDFNionGZKEMy2p3yiTgXwDr14iQ7dE5xnbgzsmTpump</t>
  </si>
  <si>
    <t>0.002030</t>
  </si>
  <si>
    <t>1.286 SOL</t>
  </si>
  <si>
    <t>212.66%</t>
  </si>
  <si>
    <t>27.10.2024 14:50:18</t>
  </si>
  <si>
    <t xml:space="preserve">         30K            28K             7K</t>
  </si>
  <si>
    <t>man</t>
  </si>
  <si>
    <t>214,504</t>
  </si>
  <si>
    <t>27.10.2024 11:35:25</t>
  </si>
  <si>
    <t xml:space="preserve">        246K           246K            10K</t>
  </si>
  <si>
    <t>9koJWK1JQRsvTCgMH9X3txrbjVfSMvzrzFa8uRyzpump</t>
  </si>
  <si>
    <t>EASY</t>
  </si>
  <si>
    <t>27.10.2024 01:33:08</t>
  </si>
  <si>
    <t xml:space="preserve">        146K           141K             8K</t>
  </si>
  <si>
    <t>4pmzgjkwyFdxbfxQseYHvpu1twBR8PGZNx2SuvTto7kj</t>
  </si>
  <si>
    <t>Theory</t>
  </si>
  <si>
    <t>406,205</t>
  </si>
  <si>
    <t>26.10.2024 17:46:55</t>
  </si>
  <si>
    <t>Bg6CZaEfPj6UK2V2dYDn48vonKWBwEMq6B3ysWLUpump</t>
  </si>
  <si>
    <t>13.71%</t>
  </si>
  <si>
    <t>25.10.2024 19:45:09</t>
  </si>
  <si>
    <t xml:space="preserve">         37K           105K             5K</t>
  </si>
  <si>
    <t>OPA</t>
  </si>
  <si>
    <t>0.011340</t>
  </si>
  <si>
    <t>-4.51%</t>
  </si>
  <si>
    <t>24.10.2024 18:53:01</t>
  </si>
  <si>
    <t>FwyphJ7dUABAm1kKMtWrX2QtfY9RnxFcB3jVp6FNpump</t>
  </si>
  <si>
    <t>A/ACC</t>
  </si>
  <si>
    <t>-0.121 SOL</t>
  </si>
  <si>
    <t>-36.32%</t>
  </si>
  <si>
    <t>24.10.2024 10:02:32</t>
  </si>
  <si>
    <t>EHsZCgU7acL2sUdby6HdR33bfDMrME18MsfkFUz8pump</t>
  </si>
  <si>
    <t>TOG</t>
  </si>
  <si>
    <t>-0.211 SOL</t>
  </si>
  <si>
    <t>170,531</t>
  </si>
  <si>
    <t>23.10.2024 22:10:52</t>
  </si>
  <si>
    <t xml:space="preserve">        204K           204K             4K</t>
  </si>
  <si>
    <t>HKvbG3qbWvVu3RCwd8SgR8yFSTu5M7DDD2ciLvoDpump</t>
  </si>
  <si>
    <t>boga</t>
  </si>
  <si>
    <t>0.077040</t>
  </si>
  <si>
    <t>469.41%</t>
  </si>
  <si>
    <t>23.10.2024 02:29:24</t>
  </si>
  <si>
    <t xml:space="preserve">         47K            47K            77K</t>
  </si>
  <si>
    <t>BpBHdYW5YY2hM6f3mJk197U6LTpQujCC43iaVMhXpump</t>
  </si>
  <si>
    <t>gematria</t>
  </si>
  <si>
    <t>997,316</t>
  </si>
  <si>
    <t>22.10.2024 21:43:07</t>
  </si>
  <si>
    <t xml:space="preserve">         35K            35K            10K</t>
  </si>
  <si>
    <t>5ExkyeCgCu2Hrmq3cnwA9rtfVTajxVLofirykpqSpump</t>
  </si>
  <si>
    <t>Anthropic</t>
  </si>
  <si>
    <t>-62.43%</t>
  </si>
  <si>
    <t>22.10.2024 19:41:49</t>
  </si>
  <si>
    <t>CUWF9b6VPvWJoDd22koHr7AQYt2TgkjyTXQKscsZq3Gf</t>
  </si>
  <si>
    <t>-0.229 SOL</t>
  </si>
  <si>
    <t>-68.56%</t>
  </si>
  <si>
    <t>22.10.2024 14:52:45</t>
  </si>
  <si>
    <t>FeA3cqWpMaBeL2R3yvm64U8C7NWvXrV5JmFgc6G4pump</t>
  </si>
  <si>
    <t>Deal</t>
  </si>
  <si>
    <t>1,114,230</t>
  </si>
  <si>
    <t>22.10.2024 12:51:05</t>
  </si>
  <si>
    <t>6UJTRK2p4ndw7fQzmzMi1cDCKmFBqBCuA28aSeZFpump</t>
  </si>
  <si>
    <t>Ohpuss</t>
  </si>
  <si>
    <t>-11.82%</t>
  </si>
  <si>
    <t>22.10.2024 12:48:58</t>
  </si>
  <si>
    <t>76SyDGE161gDnTLqrzHhuzQVAueHSshYHdsuMtLApump</t>
  </si>
  <si>
    <t>22.10.2024 00:49:55</t>
  </si>
  <si>
    <t xml:space="preserve">         47K           229K            58K</t>
  </si>
  <si>
    <t>1,682,787</t>
  </si>
  <si>
    <t>21.10.2024 23:19:09</t>
  </si>
  <si>
    <t>JBf7BeXuV2414oDPCPfZoTsuQxWzay1rLs4qQSKFpump</t>
  </si>
  <si>
    <t>0.195 SOL</t>
  </si>
  <si>
    <t>-6.27%</t>
  </si>
  <si>
    <t>21.10.2024 22:59:04</t>
  </si>
  <si>
    <t xml:space="preserve">        176K           171K             9K</t>
  </si>
  <si>
    <t>-0.234 SOL</t>
  </si>
  <si>
    <t>-74.36%</t>
  </si>
  <si>
    <t>21.10.2024 21:57:33</t>
  </si>
  <si>
    <t xml:space="preserve">        223K           120K             5K</t>
  </si>
  <si>
    <t>noumena</t>
  </si>
  <si>
    <t>-0.209 SOL</t>
  </si>
  <si>
    <t>1,300,944</t>
  </si>
  <si>
    <t>21.10.2024 21:30:07</t>
  </si>
  <si>
    <t>95iE8kbkAxuLZ6UMrApiedytrQ4BeSt1awHptrmkpump</t>
  </si>
  <si>
    <t>☯︎</t>
  </si>
  <si>
    <t>-16.30%</t>
  </si>
  <si>
    <t>21.10.2024 19:00:43</t>
  </si>
  <si>
    <t>DQShvC5E65CQSYHzCPVYVLWanXsKi62gd2bzeKpupump</t>
  </si>
  <si>
    <t>Suno</t>
  </si>
  <si>
    <t>91.05%</t>
  </si>
  <si>
    <t>21.10.2024 18:56:57</t>
  </si>
  <si>
    <t xml:space="preserve">         60K            60K            11K</t>
  </si>
  <si>
    <t>DXG751S7qe2GYKdR655FXZeaDNsLfJiw4nkvvFGvpump</t>
  </si>
  <si>
    <t>GENIUS</t>
  </si>
  <si>
    <t>196.95%</t>
  </si>
  <si>
    <t>21.10.2024 15:13:14</t>
  </si>
  <si>
    <t xml:space="preserve">        101K           272K            48K</t>
  </si>
  <si>
    <t>6UmMAjSYeA5vR94Bn2qD7n2jWpQdd3nW22Vo95RSpump</t>
  </si>
  <si>
    <t>Wen</t>
  </si>
  <si>
    <t>217.90%</t>
  </si>
  <si>
    <t>21.10.2024 15:12:49</t>
  </si>
  <si>
    <t xml:space="preserve">        179K           179K            58K</t>
  </si>
  <si>
    <t>GEpKxmMkeXycPkBV7AnTozVhoSvAha8XggRrPnzppump</t>
  </si>
  <si>
    <t>1.258 SOL</t>
  </si>
  <si>
    <t>299.48%</t>
  </si>
  <si>
    <t>21.10.2024 14:35:28</t>
  </si>
  <si>
    <t xml:space="preserve">         83K           355K             5K</t>
  </si>
  <si>
    <t>0.037530</t>
  </si>
  <si>
    <t>388.65%</t>
  </si>
  <si>
    <t>21.10.2024 13:55:54</t>
  </si>
  <si>
    <t xml:space="preserve">        244K             2M            17K</t>
  </si>
  <si>
    <t>biocosmism</t>
  </si>
  <si>
    <t>934,478</t>
  </si>
  <si>
    <t>20.10.2024 20:44:25</t>
  </si>
  <si>
    <t xml:space="preserve">         56K            56K             4K</t>
  </si>
  <si>
    <t>7iKtXcMzE9pij8d2N3Lr91SFk3ctapyjKNydqY1Rpump</t>
  </si>
  <si>
    <t>88.02%</t>
  </si>
  <si>
    <t>19.10.2024 17:17:05</t>
  </si>
  <si>
    <t xml:space="preserve">        116K           219K            15K</t>
  </si>
  <si>
    <t>EJMNLsLodt9ytfE5E8oKksdgnkDdU8gGYCKFpSUMpump</t>
  </si>
  <si>
    <t>I-405</t>
  </si>
  <si>
    <t>20.14%</t>
  </si>
  <si>
    <t>19.10.2024 13:22:43</t>
  </si>
  <si>
    <t xml:space="preserve">        208K           248K            37K</t>
  </si>
  <si>
    <t>82jE2mJaHvkUruxzkkyiVFSs2qWeHengLv6Qmycmpump</t>
  </si>
  <si>
    <t>1.455 SOL</t>
  </si>
  <si>
    <t>576.66%</t>
  </si>
  <si>
    <t>18.10.2024 13:54:38</t>
  </si>
  <si>
    <t xml:space="preserve">         21K           123K            25K</t>
  </si>
  <si>
    <t>Gapeape</t>
  </si>
  <si>
    <t>224.31%</t>
  </si>
  <si>
    <t>18.10.2024 01:49:38</t>
  </si>
  <si>
    <t xml:space="preserve">        114K           114K           138K</t>
  </si>
  <si>
    <t>BGaumRqjesfv7jHecTG4cZJNJKt4eJGpTPeFqt3rpump</t>
  </si>
  <si>
    <t>ANONSWAP</t>
  </si>
  <si>
    <t>83.11%</t>
  </si>
  <si>
    <t>17.10.2024 20:10:33</t>
  </si>
  <si>
    <t xml:space="preserve">         37K            28K             4K</t>
  </si>
  <si>
    <t>4mVuZYSQaxBUGzuWaq5SPAPLNWmMk65NSbStU9vKpump</t>
  </si>
  <si>
    <t>jenny</t>
  </si>
  <si>
    <t>242,366</t>
  </si>
  <si>
    <t>16.10.2024 14:42:21</t>
  </si>
  <si>
    <t xml:space="preserve">        146K           146K             4K</t>
  </si>
  <si>
    <t>8xvcUfPviuf8do4i37i7hSZkvdHsNVaBwuJEYT47pump</t>
  </si>
  <si>
    <t>Andy Ayrey</t>
  </si>
  <si>
    <t>0.341 SOL</t>
  </si>
  <si>
    <t>205.65%</t>
  </si>
  <si>
    <t>16.10.2024 12:03:05</t>
  </si>
  <si>
    <t xml:space="preserve">         46K            46K            26K</t>
  </si>
  <si>
    <t>9dpB13TqfTFz7jZgtXf1DKD37BBrMztZFQwQgM5Hpump</t>
  </si>
  <si>
    <t>BaoLi</t>
  </si>
  <si>
    <t>0.030040</t>
  </si>
  <si>
    <t>0.840 SOL</t>
  </si>
  <si>
    <t>560.48%</t>
  </si>
  <si>
    <t>15.10.2024 21:19:50</t>
  </si>
  <si>
    <t xml:space="preserve">         16K           234K             6K</t>
  </si>
  <si>
    <t>CpSGhqtgkrM8AMYUNNKVhGUhFNg9vRDUHTMoyiB7pump</t>
  </si>
  <si>
    <t>TRISKIT</t>
  </si>
  <si>
    <t>620,901</t>
  </si>
  <si>
    <t>13.10.2024 22:38:41</t>
  </si>
  <si>
    <t>AiLMt6uGiWq4EkLmXfQgM4FhnbQBesJAvcB37VmHpump</t>
  </si>
  <si>
    <t>30.81%</t>
  </si>
  <si>
    <t>13.10.2024 21:16:36</t>
  </si>
  <si>
    <t xml:space="preserve">         14M            10M            12M</t>
  </si>
  <si>
    <t>$ASS</t>
  </si>
  <si>
    <t>372,956</t>
  </si>
  <si>
    <t>13.10.2024 17:22:19</t>
  </si>
  <si>
    <t xml:space="preserve">         49K            49K             4K</t>
  </si>
  <si>
    <t>A5jwvxkTSFT4uhtqkmZ5dxtWHSevB6i2CQuAHvAc2scH</t>
  </si>
  <si>
    <t>AEON</t>
  </si>
  <si>
    <t>13.10.2024 16:46:44</t>
  </si>
  <si>
    <t xml:space="preserve">        105K           170K            11K</t>
  </si>
  <si>
    <t>72XUGRRzuSoLRch3QPpSPHkuZ8F58rvtCNF4QSosLb4H</t>
  </si>
  <si>
    <t>13.10.2024 16:38:17</t>
  </si>
  <si>
    <t>b</t>
  </si>
  <si>
    <t>23.61%</t>
  </si>
  <si>
    <t>13.10.2024 13:56:25</t>
  </si>
  <si>
    <t xml:space="preserve">         39K            47K            31K</t>
  </si>
  <si>
    <t>jKUo4bdgLggxhimCYuVZK1kx8faVsQBjG9sQ4oBpump</t>
  </si>
  <si>
    <t>BOB</t>
  </si>
  <si>
    <t>2,389,910</t>
  </si>
  <si>
    <t>13.10.2024 13:11:33</t>
  </si>
  <si>
    <t>3zmeFfnCHrE8byXqDz1asmUMt8w7XCL4pCeJQQ4Rpump</t>
  </si>
  <si>
    <t>MECHAZILLA</t>
  </si>
  <si>
    <t>465,045</t>
  </si>
  <si>
    <t>13.10.2024 12:51:37</t>
  </si>
  <si>
    <t>7AAQ3UfUL7bFU2BtxnjSmNSuoSM2kEJNSfYxMQJkpump</t>
  </si>
  <si>
    <t>Aibo</t>
  </si>
  <si>
    <t>749,881</t>
  </si>
  <si>
    <t>13.10.2024 12:31:58</t>
  </si>
  <si>
    <t>8VzZhSniSCa8gFoM72nnaisj2Li32g4Wp7ncC6v7pump</t>
  </si>
  <si>
    <t>CLDOG</t>
  </si>
  <si>
    <t>562,878</t>
  </si>
  <si>
    <t>13.10.2024 12:26:49</t>
  </si>
  <si>
    <t>2VK292LjbV39o7SWcx5U3BMod8dDYvHXKz4qRc1Fpump</t>
  </si>
  <si>
    <t>THESIS</t>
  </si>
  <si>
    <t>654,058</t>
  </si>
  <si>
    <t>13.10.2024 10:49:12</t>
  </si>
  <si>
    <t>2rZRtuAUBjiBxqL8Rid9ZfxecnnhZ7nhjjs4TgDfpump</t>
  </si>
  <si>
    <t>grug</t>
  </si>
  <si>
    <t>2,177,715</t>
  </si>
  <si>
    <t>13.10.2024 10:41:39</t>
  </si>
  <si>
    <t>G6q8fYGnNypnzkjnPWpepgLTAsBT951T9iuYpaYypump</t>
  </si>
  <si>
    <t>Oscar</t>
  </si>
  <si>
    <t>2,363,851</t>
  </si>
  <si>
    <t>12.10.2024 20:02:25</t>
  </si>
  <si>
    <t>8pDVXiPNp69ntNHJkofwoHSE5qPy4zWVSQndvy2ppump</t>
  </si>
  <si>
    <t>MILF</t>
  </si>
  <si>
    <t>2,279,170</t>
  </si>
  <si>
    <t>12.10.2024 16:49:08</t>
  </si>
  <si>
    <t>pFZd2acHWRV8iksLNVyVtzzviWs4cHZMz2nq1ELpump</t>
  </si>
  <si>
    <t>ONE</t>
  </si>
  <si>
    <t>130.08%</t>
  </si>
  <si>
    <t>12.10.2024 11:17:17</t>
  </si>
  <si>
    <t xml:space="preserve">        178K           408K            14K</t>
  </si>
  <si>
    <t>GVQ4gKZnja2AihfoAEKJTtFES2n4H6YLSSF7jYKc8Yia</t>
  </si>
  <si>
    <t>🐱🧲</t>
  </si>
  <si>
    <t>472,471</t>
  </si>
  <si>
    <t>11.10.2024 23:18:37</t>
  </si>
  <si>
    <t>2uv2mnhvLR2jERfTFrCumVTxrXjGi3p4h2Emfhtppump</t>
  </si>
  <si>
    <t>94.30%</t>
  </si>
  <si>
    <t>11.10.2024 15:22:19</t>
  </si>
  <si>
    <t xml:space="preserve">        100K           197K            28K</t>
  </si>
  <si>
    <t>RAT</t>
  </si>
  <si>
    <t>10,194</t>
  </si>
  <si>
    <t>11.10.2024 11:38:25</t>
  </si>
  <si>
    <t xml:space="preserve">        172K           172K            22K</t>
  </si>
  <si>
    <t>B9DNQ2tYM2p8qH9ifc69rsVcHR2ETetGoBFhqmQqKdVN</t>
  </si>
  <si>
    <t>OPTIMUS</t>
  </si>
  <si>
    <t>100.19%</t>
  </si>
  <si>
    <t>10.10.2024 23:53:06</t>
  </si>
  <si>
    <t xml:space="preserve">         11K            23K            36K</t>
  </si>
  <si>
    <t>9fURVh8YkzXDch2KmiBK7YT1zPYGC9UcWfXATvcupump</t>
  </si>
  <si>
    <t>citc</t>
  </si>
  <si>
    <t>-62.19%</t>
  </si>
  <si>
    <t>10.10.2024 23:34:15</t>
  </si>
  <si>
    <t xml:space="preserve">         51K            19K             6K</t>
  </si>
  <si>
    <t>GgByqxhf61FDrQXuhcwJ2KufCgfCdRqxjo7FeSHmpump</t>
  </si>
  <si>
    <t>65,732</t>
  </si>
  <si>
    <t>10.10.2024 23:29:46</t>
  </si>
  <si>
    <t>JEW</t>
  </si>
  <si>
    <t>-35.52%</t>
  </si>
  <si>
    <t>10.10.2024 21:27:33</t>
  </si>
  <si>
    <t>6EzM7YcaUmZmsvMK7AwA26U24xD3DTyqjyLNnpX1UhGL</t>
  </si>
  <si>
    <t>110.08%</t>
  </si>
  <si>
    <t>10.10.2024 21:16:38</t>
  </si>
  <si>
    <t xml:space="preserve">        177K           374K             9K</t>
  </si>
  <si>
    <t>-55.74%</t>
  </si>
  <si>
    <t>10.10.2024 21:06:16</t>
  </si>
  <si>
    <t xml:space="preserve">        313K           150K             8K</t>
  </si>
  <si>
    <t>PS6</t>
  </si>
  <si>
    <t>52.79%</t>
  </si>
  <si>
    <t>10.10.2024 20:14:21</t>
  </si>
  <si>
    <t xml:space="preserve">         41K            72K             6K</t>
  </si>
  <si>
    <t>9nNQf9kFu271RS1oRLvUXFb6C5Tfsh8PWz7zznhmpump</t>
  </si>
  <si>
    <t>ANGEL</t>
  </si>
  <si>
    <t>84.27%</t>
  </si>
  <si>
    <t>10.10.2024 13:07:33</t>
  </si>
  <si>
    <t xml:space="preserve">         62K           113K             5K</t>
  </si>
  <si>
    <t>9Dkh7QPc3iF1kwyPPCmLDpF9ZP61tyKxxe5E8QCtpump</t>
  </si>
  <si>
    <t>penis</t>
  </si>
  <si>
    <t>0.173 SOL</t>
  </si>
  <si>
    <t>72.78%</t>
  </si>
  <si>
    <t>09.10.2024 22:07:27</t>
  </si>
  <si>
    <t xml:space="preserve">        209K           362K            14K</t>
  </si>
  <si>
    <t>reTfz5xtwM91ew4kByz1fu5ybZdsr4zAVduq49Gpump</t>
  </si>
  <si>
    <t>CIA</t>
  </si>
  <si>
    <t>-10.37%</t>
  </si>
  <si>
    <t>09.10.2024 20:25:13</t>
  </si>
  <si>
    <t>59P94M6bjT89Ch1Aej6FPtWN5ErgnEWWrEpbDirHpump</t>
  </si>
  <si>
    <t>SOLX</t>
  </si>
  <si>
    <t>101.38%</t>
  </si>
  <si>
    <t>09.10.2024 12:46:11</t>
  </si>
  <si>
    <t xml:space="preserve">         70K           141K             4K</t>
  </si>
  <si>
    <t>Gp2cd4mEUGWc9srhMqUpdXcpiq5G67YP1i1JE1hfpump</t>
  </si>
  <si>
    <t>YOURDAD</t>
  </si>
  <si>
    <t>09.10.2024 12:36:41</t>
  </si>
  <si>
    <t>D2Wzx6tqqKeHJ4bXky3JSgjHXmfyAte1kcJFfWGxpump</t>
  </si>
  <si>
    <t>-74.50%</t>
  </si>
  <si>
    <t>09.10.2024 01:41:57</t>
  </si>
  <si>
    <t xml:space="preserve">          3M           888K            26K</t>
  </si>
  <si>
    <t>-0.116 SOL</t>
  </si>
  <si>
    <t>-57.98%</t>
  </si>
  <si>
    <t>09.10.2024 01:41:27</t>
  </si>
  <si>
    <t xml:space="preserve">        192K            81K             4K</t>
  </si>
  <si>
    <t>chance</t>
  </si>
  <si>
    <t>-55.42%</t>
  </si>
  <si>
    <t>09.10.2024 01:39:23</t>
  </si>
  <si>
    <t xml:space="preserve">          1M           483K           302K</t>
  </si>
  <si>
    <t>4bLyzrVvz43NrDBu5J142wpbXNFaBfDQknRRqNoPpump</t>
  </si>
  <si>
    <t>62.46%</t>
  </si>
  <si>
    <t>09.10.2024 01:22:21</t>
  </si>
  <si>
    <t xml:space="preserve">          1M             3M            24K</t>
  </si>
  <si>
    <t>82.66%</t>
  </si>
  <si>
    <t>09.10.2024 01:03:56</t>
  </si>
  <si>
    <t xml:space="preserve">          1M             2M            19K</t>
  </si>
  <si>
    <t>Edea</t>
  </si>
  <si>
    <t>08.10.2024 18:09:36</t>
  </si>
  <si>
    <t>D2qtVnKiRB69E7SBwARQrheRvoBB35rV3mW6HoBzpump</t>
  </si>
  <si>
    <t>oatmeal</t>
  </si>
  <si>
    <t>-57.25%</t>
  </si>
  <si>
    <t>08.10.2024 16:17:42</t>
  </si>
  <si>
    <t xml:space="preserve">        204K            88K             9K</t>
  </si>
  <si>
    <t>12WRu4BdJk1yM3Nk433yg3S9GnxniUdueeu29iMPpump</t>
  </si>
  <si>
    <t>Ada</t>
  </si>
  <si>
    <t>-74.26%</t>
  </si>
  <si>
    <t>08.10.2024 16:17:11</t>
  </si>
  <si>
    <t>5iL3GGkpCdffKc5LNYZC9ihtYvA9WwB3fhoXzviNQym2</t>
  </si>
  <si>
    <t>run</t>
  </si>
  <si>
    <t>-81.78%</t>
  </si>
  <si>
    <t>08.10.2024 09:45:43</t>
  </si>
  <si>
    <t>9vtsZVkEqd99uEqiQQ5oxSSrdGsG9iEJeH9amDK3pump</t>
  </si>
  <si>
    <t>08.10.2024 02:14:46</t>
  </si>
  <si>
    <t xml:space="preserve">        213K           429K             9K</t>
  </si>
  <si>
    <t>132.45%</t>
  </si>
  <si>
    <t>07.10.2024 22:05:55</t>
  </si>
  <si>
    <t xml:space="preserve">        109K           251K             4K</t>
  </si>
  <si>
    <t>14XveTDF5PkEeJUHap6vUDndJ8u6QUQXX9J3zwgJpump</t>
  </si>
  <si>
    <t>Stuart</t>
  </si>
  <si>
    <t>42.59%</t>
  </si>
  <si>
    <t>07.10.2024 20:14:06</t>
  </si>
  <si>
    <t>CVSjB4RXWhJ6yqJK2AahsQkq2wAiyEdf5vY3j42Upump</t>
  </si>
  <si>
    <t>ZG9ZAFLXpwC9DckehxLpvBxf5PwoHxfucLkLM3PtRcE</t>
  </si>
  <si>
    <t>70.17 SOL</t>
  </si>
  <si>
    <t>137%</t>
  </si>
  <si>
    <t>57.96 SOL</t>
  </si>
  <si>
    <t>-34.82%</t>
  </si>
  <si>
    <t>4.46 SOL</t>
  </si>
  <si>
    <t>60.5 SOL</t>
  </si>
  <si>
    <t>144.0K</t>
  </si>
  <si>
    <t>3.220 SOL</t>
  </si>
  <si>
    <t>60.90%</t>
  </si>
  <si>
    <t>30.10.2024 20:19:34</t>
  </si>
  <si>
    <t xml:space="preserve">        394K           394K           515K</t>
  </si>
  <si>
    <t>67.464 SOL</t>
  </si>
  <si>
    <t>60.461 SOL</t>
  </si>
  <si>
    <t>863.33%</t>
  </si>
  <si>
    <t>29.10.2024 19:40:17</t>
  </si>
  <si>
    <t xml:space="preserve">        113K           334K           447K</t>
  </si>
  <si>
    <t>0.082 SOL</t>
  </si>
  <si>
    <t>-2.919 SOL</t>
  </si>
  <si>
    <t>-97.26%</t>
  </si>
  <si>
    <t xml:space="preserve">        225K             7K             4K</t>
  </si>
  <si>
    <t>-0.771 SOL</t>
  </si>
  <si>
    <t xml:space="preserve">         21K            16K             4K</t>
  </si>
  <si>
    <t>0.002910</t>
  </si>
  <si>
    <t>18.433 SOL</t>
  </si>
  <si>
    <t>14.430 SOL</t>
  </si>
  <si>
    <t>360.48%</t>
  </si>
  <si>
    <t>25.10.2024 12:00:48</t>
  </si>
  <si>
    <t xml:space="preserve">          2M           357K            41K</t>
  </si>
  <si>
    <t>-22.60%</t>
  </si>
  <si>
    <t xml:space="preserve">        426K           320K            10K</t>
  </si>
  <si>
    <t>2.608 SOL</t>
  </si>
  <si>
    <t>19.10.2024 12:40:10</t>
  </si>
  <si>
    <t xml:space="preserve">        144K           397K            13K</t>
  </si>
  <si>
    <t>6.364 SOL</t>
  </si>
  <si>
    <t>1.389 SOL</t>
  </si>
  <si>
    <t>-4.976 SOL</t>
  </si>
  <si>
    <t>-78.17%</t>
  </si>
  <si>
    <t>18.10.2024 18:33:08</t>
  </si>
  <si>
    <t xml:space="preserve">         53K            12K             3K</t>
  </si>
  <si>
    <t>5.480 SOL</t>
  </si>
  <si>
    <t>0.298 SOL</t>
  </si>
  <si>
    <t>-5.184 SOL</t>
  </si>
  <si>
    <t>-94.57%</t>
  </si>
  <si>
    <t xml:space="preserve">         47K            47K            17K</t>
  </si>
  <si>
    <t>4.088 SOL</t>
  </si>
  <si>
    <t>36.18%</t>
  </si>
  <si>
    <t>13.10.2024 18:40:49</t>
  </si>
  <si>
    <t xml:space="preserve">        318K           438K            29K</t>
  </si>
  <si>
    <t>-70.26%</t>
  </si>
  <si>
    <t>3.281 SOL</t>
  </si>
  <si>
    <t>-3.147 SOL</t>
  </si>
  <si>
    <t>12.10.2024 05:36:55</t>
  </si>
  <si>
    <t xml:space="preserve">         21K            21K            15K</t>
  </si>
  <si>
    <t>-0.592 SOL</t>
  </si>
  <si>
    <t>-98.49%</t>
  </si>
  <si>
    <t xml:space="preserve">        649K             2M            70K</t>
  </si>
  <si>
    <t>7SRzu42NLKJHJNbE1Q9aX89uNBY4iguJJgTKT62FYhbH</t>
  </si>
  <si>
    <t>4.32 SOL</t>
  </si>
  <si>
    <t>215%</t>
  </si>
  <si>
    <t>16.35 SOL</t>
  </si>
  <si>
    <t>2 (33%)</t>
  </si>
  <si>
    <t>28</t>
  </si>
  <si>
    <t>15.8 SOL</t>
  </si>
  <si>
    <t>37.0K</t>
  </si>
  <si>
    <t>GWOT</t>
  </si>
  <si>
    <t>0.002570</t>
  </si>
  <si>
    <t>14.373 SOL</t>
  </si>
  <si>
    <t>12.555 SOL</t>
  </si>
  <si>
    <t>690.29%</t>
  </si>
  <si>
    <t>29.10.2024 21:39:16</t>
  </si>
  <si>
    <t xml:space="preserve">         25K            23K            14K</t>
  </si>
  <si>
    <t>75gTkoZ1gEJXcA2Qqpqm8bes6QZVTEwnzQ3Xvz5tpump</t>
  </si>
  <si>
    <t>mooblox</t>
  </si>
  <si>
    <t>0.946 SOL</t>
  </si>
  <si>
    <t>-10.96%</t>
  </si>
  <si>
    <t>28.10.2024 04:18:49</t>
  </si>
  <si>
    <t>F4eSacuq5ixrGPK63vfKwFtbksuV9RwM7GLvaXF3pump</t>
  </si>
  <si>
    <t>0.200160</t>
  </si>
  <si>
    <t>-15.64%</t>
  </si>
  <si>
    <t>26.10.2024 22:27:25</t>
  </si>
  <si>
    <t xml:space="preserve">        106K           107K             3K</t>
  </si>
  <si>
    <t>uKAC2qC2Wx1FqFvibz6wSoMF5LHtCXbPgBihrtjpump</t>
  </si>
  <si>
    <t>0.102610</t>
  </si>
  <si>
    <t>3.898 SOL</t>
  </si>
  <si>
    <t>546.81%</t>
  </si>
  <si>
    <t>22.10.2024 21:54:35</t>
  </si>
  <si>
    <t xml:space="preserve">         49K             1M           229K</t>
  </si>
  <si>
    <t>kipekee</t>
  </si>
  <si>
    <t>-8.14%</t>
  </si>
  <si>
    <t>02.10.2024 20:03:30</t>
  </si>
  <si>
    <t>6LCckQfyVEFwcxtfyARkf8oKiDv5dpFY6dQ9JCuqpump</t>
  </si>
  <si>
    <t>PWIF</t>
  </si>
  <si>
    <t>0.934 SOL</t>
  </si>
  <si>
    <t>68.72%</t>
  </si>
  <si>
    <t>02.10.2024 19:22:37</t>
  </si>
  <si>
    <t>3NYJ6KuVFEKebxr7C1au2WjVSiAobhPzsqebnWgSpump</t>
  </si>
  <si>
    <t>6veEYFhoCUtqpbj3PFgXVxgoLQTnHuCgMcNQvgCyn6YE</t>
  </si>
  <si>
    <t>1.89 SOL</t>
  </si>
  <si>
    <t>14.82 SOL</t>
  </si>
  <si>
    <t>47 (61%)</t>
  </si>
  <si>
    <t>-0.63%</t>
  </si>
  <si>
    <t>2.6%</t>
  </si>
  <si>
    <t>41.6%</t>
  </si>
  <si>
    <t>37.7%</t>
  </si>
  <si>
    <t>45</t>
  </si>
  <si>
    <t>17.2 SOL</t>
  </si>
  <si>
    <t>28.0K</t>
  </si>
  <si>
    <t>HOME</t>
  </si>
  <si>
    <t>-73.67%</t>
  </si>
  <si>
    <t>30.10.2024 13:27:55</t>
  </si>
  <si>
    <t>AbqxLmMHRxo2QHtio7ciGLZkLAAiZja6m97t7d8SwNbS</t>
  </si>
  <si>
    <t>AA</t>
  </si>
  <si>
    <t>-19.88%</t>
  </si>
  <si>
    <t>30.10.2024 10:04:18</t>
  </si>
  <si>
    <t>4HjZHqVL9VhivaV3GBxZx76rr1TTkYKZZBNQ8Poqpump</t>
  </si>
  <si>
    <t>Equinox</t>
  </si>
  <si>
    <t>30.10.2024 09:26:36</t>
  </si>
  <si>
    <t>9hKiqkTMTddSMc7icBGAZxAH9qwaE6bnmtQDgcgpump</t>
  </si>
  <si>
    <t>30.10.2024 09:24:11</t>
  </si>
  <si>
    <t>BSJfPkQYM5JBvZiT58bpFMRf5WtotHHoqww88bYQRaJ9</t>
  </si>
  <si>
    <t>🎃</t>
  </si>
  <si>
    <t>-18.21%</t>
  </si>
  <si>
    <t>30.10.2024 09:21:01</t>
  </si>
  <si>
    <t xml:space="preserve">         23K            19K             5K</t>
  </si>
  <si>
    <t>HHabtCxTQuVijgSEBQXkoLDn8PTP3sgFcZkXmjbXpump</t>
  </si>
  <si>
    <t>VITALIK</t>
  </si>
  <si>
    <t>30.10.2024 09:16:43</t>
  </si>
  <si>
    <t xml:space="preserve">         32K            28K             5K</t>
  </si>
  <si>
    <t>DCsePZTYJBqmK2k5N1bJsPtJd8tWv8djmFnA69r9pump</t>
  </si>
  <si>
    <t>MOONBIX</t>
  </si>
  <si>
    <t>54.90%</t>
  </si>
  <si>
    <t>30.10.2024 09:14:20</t>
  </si>
  <si>
    <t xml:space="preserve">         16K            25K             5K</t>
  </si>
  <si>
    <t>9T8ymJQAuv6f1v3dH6t17ghwK86W3PHobxCckKMLpump</t>
  </si>
  <si>
    <t>kusama</t>
  </si>
  <si>
    <t>30.10.2024 09:00:05</t>
  </si>
  <si>
    <t xml:space="preserve">         18K            21K             5K</t>
  </si>
  <si>
    <t>HcxvjdTjpsnWEUuoxJxTCbzjyPznKWw9U63AFeYWpump</t>
  </si>
  <si>
    <t>SKARLLE</t>
  </si>
  <si>
    <t>-32.93%</t>
  </si>
  <si>
    <t>30.10.2024 08:49:07</t>
  </si>
  <si>
    <t>9cap8Lk93af3wDF6hdgX1jcVqZLdoHwQDcEsSv8qpump</t>
  </si>
  <si>
    <t xml:space="preserve">AARON </t>
  </si>
  <si>
    <t>30.10.2024 08:14:18</t>
  </si>
  <si>
    <t>GAKZ42PdKJ1a1EszEJdiJt6JCP4ZPtqH4ENFPyuwpump</t>
  </si>
  <si>
    <t>NAVORI</t>
  </si>
  <si>
    <t>4.95%</t>
  </si>
  <si>
    <t>30.10.2024 08:10:18</t>
  </si>
  <si>
    <t>8UqZ2uu4vvAG1to1oRZgFx81ZgZjmCN53TNEx6WMcg8E</t>
  </si>
  <si>
    <t>Sienna</t>
  </si>
  <si>
    <t>30.10.2024 07:06:13</t>
  </si>
  <si>
    <t>6aXciqbrLnJdVKRHvSbu78vhHNd6k7JBp1htBrHMpump</t>
  </si>
  <si>
    <t>CAP</t>
  </si>
  <si>
    <t>16.52%</t>
  </si>
  <si>
    <t>30.10.2024 07:04:36</t>
  </si>
  <si>
    <t xml:space="preserve">         16K            18K             4K</t>
  </si>
  <si>
    <t>CFzmcx3rMa5utyraNCRUTwuJ53Aw9pp5jzy3eX2Gpump</t>
  </si>
  <si>
    <t>PULDE</t>
  </si>
  <si>
    <t>-37.97%</t>
  </si>
  <si>
    <t>30.10.2024 05:49:28</t>
  </si>
  <si>
    <t>G98Zj4yR7dDArBFFNeMVDsGUb7BKAQVJpan77ngSpump</t>
  </si>
  <si>
    <t>BananaDoge</t>
  </si>
  <si>
    <t>11.48%</t>
  </si>
  <si>
    <t>30.10.2024 05:47:25</t>
  </si>
  <si>
    <t xml:space="preserve">         19K            21K             5K</t>
  </si>
  <si>
    <t>J7zsZxpjNaadXQosJFpjzwsDjozdyaQtmC63Syv4pump</t>
  </si>
  <si>
    <t>0.239 SOL</t>
  </si>
  <si>
    <t>27.10.2024 10:53:31</t>
  </si>
  <si>
    <t xml:space="preserve">         19K            18K             7K</t>
  </si>
  <si>
    <t>11.20%</t>
  </si>
  <si>
    <t>25.10.2024 04:56:00</t>
  </si>
  <si>
    <t xml:space="preserve">        248K           278K             6K</t>
  </si>
  <si>
    <t>-44.72%</t>
  </si>
  <si>
    <t>24.10.2024 15:19:40</t>
  </si>
  <si>
    <t>SClaud</t>
  </si>
  <si>
    <t>17.25%</t>
  </si>
  <si>
    <t>24.10.2024 13:43:00</t>
  </si>
  <si>
    <t xml:space="preserve">        318K           380K            10K</t>
  </si>
  <si>
    <t>9nThs637Y2LcjVekQBWjvk5kfoX6KcpaUqzLEg6mz7py</t>
  </si>
  <si>
    <t>-84.87%</t>
  </si>
  <si>
    <t>24.10.2024 13:23:55</t>
  </si>
  <si>
    <t xml:space="preserve">         30K             5K             5K</t>
  </si>
  <si>
    <t>KSD8v9vtXSAb87GRpzoPTEfky5AaYYwwcXnz3XJRR1a</t>
  </si>
  <si>
    <t>MASA</t>
  </si>
  <si>
    <t>-86.71%</t>
  </si>
  <si>
    <t>24.10.2024 13:21:45</t>
  </si>
  <si>
    <t xml:space="preserve">         32K             4K             5K</t>
  </si>
  <si>
    <t>EhZd9Hfr4tMY5oLq9ytp4rEJrCDJpHju7RcuH2i4QoL</t>
  </si>
  <si>
    <t>APPLEA</t>
  </si>
  <si>
    <t>24.10.2024 13:16:59</t>
  </si>
  <si>
    <t>HFEB7FdptjwE4wVfD7dKR2ZDx8LffSrEGBFHM1ftpump</t>
  </si>
  <si>
    <t>Samadhi</t>
  </si>
  <si>
    <t>-4.74%</t>
  </si>
  <si>
    <t>24.10.2024 13:11:28</t>
  </si>
  <si>
    <t>6rNVbPduPEkCRCePQXs7eHp24x1yQcMFXiaGZqK4kyWj</t>
  </si>
  <si>
    <t>Gurwinder</t>
  </si>
  <si>
    <t>-31.93%</t>
  </si>
  <si>
    <t>SwwBBekTQUTTmCdWjYmbm8GRNFV4vQjH3HAYJ1upump</t>
  </si>
  <si>
    <t>FLYCAT</t>
  </si>
  <si>
    <t>-1.96%</t>
  </si>
  <si>
    <t>24.10.2024 12:54:33</t>
  </si>
  <si>
    <t>rRxd8pMVfstfSHJK2TGyoDxFcVVSxyyRQpT4VywFcat</t>
  </si>
  <si>
    <t>liorithe</t>
  </si>
  <si>
    <t>-11.95%</t>
  </si>
  <si>
    <t>24.10.2024 12:51:17</t>
  </si>
  <si>
    <t>DS3e9jwHBRpX5aoAwv1paBBcmKPeMvzMxp5TjEqmpump</t>
  </si>
  <si>
    <t>DIZ</t>
  </si>
  <si>
    <t>24.10.2024 12:49:13</t>
  </si>
  <si>
    <t xml:space="preserve">         32K            33K             5K</t>
  </si>
  <si>
    <t>3SWtffBvtewZAzk39AQJMpVzY94FA892E7XsahubzQwt</t>
  </si>
  <si>
    <t>DaddyTerm</t>
  </si>
  <si>
    <t>24.10.2024 12:45:48</t>
  </si>
  <si>
    <t xml:space="preserve">         63K            58K            23K</t>
  </si>
  <si>
    <t>GxQxuquGAg9JwazPh2VgrLnmCZgJ6xwfttzkmJxfpump</t>
  </si>
  <si>
    <t>Syntheism</t>
  </si>
  <si>
    <t>-51.55%</t>
  </si>
  <si>
    <t>24.10.2024 12:09:03</t>
  </si>
  <si>
    <t xml:space="preserve">          7K             4K             5K</t>
  </si>
  <si>
    <t>5gkD1fjuFpK9UHaU63mW3yoQw1J1UdntCZF5D8pPbEqc</t>
  </si>
  <si>
    <t>135.62%</t>
  </si>
  <si>
    <t>24.10.2024 12:04:04</t>
  </si>
  <si>
    <t xml:space="preserve">         58K           139K            12K</t>
  </si>
  <si>
    <t>Nate</t>
  </si>
  <si>
    <t>24.10.2024 11:58:58</t>
  </si>
  <si>
    <t xml:space="preserve">         35K            39K            11K</t>
  </si>
  <si>
    <t>6fLYupYMgJjMRnhNgSrpKXir5oURys5tPUuTr3EPpump</t>
  </si>
  <si>
    <t>30.87%</t>
  </si>
  <si>
    <t>24.10.2024 11:57:16</t>
  </si>
  <si>
    <t xml:space="preserve">         43K            57K             6K</t>
  </si>
  <si>
    <t>aurelia</t>
  </si>
  <si>
    <t>-66.80%</t>
  </si>
  <si>
    <t>24.10.2024 11:52:20</t>
  </si>
  <si>
    <t xml:space="preserve">         21K             7K             3K</t>
  </si>
  <si>
    <t>2GuWPNogCENK6mWz8gTXtcm7yin9mRnbPSUPHotopump</t>
  </si>
  <si>
    <t>Code</t>
  </si>
  <si>
    <t>-8.39%</t>
  </si>
  <si>
    <t>24.10.2024 11:46:24</t>
  </si>
  <si>
    <t xml:space="preserve">         37K            35K             5K</t>
  </si>
  <si>
    <t>5Mt65tNTRmZ2vURPjKSu71o2TDfgrTXuFTUm41b7xUFh</t>
  </si>
  <si>
    <t>0.34%</t>
  </si>
  <si>
    <t>24.10.2024 11:42:32</t>
  </si>
  <si>
    <t>AcqhiLFQL4SNnA2Q2UKMr3KprmVpKQBvesDgs2jhh7dq</t>
  </si>
  <si>
    <t>GDO</t>
  </si>
  <si>
    <t>-10.73%</t>
  </si>
  <si>
    <t>24.10.2024 11:36:03</t>
  </si>
  <si>
    <t xml:space="preserve">         40K            37K             5K</t>
  </si>
  <si>
    <t>4HusDgHjHUTHUKwjmWcs7v4FQgT1AzL5ocgXBopHGvLn</t>
  </si>
  <si>
    <t>GENE</t>
  </si>
  <si>
    <t>9.98%</t>
  </si>
  <si>
    <t>24.10.2024 11:25:15</t>
  </si>
  <si>
    <t xml:space="preserve">         16K            18K             5K</t>
  </si>
  <si>
    <t>AEqJdhgVWB9fj3v7mHLvFR3eVcHt3udxAaR3Gk9Kpump</t>
  </si>
  <si>
    <t>Eva</t>
  </si>
  <si>
    <t>20.19%</t>
  </si>
  <si>
    <t>24.10.2024 11:24:46</t>
  </si>
  <si>
    <t>14V3LMCW8MgyAFSQheqshYJckm3iNDHUVjAQWLzGpump</t>
  </si>
  <si>
    <t>13.37%</t>
  </si>
  <si>
    <t>24.10.2024 11:18:46</t>
  </si>
  <si>
    <t>FHjgpgXEHJMvmEpMBHTSKgsjTGJUMy73k5wnJMvEasrv</t>
  </si>
  <si>
    <t>GS</t>
  </si>
  <si>
    <t>18.65%</t>
  </si>
  <si>
    <t>24.10.2024 11:13:25</t>
  </si>
  <si>
    <t xml:space="preserve">         28K            33K             5K</t>
  </si>
  <si>
    <t>GaNz4TgQHjP1zRvgBHt6emPvonjtagTvXNjbmPAFRDUi</t>
  </si>
  <si>
    <t>SEALLO</t>
  </si>
  <si>
    <t>-2.14%</t>
  </si>
  <si>
    <t>24.10.2024 11:10:17</t>
  </si>
  <si>
    <t>krsyFUwrHo5ixhEctcpHsony97nEXqWekmJs1e3pump</t>
  </si>
  <si>
    <t>DT</t>
  </si>
  <si>
    <t>31.84%</t>
  </si>
  <si>
    <t>24.10.2024 11:00:21</t>
  </si>
  <si>
    <t>AHUsu4KnRmtZ6UvrAZbSLM9qiV6hkU9MTPmv7AKbnk1s</t>
  </si>
  <si>
    <t>49.35%</t>
  </si>
  <si>
    <t>24.10.2024 10:48:17</t>
  </si>
  <si>
    <t xml:space="preserve">         32K            46K             7K</t>
  </si>
  <si>
    <t>$TED</t>
  </si>
  <si>
    <t>5.58%</t>
  </si>
  <si>
    <t>24.10.2024 10:43:58</t>
  </si>
  <si>
    <t>GjuZraw3ediq3TNrCWRWg2M1fp8oZdAsiMNmjvgpump</t>
  </si>
  <si>
    <t>TSB</t>
  </si>
  <si>
    <t>5.29%</t>
  </si>
  <si>
    <t>24.10.2024 10:31:56</t>
  </si>
  <si>
    <t xml:space="preserve">         28K            30K             5K</t>
  </si>
  <si>
    <t>8ZkGUqsLoxNF6UQHnyCUpx21tBKwqAfgkhAS34VHBocP</t>
  </si>
  <si>
    <t>RNA</t>
  </si>
  <si>
    <t>39.48%</t>
  </si>
  <si>
    <t>24.10.2024 10:22:33</t>
  </si>
  <si>
    <t xml:space="preserve">         26K            37K             3K</t>
  </si>
  <si>
    <t>GA11jiDsktNgnJn3tjZG1HqwzxashqayfzRpou4gpump</t>
  </si>
  <si>
    <t>HWOGGY</t>
  </si>
  <si>
    <t>-1.08%</t>
  </si>
  <si>
    <t>24.10.2024 10:17:02</t>
  </si>
  <si>
    <t>frBELbez8uTULmPRJxGuH5SGAdy17AdXJjvp5vfpump</t>
  </si>
  <si>
    <t>$RALPH</t>
  </si>
  <si>
    <t>-1.28%</t>
  </si>
  <si>
    <t>24.10.2024 10:13:22</t>
  </si>
  <si>
    <t xml:space="preserve">         33K            35K             5K</t>
  </si>
  <si>
    <t>gXJCgeRnvMVAv2Kb5zU9Mh1pbCww9h85fe1AKvQpump</t>
  </si>
  <si>
    <t>COOL</t>
  </si>
  <si>
    <t>18.27%</t>
  </si>
  <si>
    <t>24.10.2024 10:07:28</t>
  </si>
  <si>
    <t>2G6GvvQYD6iLmk5nvDkbiWJ4efVMZRMEVv9rukVJEvLd</t>
  </si>
  <si>
    <t>22.11%</t>
  </si>
  <si>
    <t>24.10.2024 10:01:28</t>
  </si>
  <si>
    <t>R9qJrw1uksgDr9V2bBeeq85H9jnyjnjvDANLU9Gpump</t>
  </si>
  <si>
    <t>$JIMMY</t>
  </si>
  <si>
    <t>-7.61%</t>
  </si>
  <si>
    <t>24.10.2024 09:53:53</t>
  </si>
  <si>
    <t xml:space="preserve">         39K            35K             5K</t>
  </si>
  <si>
    <t>r5ngG1oBXa89BM5jpEsrka9GHadiLm93sjY94QVpump</t>
  </si>
  <si>
    <t>24.10.2024 09:51:28</t>
  </si>
  <si>
    <t>pGx4uBcFKQ2vd6TzksN1ShxKgtNY3ec8NTBbAdTpump</t>
  </si>
  <si>
    <t>14.54%</t>
  </si>
  <si>
    <t>24.10.2024 09:47:52</t>
  </si>
  <si>
    <t xml:space="preserve">         37K            42K             5K</t>
  </si>
  <si>
    <t>3mcoXEcKP17Kuh8z4GPaeNr3W9bPGMJ3atEikqTqzez3</t>
  </si>
  <si>
    <t>TATEAI</t>
  </si>
  <si>
    <t>35.95%</t>
  </si>
  <si>
    <t>24.10.2024 09:46:14</t>
  </si>
  <si>
    <t xml:space="preserve">         30K            42K             5K</t>
  </si>
  <si>
    <t>CMbYsKACLxQC6fhcp2VWM7VbXoMmnWBCmcSaXWVdvs8H</t>
  </si>
  <si>
    <t>kainAI</t>
  </si>
  <si>
    <t>599,306</t>
  </si>
  <si>
    <t>24.10.2024 09:41:56</t>
  </si>
  <si>
    <t>9mMypdEn6UiQnZAkzKt3KKvj5LvZfuuCPLikCn5pVHPh</t>
  </si>
  <si>
    <t>-87.26%</t>
  </si>
  <si>
    <t>24.10.2024 09:41:26</t>
  </si>
  <si>
    <t>BetoobYP8CrPLahmnUCdbao7YSuEZdJdzVK6kPTcpump</t>
  </si>
  <si>
    <t>AItor</t>
  </si>
  <si>
    <t>20.67%</t>
  </si>
  <si>
    <t>24.10.2024 09:28:45</t>
  </si>
  <si>
    <t xml:space="preserve">         42K            51K             5K</t>
  </si>
  <si>
    <t>2jHrSWZHd1WwDVkqBABXYwQKCzv5k5FsRzUU3EQZ7Ao5</t>
  </si>
  <si>
    <t>Leaf</t>
  </si>
  <si>
    <t>51.48%</t>
  </si>
  <si>
    <t>24.10.2024 09:12:28</t>
  </si>
  <si>
    <t xml:space="preserve">         26K            40K             5K</t>
  </si>
  <si>
    <t>yzYdktJhmAA4kcH3xe1btKNJ8cL8J4M6pdXFfD3pump</t>
  </si>
  <si>
    <t>1.20%</t>
  </si>
  <si>
    <t>24.10.2024 08:57:18</t>
  </si>
  <si>
    <t>7dHrs6i7s7PEqxzWHrbrfYPsgAAsyj5ZaHaiRhQX6gin</t>
  </si>
  <si>
    <t>-0.74%</t>
  </si>
  <si>
    <t>24.10.2024 08:55:39</t>
  </si>
  <si>
    <t>BhT4dxHYke5jKonfk1cjgC6pmq4bU6Si97nMwiGDauMG</t>
  </si>
  <si>
    <t>WAVE</t>
  </si>
  <si>
    <t>12.89%</t>
  </si>
  <si>
    <t>23.10.2024 16:27:16</t>
  </si>
  <si>
    <t xml:space="preserve">         21K            25K             5K</t>
  </si>
  <si>
    <t>G4q1iubFKZEoPhZ2MGeRTxaVupzjv7wch86cQuEpump</t>
  </si>
  <si>
    <t>CLYDE</t>
  </si>
  <si>
    <t>24.26%</t>
  </si>
  <si>
    <t>23.10.2024 16:18:06</t>
  </si>
  <si>
    <t>4kXNXTwv9ivPmggPYR2Z4FEYBy4FvRNjCTW5ZbwHcs6m</t>
  </si>
  <si>
    <t>-64.10%</t>
  </si>
  <si>
    <t>23.10.2024 16:16:12</t>
  </si>
  <si>
    <t>Au1HGzBnVAwBboLZ8N7W3BLk6vSYUqzfPsmiavq7pump</t>
  </si>
  <si>
    <t>1333co</t>
  </si>
  <si>
    <t>-6.69%</t>
  </si>
  <si>
    <t>23.10.2024 15:56:05</t>
  </si>
  <si>
    <t>6YEssv8wdjm39gVmCjhbhDjRyiunsLVwPmH1th1zpump</t>
  </si>
  <si>
    <t>Bestday</t>
  </si>
  <si>
    <t>23.10.2024 15:42:11</t>
  </si>
  <si>
    <t>7prdPanUKjdbWqPSEfaWHQ7HZCUAy5cHyz1meetqpump</t>
  </si>
  <si>
    <t>6.64%</t>
  </si>
  <si>
    <t>23.10.2024 15:36:26</t>
  </si>
  <si>
    <t>Cu1r1B19CzZg5uN1q1BYUz1AocufXbNZZJPxCnxzpump</t>
  </si>
  <si>
    <t>LOWAI</t>
  </si>
  <si>
    <t>-13.83%</t>
  </si>
  <si>
    <t>23.10.2024 15:17:09</t>
  </si>
  <si>
    <t xml:space="preserve">         11K             9K             3K</t>
  </si>
  <si>
    <t>Rm6csmmzaxXWSFm5YWwWhhgv6JxcNs99RkBRjgUpump</t>
  </si>
  <si>
    <t>Katan'Hya</t>
  </si>
  <si>
    <t>62.02%</t>
  </si>
  <si>
    <t>23.10.2024 11:38:50</t>
  </si>
  <si>
    <t>6zAt1NsvdmBziZ6BgwfAZNoc7SbWBt2p5STeMYLLpump</t>
  </si>
  <si>
    <t>Babalon</t>
  </si>
  <si>
    <t>-56.85%</t>
  </si>
  <si>
    <t>23.10.2024 10:12:05</t>
  </si>
  <si>
    <t>48h5enqyTBExbWsoYLumK5uH9Qptnmc7ENzb6Emopump</t>
  </si>
  <si>
    <t>-39.50%</t>
  </si>
  <si>
    <t>23.10.2024 04:25:49</t>
  </si>
  <si>
    <t xml:space="preserve">         32K            19K             4K</t>
  </si>
  <si>
    <t>9odTJiL7RbBY3EDHhLs9iTsDu4LB81oFJAboLFtFpump</t>
  </si>
  <si>
    <t>acc</t>
  </si>
  <si>
    <t>22.10.2024 17:47:44</t>
  </si>
  <si>
    <t>HtQTA2fkpUvTQq7gh9uktnyef5ktZFC4c7ToknpYpump</t>
  </si>
  <si>
    <t>GOLDEN</t>
  </si>
  <si>
    <t>0.004020</t>
  </si>
  <si>
    <t>21.10.2024 17:32:13</t>
  </si>
  <si>
    <t xml:space="preserve">         79K           135K             5K</t>
  </si>
  <si>
    <t>BQxwZBj89qsnhP26sbWUTd6HoUeTLKqm8h75vHs5XPnB</t>
  </si>
  <si>
    <t>Oyakata</t>
  </si>
  <si>
    <t>-12.72%</t>
  </si>
  <si>
    <t>20.10.2024 05:20:51</t>
  </si>
  <si>
    <t>EfBhTSVCp1q4ka6MnCxirDbAXGTSwfQmQ5vVeTuppump</t>
  </si>
  <si>
    <t>WIFMCAP</t>
  </si>
  <si>
    <t>2.635 SOL</t>
  </si>
  <si>
    <t>-1.973 SOL</t>
  </si>
  <si>
    <t>-74.78%</t>
  </si>
  <si>
    <t>16.10.2024 19:23:00</t>
  </si>
  <si>
    <t>EF4hfG3Jb7tHc7VcUqvn6FjM3ZNsWqD4Mn3FqzUppump</t>
  </si>
  <si>
    <t>5.513 SOL</t>
  </si>
  <si>
    <t>22.607 SOL</t>
  </si>
  <si>
    <t>17.086 SOL</t>
  </si>
  <si>
    <t>309.47%</t>
  </si>
  <si>
    <t>15.10.2024 17:37:03</t>
  </si>
  <si>
    <t xml:space="preserve">          9K            42K             5K</t>
  </si>
  <si>
    <t>moji</t>
  </si>
  <si>
    <t>0.939 SOL</t>
  </si>
  <si>
    <t>-8.27%</t>
  </si>
  <si>
    <t>11.10.2024 07:22:58</t>
  </si>
  <si>
    <t>GZoyGUpkj6mPVZAE5NPsgBMQeL1qMnqr4qEPgZEcpump</t>
  </si>
  <si>
    <t>CBO</t>
  </si>
  <si>
    <t>-4.92%</t>
  </si>
  <si>
    <t>10.10.2024 13:59:01</t>
  </si>
  <si>
    <t>6Bn3Bn2rUxKWjfHdQuCTGP3kVNpCt9Fis2StNMpnpump</t>
  </si>
  <si>
    <t>DAy1KPX8wiiTT33zSuaLTyFtbA4WNcBHRaSGYqvYKet8</t>
  </si>
  <si>
    <t>7.69 SOL</t>
  </si>
  <si>
    <t>5.25 SOL</t>
  </si>
  <si>
    <t>3 h</t>
  </si>
  <si>
    <t>0.72 SOL</t>
  </si>
  <si>
    <t>12.9%</t>
  </si>
  <si>
    <t>19.4%</t>
  </si>
  <si>
    <t>38.7%</t>
  </si>
  <si>
    <t>11.1 SOL</t>
  </si>
  <si>
    <t>72.0K</t>
  </si>
  <si>
    <t>1,697,000</t>
  </si>
  <si>
    <t>30.10.2024 02:22:05</t>
  </si>
  <si>
    <t>10.61%</t>
  </si>
  <si>
    <t>29.10.2024 17:35:58</t>
  </si>
  <si>
    <t>$HOLYNADE</t>
  </si>
  <si>
    <t>-24.15%</t>
  </si>
  <si>
    <t>29.10.2024 17:25:52</t>
  </si>
  <si>
    <t>3hAd7Vqn2CoXsgAzdfmdZ3QvFM7fwbDASJDpejrhU4sM</t>
  </si>
  <si>
    <t>SCOOBY</t>
  </si>
  <si>
    <t>2,983,870</t>
  </si>
  <si>
    <t>29.10.2024 10:28:58</t>
  </si>
  <si>
    <t>7QeKw8PM6TqgEp6snSjgr4ihSz5vXkPWD6XSCHk6pump</t>
  </si>
  <si>
    <t>28.10.2024 09:35:57</t>
  </si>
  <si>
    <t>495.07%</t>
  </si>
  <si>
    <t>28.10.2024 00:09:11</t>
  </si>
  <si>
    <t xml:space="preserve">         26K           162K             7K</t>
  </si>
  <si>
    <t>0.019880</t>
  </si>
  <si>
    <t>208.78%</t>
  </si>
  <si>
    <t>27.10.2024 18:18:36</t>
  </si>
  <si>
    <t xml:space="preserve">         46K           273K             7K</t>
  </si>
  <si>
    <t>0.453 SOL</t>
  </si>
  <si>
    <t>236.24%</t>
  </si>
  <si>
    <t>27.10.2024 16:45:36</t>
  </si>
  <si>
    <t xml:space="preserve">         26K            56K             7K</t>
  </si>
  <si>
    <t>316,941</t>
  </si>
  <si>
    <t>27.10.2024 16:12:47</t>
  </si>
  <si>
    <t xml:space="preserve">        167K           167K             5K</t>
  </si>
  <si>
    <t>234,666</t>
  </si>
  <si>
    <t>27.10.2024 11:35:50</t>
  </si>
  <si>
    <t xml:space="preserve">        225K           225K            10K</t>
  </si>
  <si>
    <t>0.010170</t>
  </si>
  <si>
    <t>0.492 SOL</t>
  </si>
  <si>
    <t>234.15%</t>
  </si>
  <si>
    <t>27.10.2024 03:04:09</t>
  </si>
  <si>
    <t xml:space="preserve">        109K           109K            58K</t>
  </si>
  <si>
    <t>635,404</t>
  </si>
  <si>
    <t>26.10.2024 17:46:51</t>
  </si>
  <si>
    <t xml:space="preserve">        139K           139K             4K</t>
  </si>
  <si>
    <t>1,057,318</t>
  </si>
  <si>
    <t>26.10.2024 15:47:18</t>
  </si>
  <si>
    <t>932,690</t>
  </si>
  <si>
    <t>26.10.2024 14:05:49</t>
  </si>
  <si>
    <t>8.00%</t>
  </si>
  <si>
    <t>26.10.2024 11:41:15</t>
  </si>
  <si>
    <t xml:space="preserve">          4M             4M            10M</t>
  </si>
  <si>
    <t>0.007800</t>
  </si>
  <si>
    <t>-98.16%</t>
  </si>
  <si>
    <t>25.10.2024 22:29:44</t>
  </si>
  <si>
    <t xml:space="preserve">        278K           278K             5K</t>
  </si>
  <si>
    <t>GAOT</t>
  </si>
  <si>
    <t>-0.190 SOL</t>
  </si>
  <si>
    <t>-94.67%</t>
  </si>
  <si>
    <t>25.10.2024 22:29:13</t>
  </si>
  <si>
    <t xml:space="preserve">        357K           357K            13K</t>
  </si>
  <si>
    <t>C2LuB5y5AJ1pZvsPihwfL52x9q9MaVQeWB4bQacnpump</t>
  </si>
  <si>
    <t>-4.35%</t>
  </si>
  <si>
    <t>25.10.2024 22:28:42</t>
  </si>
  <si>
    <t xml:space="preserve">        169K           331K             5K</t>
  </si>
  <si>
    <t>104.90%</t>
  </si>
  <si>
    <t>25.10.2024 20:21:56</t>
  </si>
  <si>
    <t xml:space="preserve">        438K           844K             2M</t>
  </si>
  <si>
    <t>0.008140</t>
  </si>
  <si>
    <t>4.957 SOL</t>
  </si>
  <si>
    <t>25.10.2024 18:37:57</t>
  </si>
  <si>
    <t xml:space="preserve">         19M            12M            12M</t>
  </si>
  <si>
    <t>0.424 SOL</t>
  </si>
  <si>
    <t>40.55%</t>
  </si>
  <si>
    <t>25.10.2024 17:10:29</t>
  </si>
  <si>
    <t xml:space="preserve">        157K           148K             8K</t>
  </si>
  <si>
    <t>91.85%</t>
  </si>
  <si>
    <t>25.10.2024 16:19:36</t>
  </si>
  <si>
    <t xml:space="preserve">        522K             2M            20K</t>
  </si>
  <si>
    <t>lions</t>
  </si>
  <si>
    <t>-0.98%</t>
  </si>
  <si>
    <t>24.10.2024 20:41:52</t>
  </si>
  <si>
    <t>6MRjQ4svWEa13GhKiSWFDKddaSV4nya6F9TDnyB1pump</t>
  </si>
  <si>
    <t>OUUU</t>
  </si>
  <si>
    <t>0.000360</t>
  </si>
  <si>
    <t>38.73%</t>
  </si>
  <si>
    <t>24.10.2024 10:30:19</t>
  </si>
  <si>
    <t xml:space="preserve">        331K           769K            92K</t>
  </si>
  <si>
    <t>4GULMPKBJLruChBZWksZzukAg1AjSCmCTMn9ny2Xpump</t>
  </si>
  <si>
    <t>D/ACC</t>
  </si>
  <si>
    <t>-20.53%</t>
  </si>
  <si>
    <t>23.10.2024 21:05:35</t>
  </si>
  <si>
    <t xml:space="preserve">        190K           190K            52K</t>
  </si>
  <si>
    <t>FabjHjc1druUQoHVtudpNiCpnf73rtLzMkRM1b5NSbb6</t>
  </si>
  <si>
    <t>cyberv1sor</t>
  </si>
  <si>
    <t>-0.325 SOL</t>
  </si>
  <si>
    <t>943,409</t>
  </si>
  <si>
    <t>23.10.2024 20:48:06</t>
  </si>
  <si>
    <t>HGA9S9V9vpG2qN7NVKazU8H1N7UFh6XLG9QZc1UGpump</t>
  </si>
  <si>
    <t>5,631</t>
  </si>
  <si>
    <t>23.10.2024 17:34:28</t>
  </si>
  <si>
    <t xml:space="preserve">          9M             9M            35K</t>
  </si>
  <si>
    <t>UNTY</t>
  </si>
  <si>
    <t>0.055030</t>
  </si>
  <si>
    <t>120.90%</t>
  </si>
  <si>
    <t>23.10.2024 01:49:13</t>
  </si>
  <si>
    <t>97HqLiRKZJAswENMuDJJAjWmpkEoxKAhwePqU1kwpump</t>
  </si>
  <si>
    <t>0.033040</t>
  </si>
  <si>
    <t>231.24%</t>
  </si>
  <si>
    <t>23.10.2024 01:12:59</t>
  </si>
  <si>
    <t xml:space="preserve">         39K            39K            77K</t>
  </si>
  <si>
    <t>0.026040</t>
  </si>
  <si>
    <t>0.881 SOL</t>
  </si>
  <si>
    <t>256.62%</t>
  </si>
  <si>
    <t>23.10.2024 00:19:25</t>
  </si>
  <si>
    <t xml:space="preserve">         56K           452K             4K</t>
  </si>
  <si>
    <t>62.43%</t>
  </si>
  <si>
    <t>23.10.2024 00:18:49</t>
  </si>
  <si>
    <t xml:space="preserve">        310K           953K            17K</t>
  </si>
  <si>
    <t>FLESH</t>
  </si>
  <si>
    <t>0.018530</t>
  </si>
  <si>
    <t>84.67%</t>
  </si>
  <si>
    <t>23.10.2024 00:17:31</t>
  </si>
  <si>
    <t xml:space="preserve">         70K            70K             6K</t>
  </si>
  <si>
    <t>DZiLacApyuzuyeaeGTsaLxDhk1n23VFJNgGmjoi2pump</t>
  </si>
  <si>
    <t>Memery</t>
  </si>
  <si>
    <t>0.018560</t>
  </si>
  <si>
    <t>216.55%</t>
  </si>
  <si>
    <t>23.10.2024 00:17:00</t>
  </si>
  <si>
    <t xml:space="preserve">         32K           186K             5K</t>
  </si>
  <si>
    <t>9jbP9Ff3MEoYoXQsA2P418p2BTCXAmZKkXAp1TzLpump</t>
  </si>
  <si>
    <t>0.011050</t>
  </si>
  <si>
    <t>143.58%</t>
  </si>
  <si>
    <t>23.10.2024 00:16:27</t>
  </si>
  <si>
    <t xml:space="preserve">        108K           402K            15K</t>
  </si>
  <si>
    <t>0.029020</t>
  </si>
  <si>
    <t>-5.22%</t>
  </si>
  <si>
    <t>22.10.2024 23:47:26</t>
  </si>
  <si>
    <t>0.018520</t>
  </si>
  <si>
    <t>22.10.2024 23:36:55</t>
  </si>
  <si>
    <t xml:space="preserve">        234K           468K            37K</t>
  </si>
  <si>
    <t>-48.48%</t>
  </si>
  <si>
    <t xml:space="preserve">         55K            60K             4K</t>
  </si>
  <si>
    <t>0.027030</t>
  </si>
  <si>
    <t>0.631 SOL</t>
  </si>
  <si>
    <t>-23.87%</t>
  </si>
  <si>
    <t>22.10.2024 14:51:41</t>
  </si>
  <si>
    <t>59NrqSzBr34tvMKKyMyM7AMsoM3dcme11A6vkTbhpump</t>
  </si>
  <si>
    <t>0.016540</t>
  </si>
  <si>
    <t>0.613 SOL</t>
  </si>
  <si>
    <t>182.90%</t>
  </si>
  <si>
    <t>22.10.2024 14:35:25</t>
  </si>
  <si>
    <t xml:space="preserve">          1M             7M           157K</t>
  </si>
  <si>
    <t>219.97%</t>
  </si>
  <si>
    <t>21.10.2024 16:09:21</t>
  </si>
  <si>
    <t xml:space="preserve">         91K             1M            35K</t>
  </si>
  <si>
    <t>BENTLEY</t>
  </si>
  <si>
    <t>5,070,562</t>
  </si>
  <si>
    <t>21.10.2024 14:04:53</t>
  </si>
  <si>
    <t>8H9iCo578WWwpkwkTX1hBafF1bjMV4XPneohUEuSpump</t>
  </si>
  <si>
    <t>-48.17%</t>
  </si>
  <si>
    <t>21.10.2024 11:57:21</t>
  </si>
  <si>
    <t xml:space="preserve">         79K            88K            11K</t>
  </si>
  <si>
    <t>miri</t>
  </si>
  <si>
    <t>48.45%</t>
  </si>
  <si>
    <t>20.10.2024 14:43:41</t>
  </si>
  <si>
    <t xml:space="preserve">        222K           454K            17K</t>
  </si>
  <si>
    <t>8YSTt9qbkMD1gboEnRmTrscVoZ8i8CDh8vf1XBcdpump</t>
  </si>
  <si>
    <t>GF</t>
  </si>
  <si>
    <t>853,915</t>
  </si>
  <si>
    <t>20.10.2024 14:32:21</t>
  </si>
  <si>
    <t>89mDJ6WpKq6jxn5XkZEspGnmBtFqR1CnxcCubBvkpump</t>
  </si>
  <si>
    <t>BHW</t>
  </si>
  <si>
    <t>1,329,922</t>
  </si>
  <si>
    <t>20.10.2024 13:54:30</t>
  </si>
  <si>
    <t>EyPksrs2baWDWMYsjUfnQJtYMdLM27ZB5mgp8LkLpump</t>
  </si>
  <si>
    <t>249,469</t>
  </si>
  <si>
    <t>20.10.2024 12:46:16</t>
  </si>
  <si>
    <t xml:space="preserve">        141K           141K             5K</t>
  </si>
  <si>
    <t>Queef</t>
  </si>
  <si>
    <t>142.28%</t>
  </si>
  <si>
    <t>20.10.2024 11:34:52</t>
  </si>
  <si>
    <t>AC3vtNmm1jkyZGXYECCCiZ7TvzurXyc9vLEUuz7PFMmz</t>
  </si>
  <si>
    <t>aesthetic</t>
  </si>
  <si>
    <t>117,030</t>
  </si>
  <si>
    <t>19.10.2024 16:03:56</t>
  </si>
  <si>
    <t>2wJjD9DKJqwpajx2X7XMWyYNLNMEgopaQkwxy1LDGp43</t>
  </si>
  <si>
    <t>AIFATHER</t>
  </si>
  <si>
    <t>-35.01%</t>
  </si>
  <si>
    <t>19.10.2024 12:45:36</t>
  </si>
  <si>
    <t xml:space="preserve">         30K            19K             3K</t>
  </si>
  <si>
    <t>8VYKWRmn78thYQefc9K7cM1chQdojpABn2u4sCc1pump</t>
  </si>
  <si>
    <t>330.09%</t>
  </si>
  <si>
    <t>19.10.2024 12:01:45</t>
  </si>
  <si>
    <t xml:space="preserve">        158K             2M            35M</t>
  </si>
  <si>
    <t>SGAI</t>
  </si>
  <si>
    <t>281.88%</t>
  </si>
  <si>
    <t>19.10.2024 11:13:44</t>
  </si>
  <si>
    <t xml:space="preserve">        135K             1M            27K</t>
  </si>
  <si>
    <t>28xPA7ZER19fNTWQpZ8xHJUMbyoxegpT6mHxzMdtFZCW</t>
  </si>
  <si>
    <t>METASPIRIT</t>
  </si>
  <si>
    <t>2,225,945</t>
  </si>
  <si>
    <t>18.10.2024 21:19:08</t>
  </si>
  <si>
    <t>51g8szUwF5XQ9gS9zTATQkEWys4sb8dwsgyCzRM6pump</t>
  </si>
  <si>
    <t>472,187</t>
  </si>
  <si>
    <t>18.10.2024 18:23:54</t>
  </si>
  <si>
    <t xml:space="preserve">         74K            74K            31K</t>
  </si>
  <si>
    <t>CONSPIRACY</t>
  </si>
  <si>
    <t>489,539</t>
  </si>
  <si>
    <t>18.10.2024 14:32:52</t>
  </si>
  <si>
    <t>Bb4WRUs4neUtUZimpDb1jMaqYYtpnX3ce24oJu9Ppump</t>
  </si>
  <si>
    <t>GMAIL</t>
  </si>
  <si>
    <t>161,072</t>
  </si>
  <si>
    <t>15.10.2024 01:09:40</t>
  </si>
  <si>
    <t xml:space="preserve">        218K           218K             5K</t>
  </si>
  <si>
    <t>A81qTXocKRLrqFfRXFFxaR3kb3Pq1fdpD984Raepump</t>
  </si>
  <si>
    <t>ARIA</t>
  </si>
  <si>
    <t>-40.44%</t>
  </si>
  <si>
    <t>14.10.2024 22:44:09</t>
  </si>
  <si>
    <t>BfMZUMAKeRayyz9LywcVGGuy6dgusqVJjRSzJzwLpump</t>
  </si>
  <si>
    <t>SCHD</t>
  </si>
  <si>
    <t>-13.24%</t>
  </si>
  <si>
    <t>14.10.2024 22:07:15</t>
  </si>
  <si>
    <t xml:space="preserve">         32K            58K             3K</t>
  </si>
  <si>
    <t>81wFRjTpFL6vAEsjTD9TZW4G82EtkdNUyDJXyqSApump</t>
  </si>
  <si>
    <t>665,756</t>
  </si>
  <si>
    <t>13.10.2024 17:22:52</t>
  </si>
  <si>
    <t>321,851</t>
  </si>
  <si>
    <t>13.10.2024 16:43:49</t>
  </si>
  <si>
    <t xml:space="preserve">        109K           109K            11K</t>
  </si>
  <si>
    <t>568,436</t>
  </si>
  <si>
    <t>13.10.2024 16:24:57</t>
  </si>
  <si>
    <t>-65.72%</t>
  </si>
  <si>
    <t>13.10.2024 14:07:02</t>
  </si>
  <si>
    <t>31.67%</t>
  </si>
  <si>
    <t>13.10.2024 12:57:28</t>
  </si>
  <si>
    <t xml:space="preserve">         39K            51K            31K</t>
  </si>
  <si>
    <t>3bw7vPnuVnh6A7P1endYkFSk2oN6gVxrNe1es5qN8drM</t>
  </si>
  <si>
    <t>2.13 SOL</t>
  </si>
  <si>
    <t>-48%</t>
  </si>
  <si>
    <t>-17.02 SOL</t>
  </si>
  <si>
    <t>0.82 SOL</t>
  </si>
  <si>
    <t>100</t>
  </si>
  <si>
    <t>73.1%</t>
  </si>
  <si>
    <t>4.2 SOL</t>
  </si>
  <si>
    <t>-24.0 SOL</t>
  </si>
  <si>
    <t>736.0K</t>
  </si>
  <si>
    <t>1,296,736</t>
  </si>
  <si>
    <t>29.10.2024 19:57:44</t>
  </si>
  <si>
    <t xml:space="preserve">        186K           167K            14K</t>
  </si>
  <si>
    <t>chop</t>
  </si>
  <si>
    <t>241,822</t>
  </si>
  <si>
    <t>26.10.2024 21:40:56</t>
  </si>
  <si>
    <t xml:space="preserve">        175K           175K             6K</t>
  </si>
  <si>
    <t>7RyiZd3wrQiMpmF7CY6prrTTKCfcHwMHqNakHPBvpump</t>
  </si>
  <si>
    <t>-6.28%</t>
  </si>
  <si>
    <t>26.10.2024 18:04:27</t>
  </si>
  <si>
    <t xml:space="preserve">        100K           100K            10K</t>
  </si>
  <si>
    <t>pig</t>
  </si>
  <si>
    <t>203.70%</t>
  </si>
  <si>
    <t>26.10.2024 04:21:21</t>
  </si>
  <si>
    <t xml:space="preserve">        365K             2M           313K</t>
  </si>
  <si>
    <t>CXfErCqD2ufoZZ7791sRetSiMkeFSH6oKAjW7ERdpump</t>
  </si>
  <si>
    <t>20,344</t>
  </si>
  <si>
    <t>25.10.2024 01:50:23</t>
  </si>
  <si>
    <t xml:space="preserve">        886K           886K            18K</t>
  </si>
  <si>
    <t>6ehL2VqmPAtn4c3pLkAJd2ah4sAzKEL4nmwxh2b7pump</t>
  </si>
  <si>
    <t>RNAI</t>
  </si>
  <si>
    <t>103,465</t>
  </si>
  <si>
    <t>24.10.2024 12:14:02</t>
  </si>
  <si>
    <t xml:space="preserve">        849K           849K            11K</t>
  </si>
  <si>
    <t>AZYZzjn535iJMeNWiTVEdxBzx5bjBsBFMJrPELY8G4Mp</t>
  </si>
  <si>
    <t>53.54%</t>
  </si>
  <si>
    <t>23.10.2024 15:17:18</t>
  </si>
  <si>
    <t xml:space="preserve">        329K           602K           229K</t>
  </si>
  <si>
    <t>-72.73%</t>
  </si>
  <si>
    <t>22.10.2024 19:08:57</t>
  </si>
  <si>
    <t xml:space="preserve">        271K           137K            11K</t>
  </si>
  <si>
    <t>52,538</t>
  </si>
  <si>
    <t>21.10.2024 16:34:15</t>
  </si>
  <si>
    <t xml:space="preserve">          2M             1M            43K</t>
  </si>
  <si>
    <t>24,395</t>
  </si>
  <si>
    <t>21.10.2024 07:17:27</t>
  </si>
  <si>
    <t xml:space="preserve">          2M             2M           189K</t>
  </si>
  <si>
    <t>0.660 SOL</t>
  </si>
  <si>
    <t>212.85%</t>
  </si>
  <si>
    <t>19.10.2024 15:17:15</t>
  </si>
  <si>
    <t xml:space="preserve">         97K           936K            14K</t>
  </si>
  <si>
    <t>136,587</t>
  </si>
  <si>
    <t>19.10.2024 15:04:11</t>
  </si>
  <si>
    <t xml:space="preserve">        322K           322K             7K</t>
  </si>
  <si>
    <t>0.735 SOL</t>
  </si>
  <si>
    <t>2,852</t>
  </si>
  <si>
    <t>19.10.2024 14:36:01</t>
  </si>
  <si>
    <t xml:space="preserve">        508K           400K            30K</t>
  </si>
  <si>
    <t>15,200</t>
  </si>
  <si>
    <t>19.10.2024 11:29:08</t>
  </si>
  <si>
    <t xml:space="preserve">          5M             3M            31K</t>
  </si>
  <si>
    <t>4.685 SOL</t>
  </si>
  <si>
    <t>941.05%</t>
  </si>
  <si>
    <t>19.10.2024 09:54:52</t>
  </si>
  <si>
    <t xml:space="preserve">         39K             2M            22K</t>
  </si>
  <si>
    <t>-0.370 SOL</t>
  </si>
  <si>
    <t>416,975</t>
  </si>
  <si>
    <t>19.10.2024 04:06:34</t>
  </si>
  <si>
    <t xml:space="preserve">        147K           147K             7K</t>
  </si>
  <si>
    <t>AMBER</t>
  </si>
  <si>
    <t>102,789</t>
  </si>
  <si>
    <t>15.10.2024 14:55:53</t>
  </si>
  <si>
    <t xml:space="preserve">        855K           855K            14K</t>
  </si>
  <si>
    <t>DuxiyDpEPM4y5cDxUiX81mST8W82XVS5i8N6AnsWYiUe</t>
  </si>
  <si>
    <t>360,844</t>
  </si>
  <si>
    <t>15.10.2024 13:45:41</t>
  </si>
  <si>
    <t xml:space="preserve">        487K           487K             6K</t>
  </si>
  <si>
    <t>-49.59%</t>
  </si>
  <si>
    <t>12.10.2024 10:03:09</t>
  </si>
  <si>
    <t>FiSH52XZpp6hvd2rTf4hAhczAWeTH2czPCaE8Fyppump</t>
  </si>
  <si>
    <t>coby</t>
  </si>
  <si>
    <t>13.48%</t>
  </si>
  <si>
    <t>11.10.2024 10:27:37</t>
  </si>
  <si>
    <t xml:space="preserve">         15M            17M             9M</t>
  </si>
  <si>
    <t>8WnQQRbuEZ3CCDbH5MCVioBbw6o75NKANq9WdPhBDsWo</t>
  </si>
  <si>
    <t>87,415</t>
  </si>
  <si>
    <t>03.10.2024 16:08:57</t>
  </si>
  <si>
    <t>moocsmf9ZJ2UYg6ShNQSrQNBChWqCNAenGuebFBZ6Hq</t>
  </si>
  <si>
    <t>QUANT</t>
  </si>
  <si>
    <t>1.186 SOL</t>
  </si>
  <si>
    <t>14.04%</t>
  </si>
  <si>
    <t>01.10.2024 19:17:51</t>
  </si>
  <si>
    <t xml:space="preserve">          2M             2M            35K</t>
  </si>
  <si>
    <t>GVmFmB4KW8uXRfjiwbh9JcCRCBFtKy5SQ2BFvdoipump</t>
  </si>
  <si>
    <t>TRATE</t>
  </si>
  <si>
    <t>1.400 SOL</t>
  </si>
  <si>
    <t>1.45%</t>
  </si>
  <si>
    <t>01.10.2024 10:19:23</t>
  </si>
  <si>
    <t xml:space="preserve">        626K           596K           306K</t>
  </si>
  <si>
    <t>3Sx6ZuHGbzi24mhR8QfRNyXQXgJFH5H295rzELwRpump</t>
  </si>
  <si>
    <t xml:space="preserve">Kisiri </t>
  </si>
  <si>
    <t>-40.75%</t>
  </si>
  <si>
    <t>30.09.2024 20:07:11</t>
  </si>
  <si>
    <t xml:space="preserve">         32K            21K             4K</t>
  </si>
  <si>
    <t>BPVsFydrR15TKG2cojUmihkBEgRBJSTT51yV3XxVpump</t>
  </si>
  <si>
    <t>RDOG</t>
  </si>
  <si>
    <t>28,587</t>
  </si>
  <si>
    <t>30.09.2024 05:13:37</t>
  </si>
  <si>
    <t xml:space="preserve">         13M            11M           200K</t>
  </si>
  <si>
    <t>DUp2qMMGuACziKeyZRtH9cuKyqtYpqJ24iZg6tVLpump</t>
  </si>
  <si>
    <t>dRAM</t>
  </si>
  <si>
    <t>19,665</t>
  </si>
  <si>
    <t>29.09.2024 20:58:56</t>
  </si>
  <si>
    <t xml:space="preserve">        720K           551K             5K</t>
  </si>
  <si>
    <t>AEkR2P2DyhLCaWCk9geHBoQXq7Chv2K6Mnb8S9yTpump</t>
  </si>
  <si>
    <t>8.03%</t>
  </si>
  <si>
    <t>29.09.2024 18:20:16</t>
  </si>
  <si>
    <t xml:space="preserve">        531K             1M            16K</t>
  </si>
  <si>
    <t>123fJ8eJ3KeMaAsSXAaCE1B17xjAYHuGa3Wt7cwkpump</t>
  </si>
  <si>
    <t>1.984 SOL</t>
  </si>
  <si>
    <t>0.924 SOL</t>
  </si>
  <si>
    <t>87.13%</t>
  </si>
  <si>
    <t>28.09.2024 16:41:07</t>
  </si>
  <si>
    <t xml:space="preserve">         66M           356M           231M</t>
  </si>
  <si>
    <t xml:space="preserve">Limbani </t>
  </si>
  <si>
    <t>-0.320 SOL</t>
  </si>
  <si>
    <t>58,403</t>
  </si>
  <si>
    <t>28.09.2024 04:37:17</t>
  </si>
  <si>
    <t xml:space="preserve">        904K           904K            10K</t>
  </si>
  <si>
    <t>CZcArp1tnaw6NJ6pquyCA2c7RygRRBeN1PkA2bGPpump</t>
  </si>
  <si>
    <t>umi</t>
  </si>
  <si>
    <t>28,241</t>
  </si>
  <si>
    <t>27.09.2024 22:02:54</t>
  </si>
  <si>
    <t xml:space="preserve">          3M             3M            16K</t>
  </si>
  <si>
    <t>8Lqgcs9hhbu49iwwFReDhNWQVJfnENpG4JGx9Afvpump</t>
  </si>
  <si>
    <t>Jonah</t>
  </si>
  <si>
    <t>43,376</t>
  </si>
  <si>
    <t>27.09.2024 10:05:20</t>
  </si>
  <si>
    <t xml:space="preserve">          2M             2M            93K</t>
  </si>
  <si>
    <t>H52CAqEJXY9dmPJChvi86cUR3vLEobUhu7B9wBMppump</t>
  </si>
  <si>
    <t>Zina</t>
  </si>
  <si>
    <t>28,943</t>
  </si>
  <si>
    <t>26.09.2024 20:24:40</t>
  </si>
  <si>
    <t xml:space="preserve">          3M             3M            14K</t>
  </si>
  <si>
    <t>8V4RtPRHdAjuSE5cPijYoAnTEUk3NHJp3RoxCCqppump</t>
  </si>
  <si>
    <t>26.09.2024 20:19:32</t>
  </si>
  <si>
    <t xml:space="preserve">         24M            36M            14M</t>
  </si>
  <si>
    <t>29,813</t>
  </si>
  <si>
    <t>26.09.2024 15:20:50</t>
  </si>
  <si>
    <t xml:space="preserve">          1M             2M            22K</t>
  </si>
  <si>
    <t>linus</t>
  </si>
  <si>
    <t>200,427</t>
  </si>
  <si>
    <t>26.09.2024 12:02:35</t>
  </si>
  <si>
    <t xml:space="preserve">        308K           308K             6K</t>
  </si>
  <si>
    <t>D1NuwvG2rtM5Z7bCSsVemiMD2Kiz5jcrhF6qUjeFpump</t>
  </si>
  <si>
    <t>DIDDYOIL</t>
  </si>
  <si>
    <t>88,825</t>
  </si>
  <si>
    <t>25.09.2024 23:08:38</t>
  </si>
  <si>
    <t xml:space="preserve">          1M           920K             9K</t>
  </si>
  <si>
    <t>LZ1kBxMEtGiwfv3u1YFvkgHibcndUXQ74Tagq6cpump</t>
  </si>
  <si>
    <t>CONAN</t>
  </si>
  <si>
    <t>-0.032 SOL</t>
  </si>
  <si>
    <t>186</t>
  </si>
  <si>
    <t>23.09.2024 21:23:32</t>
  </si>
  <si>
    <t xml:space="preserve">         11M            11M            15K</t>
  </si>
  <si>
    <t>8RtMwBUXyZsPhe13YYCrz8yGheX7XBVdVVFDKzo5fGQU</t>
  </si>
  <si>
    <t>1,985,917</t>
  </si>
  <si>
    <t>22.09.2024 20:06:43</t>
  </si>
  <si>
    <t>2YK7PrhNt6xkYeQkMimmStsPCZr5Z3Q1tU6j33EXpump</t>
  </si>
  <si>
    <t>CLAP</t>
  </si>
  <si>
    <t>5.87%</t>
  </si>
  <si>
    <t>22.09.2024 14:41:09</t>
  </si>
  <si>
    <t>9b8jL2wcVjBFpieC5TUR76BDJ6sW8Eghd3fyq5VJmzir</t>
  </si>
  <si>
    <t>RINTARO</t>
  </si>
  <si>
    <t>196,366</t>
  </si>
  <si>
    <t>20.09.2024 11:35:56</t>
  </si>
  <si>
    <t xml:space="preserve">          5M             2M           136K</t>
  </si>
  <si>
    <t>AFivsHqtajxcbQmyuZ7TQymx1ypSs6S74dLEY4BGRxXf</t>
  </si>
  <si>
    <t>NIF</t>
  </si>
  <si>
    <t>12,536</t>
  </si>
  <si>
    <t>18.09.2024 17:59:29</t>
  </si>
  <si>
    <t xml:space="preserve">        281K           281K             9K</t>
  </si>
  <si>
    <t>3UuatzSZX8JcAbKtz6NHtSXoZLtbjcdDEoAqNjx8pump</t>
  </si>
  <si>
    <t>SHAWK</t>
  </si>
  <si>
    <t>17,038</t>
  </si>
  <si>
    <t>15.09.2024 19:43:48</t>
  </si>
  <si>
    <t xml:space="preserve">          4M             4M            79K</t>
  </si>
  <si>
    <t>HEE6uKwN6maVYu7MpJfmJcTM2PxRjBz52STpuyYwWcMB</t>
  </si>
  <si>
    <t>JASON</t>
  </si>
  <si>
    <t>-0.463 SOL</t>
  </si>
  <si>
    <t>13.09.2024 06:05:16</t>
  </si>
  <si>
    <t>9aTVXMwDJt374go6vt28e6c8NgjEW4Xvh2tmJKKBpump</t>
  </si>
  <si>
    <t>DEV</t>
  </si>
  <si>
    <t>8,859</t>
  </si>
  <si>
    <t>13.09.2024 03:34:34</t>
  </si>
  <si>
    <t xml:space="preserve">         20M            20M           580K</t>
  </si>
  <si>
    <t>ASNoTS4cYopuUbmDMWM4AU9xdCQnb5zPe3gBWfTUsLTE</t>
  </si>
  <si>
    <t>L7</t>
  </si>
  <si>
    <t>0.751 SOL</t>
  </si>
  <si>
    <t>13.78%</t>
  </si>
  <si>
    <t>12.09.2024 20:09:33</t>
  </si>
  <si>
    <t xml:space="preserve">        181K           225K            46K</t>
  </si>
  <si>
    <t>3heCeKrsD5wunvxDLZaqF91Tu1ZaihdXMe6PEueQpump</t>
  </si>
  <si>
    <t>POOKU</t>
  </si>
  <si>
    <t>182,795</t>
  </si>
  <si>
    <t>12.09.2024 01:29:44</t>
  </si>
  <si>
    <t xml:space="preserve">        736K           692K             5K</t>
  </si>
  <si>
    <t>8rj17o5qu5PbrAZX7YY2JEdEeFbLoe4u9Jx2g3dRjDB</t>
  </si>
  <si>
    <t>PVP</t>
  </si>
  <si>
    <t>230,457</t>
  </si>
  <si>
    <t>10.09.2024 16:54:36</t>
  </si>
  <si>
    <t xml:space="preserve">         84K           111K             4K</t>
  </si>
  <si>
    <t>8s2kPYQ4Eiuy8kTQrownWYcRAXxbouYSQveVGFXRpump</t>
  </si>
  <si>
    <t>CATE</t>
  </si>
  <si>
    <t>129,489</t>
  </si>
  <si>
    <t>10.09.2024 02:46:55</t>
  </si>
  <si>
    <t xml:space="preserve">        339K           339K             9K</t>
  </si>
  <si>
    <t>DgcL4dELAnGidC546PSjP9mY6tzh63o8qPModL29pump</t>
  </si>
  <si>
    <t>POGCHI</t>
  </si>
  <si>
    <t>140,419</t>
  </si>
  <si>
    <t>03.09.2024 16:55:12</t>
  </si>
  <si>
    <t xml:space="preserve">        249K           249K             5K</t>
  </si>
  <si>
    <t>EEUbuZ9byfrXki1fYJB4yzVWnF3PsBShRZXEy7eUpump</t>
  </si>
  <si>
    <t>TOMMY</t>
  </si>
  <si>
    <t>13,062</t>
  </si>
  <si>
    <t>02.09.2024 21:09:42</t>
  </si>
  <si>
    <t xml:space="preserve">          3M             3M            34K</t>
  </si>
  <si>
    <t>FiBSKnRpjNHChN1BANpr3dsVFQuuHhETMen4xUDgpump</t>
  </si>
  <si>
    <t>CS</t>
  </si>
  <si>
    <t>21,405</t>
  </si>
  <si>
    <t>02.09.2024 16:52:01</t>
  </si>
  <si>
    <t xml:space="preserve">        903K           903K             7K</t>
  </si>
  <si>
    <t>37ADKuBtg7C3i1qWmeUgfsUnHuReLG78fg4SUfRqCv7e</t>
  </si>
  <si>
    <t>GOOFY</t>
  </si>
  <si>
    <t>29,366</t>
  </si>
  <si>
    <t>02.09.2024 16:42:45</t>
  </si>
  <si>
    <t>nMLCZ4CUGypT1T3DzDwXmWwcdvpxD5FJG4sa2Uypump</t>
  </si>
  <si>
    <t>Search</t>
  </si>
  <si>
    <t>850,602</t>
  </si>
  <si>
    <t>02.09.2024 13:26:22</t>
  </si>
  <si>
    <t>4Zvs4vdSeijR2mnrXakurnw9u4K3DgrocT6ukQqJdcTR</t>
  </si>
  <si>
    <t>DCC</t>
  </si>
  <si>
    <t>01.09.2024 07:31:04</t>
  </si>
  <si>
    <t xml:space="preserve">          1M             2M            43K</t>
  </si>
  <si>
    <t>457PbiajA8Tsh7FqS2Y68ncdXcGobkeLT7GP4mYQpump</t>
  </si>
  <si>
    <t>$MUNCHER</t>
  </si>
  <si>
    <t>153,327</t>
  </si>
  <si>
    <t>01.09.2024 06:15:50</t>
  </si>
  <si>
    <t>FavWa31qwUcQWu5jr6Atq58d9qKzR4YKW8ySqXi2DJFV</t>
  </si>
  <si>
    <t>BLOOD</t>
  </si>
  <si>
    <t>-25.61%</t>
  </si>
  <si>
    <t>30.08.2024 21:18:21</t>
  </si>
  <si>
    <t xml:space="preserve">          1M             3M           821K</t>
  </si>
  <si>
    <t>FmmEZCz8JEQP2RsueVV2XNGdTHt8RQMQH6mjjFWAJyAP</t>
  </si>
  <si>
    <t>$Gud</t>
  </si>
  <si>
    <t>35,725</t>
  </si>
  <si>
    <t>21.08.2024 17:05:30</t>
  </si>
  <si>
    <t xml:space="preserve">        443K           443K             7K</t>
  </si>
  <si>
    <t>Dc3V65K1LexvLHpqVTZD6a57Qj9dAD16TNnc82A2iDfs</t>
  </si>
  <si>
    <t>6,740</t>
  </si>
  <si>
    <t>21.08.2024 15:40:01</t>
  </si>
  <si>
    <t xml:space="preserve">          5M             5M            64K</t>
  </si>
  <si>
    <t>r/solana</t>
  </si>
  <si>
    <t>113,146</t>
  </si>
  <si>
    <t>19.08.2024 16:37:45</t>
  </si>
  <si>
    <t xml:space="preserve">        311K           311K             5K</t>
  </si>
  <si>
    <t>EHgaf5i9f1q8aVugUKjpaYbf1ncnfn7gP9Sv8JLVpump</t>
  </si>
  <si>
    <t>Buy</t>
  </si>
  <si>
    <t>44,590</t>
  </si>
  <si>
    <t>15.08.2024 14:24:49</t>
  </si>
  <si>
    <t xml:space="preserve">        355K           355K             7K</t>
  </si>
  <si>
    <t>GkkGTNF5F4Ad1vbiw1pLc91JQXtoqCGSDe3RjnPTpump</t>
  </si>
  <si>
    <t>OLPEPE</t>
  </si>
  <si>
    <t>-8.59%</t>
  </si>
  <si>
    <t>15.08.2024 00:11:00</t>
  </si>
  <si>
    <t xml:space="preserve">        761K             2M             6K</t>
  </si>
  <si>
    <t>CbUBfV9KnkJFUKT3jTL7s5UpcrSsFtRznfYb92HNpump</t>
  </si>
  <si>
    <t>AKELA</t>
  </si>
  <si>
    <t>33,035</t>
  </si>
  <si>
    <t>13.08.2024 19:21:16</t>
  </si>
  <si>
    <t xml:space="preserve">        478K           478K             7K</t>
  </si>
  <si>
    <t>7SV7rAj9CLPvZ1Kc8aMWDdDozwRincPMktjRfTErpump</t>
  </si>
  <si>
    <t>RDT</t>
  </si>
  <si>
    <t>28,879</t>
  </si>
  <si>
    <t>12.08.2024 18:09:04</t>
  </si>
  <si>
    <t xml:space="preserve">        549K           549K            39K</t>
  </si>
  <si>
    <t>4drdawrzjEhfEtuH8CT8mSVsyMZvGm87vghpCFffpump</t>
  </si>
  <si>
    <t>10,148</t>
  </si>
  <si>
    <t>12.08.2024 17:56:22</t>
  </si>
  <si>
    <t>71e74Ko5bxJ2v4FvS7Mr1yZfF8t9W9DkxwKdiHz4wkPz</t>
  </si>
  <si>
    <t>Depressio</t>
  </si>
  <si>
    <t>168,728</t>
  </si>
  <si>
    <t>04.08.2024 02:33:09</t>
  </si>
  <si>
    <t xml:space="preserve">        187K           187K            13K</t>
  </si>
  <si>
    <t>FvBD7M1Nf63jY3Sy3oJTSy13Z1gSZeLUXocdEdC9pump</t>
  </si>
  <si>
    <t>SHARKY</t>
  </si>
  <si>
    <t>2,748,907</t>
  </si>
  <si>
    <t>03.08.2024 17:47:57</t>
  </si>
  <si>
    <t>4HwJvwtKwxVmuwHcGNd7TpTEbumQtN5AC1Tb3FPSWvGj</t>
  </si>
  <si>
    <t>277,341,073</t>
  </si>
  <si>
    <t>02.08.2024 17:07:00</t>
  </si>
  <si>
    <t>8ybLMuk31UHQUyc6GXa3NUrxjuW9xxsNPy1qS3Q73ycx</t>
  </si>
  <si>
    <t>2ybKtC2BpZzvp7YuJ6rFQ3toxG8ZmJWgBUPsXTiEyf7T</t>
  </si>
  <si>
    <t>3.03 SOL</t>
  </si>
  <si>
    <t>182%</t>
  </si>
  <si>
    <t>16.47 SOL</t>
  </si>
  <si>
    <t>17.45%</t>
  </si>
  <si>
    <t>16.6 SOL</t>
  </si>
  <si>
    <t>45.5K</t>
  </si>
  <si>
    <t>PEPU</t>
  </si>
  <si>
    <t>2.189 SOL</t>
  </si>
  <si>
    <t>-27.10%</t>
  </si>
  <si>
    <t>29.10.2024 07:44:24</t>
  </si>
  <si>
    <t xml:space="preserve">         40K            63K             4K</t>
  </si>
  <si>
    <t>F9xszLBRu8YoaN5hr1x2e1GQ47aK59jbne5SEepdpump</t>
  </si>
  <si>
    <t>0.004040</t>
  </si>
  <si>
    <t>18.528 SOL</t>
  </si>
  <si>
    <t>16.588 SOL</t>
  </si>
  <si>
    <t>854.84%</t>
  </si>
  <si>
    <t>28.10.2024 06:46:53</t>
  </si>
  <si>
    <t xml:space="preserve">          5K            47K             5K</t>
  </si>
  <si>
    <t>ROBOTTER</t>
  </si>
  <si>
    <t>12.29%</t>
  </si>
  <si>
    <t>27.10.2024 06:59:45</t>
  </si>
  <si>
    <t xml:space="preserve">         51K            56K             4K</t>
  </si>
  <si>
    <t>GWC7TY587JiftDF7EwbQLsJ7pWMVi5f53WAZ9Td7pump</t>
  </si>
  <si>
    <t>CAPY</t>
  </si>
  <si>
    <t>22.61%</t>
  </si>
  <si>
    <t>26.10.2024 07:37:32</t>
  </si>
  <si>
    <t xml:space="preserve">         42K            51K             4K</t>
  </si>
  <si>
    <t>7sR9ZaziDpgcZ5HJ19CH4JfGpuYuCDbdwsrWuoBRpump</t>
  </si>
  <si>
    <t>AIC</t>
  </si>
  <si>
    <t>1.533 SOL</t>
  </si>
  <si>
    <t>0.487 SOL</t>
  </si>
  <si>
    <t>31.75%</t>
  </si>
  <si>
    <t>25.10.2024 07:00:00</t>
  </si>
  <si>
    <t xml:space="preserve">         49K            76K             4K</t>
  </si>
  <si>
    <t>Ewjz1hdu6hvA2DeiLoXGWKdcufgCxFjEVSCJmy15pump</t>
  </si>
  <si>
    <t>FWIGA</t>
  </si>
  <si>
    <t>-8.87%</t>
  </si>
  <si>
    <t>25.10.2024 02:30:55</t>
  </si>
  <si>
    <t xml:space="preserve">         70K            63K             4K</t>
  </si>
  <si>
    <t>HzJBiAkYCxkmLksFHAL1TzRnWCDwyDD8haGL5psfpump</t>
  </si>
  <si>
    <t>F3CPySBRWpa6kXGbzCV6Wz8uw2atMJZdcT6SE3p8o85W</t>
  </si>
  <si>
    <t>69.70 SOL</t>
  </si>
  <si>
    <t>75.04 SOL</t>
  </si>
  <si>
    <t>32 (65%)</t>
  </si>
  <si>
    <t>2.19%</t>
  </si>
  <si>
    <t>8.2%</t>
  </si>
  <si>
    <t>6.1%</t>
  </si>
  <si>
    <t>38.8%</t>
  </si>
  <si>
    <t>75.9 SOL</t>
  </si>
  <si>
    <t>4.5 SOL</t>
  </si>
  <si>
    <t>8.7 SOL</t>
  </si>
  <si>
    <t>-6.8 SOL</t>
  </si>
  <si>
    <t>-4.04%</t>
  </si>
  <si>
    <t>29.10.2024 23:30:49</t>
  </si>
  <si>
    <t>-0.862 SOL</t>
  </si>
  <si>
    <t>-82.14%</t>
  </si>
  <si>
    <t>29.10.2024 21:17:15</t>
  </si>
  <si>
    <t>0.294 SOL</t>
  </si>
  <si>
    <t>-67.26%</t>
  </si>
  <si>
    <t xml:space="preserve">         16K             5K             3K</t>
  </si>
  <si>
    <t>2.024 SOL</t>
  </si>
  <si>
    <t>-0.526 SOL</t>
  </si>
  <si>
    <t xml:space="preserve">        227K           227K             9M</t>
  </si>
  <si>
    <t>0.070030</t>
  </si>
  <si>
    <t>3.641 SOL</t>
  </si>
  <si>
    <t>5.729 SOL</t>
  </si>
  <si>
    <t>54.37%</t>
  </si>
  <si>
    <t>28.10.2024 22:41:48</t>
  </si>
  <si>
    <t>0.251050</t>
  </si>
  <si>
    <t>20.873 SOL</t>
  </si>
  <si>
    <t>-2.378 SOL</t>
  </si>
  <si>
    <t>-10.23%</t>
  </si>
  <si>
    <t>28.10.2024 20:58:50</t>
  </si>
  <si>
    <t>-1.50%</t>
  </si>
  <si>
    <t>28.10.2024 14:57:02</t>
  </si>
  <si>
    <t>0.240030</t>
  </si>
  <si>
    <t>8.120 SOL</t>
  </si>
  <si>
    <t>31.31%</t>
  </si>
  <si>
    <t xml:space="preserve">          4K            14K             3K</t>
  </si>
  <si>
    <t>3.956 SOL</t>
  </si>
  <si>
    <t>1.644 SOL</t>
  </si>
  <si>
    <t>71.09%</t>
  </si>
  <si>
    <t>28.10.2024 01:31:50</t>
  </si>
  <si>
    <t>10.384 SOL</t>
  </si>
  <si>
    <t>24.060 SOL</t>
  </si>
  <si>
    <t>108.61%</t>
  </si>
  <si>
    <t>28.10.2024 01:30:24</t>
  </si>
  <si>
    <t xml:space="preserve">          8K            34K             4K</t>
  </si>
  <si>
    <t>1.511 SOL</t>
  </si>
  <si>
    <t>27.10.2024 20:43:19</t>
  </si>
  <si>
    <t>1.583 SOL</t>
  </si>
  <si>
    <t>27.10.2024 20:41:09</t>
  </si>
  <si>
    <t>1.798 SOL</t>
  </si>
  <si>
    <t>27.10.2024 20:38:08</t>
  </si>
  <si>
    <t>FeytGW9NWz4UTej6T5WT8JCZs7RFUjqeH25AcZ7Npump</t>
  </si>
  <si>
    <t>-3.592 SOL</t>
  </si>
  <si>
    <t>-80.08%</t>
  </si>
  <si>
    <t>27.10.2024 17:44:05</t>
  </si>
  <si>
    <t xml:space="preserve">        214K             5K             4K</t>
  </si>
  <si>
    <t>3.63%</t>
  </si>
  <si>
    <t>27.10.2024 16:19:35</t>
  </si>
  <si>
    <t>1.116 SOL</t>
  </si>
  <si>
    <t>2.84%</t>
  </si>
  <si>
    <t>-0.069 SOL</t>
  </si>
  <si>
    <t>-3.33%</t>
  </si>
  <si>
    <t>27.10.2024 02:36:26</t>
  </si>
  <si>
    <t>2.131 SOL</t>
  </si>
  <si>
    <t>26.10.2024 23:50:46</t>
  </si>
  <si>
    <t>2Bzq638eqXMYvT7KXkQvEvqCidv19hVb1koA4KGKpump</t>
  </si>
  <si>
    <t>-22.97%</t>
  </si>
  <si>
    <t>BBB</t>
  </si>
  <si>
    <t>1.617 SOL</t>
  </si>
  <si>
    <t>26.10.2024 22:04:13</t>
  </si>
  <si>
    <t>GL2HKofGcvV5hUaaDmZ9G25FwgmYokCRWTg4M8ikmzzx</t>
  </si>
  <si>
    <t>1.692 SOL</t>
  </si>
  <si>
    <t>-0.393 SOL</t>
  </si>
  <si>
    <t>26.10.2024 22:03:41</t>
  </si>
  <si>
    <t xml:space="preserve">         12K            11K             9K</t>
  </si>
  <si>
    <t>-0.594 SOL</t>
  </si>
  <si>
    <t>-14.55%</t>
  </si>
  <si>
    <t>26.10.2024 22:02:46</t>
  </si>
  <si>
    <t xml:space="preserve">         39K            33K            17K</t>
  </si>
  <si>
    <t>1.808 SOL</t>
  </si>
  <si>
    <t>14.08%</t>
  </si>
  <si>
    <t>0.55%</t>
  </si>
  <si>
    <t>26.10.2024 21:59:22</t>
  </si>
  <si>
    <t>-2.41%</t>
  </si>
  <si>
    <t>0.145040</t>
  </si>
  <si>
    <t>5.900 SOL</t>
  </si>
  <si>
    <t>15.613 SOL</t>
  </si>
  <si>
    <t>9.568 SOL</t>
  </si>
  <si>
    <t>158.28%</t>
  </si>
  <si>
    <t xml:space="preserve">         35K           350K            27K</t>
  </si>
  <si>
    <t>5.968 SOL</t>
  </si>
  <si>
    <t>48.00%</t>
  </si>
  <si>
    <t>26.10.2024 21:52:22</t>
  </si>
  <si>
    <t>2.693 SOL</t>
  </si>
  <si>
    <t>-0.477 SOL</t>
  </si>
  <si>
    <t>-15.06%</t>
  </si>
  <si>
    <t>dev</t>
  </si>
  <si>
    <t>2.56%</t>
  </si>
  <si>
    <t>26.10.2024 21:43:18</t>
  </si>
  <si>
    <t>Bw78g256vrpoqYbL7LyGYZHRoDbHtXFL7FBAgLpSP1bc</t>
  </si>
  <si>
    <t>26.10.2024 21:41:32</t>
  </si>
  <si>
    <t>1.048 SOL</t>
  </si>
  <si>
    <t>-3.38%</t>
  </si>
  <si>
    <t>26.10.2024 21:39:48</t>
  </si>
  <si>
    <t>1.836 SOL</t>
  </si>
  <si>
    <t>-13.99%</t>
  </si>
  <si>
    <t>26.10.2024 21:38:54</t>
  </si>
  <si>
    <t>3.108 SOL</t>
  </si>
  <si>
    <t>3.315 SOL</t>
  </si>
  <si>
    <t>3.81%</t>
  </si>
  <si>
    <t>2.732 SOL</t>
  </si>
  <si>
    <t>3.645 SOL</t>
  </si>
  <si>
    <t>29.37%</t>
  </si>
  <si>
    <t>2.731 SOL</t>
  </si>
  <si>
    <t>-7.41%</t>
  </si>
  <si>
    <t>26.10.2024 21:36:35</t>
  </si>
  <si>
    <t>4.690 SOL</t>
  </si>
  <si>
    <t>5.315 SOL</t>
  </si>
  <si>
    <t>9.35%</t>
  </si>
  <si>
    <t>26.10.2024 21:35:55</t>
  </si>
  <si>
    <t>-8.00%</t>
  </si>
  <si>
    <t xml:space="preserve">         11K            11K             8K</t>
  </si>
  <si>
    <t>2.346 SOL</t>
  </si>
  <si>
    <t>26.10.2024 21:29:39</t>
  </si>
  <si>
    <t>HhssSpg5Pe77YjUKNFYayo1cQUdNh2w2juddPQ7npump</t>
  </si>
  <si>
    <t>3.806 SOL</t>
  </si>
  <si>
    <t>3.70%</t>
  </si>
  <si>
    <t>26.10.2024 21:28:54</t>
  </si>
  <si>
    <t>2.305 SOL</t>
  </si>
  <si>
    <t xml:space="preserve">         18K            19K            11K</t>
  </si>
  <si>
    <t>3.054 SOL</t>
  </si>
  <si>
    <t>46.46%</t>
  </si>
  <si>
    <t>rizz</t>
  </si>
  <si>
    <t>2.411 SOL</t>
  </si>
  <si>
    <t>54.05%</t>
  </si>
  <si>
    <t>26.10.2024 21:06:10</t>
  </si>
  <si>
    <t>9D43HxnRpY9yk4LrQbmPMp6KN9fnpHFqMYWq8kzJpump</t>
  </si>
  <si>
    <t>RACIST AI</t>
  </si>
  <si>
    <t>2.533 SOL</t>
  </si>
  <si>
    <t>22.67%</t>
  </si>
  <si>
    <t>26.10.2024 21:03:54</t>
  </si>
  <si>
    <t>FM6RT2HJ5V17uesP5eAoU829gjicGRFkKLEWgVfWpump</t>
  </si>
  <si>
    <t>39.12%</t>
  </si>
  <si>
    <t xml:space="preserve">         12K            18K             5K</t>
  </si>
  <si>
    <t>1.098 SOL</t>
  </si>
  <si>
    <t>-2.106 SOL</t>
  </si>
  <si>
    <t xml:space="preserve">         52K            52K             5K</t>
  </si>
  <si>
    <t>0.838 SOL</t>
  </si>
  <si>
    <t>149.69%</t>
  </si>
  <si>
    <t>26.10.2024 01:47:42</t>
  </si>
  <si>
    <t>0.900150</t>
  </si>
  <si>
    <t>9.958 SOL</t>
  </si>
  <si>
    <t>63.803 SOL</t>
  </si>
  <si>
    <t>52.945 SOL</t>
  </si>
  <si>
    <t>487.59%</t>
  </si>
  <si>
    <t>25.10.2024 19:54:04</t>
  </si>
  <si>
    <t xml:space="preserve">          7K           726K            12K</t>
  </si>
  <si>
    <t>3.114 SOL</t>
  </si>
  <si>
    <t>0.364 SOL</t>
  </si>
  <si>
    <t>13.23%</t>
  </si>
  <si>
    <t xml:space="preserve">         32K           104K           157K</t>
  </si>
  <si>
    <t>Dp9oCL6JkMR1WM42Vc3zLjMiaCfuWYx8UcfxQXDdUsYu</t>
  </si>
  <si>
    <t>18.79 SOL</t>
  </si>
  <si>
    <t>13.03 SOL</t>
  </si>
  <si>
    <t>3 (19%)</t>
  </si>
  <si>
    <t>0.07 SOL</t>
  </si>
  <si>
    <t>6.2%</t>
  </si>
  <si>
    <t>18.8%</t>
  </si>
  <si>
    <t>25.0%</t>
  </si>
  <si>
    <t>10.2 SOL</t>
  </si>
  <si>
    <t>14.0 SOL</t>
  </si>
  <si>
    <t>-10.8 SOL</t>
  </si>
  <si>
    <t>171.5K</t>
  </si>
  <si>
    <t>0.015820</t>
  </si>
  <si>
    <t>30.10.2024 16:29:14</t>
  </si>
  <si>
    <t xml:space="preserve">         81K            81K            32K</t>
  </si>
  <si>
    <t>0.032070</t>
  </si>
  <si>
    <t>-2.545 SOL</t>
  </si>
  <si>
    <t>-83.93%</t>
  </si>
  <si>
    <t>30.10.2024 16:18:06</t>
  </si>
  <si>
    <t xml:space="preserve">        420K            83K             7K</t>
  </si>
  <si>
    <t>2XNttS6pkEHjz2xUL6MpTgsBXTAEMaMhjqiwKEg7pump</t>
  </si>
  <si>
    <t>0.015710</t>
  </si>
  <si>
    <t>30.10.2024 15:53:03</t>
  </si>
  <si>
    <t xml:space="preserve">        178K           188K             9K</t>
  </si>
  <si>
    <t>0.018130</t>
  </si>
  <si>
    <t>-99.57%</t>
  </si>
  <si>
    <t>29.10.2024 17:57:23</t>
  </si>
  <si>
    <t xml:space="preserve">         32K           N/A             5K</t>
  </si>
  <si>
    <t>9yw5gZEHEuMGLJLQissNvbCdBre99LvqzGgP5VMdpump</t>
  </si>
  <si>
    <t>walmart</t>
  </si>
  <si>
    <t>1.014 SOL</t>
  </si>
  <si>
    <t>0.928 SOL</t>
  </si>
  <si>
    <t>-10.24%</t>
  </si>
  <si>
    <t>29.10.2024 16:05:39</t>
  </si>
  <si>
    <t>5cui5ocpiSEFV8pxGKmRYAkeSzcjHc6w55sNqBcMpump</t>
  </si>
  <si>
    <t>TOP</t>
  </si>
  <si>
    <t>0.015780</t>
  </si>
  <si>
    <t>1.376 SOL</t>
  </si>
  <si>
    <t>35.43%</t>
  </si>
  <si>
    <t>29.10.2024 15:57:10</t>
  </si>
  <si>
    <t xml:space="preserve">         84K           114K           158K</t>
  </si>
  <si>
    <t>8HEtX62ga2HEGLFukShzT76o5Lp78mxtBKUySsfapump</t>
  </si>
  <si>
    <t>0.013880</t>
  </si>
  <si>
    <t>-1.079 SOL</t>
  </si>
  <si>
    <t>-21.52%</t>
  </si>
  <si>
    <t>28.10.2024 18:22:37</t>
  </si>
  <si>
    <t xml:space="preserve">          2M             2M           130K</t>
  </si>
  <si>
    <t>ITALIA</t>
  </si>
  <si>
    <t>0.013470</t>
  </si>
  <si>
    <t>1.293 SOL</t>
  </si>
  <si>
    <t>26.55%</t>
  </si>
  <si>
    <t>28.10.2024 17:58:58</t>
  </si>
  <si>
    <t xml:space="preserve">         44K            56K             5K</t>
  </si>
  <si>
    <t>Hwh7GLFH6uChvBbR7gAisZX5NAKWxXJ72Er9Vp7Hpump</t>
  </si>
  <si>
    <t>0.017210</t>
  </si>
  <si>
    <t>109.51%</t>
  </si>
  <si>
    <t>28.10.2024 17:33:01</t>
  </si>
  <si>
    <t xml:space="preserve">         32K            32K            16K</t>
  </si>
  <si>
    <t>0.030970</t>
  </si>
  <si>
    <t>11.578 SOL</t>
  </si>
  <si>
    <t>6.547 SOL</t>
  </si>
  <si>
    <t>130.13%</t>
  </si>
  <si>
    <t>28.10.2024 17:00:40</t>
  </si>
  <si>
    <t xml:space="preserve">          4M           827K            62M</t>
  </si>
  <si>
    <t>0.013860</t>
  </si>
  <si>
    <t>-1.267 SOL</t>
  </si>
  <si>
    <t>-62.94%</t>
  </si>
  <si>
    <t>28.10.2024 16:53:47</t>
  </si>
  <si>
    <t xml:space="preserve">        165K            62K             4K</t>
  </si>
  <si>
    <t>0.028070</t>
  </si>
  <si>
    <t>9.922 SOL</t>
  </si>
  <si>
    <t>6.894 SOL</t>
  </si>
  <si>
    <t>227.68%</t>
  </si>
  <si>
    <t>23.10.2024 17:31:09</t>
  </si>
  <si>
    <t xml:space="preserve">        986K             6M            35K</t>
  </si>
  <si>
    <t>12.13%</t>
  </si>
  <si>
    <t>23.10.2024 15:44:32</t>
  </si>
  <si>
    <t>0.006630</t>
  </si>
  <si>
    <t>-5.007 SOL</t>
  </si>
  <si>
    <t>388,094</t>
  </si>
  <si>
    <t>23.10.2024 04:49:48</t>
  </si>
  <si>
    <t xml:space="preserve">          2M             2M            33K</t>
  </si>
  <si>
    <t>0.013260</t>
  </si>
  <si>
    <t>-1.009 SOL</t>
  </si>
  <si>
    <t>-98.80%</t>
  </si>
  <si>
    <t>23.10.2024 04:20:17</t>
  </si>
  <si>
    <t xml:space="preserve">         19K           N/A            10K</t>
  </si>
  <si>
    <t>B5A6rhuWABCk1Yu8FgShGPLn3d5qYzw3gJXyo9B9pump</t>
  </si>
  <si>
    <t>0.012620</t>
  </si>
  <si>
    <t>11.750 SOL</t>
  </si>
  <si>
    <t>10.238 SOL</t>
  </si>
  <si>
    <t>676.82%</t>
  </si>
  <si>
    <t>23.10.2024 03:27:47</t>
  </si>
  <si>
    <t xml:space="preserve">          4M            33M             1M</t>
  </si>
  <si>
    <t>BuHYNH8s8sv4FsPcq5ULDDMGvciWt6zwPEU6PNUdzKmP</t>
  </si>
  <si>
    <t>1.44 SOL</t>
  </si>
  <si>
    <t>-0.04 SOL</t>
  </si>
  <si>
    <t>2 (12%)</t>
  </si>
  <si>
    <t>78 days</t>
  </si>
  <si>
    <t>58 days</t>
  </si>
  <si>
    <t>2.65 SOL</t>
  </si>
  <si>
    <t>67</t>
  </si>
  <si>
    <t>2.4 SOL</t>
  </si>
  <si>
    <t>62.5%</t>
  </si>
  <si>
    <t>-2.5 SOL</t>
  </si>
  <si>
    <t>455.0K</t>
  </si>
  <si>
    <t>PUMPCAT</t>
  </si>
  <si>
    <t>0.000860</t>
  </si>
  <si>
    <t>83,800</t>
  </si>
  <si>
    <t>30.10.2024 21:27:35</t>
  </si>
  <si>
    <t>614XhQq64nFPAHj1TpFWKA6NWgy7qV5NkQUx1jSApump</t>
  </si>
  <si>
    <t xml:space="preserve">2A </t>
  </si>
  <si>
    <t>129.43%</t>
  </si>
  <si>
    <t>30.10.2024 21:06:56</t>
  </si>
  <si>
    <t xml:space="preserve">         65K            58K           151K</t>
  </si>
  <si>
    <t>7EMao3m5QQ5VGMW2yxg8d4VrUeUJjWjPbLp3zeNHpump</t>
  </si>
  <si>
    <t>MTCL</t>
  </si>
  <si>
    <t>0.001190</t>
  </si>
  <si>
    <t>0.628 SOL</t>
  </si>
  <si>
    <t>365.55%</t>
  </si>
  <si>
    <t>30.10.2024 21:05:16</t>
  </si>
  <si>
    <t xml:space="preserve">         46K            74K            11K</t>
  </si>
  <si>
    <t>C5eB2iTamgALD9rv82E8FGyvCGAdbimMR3Nnn7Wjpump</t>
  </si>
  <si>
    <t>539,211</t>
  </si>
  <si>
    <t>30.10.2024 06:00:06</t>
  </si>
  <si>
    <t xml:space="preserve">         14K           139K            14K</t>
  </si>
  <si>
    <t>inevitable</t>
  </si>
  <si>
    <t>788,142</t>
  </si>
  <si>
    <t>30.10.2024 05:50:30</t>
  </si>
  <si>
    <t xml:space="preserve">          5K            47K             4K</t>
  </si>
  <si>
    <t>DB1FT4csdumB9g8bg2vfNpSjxYtWBQSwPM7GfebNpump</t>
  </si>
  <si>
    <t>50,067</t>
  </si>
  <si>
    <t>30.10.2024 00:06:20</t>
  </si>
  <si>
    <t xml:space="preserve">        433K           315K           452K</t>
  </si>
  <si>
    <t>POTATO</t>
  </si>
  <si>
    <t>0.001140</t>
  </si>
  <si>
    <t>3,543,946</t>
  </si>
  <si>
    <t>29.10.2024 23:01:54</t>
  </si>
  <si>
    <t>BQPEponuKxUovNyBpTTc5zNMsLvefZVxX8TT4hcuzmTf</t>
  </si>
  <si>
    <t>339</t>
  </si>
  <si>
    <t>29.10.2024 22:41:55</t>
  </si>
  <si>
    <t xml:space="preserve">        873K           873K           972K</t>
  </si>
  <si>
    <t>9TY6DUg1VSssYH5tFE95qoq5hnAGFak4w3cn72sJNCoV</t>
  </si>
  <si>
    <t>16,263</t>
  </si>
  <si>
    <t>29.10.2024 22:24:56</t>
  </si>
  <si>
    <t>KAMALA</t>
  </si>
  <si>
    <t>0.003230</t>
  </si>
  <si>
    <t>60.27%</t>
  </si>
  <si>
    <t>29.10.2024 21:44:50</t>
  </si>
  <si>
    <t xml:space="preserve">        477K           681K           622K</t>
  </si>
  <si>
    <t>3biDtnRND6bw8cLpSA6CNa8ewmsarTmuYwb1EVHmCXFC</t>
  </si>
  <si>
    <t>HARRIS</t>
  </si>
  <si>
    <t>0.738 SOL</t>
  </si>
  <si>
    <t>225.18%</t>
  </si>
  <si>
    <t>29.10.2024 21:44:06</t>
  </si>
  <si>
    <t xml:space="preserve">        813K             2M             1M</t>
  </si>
  <si>
    <t>FTyr4aoR52GY5EWGuxSzEAY6szaYKzi3WAmHmeYppump</t>
  </si>
  <si>
    <t>215.88%</t>
  </si>
  <si>
    <t>29.10.2024 21:43:04</t>
  </si>
  <si>
    <t xml:space="preserve">         16K            47K            25K</t>
  </si>
  <si>
    <t>3BetrTMUKQzkkT4YCtv3EchDdTMB6RAx1Fi4uQbqpump</t>
  </si>
  <si>
    <t>0.328 SOL</t>
  </si>
  <si>
    <t>-0.329 SOL</t>
  </si>
  <si>
    <t>3,439</t>
  </si>
  <si>
    <t>13.10.2024 18:24:07</t>
  </si>
  <si>
    <t xml:space="preserve">        768K           820K             2M</t>
  </si>
  <si>
    <t>sfYDFZJguyF4YLZjje7qwwh41NRymFfZ3QXZbVm7Eyg</t>
  </si>
  <si>
    <t>GME</t>
  </si>
  <si>
    <t>0.001160</t>
  </si>
  <si>
    <t>-0.866 SOL</t>
  </si>
  <si>
    <t>33,771</t>
  </si>
  <si>
    <t>13.10.2024 18:18:48</t>
  </si>
  <si>
    <t xml:space="preserve">         24M            38M            34M</t>
  </si>
  <si>
    <t>8wXtPeU6557ETkp9WHFY1n1EcU6NxDvbAggHGsMYiHsB</t>
  </si>
  <si>
    <t>0.647 SOL</t>
  </si>
  <si>
    <t>90.21%</t>
  </si>
  <si>
    <t>12.10.2024 09:39:18</t>
  </si>
  <si>
    <t xml:space="preserve">        N/A            41M            27M</t>
  </si>
  <si>
    <t>0.000570</t>
  </si>
  <si>
    <t>4,996</t>
  </si>
  <si>
    <t>23.08.2024 22:51:29</t>
  </si>
  <si>
    <t xml:space="preserve">         17M             8M             8M</t>
  </si>
  <si>
    <t>6wjPBKoZtsuvQjuh1HtgohhTBj1wL3xmfTVxYojaZb1Q</t>
  </si>
  <si>
    <t>57.40 SOL</t>
  </si>
  <si>
    <t>55.93 SOL</t>
  </si>
  <si>
    <t>15 (38%)</t>
  </si>
  <si>
    <t>23.18%</t>
  </si>
  <si>
    <t>35.0%</t>
  </si>
  <si>
    <t>17.5%</t>
  </si>
  <si>
    <t>30.0%</t>
  </si>
  <si>
    <t>47.9 SOL</t>
  </si>
  <si>
    <t>4.1 SOL</t>
  </si>
  <si>
    <t>-4.8 SOL</t>
  </si>
  <si>
    <t>-6.3 SOL</t>
  </si>
  <si>
    <t>BAWK</t>
  </si>
  <si>
    <t>0.130060</t>
  </si>
  <si>
    <t>15.317 SOL</t>
  </si>
  <si>
    <t>13.605 SOL</t>
  </si>
  <si>
    <t>794.64%</t>
  </si>
  <si>
    <t>28.10.2024 05:35:13</t>
  </si>
  <si>
    <t>D5s4W9tY7m2tiPkEkCeBSGjD5nwMq34o6ix8Y99Vpump</t>
  </si>
  <si>
    <t>divine</t>
  </si>
  <si>
    <t>0.066020</t>
  </si>
  <si>
    <t>12.48%</t>
  </si>
  <si>
    <t>28.10.2024 04:01:43</t>
  </si>
  <si>
    <t>4eqSpw84EaF1AYVWM1yYaSBkVFf1HSFeTw3fpCN6pump</t>
  </si>
  <si>
    <t>0.160060</t>
  </si>
  <si>
    <t>3.562 SOL</t>
  </si>
  <si>
    <t>9.760 SOL</t>
  </si>
  <si>
    <t>6.038 SOL</t>
  </si>
  <si>
    <t>162.23%</t>
  </si>
  <si>
    <t>28.10.2024 02:51:14</t>
  </si>
  <si>
    <t xml:space="preserve">         12K            70K             4K</t>
  </si>
  <si>
    <t>0.023010</t>
  </si>
  <si>
    <t>-0.637 SOL</t>
  </si>
  <si>
    <t>-41.04%</t>
  </si>
  <si>
    <t>27.10.2024 21:59:25</t>
  </si>
  <si>
    <t>6xserxu1KKka1DA19sgnqJVKoyHzWkyDTWMjCQ6Qpump</t>
  </si>
  <si>
    <t>DREAMS</t>
  </si>
  <si>
    <t>0.031020</t>
  </si>
  <si>
    <t>3.977 SOL</t>
  </si>
  <si>
    <t>154.93%</t>
  </si>
  <si>
    <t>27.10.2024 20:43:21</t>
  </si>
  <si>
    <t xml:space="preserve">         11K            35K             5K</t>
  </si>
  <si>
    <t>F3BNkbmqnrdQ9WFiyAZpbQZjCZSaQjwKnJKQXYHppump</t>
  </si>
  <si>
    <t>dream</t>
  </si>
  <si>
    <t>8.258 SOL</t>
  </si>
  <si>
    <t>6.706 SOL</t>
  </si>
  <si>
    <t>432.05%</t>
  </si>
  <si>
    <t>27.10.2024 03:16:52</t>
  </si>
  <si>
    <t xml:space="preserve">         12K            65K             3K</t>
  </si>
  <si>
    <t>DtqohZQi3BhE8JYe3P5PDXspB5r1BB3v5sozt9b7pump</t>
  </si>
  <si>
    <t>7.124 SOL</t>
  </si>
  <si>
    <t>5.540 SOL</t>
  </si>
  <si>
    <t>349.70%</t>
  </si>
  <si>
    <t>27.10.2024 02:55:19</t>
  </si>
  <si>
    <t>6.571 SOL</t>
  </si>
  <si>
    <t>319.04%</t>
  </si>
  <si>
    <t>27.10.2024 02:09:33</t>
  </si>
  <si>
    <t xml:space="preserve">          7K            30K             3K</t>
  </si>
  <si>
    <t>K-173</t>
  </si>
  <si>
    <t>-20.10%</t>
  </si>
  <si>
    <t>26.10.2024 05:27:24</t>
  </si>
  <si>
    <t>BwWhegbxcysYWXLS822vFGsj3QWy3uK4wm77haTupump</t>
  </si>
  <si>
    <t>DDD</t>
  </si>
  <si>
    <t>0.030010</t>
  </si>
  <si>
    <t>4.056 SOL</t>
  </si>
  <si>
    <t>-4.086 SOL</t>
  </si>
  <si>
    <t>32,202,235</t>
  </si>
  <si>
    <t>26.10.2024 04:52:15</t>
  </si>
  <si>
    <t>F9pdjsvzvgqPqa2mawBLVcHey3RdMYk4eWBcz8Fhpump</t>
  </si>
  <si>
    <t>60.79%</t>
  </si>
  <si>
    <t>26.10.2024 03:17:26</t>
  </si>
  <si>
    <t>ZcJbauJr2W1G5CVV1HT8iF8BxBs3sxnsVmXSvgwpump</t>
  </si>
  <si>
    <t>-30.47%</t>
  </si>
  <si>
    <t>26.10.2024 01:55:38</t>
  </si>
  <si>
    <t>DvJbT4fV2h1cEjgC3avAv7tzBaNvwB24z5gXb5pfpump</t>
  </si>
  <si>
    <t>Po</t>
  </si>
  <si>
    <t>1.295 SOL</t>
  </si>
  <si>
    <t>-0.257 SOL</t>
  </si>
  <si>
    <t>-16.58%</t>
  </si>
  <si>
    <t>26.10.2024 01:53:38</t>
  </si>
  <si>
    <t>7GVGhxC9V8Y5C6YQn3pn1vjJpFqajV89MgQBZu35pump</t>
  </si>
  <si>
    <t>TOFU</t>
  </si>
  <si>
    <t>-0.403 SOL</t>
  </si>
  <si>
    <t>-25.94%</t>
  </si>
  <si>
    <t>26.10.2024 01:35:58</t>
  </si>
  <si>
    <t>5HWWF9jjUAnr6Pwa9CSM2eYMjRzAuApXFEMkoTAqpump</t>
  </si>
  <si>
    <t>-12.88%</t>
  </si>
  <si>
    <t>26.10.2024 01:34:35</t>
  </si>
  <si>
    <t>ESDGvBgJurbP85DEfrz5WA8Tsrji1bAirSYAbHjypump</t>
  </si>
  <si>
    <t>DataAI</t>
  </si>
  <si>
    <t>1.344 SOL</t>
  </si>
  <si>
    <t>-13.40%</t>
  </si>
  <si>
    <t>26.10.2024 00:32:04</t>
  </si>
  <si>
    <t>4aP62TLteCnVhEijRnWZnnsnEABEo2rirMY5sr9wpump</t>
  </si>
  <si>
    <t>BONESY</t>
  </si>
  <si>
    <t>4.005 SOL</t>
  </si>
  <si>
    <t>2.445 SOL</t>
  </si>
  <si>
    <t>156.74%</t>
  </si>
  <si>
    <t>26.10.2024 00:25:50</t>
  </si>
  <si>
    <t xml:space="preserve">          9K            23K             5K</t>
  </si>
  <si>
    <t>BNbJ5iUdh5fRTtrgT2RxKdEBXNbYr7fpxXTZYvbXpump</t>
  </si>
  <si>
    <t>TOR</t>
  </si>
  <si>
    <t>0.24%</t>
  </si>
  <si>
    <t>25.10.2024 20:57:05</t>
  </si>
  <si>
    <t>9NbdNFNSV87vhniSHBBxyRNzCNFpbeP4cHzEBvo6pump</t>
  </si>
  <si>
    <t>-0.710 SOL</t>
  </si>
  <si>
    <t>25.10.2024 20:51:27</t>
  </si>
  <si>
    <t>8gXxGjM3cFB5sbjvCEGXer3CVjc8G9kEY4BfiJPZpump</t>
  </si>
  <si>
    <t>59.71%</t>
  </si>
  <si>
    <t>25.10.2024 20:46:06</t>
  </si>
  <si>
    <t>FnNncUFrpPuGpbAsgJruo4CnPL6TDsw6EwT8GPxipump</t>
  </si>
  <si>
    <t>3.740 SOL</t>
  </si>
  <si>
    <t>2.172 SOL</t>
  </si>
  <si>
    <t>138.51%</t>
  </si>
  <si>
    <t>25.10.2024 07:22:53</t>
  </si>
  <si>
    <t>2BpXsemjTfKLp8qpuxNd4U2uGDHVroQLbc8BTqM4pump</t>
  </si>
  <si>
    <t>2.407 SOL</t>
  </si>
  <si>
    <t>0.847 SOL</t>
  </si>
  <si>
    <t>54.29%</t>
  </si>
  <si>
    <t>25.10.2024 04:05:08</t>
  </si>
  <si>
    <t>DMFjZhGP3qetJc7hKmc1XAoX7pcLQyygDgkPUSMupump</t>
  </si>
  <si>
    <t>2.528 SOL</t>
  </si>
  <si>
    <t>162.05%</t>
  </si>
  <si>
    <t>25.10.2024 04:01:28</t>
  </si>
  <si>
    <t xml:space="preserve">         11K            26K             5K</t>
  </si>
  <si>
    <t>Cu1ermTwLFsroCG8BMSSYk8hvEGzDceGpm223bxXpump</t>
  </si>
  <si>
    <t>AiDa</t>
  </si>
  <si>
    <t>0.046020</t>
  </si>
  <si>
    <t>3.952 SOL</t>
  </si>
  <si>
    <t>25.10.2024 01:23:45</t>
  </si>
  <si>
    <t>Gykfbf78mSzmSuPq3xwCNeGjcJKzW3nQ8D4JXvHzpump</t>
  </si>
  <si>
    <t>AIDraw</t>
  </si>
  <si>
    <t>3.056 SOL</t>
  </si>
  <si>
    <t>0.378 SOL</t>
  </si>
  <si>
    <t>12.18%</t>
  </si>
  <si>
    <t>25.10.2024 01:23:12</t>
  </si>
  <si>
    <t>ECHYHPsrJ8tfhNhESmAXX7D5giS5NCvFGYz8gnZHpump</t>
  </si>
  <si>
    <t>SP</t>
  </si>
  <si>
    <t>1.006 SOL</t>
  </si>
  <si>
    <t>-35.20%</t>
  </si>
  <si>
    <t>24.10.2024 20:43:52</t>
  </si>
  <si>
    <t>8X4X78CRFmMhcvfqdTb1Ch3CsGhwhuM8K81WyQC4pump</t>
  </si>
  <si>
    <t>0192AI</t>
  </si>
  <si>
    <t>0.038020</t>
  </si>
  <si>
    <t>1.858 SOL</t>
  </si>
  <si>
    <t>-2.236 SOL</t>
  </si>
  <si>
    <t>-54.61%</t>
  </si>
  <si>
    <t>24.10.2024 06:57:01</t>
  </si>
  <si>
    <t>6JA8HMcn7yFT8SDg1EU7F2foM2RW9UCrzyLExaAnpump</t>
  </si>
  <si>
    <t>RoboGPT</t>
  </si>
  <si>
    <t>0.857 SOL</t>
  </si>
  <si>
    <t>-44.76%</t>
  </si>
  <si>
    <t>24.10.2024 06:53:22</t>
  </si>
  <si>
    <t>J47A7F7k19u5UkGRxhFT3xG6U8hxmZevXWAGo6GLpump</t>
  </si>
  <si>
    <t>2077</t>
  </si>
  <si>
    <t>1.613 SOL</t>
  </si>
  <si>
    <t>24.10.2024 04:53:36</t>
  </si>
  <si>
    <t>GiXeuMmbfCLJy1iwqHg27ZK2aEYeuweNK3DfQ1aNpump</t>
  </si>
  <si>
    <t>data</t>
  </si>
  <si>
    <t>101.41%</t>
  </si>
  <si>
    <t>24.10.2024 04:32:31</t>
  </si>
  <si>
    <t>Hr5Xi7y1rbEpKWknU1QmwXS4shevy5ZPoPj3oikTpump</t>
  </si>
  <si>
    <t>FOS</t>
  </si>
  <si>
    <t>119.97%</t>
  </si>
  <si>
    <t>BJxRqa4mhcfE7WQ8ksnxt9uavSVM8RzLxMtrBengpump</t>
  </si>
  <si>
    <t>Byte</t>
  </si>
  <si>
    <t>-29.01%</t>
  </si>
  <si>
    <t>24.10.2024 02:00:26</t>
  </si>
  <si>
    <t>BwARrKzP9P7nVsckhWon2hRHzkK2CsbJ5VV1fL9Zpump</t>
  </si>
  <si>
    <t>33.87%</t>
  </si>
  <si>
    <t>24.10.2024 01:11:59</t>
  </si>
  <si>
    <t>2dSAALHLM4KWKsKivoQVfquedihUn5iaLn7NCJQypump</t>
  </si>
  <si>
    <t>HORNY</t>
  </si>
  <si>
    <t>1.756 SOL</t>
  </si>
  <si>
    <t>198.69%</t>
  </si>
  <si>
    <t>24.10.2024 01:01:45</t>
  </si>
  <si>
    <t xml:space="preserve">         76K           232K            43K</t>
  </si>
  <si>
    <t>9CECTPzBQCm1VJA46nhe7WYumync1AkFQ54Facxupump</t>
  </si>
  <si>
    <t>1.637 SOL</t>
  </si>
  <si>
    <t>5.50%</t>
  </si>
  <si>
    <t>23.10.2024 06:02:56</t>
  </si>
  <si>
    <t>EdVAkkxS6uLVNXAPp6XvcnXCvdpAGxDR3sGXbYXwpump</t>
  </si>
  <si>
    <t>3.280 SOL</t>
  </si>
  <si>
    <t>2.228 SOL</t>
  </si>
  <si>
    <t>211.77%</t>
  </si>
  <si>
    <t>23.10.2024 05:28:37</t>
  </si>
  <si>
    <t xml:space="preserve">          7K            21K             3K</t>
  </si>
  <si>
    <t>4E99Gwi8uf9efMHtv9W68qWnLgxYdqu584EH732fpump</t>
  </si>
  <si>
    <t>10.88%</t>
  </si>
  <si>
    <t>23.10.2024 05:26:01</t>
  </si>
  <si>
    <t>FHtxuiUqrFj1BgPriHVvNXFzwqhuBWEvgiYdpdpypump</t>
  </si>
  <si>
    <t>MEOWAI</t>
  </si>
  <si>
    <t>-0.93%</t>
  </si>
  <si>
    <t>23.10.2024 03:55:17</t>
  </si>
  <si>
    <t>6ucFvfms58K1gzJF1LssLtLPx6gQS8zHHUYV4pxdpump</t>
  </si>
  <si>
    <t>2.868 SOL</t>
  </si>
  <si>
    <t>23.10.2024 02:49:13</t>
  </si>
  <si>
    <t xml:space="preserve">         12K            42K             5K</t>
  </si>
  <si>
    <t>Hz7KXu32YJsHLBA5za3uYRoFQrJZ5GDqTfKZy3u9pump</t>
  </si>
  <si>
    <t>8.896 SOL</t>
  </si>
  <si>
    <t>5.794 SOL</t>
  </si>
  <si>
    <t>186.79%</t>
  </si>
  <si>
    <t>22.10.2024 21:50:03</t>
  </si>
  <si>
    <t xml:space="preserve">          7K            72K             7K</t>
  </si>
  <si>
    <t>FStMfWXryYdA3aedDRXfXrBVWu4tbHGJZSwPyT6upump</t>
  </si>
  <si>
    <t>5GUuk4Ycwrgxxt54jvrRJST4aDaqWqPzPXh7X4uMQUv7</t>
  </si>
  <si>
    <t>41.54 SOL</t>
  </si>
  <si>
    <t>69.99 SOL</t>
  </si>
  <si>
    <t>19 (32%)</t>
  </si>
  <si>
    <t>33 days</t>
  </si>
  <si>
    <t>28.8%</t>
  </si>
  <si>
    <t>8.5%</t>
  </si>
  <si>
    <t>15.3%</t>
  </si>
  <si>
    <t>45.8%</t>
  </si>
  <si>
    <t>74.4 SOL</t>
  </si>
  <si>
    <t>-12.2 SOL</t>
  </si>
  <si>
    <t>FOFF</t>
  </si>
  <si>
    <t>30.10.2024 08:52:59</t>
  </si>
  <si>
    <t>2127S5qPMNmvUiTwCDPwempHMziR3YicUNEENPN8pump</t>
  </si>
  <si>
    <t>1.662 SOL</t>
  </si>
  <si>
    <t>-18.93%</t>
  </si>
  <si>
    <t>30.10.2024 08:19:44</t>
  </si>
  <si>
    <t>E2mKBgRgiJGoVA4pgFLJYb49gmVVfTeFFpJA8cmzpump</t>
  </si>
  <si>
    <t>1.555 SOL</t>
  </si>
  <si>
    <t>-0.525 SOL</t>
  </si>
  <si>
    <t>-25.23%</t>
  </si>
  <si>
    <t>30.10.2024 08:09:32</t>
  </si>
  <si>
    <t>GDme6Wu2g7NJX64Vh9UM6bRZfkidF3EJQHLuM1sMpump</t>
  </si>
  <si>
    <t>0.036010</t>
  </si>
  <si>
    <t>10.51%</t>
  </si>
  <si>
    <t>30.10.2024 03:12:22</t>
  </si>
  <si>
    <t xml:space="preserve">         14K            11K             3K</t>
  </si>
  <si>
    <t>Michael</t>
  </si>
  <si>
    <t>-1.22%</t>
  </si>
  <si>
    <t>28.10.2024 11:22:49</t>
  </si>
  <si>
    <t>CBDGRfMxdgGvpS3ERtzne1LXpgcQ6QTcUc9Zgwnbpump</t>
  </si>
  <si>
    <t>0.076040</t>
  </si>
  <si>
    <t>6.102 SOL</t>
  </si>
  <si>
    <t>286.72%</t>
  </si>
  <si>
    <t>28.10.2024 08:07:07</t>
  </si>
  <si>
    <t xml:space="preserve">         14K           120K             3K</t>
  </si>
  <si>
    <t>DESMOS</t>
  </si>
  <si>
    <t>-23.40%</t>
  </si>
  <si>
    <t>28.10.2024 07:53:19</t>
  </si>
  <si>
    <t>desPwpsCgDj7YSA9d9qh7XpdECdo9zNzj1L2WnyVyp2</t>
  </si>
  <si>
    <t>2.416 SOL</t>
  </si>
  <si>
    <t>114.40%</t>
  </si>
  <si>
    <t>28.10.2024 04:01:32</t>
  </si>
  <si>
    <t>0.084040</t>
  </si>
  <si>
    <t>7.970 SOL</t>
  </si>
  <si>
    <t>5.834 SOL</t>
  </si>
  <si>
    <t>273.11%</t>
  </si>
  <si>
    <t>28.10.2024 02:59:27</t>
  </si>
  <si>
    <t xml:space="preserve">         18K            84K             4K</t>
  </si>
  <si>
    <t>10.285 SOL</t>
  </si>
  <si>
    <t>7.205 SOL</t>
  </si>
  <si>
    <t>233.91%</t>
  </si>
  <si>
    <t>27.10.2024 23:10:00</t>
  </si>
  <si>
    <t xml:space="preserve">         18K            60K             5K</t>
  </si>
  <si>
    <t>EUASyBWbxzGKD7MidSicvMhnGhVM3QZHzKe6cVFxpump</t>
  </si>
  <si>
    <t>7.508 SOL</t>
  </si>
  <si>
    <t>5.420 SOL</t>
  </si>
  <si>
    <t>259.56%</t>
  </si>
  <si>
    <t>27.10.2024 22:57:51</t>
  </si>
  <si>
    <t xml:space="preserve">         12K            46K             3K</t>
  </si>
  <si>
    <t>6HSBtzy7otssZZVot9xxrvwnRM37pvCJi8wWTzN4pump</t>
  </si>
  <si>
    <t>Profit</t>
  </si>
  <si>
    <t>67.73%</t>
  </si>
  <si>
    <t>27.10.2024 22:36:08</t>
  </si>
  <si>
    <t xml:space="preserve">         16K            26K             6K</t>
  </si>
  <si>
    <t>F56SaheWy5U96xHnGaR8GAZiTpwp3kFrRZcBbHWtpump</t>
  </si>
  <si>
    <t>124.41%</t>
  </si>
  <si>
    <t>27.10.2024 20:44:48</t>
  </si>
  <si>
    <t xml:space="preserve">         12K            26K             5K</t>
  </si>
  <si>
    <t>-0.779 SOL</t>
  </si>
  <si>
    <t>-37.44%</t>
  </si>
  <si>
    <t>25.10.2024 04:06:44</t>
  </si>
  <si>
    <t>3.884 SOL</t>
  </si>
  <si>
    <t>85.32%</t>
  </si>
  <si>
    <t>25.10.2024 04:01:21</t>
  </si>
  <si>
    <t xml:space="preserve">         14K            21K             5K</t>
  </si>
  <si>
    <t>3.032 SOL</t>
  </si>
  <si>
    <t>-1.355 SOL</t>
  </si>
  <si>
    <t>-44.42%</t>
  </si>
  <si>
    <t>24.10.2024 17:53:41</t>
  </si>
  <si>
    <t>2.484 SOL</t>
  </si>
  <si>
    <t>18.97%</t>
  </si>
  <si>
    <t>24.10.2024 04:53:24</t>
  </si>
  <si>
    <t>1.752 SOL</t>
  </si>
  <si>
    <t>2.431 SOL</t>
  </si>
  <si>
    <t>0.635 SOL</t>
  </si>
  <si>
    <t>4.995 SOL</t>
  </si>
  <si>
    <t>3.399 SOL</t>
  </si>
  <si>
    <t>212.95%</t>
  </si>
  <si>
    <t>24.10.2024 02:04:17</t>
  </si>
  <si>
    <t xml:space="preserve">         63K           111K            43K</t>
  </si>
  <si>
    <t>-1.080 SOL</t>
  </si>
  <si>
    <t>-51.91%</t>
  </si>
  <si>
    <t>24.10.2024 01:12:31</t>
  </si>
  <si>
    <t>7.625 SOL</t>
  </si>
  <si>
    <t>5.497 SOL</t>
  </si>
  <si>
    <t>258.30%</t>
  </si>
  <si>
    <t>23.10.2024 23:47:58</t>
  </si>
  <si>
    <t xml:space="preserve">          7K            25K             5K</t>
  </si>
  <si>
    <t>FDRvZC1bcsRAYUaZGVH4LPJHgkJRqzxV8xLsoubcpump</t>
  </si>
  <si>
    <t>$ROBOCAT</t>
  </si>
  <si>
    <t>-1.72%</t>
  </si>
  <si>
    <t>23.10.2024 07:28:39</t>
  </si>
  <si>
    <t>oqQkjzv4qJzTs6LyWZEgdp6sHJVq9wPfoSbY5jFpump</t>
  </si>
  <si>
    <t>BUDDY</t>
  </si>
  <si>
    <t>9.512 SOL</t>
  </si>
  <si>
    <t>6.416 SOL</t>
  </si>
  <si>
    <t>207.23%</t>
  </si>
  <si>
    <t>23.10.2024 04:32:13</t>
  </si>
  <si>
    <t>Apy8jWcmyk1uHKgku1syk1TNvNFQc2EvZ6njvooUpump</t>
  </si>
  <si>
    <t>0.082050</t>
  </si>
  <si>
    <t>6.638 SOL</t>
  </si>
  <si>
    <t>4.524 SOL</t>
  </si>
  <si>
    <t>213.99%</t>
  </si>
  <si>
    <t>23.10.2024 02:49:38</t>
  </si>
  <si>
    <t xml:space="preserve">         11K            51K             5K</t>
  </si>
  <si>
    <t>0.066040</t>
  </si>
  <si>
    <t>6.268 SOL</t>
  </si>
  <si>
    <t>4.170 SOL</t>
  </si>
  <si>
    <t>198.75%</t>
  </si>
  <si>
    <t>22.10.2024 21:50:18</t>
  </si>
  <si>
    <t xml:space="preserve">         11K            33K             7K</t>
  </si>
  <si>
    <t>lulzsec</t>
  </si>
  <si>
    <t>1.925 SOL</t>
  </si>
  <si>
    <t>24.19%</t>
  </si>
  <si>
    <t>22.10.2024 08:44:49</t>
  </si>
  <si>
    <t>6fA2n4QUbMqiztFMpjycusSdtoDojWM3C5ADHfSUpump</t>
  </si>
  <si>
    <t>stray</t>
  </si>
  <si>
    <t>1.525 SOL</t>
  </si>
  <si>
    <t>-1.61%</t>
  </si>
  <si>
    <t>19.10.2024 00:26:19</t>
  </si>
  <si>
    <t>3M2vkEtVbKQAajwVesnpE4U47km5cWXFeEVzVLe3pump</t>
  </si>
  <si>
    <t>SINS</t>
  </si>
  <si>
    <t>18.10.2024 21:57:02</t>
  </si>
  <si>
    <t>CikngTfzuFMneMZynx8Se6MnHcSPQHDr69Wf44F8pump</t>
  </si>
  <si>
    <t>BROKEFEIN</t>
  </si>
  <si>
    <t>-29.63%</t>
  </si>
  <si>
    <t>18.10.2024 05:28:19</t>
  </si>
  <si>
    <t>8h8RCG71gJWM1g9fYKZRyXeYN6Zo3epD7qhQ41nhpump</t>
  </si>
  <si>
    <t>META</t>
  </si>
  <si>
    <t>18.13%</t>
  </si>
  <si>
    <t>4ZrBz8k7GQVh1SgBx4hyiLrR9edJjBdbAhBqpxfwpump</t>
  </si>
  <si>
    <t>18.10.2024 05:05:58</t>
  </si>
  <si>
    <t>9wz4cnM6MkqaCwPyhucZLVxEsUqPYk4HhjiUc4u2pump</t>
  </si>
  <si>
    <t>tCat</t>
  </si>
  <si>
    <t>1.866 SOL</t>
  </si>
  <si>
    <t>18.10.2024 05:04:07</t>
  </si>
  <si>
    <t>6ASmGC27MWknN7Q5fMtddBeVo6CiT9JcU9ChDdCmpump</t>
  </si>
  <si>
    <t>Teddy</t>
  </si>
  <si>
    <t>0.991 SOL</t>
  </si>
  <si>
    <t>-36.05%</t>
  </si>
  <si>
    <t>18.10.2024 04:59:10</t>
  </si>
  <si>
    <t>7Jtzq7bBvX2sB8fqnEGcasdhuSkKsKT1182PhrCkpump</t>
  </si>
  <si>
    <t>-0.988 SOL</t>
  </si>
  <si>
    <t>18.10.2024 01:48:09</t>
  </si>
  <si>
    <t>FAYapXq1kTUY5rgfzuRmwznLFw2pr4WQWsMVYJWdpump</t>
  </si>
  <si>
    <t>ElonGPT</t>
  </si>
  <si>
    <t>17.10.2024 22:10:31</t>
  </si>
  <si>
    <t>9Ui59fmVgR7u7hiJvLGr2RpNCsV4Zchd7R9j2Gfmpump</t>
  </si>
  <si>
    <t>TRUMPGPT</t>
  </si>
  <si>
    <t>0.058030</t>
  </si>
  <si>
    <t>5.841 SOL</t>
  </si>
  <si>
    <t>4.251 SOL</t>
  </si>
  <si>
    <t>267.35%</t>
  </si>
  <si>
    <t>17.10.2024 21:59:35</t>
  </si>
  <si>
    <t xml:space="preserve">         11K            56K             5K</t>
  </si>
  <si>
    <t>44iDrzn7yYj9qbdiHp4hocSZR6339ETU5YZv1vtmpump</t>
  </si>
  <si>
    <t>POV</t>
  </si>
  <si>
    <t>1.117 SOL</t>
  </si>
  <si>
    <t>71.71%</t>
  </si>
  <si>
    <t>17.10.2024 21:27:01</t>
  </si>
  <si>
    <t xml:space="preserve">          7K            39K             4K</t>
  </si>
  <si>
    <t>9uEb6KBSwThaUygiEGa4wdZB3LPQhpgvHEtkzWeVpump</t>
  </si>
  <si>
    <t>NO</t>
  </si>
  <si>
    <t>1.591 SOL</t>
  </si>
  <si>
    <t>16.10.2024 07:24:57</t>
  </si>
  <si>
    <t>58obCFeuCbXYErZPUnJ2WZJeeSgQKukVGHQJEN8wpump</t>
  </si>
  <si>
    <t>CONTRACT</t>
  </si>
  <si>
    <t>4.049 SOL</t>
  </si>
  <si>
    <t>261.22%</t>
  </si>
  <si>
    <t>15.10.2024 00:38:16</t>
  </si>
  <si>
    <t>9Xa3JGBSFp3gXUqZXsHFq51HyueR9k3vK6NmxUUJpump</t>
  </si>
  <si>
    <t>SOLShiba</t>
  </si>
  <si>
    <t>-42.67%</t>
  </si>
  <si>
    <t>14.10.2024 19:41:16</t>
  </si>
  <si>
    <t>BaxYBJh4ZFitrqsfUxDQEKwwbKVbgz1qdWbhEuj3pump</t>
  </si>
  <si>
    <t>SOLSHIBA</t>
  </si>
  <si>
    <t>-29.94%</t>
  </si>
  <si>
    <t>14.10.2024 19:35:43</t>
  </si>
  <si>
    <t>AtUo1aZPuezWwuRn5VFYdHF2M9axdhCTJvwCc77Hpump</t>
  </si>
  <si>
    <t>1.606 SOL</t>
  </si>
  <si>
    <t>2.55%</t>
  </si>
  <si>
    <t>14.10.2024 19:25:21</t>
  </si>
  <si>
    <t>CbSUpuXEDYiYiErdzmUX4UKdHn6Meg4sEa3jf1SHpump</t>
  </si>
  <si>
    <t>MUU</t>
  </si>
  <si>
    <t>-0.590 SOL</t>
  </si>
  <si>
    <t>-38.09%</t>
  </si>
  <si>
    <t>14.10.2024 19:07:41</t>
  </si>
  <si>
    <t>A7uQeyT9krjV54SU8pq3RwjqDvJyomSAEbb2mkDwpump</t>
  </si>
  <si>
    <t>1.140 SOL</t>
  </si>
  <si>
    <t>-26.46%</t>
  </si>
  <si>
    <t>14.10.2024 19:01:50</t>
  </si>
  <si>
    <t>EFottaCniSEZ6yCKZsboQqE1WP1jKLJZP6RHvPbUpump</t>
  </si>
  <si>
    <t>Miles</t>
  </si>
  <si>
    <t>-13.57%</t>
  </si>
  <si>
    <t>14.10.2024 18:55:51</t>
  </si>
  <si>
    <t>HCA6Xx72h2WwSSKk4tUWppounGbuhQqTqFm4Dizvpump</t>
  </si>
  <si>
    <t>Omochi</t>
  </si>
  <si>
    <t>-28.18%</t>
  </si>
  <si>
    <t>14.10.2024 18:53:28</t>
  </si>
  <si>
    <t>GSDHkFZz63fxPBGCN6AsnAXfqpWHZ5MQxcWeMA3mpump</t>
  </si>
  <si>
    <t>LEAKED</t>
  </si>
  <si>
    <t>4.566 SOL</t>
  </si>
  <si>
    <t>287.16%</t>
  </si>
  <si>
    <t>13.10.2024 20:44:39</t>
  </si>
  <si>
    <t xml:space="preserve">         11K            40K             3K</t>
  </si>
  <si>
    <t>B6obdaBz4iRuz7pYVqzBfUctXFXPZfXd4LCmqMpXpump</t>
  </si>
  <si>
    <t>MariRozu</t>
  </si>
  <si>
    <t>3.216 SOL</t>
  </si>
  <si>
    <t>205.35%</t>
  </si>
  <si>
    <t>13.10.2024 20:02:37</t>
  </si>
  <si>
    <t xml:space="preserve">          7K            32K             3K</t>
  </si>
  <si>
    <t>6D6eqDCN7w2qFuSP72yGHghfU3ozf85RwxAzYJTfpump</t>
  </si>
  <si>
    <t>👏</t>
  </si>
  <si>
    <t>4.353 SOL</t>
  </si>
  <si>
    <t>12.10.2024 04:49:19</t>
  </si>
  <si>
    <t>6oWrBg4Jn1Eeh9XErPRNUMPEPEf8Nx3YfDyFC5dSpump</t>
  </si>
  <si>
    <t>Matcha</t>
  </si>
  <si>
    <t>2.782 SOL</t>
  </si>
  <si>
    <t>1.224 SOL</t>
  </si>
  <si>
    <t>78.59%</t>
  </si>
  <si>
    <t>12.10.2024 03:59:13</t>
  </si>
  <si>
    <t>HSwryCcFjNcqYJRzM2n711uEDZaed325cKfqEwb2pump</t>
  </si>
  <si>
    <t>🐶</t>
  </si>
  <si>
    <t>-20.17%</t>
  </si>
  <si>
    <t>11.10.2024 22:35:31</t>
  </si>
  <si>
    <t>Bw9WqhXzThyiiFjDsUDtjCShrEb2RfvsnMbjniDQpump</t>
  </si>
  <si>
    <t>-38.18%</t>
  </si>
  <si>
    <t>11.10.2024 22:03:51</t>
  </si>
  <si>
    <t>CYpLbeJLQ5frHwhFi9ohxR6B6FmzR9dPu7mCcpDPpump</t>
  </si>
  <si>
    <t>VINNY</t>
  </si>
  <si>
    <t>2.344 SOL</t>
  </si>
  <si>
    <t>147.26%</t>
  </si>
  <si>
    <t>11.10.2024 21:13:37</t>
  </si>
  <si>
    <t xml:space="preserve">         11K            26K             9K</t>
  </si>
  <si>
    <t>DfEgZt7VVsPVsqyRsgyuFiwR5pHySfAZBVL68tcupump</t>
  </si>
  <si>
    <t>GB</t>
  </si>
  <si>
    <t>0.832 SOL</t>
  </si>
  <si>
    <t>3.229 SOL</t>
  </si>
  <si>
    <t>2.363 SOL</t>
  </si>
  <si>
    <t>272.81%</t>
  </si>
  <si>
    <t>10.10.2024 23:06:39</t>
  </si>
  <si>
    <t xml:space="preserve">         18K            39K             5K</t>
  </si>
  <si>
    <t>AxMH9Mq6PeQpSpkAb2rSeo4VCT95pQVEGHg7D5dmpump</t>
  </si>
  <si>
    <t>-0.703 SOL</t>
  </si>
  <si>
    <t>-45.34%</t>
  </si>
  <si>
    <t>09.10.2024 01:49:14</t>
  </si>
  <si>
    <t>CjxUyXyjSUEr4gRfA1fyyNismxEYgwsgGNTapUX5pump</t>
  </si>
  <si>
    <t>40.16%</t>
  </si>
  <si>
    <t>08.10.2024 20:30:55</t>
  </si>
  <si>
    <t>otZg2YVDZ8wdZj4UsDjQvFmDzSgyHq46X18YPHepump</t>
  </si>
  <si>
    <t>NINJA</t>
  </si>
  <si>
    <t>-21.71%</t>
  </si>
  <si>
    <t>27.09.2024 06:02:31</t>
  </si>
  <si>
    <t>26jM2PpsdZ1yJZE1tnLt6Jif8MJxCLawDUYHJKPspump</t>
  </si>
  <si>
    <t>144pDeng</t>
  </si>
  <si>
    <t>27.09.2024 05:43:34</t>
  </si>
  <si>
    <t>4yFUhjtYk9XsXwKPathdXN1oNYif3qC2j85hkZLhpump</t>
  </si>
  <si>
    <t>TIMELESS</t>
  </si>
  <si>
    <t>59.51%</t>
  </si>
  <si>
    <t>27.09.2024 04:08:26</t>
  </si>
  <si>
    <t>9TQQjXWWBae38iZBF4vsig1A9pc5Q8fwSoWeSK6Bpump</t>
  </si>
  <si>
    <t>4EEzqYB18nBK1Z2d1Qyj1REt7fZ1gcY6AxAJpGHkVJ3K</t>
  </si>
  <si>
    <t>2.14 SOL</t>
  </si>
  <si>
    <t>73%</t>
  </si>
  <si>
    <t>10.99 SOL</t>
  </si>
  <si>
    <t>-64.13%</t>
  </si>
  <si>
    <t>1.59 SOL</t>
  </si>
  <si>
    <t>145</t>
  </si>
  <si>
    <t>0.9%</t>
  </si>
  <si>
    <t>13.1%</t>
  </si>
  <si>
    <t>16.8%</t>
  </si>
  <si>
    <t>56.1%</t>
  </si>
  <si>
    <t>11.6 SOL</t>
  </si>
  <si>
    <t>-5.3 SOL</t>
  </si>
  <si>
    <t>53.0K</t>
  </si>
  <si>
    <t>17.04%</t>
  </si>
  <si>
    <t>30.10.2024 08:06:01</t>
  </si>
  <si>
    <t xml:space="preserve">        101K           242K             2M</t>
  </si>
  <si>
    <t>DPM</t>
  </si>
  <si>
    <t>30.10.2024 08:02:17</t>
  </si>
  <si>
    <t>5owE5t3TuCYkftj6arJkm9UmiGCtbz9qRJeBFuUMpump</t>
  </si>
  <si>
    <t>OGGIE</t>
  </si>
  <si>
    <t>-65.32%</t>
  </si>
  <si>
    <t>30.10.2024 07:48:21</t>
  </si>
  <si>
    <t>4dMJRRWBNDjQthsz89wk4cCPqFLuHvQztjE1FWoMpump</t>
  </si>
  <si>
    <t>-40.50%</t>
  </si>
  <si>
    <t>30.10.2024 05:16:39</t>
  </si>
  <si>
    <t xml:space="preserve">          4M             2M           211K</t>
  </si>
  <si>
    <t>173,125</t>
  </si>
  <si>
    <t>30.10.2024 00:55:58</t>
  </si>
  <si>
    <t>GK71MWMBHUkc7EYVG7kifK7Frou7FTDmZqf7wCmSpump</t>
  </si>
  <si>
    <t>128.73%</t>
  </si>
  <si>
    <t>30.10.2024 00:55:38</t>
  </si>
  <si>
    <t xml:space="preserve">         58K           142K             5K</t>
  </si>
  <si>
    <t>Trikkes</t>
  </si>
  <si>
    <t>137,100</t>
  </si>
  <si>
    <t>30.10.2024 00:34:39</t>
  </si>
  <si>
    <t>8gu3ypVESXKnY5sgKXG62DjoFGzCVbLpNNiPMnxRpump</t>
  </si>
  <si>
    <t>184,973</t>
  </si>
  <si>
    <t>28.10.2024 23:51:41</t>
  </si>
  <si>
    <t>FhCQaoLGjMugYDqJ89nst3LoAYUo1y9kNnRoGMumpump</t>
  </si>
  <si>
    <t>FWEL</t>
  </si>
  <si>
    <t>-26.67%</t>
  </si>
  <si>
    <t>28.10.2024 23:50:53</t>
  </si>
  <si>
    <t>3amJxeYuK2FJUUcKAUUmrBVnXf1mK3MD4BFX8Uiopump</t>
  </si>
  <si>
    <t>68,214</t>
  </si>
  <si>
    <t>28.10.2024 21:28:08</t>
  </si>
  <si>
    <t xml:space="preserve">        258K           258K             5K</t>
  </si>
  <si>
    <t>Mori</t>
  </si>
  <si>
    <t>775,749</t>
  </si>
  <si>
    <t>28.10.2024 21:08:02</t>
  </si>
  <si>
    <t>G692ohZDnLDjEm6tgfW3Z4VCUfJcTXD1bbNT4HBLpump</t>
  </si>
  <si>
    <t>116.88%</t>
  </si>
  <si>
    <t>28.10.2024 11:26:47</t>
  </si>
  <si>
    <t xml:space="preserve">          1M             1M            40K</t>
  </si>
  <si>
    <t>nGPT 𒀭</t>
  </si>
  <si>
    <t>-63.74%</t>
  </si>
  <si>
    <t>28.10.2024 08:18:33</t>
  </si>
  <si>
    <t>CLJjCL3WA395hZhJF3FeRZJtkidwrmV655DxeHf2pump</t>
  </si>
  <si>
    <t>Telegram</t>
  </si>
  <si>
    <t>6.29%</t>
  </si>
  <si>
    <t>28.10.2024 07:32:22</t>
  </si>
  <si>
    <t>8F8TuQmeyGBDoPzZoSQTcMCeTcnPx1mTnn2pS2Mipump</t>
  </si>
  <si>
    <t>BROWSE</t>
  </si>
  <si>
    <t>28.10.2024 07:31:20</t>
  </si>
  <si>
    <t xml:space="preserve">         62K            49K             3K</t>
  </si>
  <si>
    <t>7BwBWJ6gSgk1GGLCkqfFTnaVDxcHrnxgntFijjEjpump</t>
  </si>
  <si>
    <t>-73.65%</t>
  </si>
  <si>
    <t>28.10.2024 05:52:32</t>
  </si>
  <si>
    <t xml:space="preserve">        281K            55K             4K</t>
  </si>
  <si>
    <t>0.673 SOL</t>
  </si>
  <si>
    <t>-20.95%</t>
  </si>
  <si>
    <t>28.10.2024 05:17:17</t>
  </si>
  <si>
    <t xml:space="preserve">          3M             2M            26K</t>
  </si>
  <si>
    <t>muso</t>
  </si>
  <si>
    <t>756,546</t>
  </si>
  <si>
    <t>27.10.2024 22:48:12</t>
  </si>
  <si>
    <t>38fUci7P6NDjgLnLzepn1nEBpwLZjkvveDUBaXh5pump</t>
  </si>
  <si>
    <t>PAPE</t>
  </si>
  <si>
    <t>27.10.2024 21:35:56</t>
  </si>
  <si>
    <t xml:space="preserve">        432K           414K            17K</t>
  </si>
  <si>
    <t>B7hx74SWaVF5wVDiFhxRPzR4iVP4tcxqUNf9SNb6pump</t>
  </si>
  <si>
    <t>21,821</t>
  </si>
  <si>
    <t>27.10.2024 21:30:38</t>
  </si>
  <si>
    <t xml:space="preserve">        805K           805K            61K</t>
  </si>
  <si>
    <t>Souls</t>
  </si>
  <si>
    <t>92.60%</t>
  </si>
  <si>
    <t>27.10.2024 12:47:26</t>
  </si>
  <si>
    <t xml:space="preserve">         14K            28K             4K</t>
  </si>
  <si>
    <t>F5DBTmFdC68zsDSpvJ8txovvD19QSbSD14ddsxcmWk7u</t>
  </si>
  <si>
    <t>93.87%</t>
  </si>
  <si>
    <t>27.10.2024 12:47:22</t>
  </si>
  <si>
    <t xml:space="preserve">         26K            58K             7K</t>
  </si>
  <si>
    <t>DETOX</t>
  </si>
  <si>
    <t>1.50%</t>
  </si>
  <si>
    <t>27.10.2024 12:47:13</t>
  </si>
  <si>
    <t>5hmhLcmpZMsGp8dJZGBm7582wuroozbDDPS4g3Ktpump</t>
  </si>
  <si>
    <t>light</t>
  </si>
  <si>
    <t>705,779</t>
  </si>
  <si>
    <t>27.10.2024 12:28:11</t>
  </si>
  <si>
    <t xml:space="preserve">         27K            27K             8K</t>
  </si>
  <si>
    <t>ACA8S262XtpQsUYfwFkXCxo3M11BC4Z9DMEsrvzjpump</t>
  </si>
  <si>
    <t>Escape</t>
  </si>
  <si>
    <t>503,989</t>
  </si>
  <si>
    <t>27.10.2024 11:49:03</t>
  </si>
  <si>
    <t>6sqw7nj4zaWkDt5MoXsGmRgHLxG82XzXZQ39weykpump</t>
  </si>
  <si>
    <t>-72.00%</t>
  </si>
  <si>
    <t>27.10.2024 11:27:45</t>
  </si>
  <si>
    <t xml:space="preserve">        234K            79K            10K</t>
  </si>
  <si>
    <t>Sink</t>
  </si>
  <si>
    <t>365,469</t>
  </si>
  <si>
    <t>27.10.2024 09:35:52</t>
  </si>
  <si>
    <t>2tphwWyxwqCMpVpri1NwCEJjZ8fpbTqXYkCRWC3npump</t>
  </si>
  <si>
    <t>Sally</t>
  </si>
  <si>
    <t>42.11%</t>
  </si>
  <si>
    <t>27.10.2024 09:24:18</t>
  </si>
  <si>
    <t xml:space="preserve">         47K            83K             8K</t>
  </si>
  <si>
    <t>oRPhFMGePEsQRRnLfjZ5c6JkXfY5t3vkgFpAZF5pump</t>
  </si>
  <si>
    <t>RIVAL</t>
  </si>
  <si>
    <t>175,164</t>
  </si>
  <si>
    <t>27.10.2024 09:14:58</t>
  </si>
  <si>
    <t xml:space="preserve">        200K           200K             4K</t>
  </si>
  <si>
    <t>GdKsnBv3kCXQnXSVo3Gyx5rVT5h6ynvUurnUasM9pump</t>
  </si>
  <si>
    <t>KID</t>
  </si>
  <si>
    <t>-19.18%</t>
  </si>
  <si>
    <t>27.10.2024 08:53:29</t>
  </si>
  <si>
    <t>NvvLLo9FbqSmiuhYFbobhhLHkWjQuo82FmBJfNApump</t>
  </si>
  <si>
    <t>DЕJАVU</t>
  </si>
  <si>
    <t>200,228</t>
  </si>
  <si>
    <t>27.10.2024 02:51:50</t>
  </si>
  <si>
    <t>6WL4ApvMFWLkxE4Sfmfj2WkRkiipfuNN975NRypJpump</t>
  </si>
  <si>
    <t>ANSEMA</t>
  </si>
  <si>
    <t>430,522</t>
  </si>
  <si>
    <t>26.10.2024 01:04:35</t>
  </si>
  <si>
    <t xml:space="preserve">         55K            55K             7K</t>
  </si>
  <si>
    <t>JBJqM1mrqwHGqP1n5mkjE2A7D8coD4Z58YRPSjxEpump</t>
  </si>
  <si>
    <t>Nebula</t>
  </si>
  <si>
    <t>0.463 SOL</t>
  </si>
  <si>
    <t>100.63%</t>
  </si>
  <si>
    <t>26.10.2024 00:54:08</t>
  </si>
  <si>
    <t xml:space="preserve">         44K           105K             3K</t>
  </si>
  <si>
    <t>D8xDLMFNyf3ZGSh9JLCwvQfwhASG6Tmycen3ZNNEBULA</t>
  </si>
  <si>
    <t>189,111</t>
  </si>
  <si>
    <t>25.10.2024 23:21:32</t>
  </si>
  <si>
    <t>zUuNtWJsBt93iKmny9fkqLBind3U9YcATn2fqVD2arg</t>
  </si>
  <si>
    <t>106,660</t>
  </si>
  <si>
    <t>25.10.2024 22:18:50</t>
  </si>
  <si>
    <t>ESHEEP</t>
  </si>
  <si>
    <t>-64.76%</t>
  </si>
  <si>
    <t>25.10.2024 07:56:51</t>
  </si>
  <si>
    <t>46RL8bp9ctxMmNQDiMocKzNyqMrZnY9LhCFJU46Bpump</t>
  </si>
  <si>
    <t>$LAURA</t>
  </si>
  <si>
    <t>25.10.2024 07:55:39</t>
  </si>
  <si>
    <t xml:space="preserve">         56K            56K            21K</t>
  </si>
  <si>
    <t>CFmx5Qv5mHEvnAeEB7khfaXKdsCTPsM6nNcdHaTdpump</t>
  </si>
  <si>
    <t>HОUZI</t>
  </si>
  <si>
    <t>-56.24%</t>
  </si>
  <si>
    <t>25.10.2024 07:54:38</t>
  </si>
  <si>
    <t>J7i6obMmyDEU1DwhyJ9DhE2dV2hvi1p42CAWvHL3pump</t>
  </si>
  <si>
    <t>-14.57%</t>
  </si>
  <si>
    <t>25.10.2024 06:56:13</t>
  </si>
  <si>
    <t xml:space="preserve">          3M             3M            10M</t>
  </si>
  <si>
    <t>45.58%</t>
  </si>
  <si>
    <t>25.10.2024 04:47:13</t>
  </si>
  <si>
    <t xml:space="preserve">         55K            51K             6K</t>
  </si>
  <si>
    <t>8,645</t>
  </si>
  <si>
    <t>25.10.2024 02:10:47</t>
  </si>
  <si>
    <t xml:space="preserve">        417K           417K            18K</t>
  </si>
  <si>
    <t>-26.33%</t>
  </si>
  <si>
    <t>24.10.2024 22:13:30</t>
  </si>
  <si>
    <t xml:space="preserve">          2M             2M            16K</t>
  </si>
  <si>
    <t>451zhKaaoX9jt68s5rWpmSKp8uKSu9LZwNmsj5XLpump</t>
  </si>
  <si>
    <t>PIZZA</t>
  </si>
  <si>
    <t>29,007</t>
  </si>
  <si>
    <t>24.10.2024 21:37:22</t>
  </si>
  <si>
    <t xml:space="preserve">        606K           606K            10K</t>
  </si>
  <si>
    <t>ErRNM6LhrSLVHt42m1FpMdretssiMaN7j6YM4hKnWcVM</t>
  </si>
  <si>
    <t>choccy</t>
  </si>
  <si>
    <t>15,721</t>
  </si>
  <si>
    <t>24.10.2024 20:30:49</t>
  </si>
  <si>
    <t xml:space="preserve">        559K           559K           320K</t>
  </si>
  <si>
    <t>DFy12AkbxKnR2s2gaYz1AvxgxqGDrMEjjzK1GG3Ypump</t>
  </si>
  <si>
    <t>24.10.2024 12:12:30</t>
  </si>
  <si>
    <t xml:space="preserve">          8M             8M             4M</t>
  </si>
  <si>
    <t>Aitor</t>
  </si>
  <si>
    <t>-28.73%</t>
  </si>
  <si>
    <t>24.10.2024 09:37:07</t>
  </si>
  <si>
    <t>HnFtjYrxKJmueVYPKZ7kaE1bEWFKm9j6FeMwt3qopump</t>
  </si>
  <si>
    <t>11.653 SOL</t>
  </si>
  <si>
    <t>11.603 SOL</t>
  </si>
  <si>
    <t>23456.11%</t>
  </si>
  <si>
    <t>24.10.2024 09:11:15</t>
  </si>
  <si>
    <t xml:space="preserve">         30K            20M             3M</t>
  </si>
  <si>
    <t>DP 300</t>
  </si>
  <si>
    <t>-45.43%</t>
  </si>
  <si>
    <t>24.10.2024 03:32:46</t>
  </si>
  <si>
    <t xml:space="preserve">         49K            28K             4K</t>
  </si>
  <si>
    <t>9T19XHvurQ2YFyNY31AGtQdhhfoAaHT5jaiCRMJrpump</t>
  </si>
  <si>
    <t>$GAPE</t>
  </si>
  <si>
    <t>64.21%</t>
  </si>
  <si>
    <t>24.10.2024 01:58:11</t>
  </si>
  <si>
    <t xml:space="preserve">        137K           236K            10K</t>
  </si>
  <si>
    <t>5hQUyV2UudJ4P87B1A7o94s3wRpToadr5Sakqywpump</t>
  </si>
  <si>
    <t>-42.19%</t>
  </si>
  <si>
    <t>24.10.2024 00:57:30</t>
  </si>
  <si>
    <t xml:space="preserve">        456K           273K            21K</t>
  </si>
  <si>
    <t>115,607</t>
  </si>
  <si>
    <t>23.10.2024 22:36:13</t>
  </si>
  <si>
    <t>BEAST666</t>
  </si>
  <si>
    <t>428,666</t>
  </si>
  <si>
    <t>23.10.2024 09:15:37</t>
  </si>
  <si>
    <t>5m5oSnEF7zFP5DwnTFqJndjraEukA427ZwmKmQAcpump</t>
  </si>
  <si>
    <t>GmeAI</t>
  </si>
  <si>
    <t>-60.16%</t>
  </si>
  <si>
    <t>23.10.2024 07:25:11</t>
  </si>
  <si>
    <t>8GuEirDgihA5hCgGcHfXFZQzspSVf3msWN7M9K1fpump</t>
  </si>
  <si>
    <t>bro</t>
  </si>
  <si>
    <t>-54.88%</t>
  </si>
  <si>
    <t>22.10.2024 20:50:42</t>
  </si>
  <si>
    <t xml:space="preserve">          6M             6M             2M</t>
  </si>
  <si>
    <t>33rVymHHPxfMvg4EHKBRF3h8a37cG7Et3eQWZzAkpump</t>
  </si>
  <si>
    <t>DVD</t>
  </si>
  <si>
    <t>93,639</t>
  </si>
  <si>
    <t>22.10.2024 19:44:02</t>
  </si>
  <si>
    <t>GNa3ndLYHR6EbKNfpeg92UsRPn68XeojtQ3J9gMipump</t>
  </si>
  <si>
    <t>Hypnos</t>
  </si>
  <si>
    <t>47.44%</t>
  </si>
  <si>
    <t>22.10.2024 11:44:21</t>
  </si>
  <si>
    <t xml:space="preserve">         88K            88K             7K</t>
  </si>
  <si>
    <t>HoCWaomS3AYW2wooARY8WySCdHxywzx5owmxotn7pump</t>
  </si>
  <si>
    <t>CULT</t>
  </si>
  <si>
    <t>259,893</t>
  </si>
  <si>
    <t>22.10.2024 08:53:22</t>
  </si>
  <si>
    <t>9RgiiyXpnCf7KNUYUEBVk9ze8PPpy2aQCnd8o8Cpump</t>
  </si>
  <si>
    <t>0.944 SOL</t>
  </si>
  <si>
    <t>-5.75%</t>
  </si>
  <si>
    <t>22.10.2024 08:14:36</t>
  </si>
  <si>
    <t xml:space="preserve">        413K           391K            25K</t>
  </si>
  <si>
    <t>0.956 SOL</t>
  </si>
  <si>
    <t>93.57%</t>
  </si>
  <si>
    <t>22.10.2024 08:10:58</t>
  </si>
  <si>
    <t xml:space="preserve">          4M            11M           339K</t>
  </si>
  <si>
    <t>CMD</t>
  </si>
  <si>
    <t>105,420</t>
  </si>
  <si>
    <t>22.10.2024 08:00:37</t>
  </si>
  <si>
    <t xml:space="preserve">        167K           167K             7K</t>
  </si>
  <si>
    <t>EtPAMn35cepyfKV28tApHepnMyD8Wxjvf8N8PnR6pump</t>
  </si>
  <si>
    <t>65.75%</t>
  </si>
  <si>
    <t>22.10.2024 07:48:36</t>
  </si>
  <si>
    <t xml:space="preserve">        160K           375K            14K</t>
  </si>
  <si>
    <t>62,752</t>
  </si>
  <si>
    <t>22.10.2024 02:33:09</t>
  </si>
  <si>
    <t xml:space="preserve">        280K           280K            13K</t>
  </si>
  <si>
    <t>NIGGAI</t>
  </si>
  <si>
    <t>-50.97%</t>
  </si>
  <si>
    <t>22.10.2024 02:20:30</t>
  </si>
  <si>
    <t xml:space="preserve">         65K            42K             8K</t>
  </si>
  <si>
    <t>6J2cEW7MuawwTnSCx5YEcpSTHPnfCeNKqctntecSS4Xq</t>
  </si>
  <si>
    <t>148,916</t>
  </si>
  <si>
    <t>22.10.2024 02:09:47</t>
  </si>
  <si>
    <t xml:space="preserve">        591K           591K           109K</t>
  </si>
  <si>
    <t>2.790 SOL</t>
  </si>
  <si>
    <t>2.268 SOL</t>
  </si>
  <si>
    <t>434.48%</t>
  </si>
  <si>
    <t>21.10.2024 23:15:42</t>
  </si>
  <si>
    <t xml:space="preserve">        314K           747K            16K</t>
  </si>
  <si>
    <t>102,551</t>
  </si>
  <si>
    <t xml:space="preserve">        172K           172K             4K</t>
  </si>
  <si>
    <t>Gh5sMonhALNfRQhjjxWV6qxosfpTFtKe8YSSrebpump</t>
  </si>
  <si>
    <t>619,247</t>
  </si>
  <si>
    <t>21.10.2024 18:49:27</t>
  </si>
  <si>
    <t>Gibby</t>
  </si>
  <si>
    <t>409,616</t>
  </si>
  <si>
    <t>21.10.2024 11:14:41</t>
  </si>
  <si>
    <t xml:space="preserve">         42K            42K             8K</t>
  </si>
  <si>
    <t>5mqf5ePgBTK2DvRcBePqXujpkKQyyFAP1xPn8Y57pump</t>
  </si>
  <si>
    <t>beecat</t>
  </si>
  <si>
    <t>-94.04%</t>
  </si>
  <si>
    <t>21.10.2024 10:37:46</t>
  </si>
  <si>
    <t xml:space="preserve">         12K             2K             5K</t>
  </si>
  <si>
    <t>57jKa6DSGPMxSnsvEvi8pRKRnHsTq7twYTSkeKjgpump</t>
  </si>
  <si>
    <t>Babakoto</t>
  </si>
  <si>
    <t>-42.28%</t>
  </si>
  <si>
    <t>21.10.2024 09:48:48</t>
  </si>
  <si>
    <t>3QHqiMu74tjs1yoNYWuKdDiX2HksUyPKmZEgrRAWpump</t>
  </si>
  <si>
    <t>UPLOADHUB</t>
  </si>
  <si>
    <t>59.56%</t>
  </si>
  <si>
    <t>21.10.2024 09:48:24</t>
  </si>
  <si>
    <t xml:space="preserve">         17K            29K             5K</t>
  </si>
  <si>
    <t>12ExzKNkUaWc9Q1joMcnp9MKphs4scFVUBtYYzV51W2W</t>
  </si>
  <si>
    <t>FWAAA</t>
  </si>
  <si>
    <t>369,999</t>
  </si>
  <si>
    <t>21.10.2024 09:47:50</t>
  </si>
  <si>
    <t>CMJvNfG35LfUCxtLJzKF2skM4yD8r6Aw7r24vt3zpump</t>
  </si>
  <si>
    <t>TRSHMNKY</t>
  </si>
  <si>
    <t>43.20%</t>
  </si>
  <si>
    <t>21.10.2024 09:28:05</t>
  </si>
  <si>
    <t xml:space="preserve">        144K           144K             7K</t>
  </si>
  <si>
    <t>4cZDsQCqHr1FBsKVF5kCMTU2UkTD5eMUwZtm4gwdpump</t>
  </si>
  <si>
    <t>GLIFY</t>
  </si>
  <si>
    <t>21.10.2024 05:31:42</t>
  </si>
  <si>
    <t xml:space="preserve">        111K           116K             5K</t>
  </si>
  <si>
    <t>5qXSRVe9RG7U39DbAtKSM7Jq6zfaD9Me1mupfbGmpump</t>
  </si>
  <si>
    <t>odin</t>
  </si>
  <si>
    <t>245,646</t>
  </si>
  <si>
    <t>21.10.2024 04:51:45</t>
  </si>
  <si>
    <t>H5Y1CYK32BsJtRUg1RF728uQXRnrNEmgSsveThHrpump</t>
  </si>
  <si>
    <t>60,781</t>
  </si>
  <si>
    <t>21.10.2024 04:24:24</t>
  </si>
  <si>
    <t xml:space="preserve">        290K           290K            13K</t>
  </si>
  <si>
    <t>Febiun</t>
  </si>
  <si>
    <t>427,890</t>
  </si>
  <si>
    <t>21.10.2024 03:54:15</t>
  </si>
  <si>
    <t>6Bc1wDHzuiCNpYt8YkTEmTYZcNCdk23EapfEmpePpump</t>
  </si>
  <si>
    <t>FEED</t>
  </si>
  <si>
    <t>-64.67%</t>
  </si>
  <si>
    <t>21.10.2024 02:56:20</t>
  </si>
  <si>
    <t>Bst41uf7eg3yfYnVo8L5Tiyka7EKZwHarcp8HbG1pump</t>
  </si>
  <si>
    <t>McPengo</t>
  </si>
  <si>
    <t>121,354</t>
  </si>
  <si>
    <t>21.10.2024 01:35:43</t>
  </si>
  <si>
    <t>27dfyGQhBV6SxHCKE2gs6ZyHwcc1MX1WrWuKYXHQpump</t>
  </si>
  <si>
    <t>☀️</t>
  </si>
  <si>
    <t>20.10.2024 03:56:54</t>
  </si>
  <si>
    <t xml:space="preserve">        493K           547K           302K</t>
  </si>
  <si>
    <t>4eVeDncy6EBF2vh8jbpHUDgagwWP1B3Ep6SzzVWXyENp</t>
  </si>
  <si>
    <t>BAAI</t>
  </si>
  <si>
    <t>117,168</t>
  </si>
  <si>
    <t>20.10.2024 02:07:19</t>
  </si>
  <si>
    <t>6j76XfcVpKxGyduYNtefLvQQdE2aUbBNP8gncoVk6Psa</t>
  </si>
  <si>
    <t>-9.48%</t>
  </si>
  <si>
    <t>20.10.2024 02:06:04</t>
  </si>
  <si>
    <t xml:space="preserve">         30K            28K             8K</t>
  </si>
  <si>
    <t>4M8m9bMiDSjZB6MMd8YFroJL9tJ4Gd2u18Q9UxEzpump</t>
  </si>
  <si>
    <t>peny</t>
  </si>
  <si>
    <t>12.24%</t>
  </si>
  <si>
    <t>19.10.2024 23:06:24</t>
  </si>
  <si>
    <t xml:space="preserve">         49K           113K             5K</t>
  </si>
  <si>
    <t>4uAvY2ksNuRBCTUyXRoMwKkLhbtybWQAEHu5MYhApump</t>
  </si>
  <si>
    <t>55.91%</t>
  </si>
  <si>
    <t>19.10.2024 20:28:13</t>
  </si>
  <si>
    <t xml:space="preserve">        158K            74K             8K</t>
  </si>
  <si>
    <t>deepmind</t>
  </si>
  <si>
    <t>1.32%</t>
  </si>
  <si>
    <t>19.10.2024 12:14:29</t>
  </si>
  <si>
    <t>JCJ8wt7MFVgDUcPC82jMWVAE3jvzzvcfcR8DeYKfpump</t>
  </si>
  <si>
    <t>255,908</t>
  </si>
  <si>
    <t>17.10.2024 22:47:18</t>
  </si>
  <si>
    <t xml:space="preserve">         68K            68K             3K</t>
  </si>
  <si>
    <t>174,548</t>
  </si>
  <si>
    <t>17.10.2024 22:38:31</t>
  </si>
  <si>
    <t>9KEzoyqTwksi9wonCwtRqX6PB7n2qq9Vt3QcUNPMpump</t>
  </si>
  <si>
    <t>TWЕNСH</t>
  </si>
  <si>
    <t>-45.13%</t>
  </si>
  <si>
    <t>17.10.2024 05:38:56</t>
  </si>
  <si>
    <t>BRaCWBYssbpBcjS1Bh4SbzGcgygqTpiuxy4e7jXQpump</t>
  </si>
  <si>
    <t>dogana</t>
  </si>
  <si>
    <t>178,679</t>
  </si>
  <si>
    <t>17.10.2024 05:35:36</t>
  </si>
  <si>
    <t>9ZMRdUw79BZ2b6Qqw6PMAsLquNFpeiWStGRJS1Y2pump</t>
  </si>
  <si>
    <t>RealDog</t>
  </si>
  <si>
    <t>-59.65%</t>
  </si>
  <si>
    <t>17.10.2024 05:13:28</t>
  </si>
  <si>
    <t xml:space="preserve">         11K             4K             5K</t>
  </si>
  <si>
    <t>8sH9qD6tmrDBTAt6aHBC4EUz2ZAKwyWYiCZy7mnRpump</t>
  </si>
  <si>
    <t>LOTTIE</t>
  </si>
  <si>
    <t>68,518</t>
  </si>
  <si>
    <t>17.10.2024 04:31:13</t>
  </si>
  <si>
    <t xml:space="preserve">        257K           257K             5K</t>
  </si>
  <si>
    <t>ccGHvXzNxRsv39sSUYTBh161XAuc928MhsZoVgwpump</t>
  </si>
  <si>
    <t>pugdance</t>
  </si>
  <si>
    <t>210,188</t>
  </si>
  <si>
    <t>17.10.2024 03:49:14</t>
  </si>
  <si>
    <t>DxiyxCnYHvCwdvDQ2QpgoazbSCca4HGtAXYo1HmWpump</t>
  </si>
  <si>
    <t>Dev</t>
  </si>
  <si>
    <t>117.03%</t>
  </si>
  <si>
    <t>17.10.2024 03:27:36</t>
  </si>
  <si>
    <t xml:space="preserve">         28K           135K            19K</t>
  </si>
  <si>
    <t>3YP4dPY8NkSnTbR4vUjxFQNVYmvhR9qcgAK89wowU2EK</t>
  </si>
  <si>
    <t>144.81%</t>
  </si>
  <si>
    <t>17.10.2024 02:18:07</t>
  </si>
  <si>
    <t xml:space="preserve">         23K           120K            12K</t>
  </si>
  <si>
    <t>94.43%</t>
  </si>
  <si>
    <t>17.10.2024 02:17:03</t>
  </si>
  <si>
    <t xml:space="preserve">        164K           445K            25K</t>
  </si>
  <si>
    <t>GLORPUS</t>
  </si>
  <si>
    <t>16.39%</t>
  </si>
  <si>
    <t>17.10.2024 01:39:36</t>
  </si>
  <si>
    <t xml:space="preserve">         26K            16K             3K</t>
  </si>
  <si>
    <t>2u9U8yHDERUGAWUrhr62NDva2sKZz6kiEJ8vssR3pump</t>
  </si>
  <si>
    <t>popo</t>
  </si>
  <si>
    <t>6,473</t>
  </si>
  <si>
    <t>17.10.2024 01:12:43</t>
  </si>
  <si>
    <t>6kJhG826LGowg7zG6PLd6tg7mqvVSdq2WzHhsfc7pump</t>
  </si>
  <si>
    <t>KATY</t>
  </si>
  <si>
    <t>342,419</t>
  </si>
  <si>
    <t>14.10.2024 20:58:49</t>
  </si>
  <si>
    <t>DYXWxvFEu5gxur2xmCUZzUvuUC7ynBWeDVmxnXfRpump</t>
  </si>
  <si>
    <t>Benz</t>
  </si>
  <si>
    <t>-74.53%</t>
  </si>
  <si>
    <t>14.10.2024 03:58:18</t>
  </si>
  <si>
    <t xml:space="preserve">         44K            12K             3K</t>
  </si>
  <si>
    <t>CdXRSHoiypJG76QjvHGhoLVD6HULp98PRjpCk5rZpump</t>
  </si>
  <si>
    <t>ORLY</t>
  </si>
  <si>
    <t>313,653</t>
  </si>
  <si>
    <t>14.10.2024 02:56:43</t>
  </si>
  <si>
    <t>oQ5TK2a5VQdJ2uFjexAMxFc9SaPYbL2kGqwibrvpump</t>
  </si>
  <si>
    <t>genz</t>
  </si>
  <si>
    <t>4.89%</t>
  </si>
  <si>
    <t>14.10.2024 00:55:03</t>
  </si>
  <si>
    <t xml:space="preserve">        218K           510K             8K</t>
  </si>
  <si>
    <t>Huz7DeiAJKATSEofkS1Bry2NkCwkfcQuZFE2wRqRpump</t>
  </si>
  <si>
    <t>2008</t>
  </si>
  <si>
    <t>13.10.2024 02:06:52</t>
  </si>
  <si>
    <t xml:space="preserve">         70K           197K            11K</t>
  </si>
  <si>
    <t>GTLMdhtcHhqAbY3h8sKd9Y6yNLmYaT4NS3qgQr82HBCT</t>
  </si>
  <si>
    <t>DRAWN</t>
  </si>
  <si>
    <t>104,510</t>
  </si>
  <si>
    <t>27.08.2024 11:36:48</t>
  </si>
  <si>
    <t xml:space="preserve">        336K           336K             9K</t>
  </si>
  <si>
    <t>9M53sMUqbZKyBhqrfPW6erZModxadJMFUtRJahJFpump</t>
  </si>
  <si>
    <t>762,900</t>
  </si>
  <si>
    <t>09.08.2024 03:32:48</t>
  </si>
  <si>
    <t>AsDz6pFEZn7unPV8kC2kwetNNPbysVrreyhsUxNFpump</t>
  </si>
  <si>
    <t>SNICKERS</t>
  </si>
  <si>
    <t>537,825</t>
  </si>
  <si>
    <t>08.08.2024 05:03:25</t>
  </si>
  <si>
    <t xml:space="preserve">         33K            33K             3K</t>
  </si>
  <si>
    <t>7CcKCBfQAar6ncAAz2ZFw7CYxAcxbb5faZhUN9LKpump</t>
  </si>
  <si>
    <t>cloud9</t>
  </si>
  <si>
    <t>386,505</t>
  </si>
  <si>
    <t>06.08.2024 02:10:52</t>
  </si>
  <si>
    <t>J28UVBPDadosdAEcM9gbFpnrimeM8GKRLNQEb3UYpump</t>
  </si>
  <si>
    <t>E4aSNyoBHHut4zhLokjV9L6h3cFP8v3uddHhUhqKdB91</t>
  </si>
  <si>
    <t>5.37 SOL</t>
  </si>
  <si>
    <t>-32%</t>
  </si>
  <si>
    <t>-10.59 SOL</t>
  </si>
  <si>
    <t>31 days</t>
  </si>
  <si>
    <t>6.39 SOL</t>
  </si>
  <si>
    <t>75</t>
  </si>
  <si>
    <t>0.8%</t>
  </si>
  <si>
    <t>9.7%</t>
  </si>
  <si>
    <t>6.3%</t>
  </si>
  <si>
    <t>81.0%</t>
  </si>
  <si>
    <t>0.6 SOL</t>
  </si>
  <si>
    <t>157</t>
  </si>
  <si>
    <t>763.5K</t>
  </si>
  <si>
    <t>30.10.2024 19:31:19</t>
  </si>
  <si>
    <t xml:space="preserve">          2M             2M             6M</t>
  </si>
  <si>
    <t>718</t>
  </si>
  <si>
    <t>30.10.2024 18:24:15</t>
  </si>
  <si>
    <t xml:space="preserve">         22M            22M            37M</t>
  </si>
  <si>
    <t>REPUBLICAN</t>
  </si>
  <si>
    <t>226.23%</t>
  </si>
  <si>
    <t>30.10.2024 11:29:23</t>
  </si>
  <si>
    <t xml:space="preserve">        241K           241K           506K</t>
  </si>
  <si>
    <t>12HXYh3MHmyuraHtd82fGEKSwuhdsbPo1utXQKvXpump</t>
  </si>
  <si>
    <t>MX</t>
  </si>
  <si>
    <t>1,885</t>
  </si>
  <si>
    <t>30.10.2024 07:24:45</t>
  </si>
  <si>
    <t xml:space="preserve">        583K           583K             2M</t>
  </si>
  <si>
    <t>7bpFPJqRpb8Wn8VX9rjNLWEsccCTjKqwmJ7wMX89VAzZ</t>
  </si>
  <si>
    <t>26,422</t>
  </si>
  <si>
    <t>29.10.2024 22:23:55</t>
  </si>
  <si>
    <t xml:space="preserve">        600K           600K             8K</t>
  </si>
  <si>
    <t>16,074</t>
  </si>
  <si>
    <t>29.10.2024 21:57:29</t>
  </si>
  <si>
    <t xml:space="preserve">        951K           951K           647K</t>
  </si>
  <si>
    <t>56,714</t>
  </si>
  <si>
    <t>29.10.2024 20:46:07</t>
  </si>
  <si>
    <t xml:space="preserve">        246K           246K            14K</t>
  </si>
  <si>
    <t>RWA</t>
  </si>
  <si>
    <t>17,086</t>
  </si>
  <si>
    <t>29.10.2024 20:27:11</t>
  </si>
  <si>
    <t xml:space="preserve">        927K           927K           791K</t>
  </si>
  <si>
    <t>G8aVC4nk5oPWzTHp4PDm3kAuixCebv9WRQMD93h9pump</t>
  </si>
  <si>
    <t>GUANO</t>
  </si>
  <si>
    <t>3,660</t>
  </si>
  <si>
    <t>29.10.2024 19:39:50</t>
  </si>
  <si>
    <t xml:space="preserve">          4M             4M           124K</t>
  </si>
  <si>
    <t>APmLv2VarkC5yEjjutYkeK3byr9L2KwCgrVMWHWsgaG7</t>
  </si>
  <si>
    <t>Animal</t>
  </si>
  <si>
    <t>5,006</t>
  </si>
  <si>
    <t>29.10.2024 18:09:44</t>
  </si>
  <si>
    <t xml:space="preserve">          3M             3M            52K</t>
  </si>
  <si>
    <t>33aY2XDYFfbANyBKGiAGUb7kYb4sY9SqPcUZPrwRpump</t>
  </si>
  <si>
    <t>1,396</t>
  </si>
  <si>
    <t>29.10.2024 01:58:05</t>
  </si>
  <si>
    <t xml:space="preserve">         11M            11M           393K</t>
  </si>
  <si>
    <t>$RUGGA</t>
  </si>
  <si>
    <t>546.80%</t>
  </si>
  <si>
    <t>28.10.2024 08:15:19</t>
  </si>
  <si>
    <t xml:space="preserve">        910K           910K             6M</t>
  </si>
  <si>
    <t>2e4hookwoJmyAReeSRcTP5dE4myMnwfVvPSztDrjpump</t>
  </si>
  <si>
    <t>SALMON</t>
  </si>
  <si>
    <t>49,121</t>
  </si>
  <si>
    <t>27.10.2024 22:02:53</t>
  </si>
  <si>
    <t>Ay4Br5jCE3UqmhrSDysdAjo9c4F5vMjf7pHQh78Jpump</t>
  </si>
  <si>
    <t>167,911</t>
  </si>
  <si>
    <t>27.10.2024 21:10:10</t>
  </si>
  <si>
    <t xml:space="preserve">        176K           202K             5K</t>
  </si>
  <si>
    <t>0.023280</t>
  </si>
  <si>
    <t>457.18%</t>
  </si>
  <si>
    <t>27.10.2024 13:59:29</t>
  </si>
  <si>
    <t xml:space="preserve">        426K           526K             2M</t>
  </si>
  <si>
    <t>27.10.2024 00:56:55</t>
  </si>
  <si>
    <t xml:space="preserve">        960K           960K            32K</t>
  </si>
  <si>
    <t>21,402</t>
  </si>
  <si>
    <t>27.10.2024 00:39:23</t>
  </si>
  <si>
    <t xml:space="preserve">        575K           575K           199K</t>
  </si>
  <si>
    <t>DEGRZALfkV1KAPbV82Xb5hjsZYvwS6VAmGG1KSbc3KAv</t>
  </si>
  <si>
    <t>DADDYGOAT</t>
  </si>
  <si>
    <t>14,589</t>
  </si>
  <si>
    <t>26.10.2024 16:12:14</t>
  </si>
  <si>
    <t xml:space="preserve">        837K           837K            19K</t>
  </si>
  <si>
    <t>6K8ChKN9UMLSTkkKCjpyDjZE84EpQzYRDDEhah1117jg</t>
  </si>
  <si>
    <t>T47</t>
  </si>
  <si>
    <t>28,219</t>
  </si>
  <si>
    <t>26.10.2024 01:02:53</t>
  </si>
  <si>
    <t xml:space="preserve">        436K           436K            50K</t>
  </si>
  <si>
    <t>9RLS414pwe1RvCQDFNMU31jtPAnLUVULPqzSM1ipump</t>
  </si>
  <si>
    <t>$CMON</t>
  </si>
  <si>
    <t>40,781,030</t>
  </si>
  <si>
    <t>25.10.2024 19:17:59</t>
  </si>
  <si>
    <t xml:space="preserve">        N/A           N/A            30K</t>
  </si>
  <si>
    <t>GL4JmwGFFeKEXjbsSC4hFq6EqTwcNGss52DiLw4m7Z9c</t>
  </si>
  <si>
    <t>6,518</t>
  </si>
  <si>
    <t>25.10.2024 14:27:17</t>
  </si>
  <si>
    <t xml:space="preserve">          2M             2M           250K</t>
  </si>
  <si>
    <t>49,401</t>
  </si>
  <si>
    <t>25.10.2024 06:43:46</t>
  </si>
  <si>
    <t xml:space="preserve">        249K           249K            13K</t>
  </si>
  <si>
    <t>16,618</t>
  </si>
  <si>
    <t>24.10.2024 22:32:15</t>
  </si>
  <si>
    <t xml:space="preserve">        718K           718K            16K</t>
  </si>
  <si>
    <t>0.000240</t>
  </si>
  <si>
    <t>16.73%</t>
  </si>
  <si>
    <t>24.10.2024 22:22:48</t>
  </si>
  <si>
    <t xml:space="preserve">        200K           200K           322K</t>
  </si>
  <si>
    <t>scatYPdryopAPpriuyn5a4UyPSD9weFP4KCKq9Ykskp</t>
  </si>
  <si>
    <t>0.000480</t>
  </si>
  <si>
    <t>20.37%</t>
  </si>
  <si>
    <t>24.10.2024 22:04:10</t>
  </si>
  <si>
    <t xml:space="preserve">        795K             1M           704K</t>
  </si>
  <si>
    <t>RodhH2Xivnpt9AjK1ZniRap6TTcK1yx9CJmZ5zqPipo</t>
  </si>
  <si>
    <t>BAKA</t>
  </si>
  <si>
    <t>33,813</t>
  </si>
  <si>
    <t>24.10.2024 18:17:38</t>
  </si>
  <si>
    <t xml:space="preserve">        364K           364K           261K</t>
  </si>
  <si>
    <t>DB4aNrmNiNeSVeCwRKaAM9NxpWdPvm9TXUW8nsAgpump</t>
  </si>
  <si>
    <t>75,827</t>
  </si>
  <si>
    <t>24.10.2024 14:49:22</t>
  </si>
  <si>
    <t xml:space="preserve">        361K           247K             6K</t>
  </si>
  <si>
    <t>169.21%</t>
  </si>
  <si>
    <t>24.10.2024 14:46:45</t>
  </si>
  <si>
    <t xml:space="preserve">        255K           255K            12K</t>
  </si>
  <si>
    <t>151.42%</t>
  </si>
  <si>
    <t>24.10.2024 06:09:21</t>
  </si>
  <si>
    <t xml:space="preserve">         12M            12M            35M</t>
  </si>
  <si>
    <t>66,059</t>
  </si>
  <si>
    <t>23.10.2024 18:29:28</t>
  </si>
  <si>
    <t>4f9Nc1vPWvcbGP9Zfi6TWD9tApyMgBrqmXexNZnR4Wmo</t>
  </si>
  <si>
    <t>SINGLR</t>
  </si>
  <si>
    <t>0.022520</t>
  </si>
  <si>
    <t>23.48%</t>
  </si>
  <si>
    <t>23.10.2024 14:56:28</t>
  </si>
  <si>
    <t>CgaBF2AkhhV5oEA7bM2ffF7Hstf25e1Vw8D6tu1mpump</t>
  </si>
  <si>
    <t>497</t>
  </si>
  <si>
    <t>23.10.2024 14:45:47</t>
  </si>
  <si>
    <t xml:space="preserve">         22M            22M           959K</t>
  </si>
  <si>
    <t>2,619</t>
  </si>
  <si>
    <t>23.10.2024 14:24:14</t>
  </si>
  <si>
    <t xml:space="preserve">          5M             5M             8M</t>
  </si>
  <si>
    <t>0.045050</t>
  </si>
  <si>
    <t>1.360 SOL</t>
  </si>
  <si>
    <t>1081.90%</t>
  </si>
  <si>
    <t>23.10.2024 13:37:22</t>
  </si>
  <si>
    <t xml:space="preserve">        563K           563K             9M</t>
  </si>
  <si>
    <t>ACC/meme</t>
  </si>
  <si>
    <t>24,791</t>
  </si>
  <si>
    <t>23.10.2024 02:49:18</t>
  </si>
  <si>
    <t xml:space="preserve">        496K           496K            16K</t>
  </si>
  <si>
    <t>9ZiBsj8MivwYw4GkNrZ3F3p3tfCwJrJqKdFgBwBCpump</t>
  </si>
  <si>
    <t>14,754</t>
  </si>
  <si>
    <t>22.10.2024 23:40:45</t>
  </si>
  <si>
    <t xml:space="preserve">        834K           834K           229K</t>
  </si>
  <si>
    <t>671</t>
  </si>
  <si>
    <t>22.10.2024 23:18:27</t>
  </si>
  <si>
    <t xml:space="preserve">         18M            18M             3M</t>
  </si>
  <si>
    <t>Crazy</t>
  </si>
  <si>
    <t>5,493</t>
  </si>
  <si>
    <t>22.10.2024 19:46:06</t>
  </si>
  <si>
    <t>DAGSe6vgNDw3n3aHmd38AtePooK475FA3YnsuCN5pump</t>
  </si>
  <si>
    <t>0.030070</t>
  </si>
  <si>
    <t>105.54%</t>
  </si>
  <si>
    <t>22.10.2024 14:44:25</t>
  </si>
  <si>
    <t xml:space="preserve">          6M             4M           223K</t>
  </si>
  <si>
    <t>autism</t>
  </si>
  <si>
    <t>-40.66%</t>
  </si>
  <si>
    <t>22.10.2024 14:39:19</t>
  </si>
  <si>
    <t xml:space="preserve">         15M            12M             7M</t>
  </si>
  <si>
    <t>BkVeSP2GsXV3AYoRJBSZTpFE8sXmcuGnRQcFgoWspump</t>
  </si>
  <si>
    <t>40.94%</t>
  </si>
  <si>
    <t>22.10.2024 14:38:04</t>
  </si>
  <si>
    <t xml:space="preserve">          2M             1M             4M</t>
  </si>
  <si>
    <t>8,625</t>
  </si>
  <si>
    <t>22.10.2024 06:12:21</t>
  </si>
  <si>
    <t xml:space="preserve">          1M             1M            53K</t>
  </si>
  <si>
    <t>4sx9a8c81cPWYPy3QVptKcgZu87ncixZp5d2cxeVpump</t>
  </si>
  <si>
    <t>344.24%</t>
  </si>
  <si>
    <t>22.10.2024 04:12:20</t>
  </si>
  <si>
    <t xml:space="preserve">          2M             2M           339K</t>
  </si>
  <si>
    <t>29,269</t>
  </si>
  <si>
    <t>22.10.2024 02:39:04</t>
  </si>
  <si>
    <t xml:space="preserve">        420K           420K            13K</t>
  </si>
  <si>
    <t>22,337</t>
  </si>
  <si>
    <t>22.10.2024 01:23:42</t>
  </si>
  <si>
    <t xml:space="preserve">        551K           551K           157K</t>
  </si>
  <si>
    <t>01</t>
  </si>
  <si>
    <t>157.89%</t>
  </si>
  <si>
    <t>21.10.2024 23:20:05</t>
  </si>
  <si>
    <t xml:space="preserve">        297K           297K           133K</t>
  </si>
  <si>
    <t>GFGSBt8NUqXa6w33dScPXoJQsq7iNpjLXaB7FNj5pump</t>
  </si>
  <si>
    <t>69,098</t>
  </si>
  <si>
    <t>21.10.2024 19:46:48</t>
  </si>
  <si>
    <t>74,921</t>
  </si>
  <si>
    <t>21.10.2024 19:08:42</t>
  </si>
  <si>
    <t xml:space="preserve">        164K           164K            14K</t>
  </si>
  <si>
    <t>17,383</t>
  </si>
  <si>
    <t>21.10.2024 14:56:25</t>
  </si>
  <si>
    <t xml:space="preserve">        709K           709K           322K</t>
  </si>
  <si>
    <t>2tvQMBiB4aoxsXhgAPWSUpE1Cas5eSU3bNWa6p6Rpump</t>
  </si>
  <si>
    <t>SENSAI</t>
  </si>
  <si>
    <t>560,920</t>
  </si>
  <si>
    <t>21.10.2024 13:27:50</t>
  </si>
  <si>
    <t>3ukzVXdDBwyPP3vDFMq952iGZC3B792FqMsE4WXcpump</t>
  </si>
  <si>
    <t>54,236</t>
  </si>
  <si>
    <t>21.10.2024 08:16:11</t>
  </si>
  <si>
    <t xml:space="preserve">        227K           227K            58K</t>
  </si>
  <si>
    <t>6,715</t>
  </si>
  <si>
    <t>21.10.2024 07:01:58</t>
  </si>
  <si>
    <t>30,466</t>
  </si>
  <si>
    <t>21.10.2024 05:54:09</t>
  </si>
  <si>
    <t xml:space="preserve">        389K           389K           100K</t>
  </si>
  <si>
    <t>-0.233 SOL</t>
  </si>
  <si>
    <t>8,603</t>
  </si>
  <si>
    <t>21.10.2024 05:33:24</t>
  </si>
  <si>
    <t xml:space="preserve">          3M             8M           261K</t>
  </si>
  <si>
    <t>LORA</t>
  </si>
  <si>
    <t>64,698</t>
  </si>
  <si>
    <t>21.10.2024 03:17:42</t>
  </si>
  <si>
    <t xml:space="preserve">        190K           190K             6K</t>
  </si>
  <si>
    <t>HJ5ANAEi53ZVNpE9faprT4b96gZeoSC6hXDcTWxKpump</t>
  </si>
  <si>
    <t>98,362</t>
  </si>
  <si>
    <t>21.10.2024 02:35:09</t>
  </si>
  <si>
    <t xml:space="preserve">        125K           125K             8K</t>
  </si>
  <si>
    <t>POPFROG</t>
  </si>
  <si>
    <t>3,261</t>
  </si>
  <si>
    <t>21.10.2024 02:28:19</t>
  </si>
  <si>
    <t xml:space="preserve">          4M             4M            25K</t>
  </si>
  <si>
    <t>CoseJDEHxsfjjQs5CaXWGd4PH2irHam2FxeuwN2jyAL9</t>
  </si>
  <si>
    <t>64,158</t>
  </si>
  <si>
    <t>20.10.2024 22:41:56</t>
  </si>
  <si>
    <t xml:space="preserve">        192K           192K             6K</t>
  </si>
  <si>
    <t>12,717</t>
  </si>
  <si>
    <t>20.10.2024 21:29:47</t>
  </si>
  <si>
    <t xml:space="preserve">        967K           967K            82K</t>
  </si>
  <si>
    <t>61,747</t>
  </si>
  <si>
    <t>20.10.2024 21:16:31</t>
  </si>
  <si>
    <t xml:space="preserve">        199K           199K            67K</t>
  </si>
  <si>
    <t>EL8tDCUCCkcYpfMQKVghcc8yWSRHJFtnRYBtfJjgpump</t>
  </si>
  <si>
    <t>KWIF</t>
  </si>
  <si>
    <t>5,016</t>
  </si>
  <si>
    <t>20.10.2024 21:11:35</t>
  </si>
  <si>
    <t>6Rwcmkz9yiYVM5EzyMcr4JsQPGEAWhcUvLvfBperYnUt</t>
  </si>
  <si>
    <t>4,481</t>
  </si>
  <si>
    <t>20.10.2024 19:33:33</t>
  </si>
  <si>
    <t xml:space="preserve">          3M             3M            25K</t>
  </si>
  <si>
    <t>CJJbVYyrX92FjZGWn6Ckg9SnszxGF33C6okcKsmFpump</t>
  </si>
  <si>
    <t>HARAMBE</t>
  </si>
  <si>
    <t>325</t>
  </si>
  <si>
    <t>20.10.2024 17:06:28</t>
  </si>
  <si>
    <t xml:space="preserve">         38M            38M            33M</t>
  </si>
  <si>
    <t>Fch1oixTPri8zxBnmdCEADoJW2toyFHxqDZacQkwdvSP</t>
  </si>
  <si>
    <t>398</t>
  </si>
  <si>
    <t>20.10.2024 16:39:09</t>
  </si>
  <si>
    <t xml:space="preserve">        115M            42M             4M</t>
  </si>
  <si>
    <t>21,890</t>
  </si>
  <si>
    <t>20.10.2024 13:20:59</t>
  </si>
  <si>
    <t xml:space="preserve">        562K           562K           114K</t>
  </si>
  <si>
    <t>BoTqar9bsJjd1aroqYvAimxW5ADy59VgfBpCFQ47TRet</t>
  </si>
  <si>
    <t>0.022550</t>
  </si>
  <si>
    <t>100.90%</t>
  </si>
  <si>
    <t>20.10.2024 12:59:14</t>
  </si>
  <si>
    <t xml:space="preserve">          9M           721K           600K</t>
  </si>
  <si>
    <t>10,769</t>
  </si>
  <si>
    <t>20.10.2024 03:57:13</t>
  </si>
  <si>
    <t xml:space="preserve">          3M             2M            55K</t>
  </si>
  <si>
    <t>118,477</t>
  </si>
  <si>
    <t>20.10.2024 01:12:22</t>
  </si>
  <si>
    <t xml:space="preserve">        104K           104K             9K</t>
  </si>
  <si>
    <t>2DADkJ3D1XrXvvPNjCndSjKyck1tbeKJufVUgyPmpump</t>
  </si>
  <si>
    <t>90,237</t>
  </si>
  <si>
    <t>19.10.2024 22:35:21</t>
  </si>
  <si>
    <t xml:space="preserve">        137K           137K            12K</t>
  </si>
  <si>
    <t>STCVQT4YQGGVsp9o2xYRjYPM6mcM6ZBs3mxicHXpump</t>
  </si>
  <si>
    <t>JJ</t>
  </si>
  <si>
    <t>247</t>
  </si>
  <si>
    <t>19.10.2024 21:39:09</t>
  </si>
  <si>
    <t xml:space="preserve">         50K            50K            34K</t>
  </si>
  <si>
    <t>8eAUrugF8ToBmkg4CpJjTY9AcPx1UBMdExw2Ju84MCG4</t>
  </si>
  <si>
    <t>DOAEM</t>
  </si>
  <si>
    <t>7,749</t>
  </si>
  <si>
    <t>19.10.2024 18:38:24</t>
  </si>
  <si>
    <t xml:space="preserve">          2M             2M            24K</t>
  </si>
  <si>
    <t>3VR9UzXZn56Xstds3g7X8E6TtsSc6AKEJUrRYeVKpump</t>
  </si>
  <si>
    <t>6,624</t>
  </si>
  <si>
    <t>19.10.2024 17:21:12</t>
  </si>
  <si>
    <t xml:space="preserve">Retardia </t>
  </si>
  <si>
    <t>-11.81%</t>
  </si>
  <si>
    <t>19.10.2024 16:26:34</t>
  </si>
  <si>
    <t xml:space="preserve">          4M             2M             3M</t>
  </si>
  <si>
    <t>7RrLheV7dSecVka3MfjYb4Wa6Z6uegNyzhpFeERsfFZP</t>
  </si>
  <si>
    <t>12,344</t>
  </si>
  <si>
    <t>19.10.2024 15:32:38</t>
  </si>
  <si>
    <t xml:space="preserve">        997K           997K            14K</t>
  </si>
  <si>
    <t>41,896</t>
  </si>
  <si>
    <t>19.10.2024 08:59:10</t>
  </si>
  <si>
    <t xml:space="preserve">        294K           294K            20K</t>
  </si>
  <si>
    <t>498.43%</t>
  </si>
  <si>
    <t>19.10.2024 08:19:06</t>
  </si>
  <si>
    <t xml:space="preserve">          2M             2M           149K</t>
  </si>
  <si>
    <t>26,705</t>
  </si>
  <si>
    <t>19.10.2024 05:49:41</t>
  </si>
  <si>
    <t xml:space="preserve">        461K           461K            58K</t>
  </si>
  <si>
    <t>7,663</t>
  </si>
  <si>
    <t>19.10.2024 04:19:05</t>
  </si>
  <si>
    <t xml:space="preserve">          2M             2M            64K</t>
  </si>
  <si>
    <t>CORN</t>
  </si>
  <si>
    <t>2,372,953</t>
  </si>
  <si>
    <t xml:space="preserve">          4M             4M             2M</t>
  </si>
  <si>
    <t>6DSqVXg9WLTWgz6LACqxN757QdHe1sCqkUfojWmxWtok</t>
  </si>
  <si>
    <t>8,118</t>
  </si>
  <si>
    <t>19.10.2024 01:48:23</t>
  </si>
  <si>
    <t xml:space="preserve">          2M             4M             3M</t>
  </si>
  <si>
    <t>16,249</t>
  </si>
  <si>
    <t>19.10.2024 01:29:07</t>
  </si>
  <si>
    <t xml:space="preserve">        758K           758K            83K</t>
  </si>
  <si>
    <t>1,778</t>
  </si>
  <si>
    <t>18.10.2024 23:31:17</t>
  </si>
  <si>
    <t xml:space="preserve">         24M            22M             9M</t>
  </si>
  <si>
    <t>17,264</t>
  </si>
  <si>
    <t>18.10.2024 23:29:26</t>
  </si>
  <si>
    <t xml:space="preserve">        712K           712K            53K</t>
  </si>
  <si>
    <t>1,163</t>
  </si>
  <si>
    <t>18.10.2024 23:18:24</t>
  </si>
  <si>
    <t xml:space="preserve">         11M            11M             6M</t>
  </si>
  <si>
    <t>0.037560</t>
  </si>
  <si>
    <t>362.72%</t>
  </si>
  <si>
    <t>18.10.2024 21:25:34</t>
  </si>
  <si>
    <t xml:space="preserve">        440M             5M           582M</t>
  </si>
  <si>
    <t>34.01%</t>
  </si>
  <si>
    <t>18.10.2024 21:22:03</t>
  </si>
  <si>
    <t>Orb</t>
  </si>
  <si>
    <t>26,735</t>
  </si>
  <si>
    <t>18.10.2024 20:49:31</t>
  </si>
  <si>
    <t xml:space="preserve">        445K           445K             8K</t>
  </si>
  <si>
    <t>Awif5iQnv1J2x6RHJrh3cNyaH2ghu47DsJfRgFwSpump</t>
  </si>
  <si>
    <t>🫃</t>
  </si>
  <si>
    <t>3,200,065</t>
  </si>
  <si>
    <t>18.10.2024 19:42:14</t>
  </si>
  <si>
    <t>D2JGRcNqq1mLzyL4ruCb27pzYw8FF3nTK4hMz6GmMW56</t>
  </si>
  <si>
    <t>😂</t>
  </si>
  <si>
    <t>33,870,954</t>
  </si>
  <si>
    <t>18.10.2024 18:58:39</t>
  </si>
  <si>
    <t xml:space="preserve">        N/A           N/A           101K</t>
  </si>
  <si>
    <t>54FkyFRq4iea7ArZEWrKXFXWcxNEuiVEhTTP6YLLm2hU</t>
  </si>
  <si>
    <t>0.022570</t>
  </si>
  <si>
    <t>353.57%</t>
  </si>
  <si>
    <t>18.10.2024 18:52:12</t>
  </si>
  <si>
    <t xml:space="preserve">        616K           510K             2M</t>
  </si>
  <si>
    <t>33,775</t>
  </si>
  <si>
    <t>18.10.2024 15:52:27</t>
  </si>
  <si>
    <t xml:space="preserve">        733K           725K            21K</t>
  </si>
  <si>
    <t>D85UjuRzazGeSS24E8yFy4DtKczmipwFNew4SKe1dEBy</t>
  </si>
  <si>
    <t>83,405</t>
  </si>
  <si>
    <t>18.10.2024 15:10:47</t>
  </si>
  <si>
    <t xml:space="preserve">        145K           145K            78K</t>
  </si>
  <si>
    <t>74Eyos32V2B6ineYgAcRMZsiDpz65z7sXHq7D5MSMYgF</t>
  </si>
  <si>
    <t>95,678</t>
  </si>
  <si>
    <t>18.10.2024 14:39:37</t>
  </si>
  <si>
    <t>A9fLFNoev8jbob6Toy8K5hpG9Ls3xZ8rtHTAEikKpump</t>
  </si>
  <si>
    <t>17,273</t>
  </si>
  <si>
    <t>18.10.2024 10:51:00</t>
  </si>
  <si>
    <t xml:space="preserve">        712K           712K            31K</t>
  </si>
  <si>
    <t>EH2tRrNn2TfD2c1vNLMrNaxa4wskzEnzb1Vo5YDRpump</t>
  </si>
  <si>
    <t>Gooby</t>
  </si>
  <si>
    <t>347.00%</t>
  </si>
  <si>
    <t>18.10.2024 07:31:05</t>
  </si>
  <si>
    <t xml:space="preserve">        485K           485K             2M</t>
  </si>
  <si>
    <t>G9b9Lt78x5JXhFLeDY4ZAfMkWWugnbsfKBR2qipJWXaT</t>
  </si>
  <si>
    <t>1,279</t>
  </si>
  <si>
    <t>18.10.2024 04:34:44</t>
  </si>
  <si>
    <t xml:space="preserve">         10M            10M             2M</t>
  </si>
  <si>
    <t>AG</t>
  </si>
  <si>
    <t>395.05%</t>
  </si>
  <si>
    <t>18.10.2024 02:38:06</t>
  </si>
  <si>
    <t xml:space="preserve">        252K           252K            55K</t>
  </si>
  <si>
    <t>BdYqxVbfofR5SrwwDdMhf6P7oGWQnbydFjY3ySpppump</t>
  </si>
  <si>
    <t>teno</t>
  </si>
  <si>
    <t>194.43%</t>
  </si>
  <si>
    <t>17.10.2024 23:18:54</t>
  </si>
  <si>
    <t xml:space="preserve">        213K           213K            32K</t>
  </si>
  <si>
    <t>7WMh8NGrjgqQGUF8UX6GRwAAAfVJ57EvgzvDsgEmpump</t>
  </si>
  <si>
    <t>MAXWELL</t>
  </si>
  <si>
    <t>27,441</t>
  </si>
  <si>
    <t>17.10.2024 21:56:30</t>
  </si>
  <si>
    <t xml:space="preserve">        336K           336K             7K</t>
  </si>
  <si>
    <t>J9RY5NrR3i6jxJctdy955Dc4tjCF5PHyh7BQZb6Cpump</t>
  </si>
  <si>
    <t>ROKO</t>
  </si>
  <si>
    <t>2,513</t>
  </si>
  <si>
    <t>17.10.2024 21:01:40</t>
  </si>
  <si>
    <t xml:space="preserve">          5M             5M           242K</t>
  </si>
  <si>
    <t>41revsxLUZnoiUQoMT9eBVCzi4cs8Xbs48rp53gcpump</t>
  </si>
  <si>
    <t>5,670</t>
  </si>
  <si>
    <t>17.10.2024 20:20:35</t>
  </si>
  <si>
    <t>5,368</t>
  </si>
  <si>
    <t>17.10.2024 19:59:58</t>
  </si>
  <si>
    <t xml:space="preserve">          2M             2M            11K</t>
  </si>
  <si>
    <t>1,806</t>
  </si>
  <si>
    <t>17.10.2024 19:26:54</t>
  </si>
  <si>
    <t xml:space="preserve">          7M             7M           302K</t>
  </si>
  <si>
    <t>retire</t>
  </si>
  <si>
    <t>11,842</t>
  </si>
  <si>
    <t>17.10.2024 19:20:40</t>
  </si>
  <si>
    <t xml:space="preserve">          1M             1M             2M</t>
  </si>
  <si>
    <t>zGh48JtNHVBb5evgoZLXwgPD2Qu4MhkWdJLGDAupump</t>
  </si>
  <si>
    <t>think</t>
  </si>
  <si>
    <t>8,140</t>
  </si>
  <si>
    <t>17.10.2024 18:36:36</t>
  </si>
  <si>
    <t xml:space="preserve">          2M             2M           186K</t>
  </si>
  <si>
    <t>C2Tfxi3qhAHKjUHWG5TJCkavZ3DwzX3RNbPja4RNpump</t>
  </si>
  <si>
    <t>wiftardio</t>
  </si>
  <si>
    <t>95,656</t>
  </si>
  <si>
    <t>17.10.2024 17:33:52</t>
  </si>
  <si>
    <t xml:space="preserve">        128K           128K             6K</t>
  </si>
  <si>
    <t>13FQzLX3jKmZUSP6sScHWCA26cXwYyfx2VAESw1ypump</t>
  </si>
  <si>
    <t>4,821</t>
  </si>
  <si>
    <t>17.10.2024 16:22:55</t>
  </si>
  <si>
    <t>SEALY</t>
  </si>
  <si>
    <t>0.007570</t>
  </si>
  <si>
    <t>-0.498 SOL</t>
  </si>
  <si>
    <t>90,845</t>
  </si>
  <si>
    <t>17.10.2024 15:00:46</t>
  </si>
  <si>
    <t xml:space="preserve">        626K           638K            11K</t>
  </si>
  <si>
    <t>4zrWJVoPFfVrSs6Bt7YDm5Lbwt86FeHZUJJ8p9GXpump</t>
  </si>
  <si>
    <t>CAFE</t>
  </si>
  <si>
    <t>1,488</t>
  </si>
  <si>
    <t>17.10.2024 12:55:46</t>
  </si>
  <si>
    <t>CFyaDC9yjmE71wYw633HavRN3VQ3aq37sYujARR1pump</t>
  </si>
  <si>
    <t>48.86%</t>
  </si>
  <si>
    <t>17.10.2024 06:22:16</t>
  </si>
  <si>
    <t xml:space="preserve">        989K           989K            88K</t>
  </si>
  <si>
    <t>283.52%</t>
  </si>
  <si>
    <t>17.10.2024 04:53:24</t>
  </si>
  <si>
    <t xml:space="preserve">        123K           192K            82K</t>
  </si>
  <si>
    <t>DMG</t>
  </si>
  <si>
    <t>6,265</t>
  </si>
  <si>
    <t>17.10.2024 04:10:44</t>
  </si>
  <si>
    <t xml:space="preserve">          2M             2M           316K</t>
  </si>
  <si>
    <t>GjjDzSuRzbzf8bQbcZR1RgEpPmmHKyTMqksQJhx5pump</t>
  </si>
  <si>
    <t>FIC</t>
  </si>
  <si>
    <t>5,384</t>
  </si>
  <si>
    <t>17.10.2024 01:47:02</t>
  </si>
  <si>
    <t xml:space="preserve">          2M             2M           134K</t>
  </si>
  <si>
    <t>4DEFCb5t4Ww2YScco6mUhQNCpkB76ps1ev8nbNfvpump</t>
  </si>
  <si>
    <t>schizo</t>
  </si>
  <si>
    <t>16.10.2024 18:13:48</t>
  </si>
  <si>
    <t xml:space="preserve">          2M             2M           729K</t>
  </si>
  <si>
    <t>8sWKTMrh9bWUrvykK4H3jzEzGbEqvJNpS2f7joYKpump</t>
  </si>
  <si>
    <t>26,087</t>
  </si>
  <si>
    <t>16.10.2024 16:37:05</t>
  </si>
  <si>
    <t>D3sjstAjtDTWwovWnUXZvcjs5iuhQVDRE1vvsZLfpump</t>
  </si>
  <si>
    <t>76.59%</t>
  </si>
  <si>
    <t>16.10.2024 16:33:53</t>
  </si>
  <si>
    <t xml:space="preserve">          3M             1M           198K</t>
  </si>
  <si>
    <t>Bakso</t>
  </si>
  <si>
    <t>3,178</t>
  </si>
  <si>
    <t>16.10.2024 16:28:53</t>
  </si>
  <si>
    <t xml:space="preserve">          4M             4M           653K</t>
  </si>
  <si>
    <t>FqnqT1GKi8S4Gyk5wnSKvJjXW48HqGtKJt9WS4o2pump</t>
  </si>
  <si>
    <t>46,211</t>
  </si>
  <si>
    <t>16.10.2024 15:23:13</t>
  </si>
  <si>
    <t xml:space="preserve">        266K           266K            22K</t>
  </si>
  <si>
    <t>4,078</t>
  </si>
  <si>
    <t>16.10.2024 15:17:46</t>
  </si>
  <si>
    <t>HOPPER</t>
  </si>
  <si>
    <t>60,848</t>
  </si>
  <si>
    <t>16.10.2024 15:16:29</t>
  </si>
  <si>
    <t xml:space="preserve">        769K           392K            31K</t>
  </si>
  <si>
    <t>8M7i3nDc9JpqBzCgGaz76cqBBtNBqGx8yBNyUbkpump</t>
  </si>
  <si>
    <t>11,401</t>
  </si>
  <si>
    <t>16.10.2024 14:00:58</t>
  </si>
  <si>
    <t xml:space="preserve">          1M             1M           391K</t>
  </si>
  <si>
    <t>8DJFdAgWWVgTs3vurYyjVhCPZ6TEeiR3KjC18DaSpump</t>
  </si>
  <si>
    <t>KHAI</t>
  </si>
  <si>
    <t>16.10.2024 12:58:37</t>
  </si>
  <si>
    <t xml:space="preserve">         28M            28M            17M</t>
  </si>
  <si>
    <t>3TWgDvYBL2YPET2LxnWAwsMeoA8aL4DutNuwat2pKCjC</t>
  </si>
  <si>
    <t>40,006</t>
  </si>
  <si>
    <t>16.10.2024 11:40:11</t>
  </si>
  <si>
    <t xml:space="preserve">        308K           308K             8K</t>
  </si>
  <si>
    <t>HIGHER</t>
  </si>
  <si>
    <t>64,201</t>
  </si>
  <si>
    <t>16.10.2024 10:05:39</t>
  </si>
  <si>
    <t xml:space="preserve">        196K             2M            15K</t>
  </si>
  <si>
    <t>5vHFaW2f16gkpxcfDp7J3a3cjtrdJH7ErJVShFXCpump</t>
  </si>
  <si>
    <t>CELFIE</t>
  </si>
  <si>
    <t>-0.240 SOL</t>
  </si>
  <si>
    <t>19,161</t>
  </si>
  <si>
    <t>16.10.2024 06:24:47</t>
  </si>
  <si>
    <t xml:space="preserve">          2M             3M             7K</t>
  </si>
  <si>
    <t>34pMsy5UsAmjaXDk6WYEcxZJQYL5zwpt7rBG5VSYeJ76</t>
  </si>
  <si>
    <t>1,002</t>
  </si>
  <si>
    <t>16.10.2024 05:50:57</t>
  </si>
  <si>
    <t xml:space="preserve">         12M            12M             3M</t>
  </si>
  <si>
    <t>4,125</t>
  </si>
  <si>
    <t>16.10.2024 04:33:09</t>
  </si>
  <si>
    <t xml:space="preserve">          3M             3M           937K</t>
  </si>
  <si>
    <t>RICH</t>
  </si>
  <si>
    <t>2,479</t>
  </si>
  <si>
    <t>16.10.2024 02:57:33</t>
  </si>
  <si>
    <t xml:space="preserve">          5M             5M             3M</t>
  </si>
  <si>
    <t>GRFK7sv4KhkMzJ7BXDUBy4PLyZVBeXuW1FeaT6Mnpump</t>
  </si>
  <si>
    <t>🐕</t>
  </si>
  <si>
    <t>1,289</t>
  </si>
  <si>
    <t>16.10.2024 01:01:00</t>
  </si>
  <si>
    <t>DLScRnWofxiYGqnvZWGy9Gt98MPqKdznaK4TRukxpump</t>
  </si>
  <si>
    <t>$MIHARU</t>
  </si>
  <si>
    <t>9,331</t>
  </si>
  <si>
    <t>16.10.2024 00:50:56</t>
  </si>
  <si>
    <t xml:space="preserve">          5M             4M           394K</t>
  </si>
  <si>
    <t>2eCVVZ4tomqn4eyuA9Gh5PSKrjNXGwgMhPALGtAkpump</t>
  </si>
  <si>
    <t>quaestio</t>
  </si>
  <si>
    <t>27,135</t>
  </si>
  <si>
    <t>16.10.2024 00:42:55</t>
  </si>
  <si>
    <t xml:space="preserve">        649K           649K             6K</t>
  </si>
  <si>
    <t>9R7kGuRaTvprGcZCZQg71XjqUPsKCeBLaut6c8Thpump</t>
  </si>
  <si>
    <t>CIT</t>
  </si>
  <si>
    <t>89,098</t>
  </si>
  <si>
    <t>15.10.2024 22:37:50</t>
  </si>
  <si>
    <t xml:space="preserve">        197K           197K            12K</t>
  </si>
  <si>
    <t>D7L1XbVQqmnKFHhNABnNwGiqKxoDbpVw12V2bciKpump</t>
  </si>
  <si>
    <t>40,208</t>
  </si>
  <si>
    <t>15.10.2024 21:05:08</t>
  </si>
  <si>
    <t xml:space="preserve">        438K           438K             6K</t>
  </si>
  <si>
    <t>9vke4XQg345j4TjuDVRciSyWPKvb95wPU2Sfy6NXpump</t>
  </si>
  <si>
    <t>1,861</t>
  </si>
  <si>
    <t>15.10.2024 18:46:18</t>
  </si>
  <si>
    <t xml:space="preserve">        943K           943K            17K</t>
  </si>
  <si>
    <t>HbfxH6RJZLsbdpfuy12AXKoWi1uLHrFLSx31ceqYpfTr</t>
  </si>
  <si>
    <t>rocky</t>
  </si>
  <si>
    <t xml:space="preserve">          7M             7M            10M</t>
  </si>
  <si>
    <t>BVG3BJH4ghUPJT9mCi7JbziNwx3dqRTzgo9x5poGpump</t>
  </si>
  <si>
    <t>$LATE</t>
  </si>
  <si>
    <t>20,496</t>
  </si>
  <si>
    <t>15.10.2024 15:52:15</t>
  </si>
  <si>
    <t xml:space="preserve">        841K           841K            15K</t>
  </si>
  <si>
    <t>5VvzXybL3Zdz8DaCi7QqbFh1hDP9g3gNiKoPoeqBpump</t>
  </si>
  <si>
    <t>32.12%</t>
  </si>
  <si>
    <t>15.10.2024 15:14:22</t>
  </si>
  <si>
    <t xml:space="preserve">        392K           392K            14K</t>
  </si>
  <si>
    <t>DOAXBV</t>
  </si>
  <si>
    <t>64,654</t>
  </si>
  <si>
    <t>15.10.2024 07:18:06</t>
  </si>
  <si>
    <t>rPZQXLN4FuzUf28Vk5RMjHtjX3xYUc7LCTBPCYv3SDz</t>
  </si>
  <si>
    <t>80,899</t>
  </si>
  <si>
    <t>15.10.2024 06:55:52</t>
  </si>
  <si>
    <t>megs</t>
  </si>
  <si>
    <t>4,307</t>
  </si>
  <si>
    <t>15.10.2024 05:46:52</t>
  </si>
  <si>
    <t xml:space="preserve">          4M             4M           164K</t>
  </si>
  <si>
    <t>GegBq6qGirNSVPbDcHNbG89xUcFTqNDwfSKt85T8pump</t>
  </si>
  <si>
    <t>32,503</t>
  </si>
  <si>
    <t>15.10.2024 02:18:37</t>
  </si>
  <si>
    <t xml:space="preserve">        519K           519K            31K</t>
  </si>
  <si>
    <t>Az1ZAoXLdERDVwc8Q56yRGYG3wxmxjzHYPtnJVwzpump</t>
  </si>
  <si>
    <t>MOJI</t>
  </si>
  <si>
    <t>2,127</t>
  </si>
  <si>
    <t>15.10.2024 01:24:00</t>
  </si>
  <si>
    <t xml:space="preserve">          8M             8M            58K</t>
  </si>
  <si>
    <t>CB48KiK1oi1tWtjmPWxVR2NPeEr9ewzmZQ8ERk79Ue4b</t>
  </si>
  <si>
    <t>42,394</t>
  </si>
  <si>
    <t>14.10.2024 23:53:19</t>
  </si>
  <si>
    <t xml:space="preserve">        415K           415K             7K</t>
  </si>
  <si>
    <t>99,714</t>
  </si>
  <si>
    <t>14.10.2024 23:24:58</t>
  </si>
  <si>
    <t xml:space="preserve">        176K           176K             8K</t>
  </si>
  <si>
    <t>73JvffFeoML6hPabvUWrGBwHobRBkvKA5wSV55Cspump</t>
  </si>
  <si>
    <t>HONK</t>
  </si>
  <si>
    <t>2,355</t>
  </si>
  <si>
    <t>14.10.2024 23:06:07</t>
  </si>
  <si>
    <t xml:space="preserve">          7M             7M             4M</t>
  </si>
  <si>
    <t>3ag1Mj9AKz9FAkCQ6gAEhpLSX8B2pUbPdkb9iBsDLZNB</t>
  </si>
  <si>
    <t>162.89%</t>
  </si>
  <si>
    <t>14.10.2024 22:09:32</t>
  </si>
  <si>
    <t xml:space="preserve">        255K           255K            45K</t>
  </si>
  <si>
    <t>glob</t>
  </si>
  <si>
    <t>43,766</t>
  </si>
  <si>
    <t>14.10.2024 21:18:55</t>
  </si>
  <si>
    <t xml:space="preserve">          2M           974K            13K</t>
  </si>
  <si>
    <t>FDTJzoVQ7rHPFyKhyJzdHh1nbX66sBKPzmknWsobpump</t>
  </si>
  <si>
    <t>$SORANA</t>
  </si>
  <si>
    <t>265,786</t>
  </si>
  <si>
    <t>14.10.2024 20:49:46</t>
  </si>
  <si>
    <t xml:space="preserve">         92K            92K            72K</t>
  </si>
  <si>
    <t>ExbN9KVhLMZT1Pt6uEQ5eMyWdfbTAvdLP9cBTwaK8EHL</t>
  </si>
  <si>
    <t>254,193</t>
  </si>
  <si>
    <t>14.10.2024 20:44:52</t>
  </si>
  <si>
    <t xml:space="preserve">        104K           104K            84K</t>
  </si>
  <si>
    <t>5147jVC5SBeYUWQoo6NTSQodGB8ZMDp7JhVRSkv2nA4W</t>
  </si>
  <si>
    <t>5,633</t>
  </si>
  <si>
    <t>14.10.2024 20:21:02</t>
  </si>
  <si>
    <t xml:space="preserve">          5M             5M            75K</t>
  </si>
  <si>
    <t>WOOFWOOF</t>
  </si>
  <si>
    <t>126,107</t>
  </si>
  <si>
    <t>14.10.2024 18:45:09</t>
  </si>
  <si>
    <t>8aTY1MBjcyXpqioGTcescFXfHgtdQrHzjmoEB7chpump</t>
  </si>
  <si>
    <t>CASH</t>
  </si>
  <si>
    <t>36,840</t>
  </si>
  <si>
    <t>14.10.2024 18:28:24</t>
  </si>
  <si>
    <t xml:space="preserve">        716K           716K            44K</t>
  </si>
  <si>
    <t>6rVy5oRuLzwgJP82KYHKaVNvdwCeWAa74WZrtKUSpump</t>
  </si>
  <si>
    <t>Knew</t>
  </si>
  <si>
    <t>311,496</t>
  </si>
  <si>
    <t>14.10.2024 17:34:06</t>
  </si>
  <si>
    <t xml:space="preserve">         84K            84K             5K</t>
  </si>
  <si>
    <t>C7sM1YAEbpxEy1GzmPe98hQPxoBdat85mUHcUfmppump</t>
  </si>
  <si>
    <t>PRINT</t>
  </si>
  <si>
    <t>318,045</t>
  </si>
  <si>
    <t>14.10.2024 13:11:26</t>
  </si>
  <si>
    <t xml:space="preserve">         83K            83K            12K</t>
  </si>
  <si>
    <t>4mFEgazY55VcYdVPsz9ruXJ6J7eFMBKf61vKzqenpump</t>
  </si>
  <si>
    <t>ELGATO</t>
  </si>
  <si>
    <t>41,574</t>
  </si>
  <si>
    <t>14.10.2024 10:49:11</t>
  </si>
  <si>
    <t xml:space="preserve">          6M             6M             4M</t>
  </si>
  <si>
    <t>F47vvwFYuLioQsqEVAjqdY6Yihc8wVRiUcfHGcBR9XUs</t>
  </si>
  <si>
    <t>🪲</t>
  </si>
  <si>
    <t>16,449</t>
  </si>
  <si>
    <t>14.10.2024 07:07:07</t>
  </si>
  <si>
    <t xml:space="preserve">          2M             2M           404K</t>
  </si>
  <si>
    <t>HQXwjVBUU2fvvrM7xNq6gfX3vsACkqHtZo7mwKwUpump</t>
  </si>
  <si>
    <t>BUFF</t>
  </si>
  <si>
    <t>6,300</t>
  </si>
  <si>
    <t>14.10.2024 03:49:51</t>
  </si>
  <si>
    <t xml:space="preserve">          4M             4M             8K</t>
  </si>
  <si>
    <t>fqcdfYCuMmgCnR3NWa1AxYG7Cfez39nStKVpHT9PAPh</t>
  </si>
  <si>
    <t>40,662</t>
  </si>
  <si>
    <t>14.10.2024 01:15:16</t>
  </si>
  <si>
    <t xml:space="preserve">        649K           649K             8K</t>
  </si>
  <si>
    <t>BWOB</t>
  </si>
  <si>
    <t>154,156</t>
  </si>
  <si>
    <t>13.10.2024 22:59:32</t>
  </si>
  <si>
    <t xml:space="preserve">        160K           160K             6K</t>
  </si>
  <si>
    <t>wJKaQEDxnBXwj4RCqNKE3K8NZaG992bZYnottcupump</t>
  </si>
  <si>
    <t>53,826</t>
  </si>
  <si>
    <t>13.10.2024 22:36:10</t>
  </si>
  <si>
    <t xml:space="preserve">        491K           491K           158K</t>
  </si>
  <si>
    <t>MAIN</t>
  </si>
  <si>
    <t>21,073</t>
  </si>
  <si>
    <t>13.10.2024 22:00:17</t>
  </si>
  <si>
    <t xml:space="preserve">          1M             1M            64K</t>
  </si>
  <si>
    <t>HoCunqcWb8b3PtuX8aPvvF3R2nCmfjmTj32zSgSvpump</t>
  </si>
  <si>
    <t>4,539</t>
  </si>
  <si>
    <t>13.10.2024 19:53:48</t>
  </si>
  <si>
    <t>YAMATO</t>
  </si>
  <si>
    <t>127,973</t>
  </si>
  <si>
    <t>13.10.2024 19:45:51</t>
  </si>
  <si>
    <t xml:space="preserve">        206K           206K             6K</t>
  </si>
  <si>
    <t>J9sVEJz5FMkJ8RrVQvtfTm3fyy5BKFi2PqpVJCmJpump</t>
  </si>
  <si>
    <t>morud</t>
  </si>
  <si>
    <t>0.015050</t>
  </si>
  <si>
    <t>28.44%</t>
  </si>
  <si>
    <t>13.10.2024 18:10:53</t>
  </si>
  <si>
    <t xml:space="preserve">          4M             8M             3M</t>
  </si>
  <si>
    <t>FskzSqy7Pi1f3nWorr4WhhQboxzyv8fv6Q2e8xyDpump</t>
  </si>
  <si>
    <t>crocs</t>
  </si>
  <si>
    <t>10,802</t>
  </si>
  <si>
    <t>13.10.2024 17:51:11</t>
  </si>
  <si>
    <t xml:space="preserve">          2M             2M            31K</t>
  </si>
  <si>
    <t>CKMYq8fN5NyqEhttWr8xj4Q2fyEJv686QANnT7dopump</t>
  </si>
  <si>
    <t>49.04%</t>
  </si>
  <si>
    <t>13.10.2024 07:56:19</t>
  </si>
  <si>
    <t xml:space="preserve">        179K           179K            41K</t>
  </si>
  <si>
    <t>Fv4FYb2YnPWsLnk4wtYXZebTVYAHX22wkp2w3a7fpump</t>
  </si>
  <si>
    <t>400.22%</t>
  </si>
  <si>
    <t>12.10.2024 18:51:11</t>
  </si>
  <si>
    <t xml:space="preserve">         73K            73K            27K</t>
  </si>
  <si>
    <t>9fkCspSqRWqFGcmV4yB1ek2gmmm8zNsATkZy6DTRSpwA</t>
  </si>
  <si>
    <t>PAINT</t>
  </si>
  <si>
    <t>77,675</t>
  </si>
  <si>
    <t>12.10.2024 18:47:09</t>
  </si>
  <si>
    <t xml:space="preserve">        681K           677K           168K</t>
  </si>
  <si>
    <t>8x9c5qa4nvakKo5wHPbPa5xvTVMKmS26w4DRpCQLCLk3</t>
  </si>
  <si>
    <t>MOB</t>
  </si>
  <si>
    <t>28,129</t>
  </si>
  <si>
    <t>12.10.2024 17:30:10</t>
  </si>
  <si>
    <t xml:space="preserve">        937K           937K           182K</t>
  </si>
  <si>
    <t>2tUS7AK6V9eLHYLZNuNkRiskw1L2sFe9Rvgo1Jr8pump</t>
  </si>
  <si>
    <t>86,987</t>
  </si>
  <si>
    <t>12.10.2024 17:23:18</t>
  </si>
  <si>
    <t xml:space="preserve">        303K           303K            10K</t>
  </si>
  <si>
    <t>5BcypcSTzVSJNjHJLahngfkY6Ktp7JQVuoA9N7Xrpump</t>
  </si>
  <si>
    <t>0.007560</t>
  </si>
  <si>
    <t>202.86%</t>
  </si>
  <si>
    <t>12.10.2024 03:02:29</t>
  </si>
  <si>
    <t xml:space="preserve">        280K            17M             1M</t>
  </si>
  <si>
    <t>41.68%</t>
  </si>
  <si>
    <t>11.10.2024 23:53:03</t>
  </si>
  <si>
    <t>duk</t>
  </si>
  <si>
    <t>17,584</t>
  </si>
  <si>
    <t>11.10.2024 23:45:29</t>
  </si>
  <si>
    <t xml:space="preserve">          2M             2M           940K</t>
  </si>
  <si>
    <t>A2khRbhRJNrAEHj95htivC4cR4VbJwfssDH5FPPbP4m9</t>
  </si>
  <si>
    <t>311,216</t>
  </si>
  <si>
    <t>11.10.2024 20:49:16</t>
  </si>
  <si>
    <t>8GJTkhLHTAzb7H8SEJfwDo1oWDNSPPGVU1R1xJ7Gpump</t>
  </si>
  <si>
    <t>45.76%</t>
  </si>
  <si>
    <t>11.10.2024 19:48:55</t>
  </si>
  <si>
    <t xml:space="preserve">        280K           280K            35K</t>
  </si>
  <si>
    <t>STAN</t>
  </si>
  <si>
    <t>2,591</t>
  </si>
  <si>
    <t>11.10.2024 19:40:43</t>
  </si>
  <si>
    <t xml:space="preserve">         10M            10M             8M</t>
  </si>
  <si>
    <t>CQSzJzwW5H1oyWrp6QhfUKYYwyovbSiVDKnAxNfb1tJC</t>
  </si>
  <si>
    <t>46,236</t>
  </si>
  <si>
    <t>11.10.2024 19:12:59</t>
  </si>
  <si>
    <t xml:space="preserve">        570K           570K            67K</t>
  </si>
  <si>
    <t>80,421</t>
  </si>
  <si>
    <t>11.10.2024 18:35:10</t>
  </si>
  <si>
    <t xml:space="preserve">        329K           329K            16K</t>
  </si>
  <si>
    <t>5PQ9K3NA7Hf8ZYwB5TuUfMiD9mNzd8P1S1fkc8rmpump</t>
  </si>
  <si>
    <t>BRAINLET</t>
  </si>
  <si>
    <t>1,419</t>
  </si>
  <si>
    <t>11.10.2024 18:07:04</t>
  </si>
  <si>
    <t xml:space="preserve">         47M            31M            23M</t>
  </si>
  <si>
    <t>8NNXWrWVctNw1UFeaBypffimTdcLCcD8XJzHvYsmgwpF</t>
  </si>
  <si>
    <t>100,279</t>
  </si>
  <si>
    <t>11.10.2024 15:30:35</t>
  </si>
  <si>
    <t xml:space="preserve">        264K           264K            13K</t>
  </si>
  <si>
    <t>EsNwBBJS7yR5ieUfsL5YrEFoVTmvL1Jk9MqcXxqEpump</t>
  </si>
  <si>
    <t>403.76%</t>
  </si>
  <si>
    <t>11.10.2024 12:39:36</t>
  </si>
  <si>
    <t xml:space="preserve">        204K             1M           367K</t>
  </si>
  <si>
    <t>stoic</t>
  </si>
  <si>
    <t>94.75%</t>
  </si>
  <si>
    <t>11.10.2024 12:37:13</t>
  </si>
  <si>
    <t xml:space="preserve">        595K           595K           390K</t>
  </si>
  <si>
    <t>8TzfHZa6ZnvvGsQfnFC5wGrCiqbN9nD2KMjyabfrpump</t>
  </si>
  <si>
    <t>6,925</t>
  </si>
  <si>
    <t>11.10.2024 05:18:45</t>
  </si>
  <si>
    <t xml:space="preserve">          4M             4M           132K</t>
  </si>
  <si>
    <t>3dwu2tw7kBFZvWEdJMbPCGm7MBwgziABChLV1kGspump</t>
  </si>
  <si>
    <t>$Chappy</t>
  </si>
  <si>
    <t>62,650</t>
  </si>
  <si>
    <t>11.10.2024 05:00:41</t>
  </si>
  <si>
    <t xml:space="preserve">        420K           420K            14K</t>
  </si>
  <si>
    <t>E1HerxvmX2pYoH5bUX9WepS3D5bzp3eHfryCxccN79hZ</t>
  </si>
  <si>
    <t>2,713</t>
  </si>
  <si>
    <t>10.10.2024 21:46:33</t>
  </si>
  <si>
    <t>7DGJnYfJrYiP5CKBx6wpbu8F5Ya1swdFoesuCrAKCzZc</t>
  </si>
  <si>
    <t>HOPE</t>
  </si>
  <si>
    <t>142,293</t>
  </si>
  <si>
    <t>10.10.2024 21:21:58</t>
  </si>
  <si>
    <t xml:space="preserve">        184K           184K             8K</t>
  </si>
  <si>
    <t>7pr18GQuN39tkdDbhJgcVuXvb9xE4G3vreVACccWpump</t>
  </si>
  <si>
    <t>RNT</t>
  </si>
  <si>
    <t>2,253</t>
  </si>
  <si>
    <t>10.10.2024 21:19:58</t>
  </si>
  <si>
    <t xml:space="preserve">         12M            12M            12M</t>
  </si>
  <si>
    <t>2fUFhZyd47Mapv9wcfXh5gnQwFXtqcYu9xAN4THBpump</t>
  </si>
  <si>
    <t>miharu</t>
  </si>
  <si>
    <t>39.66%</t>
  </si>
  <si>
    <t>10.10.2024 19:29:41</t>
  </si>
  <si>
    <t xml:space="preserve">          8M            22M             1M</t>
  </si>
  <si>
    <t>6tVZVjcppH2BZ9Xj5yFU1Zt34m2rYcyDqqpSeMDZpump</t>
  </si>
  <si>
    <t>birb</t>
  </si>
  <si>
    <t>23,523</t>
  </si>
  <si>
    <t>10.10.2024 17:19:19</t>
  </si>
  <si>
    <t>58yjHn8mGdgGYCu5A6WiE1MbBHidZqC9N6b3trwupump</t>
  </si>
  <si>
    <t>138,915</t>
  </si>
  <si>
    <t>10.10.2024 17:09:50</t>
  </si>
  <si>
    <t xml:space="preserve">        190K           190K            13K</t>
  </si>
  <si>
    <t>292,502</t>
  </si>
  <si>
    <t>10.10.2024 16:58:24</t>
  </si>
  <si>
    <t xml:space="preserve">         90K            90K             5K</t>
  </si>
  <si>
    <t>6V6q3A6x3SjQEx3cmHEwhcLrBvUMABZrJHE1CYppump</t>
  </si>
  <si>
    <t>71,005</t>
  </si>
  <si>
    <t>10.10.2024 16:47:41</t>
  </si>
  <si>
    <t xml:space="preserve">        734K           755K            18K</t>
  </si>
  <si>
    <t>6yG3pna19rfYm1k1P7eBTDhFqyFkyrW16j5iZwMWpump</t>
  </si>
  <si>
    <t>27,430</t>
  </si>
  <si>
    <t>10.10.2024 16:03:52</t>
  </si>
  <si>
    <t>AVVAVwmhoziPgr13c2wZt3nUn6iuSPAY6NdvoPCwaHQH</t>
  </si>
  <si>
    <t>MAWA</t>
  </si>
  <si>
    <t>2,495</t>
  </si>
  <si>
    <t>10.10.2024 14:12:18</t>
  </si>
  <si>
    <t xml:space="preserve">         11M            11M             4M</t>
  </si>
  <si>
    <t>8Sk1mazEDN1L6P6E9di4Xgza3icJw4Za9KUKqnUNEQrM</t>
  </si>
  <si>
    <t>MENTALITY</t>
  </si>
  <si>
    <t>162,441</t>
  </si>
  <si>
    <t>10.10.2024 04:46:23</t>
  </si>
  <si>
    <t xml:space="preserve">        162K           162K            10K</t>
  </si>
  <si>
    <t>EJ6r55VaTxKwaPTBWU6naLsUoSnBJ59Q3jZtE5wrpump</t>
  </si>
  <si>
    <t>MILTON</t>
  </si>
  <si>
    <t>125,094</t>
  </si>
  <si>
    <t>10.10.2024 02:28:13</t>
  </si>
  <si>
    <t xml:space="preserve">        211K           211K             6K</t>
  </si>
  <si>
    <t>F9yiB9kPzCQKE8vP9jZfHXXuTL9z1FKTaZvqqKXdpump</t>
  </si>
  <si>
    <t>PAJAMAS</t>
  </si>
  <si>
    <t>5,508</t>
  </si>
  <si>
    <t>10.10.2024 00:00:26</t>
  </si>
  <si>
    <t>FvER7SsvY5GqAMawf7Qfb5MnUUmDdbPNPg4nCa4zHoLw</t>
  </si>
  <si>
    <t>NOSA</t>
  </si>
  <si>
    <t>122,641</t>
  </si>
  <si>
    <t>09.10.2024 23:39:08</t>
  </si>
  <si>
    <t xml:space="preserve">        985K           274K            11K</t>
  </si>
  <si>
    <t>QuDZc6m9TDhGJgT1bGTHXBfDabdpLx8sbQeB44xpump</t>
  </si>
  <si>
    <t>12,633</t>
  </si>
  <si>
    <t>09.10.2024 20:39:20</t>
  </si>
  <si>
    <t xml:space="preserve">          2M             2M            54K</t>
  </si>
  <si>
    <t>yw1qQQ8Y1o1QMd4binGzyDxgwQZfrKATgvNS2azpump</t>
  </si>
  <si>
    <t>128,026</t>
  </si>
  <si>
    <t>09.10.2024 20:11:19</t>
  </si>
  <si>
    <t xml:space="preserve">        205K           205K            10K</t>
  </si>
  <si>
    <t>FcgY2rCHmzWpV5BHJYa3xcUhsEreQyAJ1vD2d2uzpump</t>
  </si>
  <si>
    <t>wDOG</t>
  </si>
  <si>
    <t>1,650</t>
  </si>
  <si>
    <t>09.10.2024 19:34:15</t>
  </si>
  <si>
    <t xml:space="preserve">         16M            16M             7M</t>
  </si>
  <si>
    <t>GYKmdfcUmZVrqfcH1g579BGjuzSRijj3LBuwv79rpump</t>
  </si>
  <si>
    <t>ROSA</t>
  </si>
  <si>
    <t>39,889</t>
  </si>
  <si>
    <t>09.10.2024 19:24:23</t>
  </si>
  <si>
    <t xml:space="preserve">        661K           661K             6K</t>
  </si>
  <si>
    <t>ETQ1eizmor3uMnPByaRDdzqVDa67XBdxNuWB61t5pump</t>
  </si>
  <si>
    <t>CJX</t>
  </si>
  <si>
    <t>55,644</t>
  </si>
  <si>
    <t>09.10.2024 13:04:55</t>
  </si>
  <si>
    <t xml:space="preserve">        474K           474K             6K</t>
  </si>
  <si>
    <t>CpN2Wvw9Er1hfrK1J6L2u93Tw3V9RJU4EArFRdsC2mGY</t>
  </si>
  <si>
    <t>ZELDA</t>
  </si>
  <si>
    <t>130,794</t>
  </si>
  <si>
    <t>09.10.2024 03:10:23</t>
  </si>
  <si>
    <t xml:space="preserve">        202K           202K             5K</t>
  </si>
  <si>
    <t>G4A5da43abPuwmiLDqCDhNX9YTUrwidP7mTS4HHppump</t>
  </si>
  <si>
    <t>RUNNER</t>
  </si>
  <si>
    <t>91,323</t>
  </si>
  <si>
    <t>09.10.2024 01:05:06</t>
  </si>
  <si>
    <t xml:space="preserve">        785K           457K            17K</t>
  </si>
  <si>
    <t>7TdauvKoUa939cHiArFFArVb2FVSVjm61b2BG9CspAEz</t>
  </si>
  <si>
    <t>Nurf</t>
  </si>
  <si>
    <t>99,355</t>
  </si>
  <si>
    <t>09.10.2024 00:57:34</t>
  </si>
  <si>
    <t xml:space="preserve">        265K           265K             4K</t>
  </si>
  <si>
    <t>DmaDxPxGhFmw1q8PGqRTLBMMdU7CLpn1RRybz6kpump</t>
  </si>
  <si>
    <t>0.045040</t>
  </si>
  <si>
    <t>47.47%</t>
  </si>
  <si>
    <t>08.10.2024 13:33:09</t>
  </si>
  <si>
    <t xml:space="preserve">          2M            14M             2M</t>
  </si>
  <si>
    <t>CHAD</t>
  </si>
  <si>
    <t>103,993</t>
  </si>
  <si>
    <t>08.10.2024 03:12:33</t>
  </si>
  <si>
    <t>C7xGvy9yE6FF2AYgJi2CCdRoUnPZLPhADRJgAQP3pump</t>
  </si>
  <si>
    <t>oka</t>
  </si>
  <si>
    <t>137,379</t>
  </si>
  <si>
    <t>07.10.2024 16:59:30</t>
  </si>
  <si>
    <t xml:space="preserve">        191K           191K             5K</t>
  </si>
  <si>
    <t>12WnYcuH8DonpxzgLADujkdNHWNBoFXakhLZP9Y2pump</t>
  </si>
  <si>
    <t>170,084</t>
  </si>
  <si>
    <t>06.10.2024 19:27:36</t>
  </si>
  <si>
    <t xml:space="preserve">        155K           155K            12K</t>
  </si>
  <si>
    <t>3NiacqbMpCbPr1NdUSZ6LDvqbTtCqEgnJn6dhdGzpump</t>
  </si>
  <si>
    <t>LEN</t>
  </si>
  <si>
    <t>7,751</t>
  </si>
  <si>
    <t>06.10.2024 08:09:41</t>
  </si>
  <si>
    <t xml:space="preserve">          3M             3M            24K</t>
  </si>
  <si>
    <t>Dyg9HthwdkenToccZQM76TjWFoqSPfQd5d8iR8vspump</t>
  </si>
  <si>
    <t>3,319</t>
  </si>
  <si>
    <t>05.10.2024 23:47:06</t>
  </si>
  <si>
    <t xml:space="preserve">          8M             8M             7M</t>
  </si>
  <si>
    <t>220,802</t>
  </si>
  <si>
    <t>05.10.2024 18:37:25</t>
  </si>
  <si>
    <t xml:space="preserve">        209K           278K             7K</t>
  </si>
  <si>
    <t>8n8gwZkBvWtdsTXcG4qTpRUKHd7twcQu5dL7WuZipump</t>
  </si>
  <si>
    <t>TOSHI</t>
  </si>
  <si>
    <t>13,474</t>
  </si>
  <si>
    <t>04.10.2024 17:35:22</t>
  </si>
  <si>
    <t xml:space="preserve">          2M             2M           436K</t>
  </si>
  <si>
    <t>BE9WCtE9p36RX4kmsN5VDd8MSc5QwJQcARbSL3R8pump</t>
  </si>
  <si>
    <t>88,688</t>
  </si>
  <si>
    <t>04.10.2024 16:16:42</t>
  </si>
  <si>
    <t xml:space="preserve">        628K           564K             7K</t>
  </si>
  <si>
    <t>CHEEMS</t>
  </si>
  <si>
    <t>19,709</t>
  </si>
  <si>
    <t>03.10.2024 23:31:23</t>
  </si>
  <si>
    <t>2NVghefqf3M2WHJGd2opN6jVCa24yCXhsR2V1YmUkt3U</t>
  </si>
  <si>
    <t>0.022560</t>
  </si>
  <si>
    <t>0.566 SOL</t>
  </si>
  <si>
    <t>175.49%</t>
  </si>
  <si>
    <t>03.10.2024 18:30:13</t>
  </si>
  <si>
    <t xml:space="preserve">        160K             3M            81K</t>
  </si>
  <si>
    <t>EWf4S4KtDmCAZDxNNUygmsieJnCW77uhnbqf7UTcHR3N</t>
  </si>
  <si>
    <t>7,127</t>
  </si>
  <si>
    <t>03.10.2024 16:04:38</t>
  </si>
  <si>
    <t>GENKI</t>
  </si>
  <si>
    <t>14,914</t>
  </si>
  <si>
    <t>03.10.2024 07:45:09</t>
  </si>
  <si>
    <t xml:space="preserve">          2M             2M             7K</t>
  </si>
  <si>
    <t>9L2UhB5U3ZNZSsac8Gj13JU6SnGNZTcnXbxhHNeuix4s</t>
  </si>
  <si>
    <t>109,861</t>
  </si>
  <si>
    <t>03.10.2024 03:00:22</t>
  </si>
  <si>
    <t xml:space="preserve">        241K           241K             4K</t>
  </si>
  <si>
    <t>5eUra5EUTvpw37zYTLo4W3j8JLfv5NNQHvLQrvWgpump</t>
  </si>
  <si>
    <t>DLMM</t>
  </si>
  <si>
    <t>87,875</t>
  </si>
  <si>
    <t>02.10.2024 17:55:19</t>
  </si>
  <si>
    <t xml:space="preserve">        615K           585K             3K</t>
  </si>
  <si>
    <t>DLMMkdzWv98CBfhHU6w9mg6w4JHi7jYq1RXYt9GsqxmU</t>
  </si>
  <si>
    <t>24,917</t>
  </si>
  <si>
    <t>02.10.2024 16:23:11</t>
  </si>
  <si>
    <t>67p68fQBqAeKEt1jEM5bKMLR5mfiDKgEcoDxKfZpump</t>
  </si>
  <si>
    <t xml:space="preserve">$bob </t>
  </si>
  <si>
    <t>91,396</t>
  </si>
  <si>
    <t>02.10.2024 16:05:43</t>
  </si>
  <si>
    <t xml:space="preserve">        288K           288K             5K</t>
  </si>
  <si>
    <t>12MwDLsVnuBT9BrByRZX9DcD4teHHgxmZJgzdxmHpump</t>
  </si>
  <si>
    <t>degen</t>
  </si>
  <si>
    <t>92,903</t>
  </si>
  <si>
    <t>02.10.2024 15:37:33</t>
  </si>
  <si>
    <t xml:space="preserve">          3M           274K            77K</t>
  </si>
  <si>
    <t>8AGrudQDbjNjnHzBsrndfVDBHgg6KBJ7RN6j3hbfq3Qh</t>
  </si>
  <si>
    <t>DAKEN</t>
  </si>
  <si>
    <t>0.805 SOL</t>
  </si>
  <si>
    <t>78.83%</t>
  </si>
  <si>
    <t>02.10.2024 15:17:25</t>
  </si>
  <si>
    <t xml:space="preserve">         54K           225K            67K</t>
  </si>
  <si>
    <t>BfmftGM7W7nVicF3ccBTrGfh4RzS6xM4gQpDwJDjaZCt</t>
  </si>
  <si>
    <t>Rektober</t>
  </si>
  <si>
    <t>1,435,668</t>
  </si>
  <si>
    <t>01.10.2024 18:04:02</t>
  </si>
  <si>
    <t>BjYotbo59RZskQm7xjKwHUwkGKLadnUVapqiWYN8pump</t>
  </si>
  <si>
    <t>wsb</t>
  </si>
  <si>
    <t>14,023</t>
  </si>
  <si>
    <t>01.10.2024 16:57:26</t>
  </si>
  <si>
    <t>7HEVaZMbunuFapQSgJKy18aA8sXd9HWoa1PjuNYVwXbH</t>
  </si>
  <si>
    <t>TOBER</t>
  </si>
  <si>
    <t>180.91%</t>
  </si>
  <si>
    <t>01.10.2024 12:43:22</t>
  </si>
  <si>
    <t xml:space="preserve">        190K             1M             9K</t>
  </si>
  <si>
    <t>28LeNJN9V8PGnsNgWbxrzSsek7upZBMQYAMrnE7Cpump</t>
  </si>
  <si>
    <t>XYZ</t>
  </si>
  <si>
    <t>1,037,599</t>
  </si>
  <si>
    <t>01.10.2024 00:39:08</t>
  </si>
  <si>
    <t>6J3WDKjcPaTHzqNfc8MnMzbMBbLtAgSk86jNuRugpump</t>
  </si>
  <si>
    <t>KAYLA</t>
  </si>
  <si>
    <t>166,626</t>
  </si>
  <si>
    <t>30.09.2024 19:59:53</t>
  </si>
  <si>
    <t xml:space="preserve">        158K           158K             4K</t>
  </si>
  <si>
    <t>8Zgps51ur9E2Gb43t2mufUqkhfppTZqTMJirN5aVpump</t>
  </si>
  <si>
    <t>BEE</t>
  </si>
  <si>
    <t>1,720</t>
  </si>
  <si>
    <t>30.09.2024 17:03:51</t>
  </si>
  <si>
    <t xml:space="preserve">         15M            15M            69K</t>
  </si>
  <si>
    <t>B2BsVuodH2eBGRnFckRYYW6yjur7Tn8cCxaSE2Xrnj5V</t>
  </si>
  <si>
    <t>831,753</t>
  </si>
  <si>
    <t>30.09.2024 13:28:35</t>
  </si>
  <si>
    <t>D8gNE5GBxgJ6BKRQWf8QrTpfi6LNvhCPJcGybp3Fpump</t>
  </si>
  <si>
    <t>AShare</t>
  </si>
  <si>
    <t>478,871</t>
  </si>
  <si>
    <t>30.09.2024 07:54:52</t>
  </si>
  <si>
    <t>GwB8M8FEfhhTgoe8pVcqx8yugtr8vUjf9Xdh4f4zpump</t>
  </si>
  <si>
    <t>✡️</t>
  </si>
  <si>
    <t>1,749,424</t>
  </si>
  <si>
    <t>30.09.2024 03:17:41</t>
  </si>
  <si>
    <t>54bvETgfZvTorHSDAMPkfMig3ubXTckQytJkGfEspump</t>
  </si>
  <si>
    <t>324.38%</t>
  </si>
  <si>
    <t>29.09.2024 23:36:44</t>
  </si>
  <si>
    <t xml:space="preserve">         37K           331K            16K</t>
  </si>
  <si>
    <t>1,565,067</t>
  </si>
  <si>
    <t>29.09.2024 18:43:05</t>
  </si>
  <si>
    <t>5SMJaSEr4cfjycXKxZvV56q5fY65uW4ub9GEYmsvpump</t>
  </si>
  <si>
    <t>2XRQxY5rBfTmgQLKxa4s2EVGaGvMsXJJ5jbkh9dV215N</t>
  </si>
  <si>
    <t>3.47 SOL</t>
  </si>
  <si>
    <t>3.14 SOL</t>
  </si>
  <si>
    <t>7 (6%)</t>
  </si>
  <si>
    <t>75.2%</t>
  </si>
  <si>
    <t>9.8 SOL</t>
  </si>
  <si>
    <t>77.0K</t>
  </si>
  <si>
    <t>44,349</t>
  </si>
  <si>
    <t>30.10.2024 16:46:31</t>
  </si>
  <si>
    <t xml:space="preserve">        297K           297K             8K</t>
  </si>
  <si>
    <t>17.47%</t>
  </si>
  <si>
    <t>30.10.2024 16:37:13</t>
  </si>
  <si>
    <t xml:space="preserve">        348K           348K           657K</t>
  </si>
  <si>
    <t>LIANA</t>
  </si>
  <si>
    <t>154,655</t>
  </si>
  <si>
    <t>30.10.2024 16:36:22</t>
  </si>
  <si>
    <t>Gqm9CNRm3ZL6qVnbcjS9f4qvsPtW28gxanAuMbo4pump</t>
  </si>
  <si>
    <t>56,371</t>
  </si>
  <si>
    <t>30.10.2024 16:33:53</t>
  </si>
  <si>
    <t xml:space="preserve">        379K           407K             9K</t>
  </si>
  <si>
    <t>-79.31%</t>
  </si>
  <si>
    <t>30.10.2024 15:02:37</t>
  </si>
  <si>
    <t xml:space="preserve">         54K            51K             6K</t>
  </si>
  <si>
    <t>JEETISM</t>
  </si>
  <si>
    <t>-81.26%</t>
  </si>
  <si>
    <t>30.10.2024 12:51:38</t>
  </si>
  <si>
    <t>7gTqhPZNGfEJZ6yvE7WjkX76wmDhzKDjGeP9Rv74pump</t>
  </si>
  <si>
    <t>OMBRA</t>
  </si>
  <si>
    <t>142,863</t>
  </si>
  <si>
    <t>30.10.2024 12:34:10</t>
  </si>
  <si>
    <t xml:space="preserve">        153K           155K            19K</t>
  </si>
  <si>
    <t>ABGuyFsRx6coPxDqXnFwUmFNG3hsg5i24XSsHV1Apump</t>
  </si>
  <si>
    <t>0.003930</t>
  </si>
  <si>
    <t>158.09%</t>
  </si>
  <si>
    <t>30.10.2024 12:02:32</t>
  </si>
  <si>
    <t xml:space="preserve">        285K           516K           233K</t>
  </si>
  <si>
    <t>0.002630</t>
  </si>
  <si>
    <t>0.399 SOL</t>
  </si>
  <si>
    <t>161.31%</t>
  </si>
  <si>
    <t>30.10.2024 11:08:16</t>
  </si>
  <si>
    <t xml:space="preserve">        420K           420K           353K</t>
  </si>
  <si>
    <t>84,462</t>
  </si>
  <si>
    <t>30.10.2024 10:43:12</t>
  </si>
  <si>
    <t xml:space="preserve">        313K           313K            12K</t>
  </si>
  <si>
    <t>0.003530</t>
  </si>
  <si>
    <t>-15.99%</t>
  </si>
  <si>
    <t>30.10.2024 10:16:49</t>
  </si>
  <si>
    <t xml:space="preserve">         35K            33K            35K</t>
  </si>
  <si>
    <t>EA</t>
  </si>
  <si>
    <t>-63.08%</t>
  </si>
  <si>
    <t>30.10.2024 10:16:10</t>
  </si>
  <si>
    <t>Ffaxk9jV1xA7abZ36dyGanAk6gNbGMszTZ5JFMXhpump</t>
  </si>
  <si>
    <t>Catdets</t>
  </si>
  <si>
    <t>981,846</t>
  </si>
  <si>
    <t>30.10.2024 08:27:22</t>
  </si>
  <si>
    <t>6cf3ZvWPhaVo6Reoz5YqYwJ9anuBkWvqgnksHLf6pump</t>
  </si>
  <si>
    <t>30.10.2024 08:15:06</t>
  </si>
  <si>
    <t>30.10.2024 08:10:08</t>
  </si>
  <si>
    <t xml:space="preserve">         77K            86K            11K</t>
  </si>
  <si>
    <t>0.004940</t>
  </si>
  <si>
    <t>78,010</t>
  </si>
  <si>
    <t>30.10.2024 07:42:47</t>
  </si>
  <si>
    <t xml:space="preserve">        364K           559K            53K</t>
  </si>
  <si>
    <t>ALPHACIRCL</t>
  </si>
  <si>
    <t>237,023</t>
  </si>
  <si>
    <t>30.10.2024 07:08:32</t>
  </si>
  <si>
    <t xml:space="preserve">         35K            35K            58K</t>
  </si>
  <si>
    <t>32GkYeFscJRLH1ZYxzg52kQxcTQxRK49cn87vGtHpump</t>
  </si>
  <si>
    <t>130,515</t>
  </si>
  <si>
    <t>30.10.2024 03:58:03</t>
  </si>
  <si>
    <t>95,933</t>
  </si>
  <si>
    <t>30.10.2024 03:27:33</t>
  </si>
  <si>
    <t xml:space="preserve">        274K           274K            13K</t>
  </si>
  <si>
    <t>mofa</t>
  </si>
  <si>
    <t>243,312</t>
  </si>
  <si>
    <t>30.10.2024 03:11:00</t>
  </si>
  <si>
    <t xml:space="preserve">         54K            54K            18K</t>
  </si>
  <si>
    <t>2aVCSF8R74m5Nh18nXUSx1YDNS3Zxj2kQCa3mrdgpump</t>
  </si>
  <si>
    <t>79,934</t>
  </si>
  <si>
    <t>30.10.2024 00:06:25</t>
  </si>
  <si>
    <t xml:space="preserve">        330K           330K             8K</t>
  </si>
  <si>
    <t>Delrey</t>
  </si>
  <si>
    <t>370,352</t>
  </si>
  <si>
    <t>29.10.2024 21:00:56</t>
  </si>
  <si>
    <t>7CikmYdm5NDb4edDuJh2cpjiihBbbNiALobekcpUpump</t>
  </si>
  <si>
    <t>฿itcoin</t>
  </si>
  <si>
    <t>-74.22%</t>
  </si>
  <si>
    <t>29.10.2024 19:58:12</t>
  </si>
  <si>
    <t xml:space="preserve">         33K             9K             5K</t>
  </si>
  <si>
    <t>HpDFmLyMnxafwZZEPiJ65JZYvPxgCN5txusaAEvnpump</t>
  </si>
  <si>
    <t>Bitcoin</t>
  </si>
  <si>
    <t>292,038</t>
  </si>
  <si>
    <t>29.10.2024 19:58:01</t>
  </si>
  <si>
    <t>7SVT3X6CdbDS7VLZLndBGcoSJcss9gNhSnfHFfzapump</t>
  </si>
  <si>
    <t>KANO</t>
  </si>
  <si>
    <t>-90.69%</t>
  </si>
  <si>
    <t>29.10.2024 17:54:09</t>
  </si>
  <si>
    <t>7LoZyi93eNYz7WYWs3N7gxzPf3mLRj68wy82Tfu2pump</t>
  </si>
  <si>
    <t>Qcats</t>
  </si>
  <si>
    <t>29.10.2024 17:53:56</t>
  </si>
  <si>
    <t>95kXx8ZyrRQfNHaHfDD6KyfR7gisCMSnmVrZU2QbPSaq</t>
  </si>
  <si>
    <t>holy shit</t>
  </si>
  <si>
    <t>41,150</t>
  </si>
  <si>
    <t>29.10.2024 17:09:59</t>
  </si>
  <si>
    <t xml:space="preserve">        426K           426K             8K</t>
  </si>
  <si>
    <t>6iB7vcB6bcB5BGVf2gFXTvH2DfUeCiaT4FE9VYBQpump</t>
  </si>
  <si>
    <t>36,979</t>
  </si>
  <si>
    <t>29.10.2024 16:57:17</t>
  </si>
  <si>
    <t xml:space="preserve">        474K           474K             8K</t>
  </si>
  <si>
    <t>6YHvVQ5B7tBbwmG4tU4ESbRKQKeiVBoE3q6u6sCWpump</t>
  </si>
  <si>
    <t>Hanno</t>
  </si>
  <si>
    <t>535,748</t>
  </si>
  <si>
    <t>29.10.2024 16:45:39</t>
  </si>
  <si>
    <t>HzPd7yoaFNYZKCXepstCr7u8QuMhXF1aBS7NjxNppump</t>
  </si>
  <si>
    <t>ddog</t>
  </si>
  <si>
    <t>39,188</t>
  </si>
  <si>
    <t>29.10.2024 16:39:57</t>
  </si>
  <si>
    <t xml:space="preserve">        448K           448K             8K</t>
  </si>
  <si>
    <t>EJdD2Tx4MWzbhjMRAHpTPt7xHTr9wKyDqQtnXH2wpump</t>
  </si>
  <si>
    <t>0.008570</t>
  </si>
  <si>
    <t>1.787 SOL</t>
  </si>
  <si>
    <t>1263.76%</t>
  </si>
  <si>
    <t>29.10.2024 16:16:50</t>
  </si>
  <si>
    <t xml:space="preserve">          4M            19K             2M</t>
  </si>
  <si>
    <t>578,928</t>
  </si>
  <si>
    <t>29.10.2024 16:08:17</t>
  </si>
  <si>
    <t>Frida</t>
  </si>
  <si>
    <t>789,664</t>
  </si>
  <si>
    <t>29.10.2024 16:03:34</t>
  </si>
  <si>
    <t>F8guQLPX3QfWwMTZ8SveQ7TAEYccyCDsayUh5ZoGpump</t>
  </si>
  <si>
    <t>74,417</t>
  </si>
  <si>
    <t>29.10.2024 15:47:14</t>
  </si>
  <si>
    <t>2.66%</t>
  </si>
  <si>
    <t>29.10.2024 15:05:29</t>
  </si>
  <si>
    <t xml:space="preserve">        328K           697K           276K</t>
  </si>
  <si>
    <t>46,005</t>
  </si>
  <si>
    <t>29.10.2024 15:01:57</t>
  </si>
  <si>
    <t xml:space="preserve">        381K           381K            13K</t>
  </si>
  <si>
    <t>gs</t>
  </si>
  <si>
    <t>206,194</t>
  </si>
  <si>
    <t>29.10.2024 14:57:12</t>
  </si>
  <si>
    <t>CBAZNZrZtiBB3GToBqCZ9sRiXZV1z81F6ncH9Exqpump</t>
  </si>
  <si>
    <t>-94.55%</t>
  </si>
  <si>
    <t>29.10.2024 14:08:36</t>
  </si>
  <si>
    <t xml:space="preserve">        267K           267K             7K</t>
  </si>
  <si>
    <t>136,276</t>
  </si>
  <si>
    <t>29.10.2024 12:18:57</t>
  </si>
  <si>
    <t xml:space="preserve">        128K           128K            17K</t>
  </si>
  <si>
    <t>HcSHefAEHNtxbDASQEeMrjjF26FFjMFV7pqfifBXpump</t>
  </si>
  <si>
    <t>89,898</t>
  </si>
  <si>
    <t>29.10.2024 09:51:36</t>
  </si>
  <si>
    <t xml:space="preserve">        195K           195K             6K</t>
  </si>
  <si>
    <t>29.10.2024 09:38:39</t>
  </si>
  <si>
    <t xml:space="preserve">         28K            26K             8K</t>
  </si>
  <si>
    <t>-75.18%</t>
  </si>
  <si>
    <t>29.10.2024 09:35:17</t>
  </si>
  <si>
    <t xml:space="preserve">        111K           111K            17K</t>
  </si>
  <si>
    <t>YmmJAazPFQzoodwCfwphWQ2449gqncDTqvC5TtJpump</t>
  </si>
  <si>
    <t>FREEANDY</t>
  </si>
  <si>
    <t>-69.86%</t>
  </si>
  <si>
    <t>29.10.2024 07:40:35</t>
  </si>
  <si>
    <t>7Gry9KMXfcaRv67GdNjTgqWSD6VhNDYdcaLm6pr7pump</t>
  </si>
  <si>
    <t>295.28%</t>
  </si>
  <si>
    <t>29.10.2024 07:04:08</t>
  </si>
  <si>
    <t xml:space="preserve">        388K             2M             1M</t>
  </si>
  <si>
    <t>173.98%</t>
  </si>
  <si>
    <t>29.10.2024 06:48:55</t>
  </si>
  <si>
    <t xml:space="preserve">         20K            20K            14K</t>
  </si>
  <si>
    <t>103,236</t>
  </si>
  <si>
    <t>29.10.2024 05:42:36</t>
  </si>
  <si>
    <t xml:space="preserve">        170K           170K             4K</t>
  </si>
  <si>
    <t>-2.30%</t>
  </si>
  <si>
    <t>29.10.2024 05:29:45</t>
  </si>
  <si>
    <t xml:space="preserve">        263K           262K            11K</t>
  </si>
  <si>
    <t>Gemma-7b</t>
  </si>
  <si>
    <t>103,549</t>
  </si>
  <si>
    <t>29.10.2024 04:51:20</t>
  </si>
  <si>
    <t>AFmnF7gsWVmKCvcLM4xFgsZfz4JNLw53d3uAZYLWpump</t>
  </si>
  <si>
    <t>▪</t>
  </si>
  <si>
    <t>-36.35%</t>
  </si>
  <si>
    <t>29.10.2024 03:55:19</t>
  </si>
  <si>
    <t>AM39r2DmfbW21ECRULSobP9wx6Vzveamf4Vg4gY4pump</t>
  </si>
  <si>
    <t>TAW</t>
  </si>
  <si>
    <t>-75.19%</t>
  </si>
  <si>
    <t>29.10.2024 03:43:56</t>
  </si>
  <si>
    <t xml:space="preserve">         83K           126K            11K</t>
  </si>
  <si>
    <t>7458jTLdMTuqtfHg1eiPY3vUvDX6RgKZAntATVPDpump</t>
  </si>
  <si>
    <t>Xin</t>
  </si>
  <si>
    <t>-44.00%</t>
  </si>
  <si>
    <t xml:space="preserve">         16K             9K             8K</t>
  </si>
  <si>
    <t>GZW5vKNpQnLxmzf4fSHZk4UDBRmHvVjLj2M3kNBs2hMm</t>
  </si>
  <si>
    <t>58,718</t>
  </si>
  <si>
    <t>29.10.2024 03:29:56</t>
  </si>
  <si>
    <t xml:space="preserve">        298K           298K             5K</t>
  </si>
  <si>
    <t>fagatar</t>
  </si>
  <si>
    <t>-40.15%</t>
  </si>
  <si>
    <t>29.10.2024 03:25:06</t>
  </si>
  <si>
    <t>H4uen4GmZS8GPTUkiznrUeknKsWfe5gjhzTsCRr1pump</t>
  </si>
  <si>
    <t>ZAYD</t>
  </si>
  <si>
    <t>-21.72%</t>
  </si>
  <si>
    <t>29.10.2024 01:44:04</t>
  </si>
  <si>
    <t>G3aCi7HrLkrHXaVeVmhXTg6uXbJpNQHtRmyUkLt2pump</t>
  </si>
  <si>
    <t>Solano</t>
  </si>
  <si>
    <t>948,800</t>
  </si>
  <si>
    <t>28.10.2024 21:49:39</t>
  </si>
  <si>
    <t>7wYTMHJnxXqJRnnzJb3594mS7LgCXT47AGLhd4hrpump</t>
  </si>
  <si>
    <t>-98.22%</t>
  </si>
  <si>
    <t>28.10.2024 18:30:04</t>
  </si>
  <si>
    <t xml:space="preserve">        739K           739K           178K</t>
  </si>
  <si>
    <t>-25.49%</t>
  </si>
  <si>
    <t>28.10.2024 18:05:17</t>
  </si>
  <si>
    <t xml:space="preserve">        432K           332K           119K</t>
  </si>
  <si>
    <t>HOLLY</t>
  </si>
  <si>
    <t>28.10.2024 16:55:29</t>
  </si>
  <si>
    <t>GDFEhJdo8xaTSpasVD7YLb7fSEe8C4pDnRqvPnxSpump</t>
  </si>
  <si>
    <t>993,814</t>
  </si>
  <si>
    <t>28.10.2024 16:03:19</t>
  </si>
  <si>
    <t>HUvjDmYNXL45eaPqi8176ihpYTAMxknr2dUWKN8spump</t>
  </si>
  <si>
    <t>FISHAI</t>
  </si>
  <si>
    <t>-40.94%</t>
  </si>
  <si>
    <t>DCqFw7Pu4eMgWdEqNPDuvLRRaRgD2xbJ6pozMED6pump</t>
  </si>
  <si>
    <t>DCF</t>
  </si>
  <si>
    <t>61.26%</t>
  </si>
  <si>
    <t>28.10.2024 16:00:12</t>
  </si>
  <si>
    <t xml:space="preserve">         14K            23K             6K</t>
  </si>
  <si>
    <t>5oqmSZe3mYnvda4uuzvif2KGXzx77VzRm8ez4aswpump</t>
  </si>
  <si>
    <t>Dolly</t>
  </si>
  <si>
    <t>-0.112 SOL</t>
  </si>
  <si>
    <t>776,180</t>
  </si>
  <si>
    <t>28.10.2024 16:00:01</t>
  </si>
  <si>
    <t>embRm6LVgkHiV4cSwHzuoYRMuW5ybk3GtimnPLrpump</t>
  </si>
  <si>
    <t>2,011,736</t>
  </si>
  <si>
    <t>28.10.2024 15:40:27</t>
  </si>
  <si>
    <t>GqTt3nV6JnhVHSuDFr6DYuLU9zWmwgDc7myeihnQpump</t>
  </si>
  <si>
    <t>NOBOX</t>
  </si>
  <si>
    <t>28.10.2024 15:38:23</t>
  </si>
  <si>
    <t>738jvbkArGJ5pr969bzTohhfCqqw4x6mnsxoyJY7pump</t>
  </si>
  <si>
    <t>-99.58%</t>
  </si>
  <si>
    <t>28.10.2024 15:27:06</t>
  </si>
  <si>
    <t>4ktEhYgYhP7oYUPYwH4yQFQ8p3Vr3uQ8HMeccJdopump</t>
  </si>
  <si>
    <t>67,092</t>
  </si>
  <si>
    <t>28.10.2024 15:24:23</t>
  </si>
  <si>
    <t xml:space="preserve">        197K           197K            39K</t>
  </si>
  <si>
    <t>TRENCH</t>
  </si>
  <si>
    <t>597.54%</t>
  </si>
  <si>
    <t>28.10.2024 15:22:02</t>
  </si>
  <si>
    <t>AnQCNde4nXGG4vT6XGpYJc7tyh1cjwyjC3raeRxnNN4F</t>
  </si>
  <si>
    <t>-69.72%</t>
  </si>
  <si>
    <t>28.10.2024 15:20:17</t>
  </si>
  <si>
    <t>LUNIX</t>
  </si>
  <si>
    <t>270.38%</t>
  </si>
  <si>
    <t>28.10.2024 15:17:47</t>
  </si>
  <si>
    <t>DsDzFKro1PRxCX2CAuAKaYuc9uHRhmgtbrYLwWa3pump</t>
  </si>
  <si>
    <t>AllAI</t>
  </si>
  <si>
    <t>-0.107 SOL</t>
  </si>
  <si>
    <t>1,646,010</t>
  </si>
  <si>
    <t>28.10.2024 15:15:05</t>
  </si>
  <si>
    <t>GQobcP4xokNpNK9oKghwDdeACtsw4AyP3Lpq7ghjpump</t>
  </si>
  <si>
    <t>0.017040</t>
  </si>
  <si>
    <t>7.125 SOL</t>
  </si>
  <si>
    <t>7.010 SOL</t>
  </si>
  <si>
    <t>6068.15%</t>
  </si>
  <si>
    <t>28.10.2024 15:13:15</t>
  </si>
  <si>
    <t xml:space="preserve">         26K            26K           297K</t>
  </si>
  <si>
    <t>-38.98%</t>
  </si>
  <si>
    <t>28.10.2024 14:52:56</t>
  </si>
  <si>
    <t xml:space="preserve">        167K           302K             8K</t>
  </si>
  <si>
    <t>34,464</t>
  </si>
  <si>
    <t>28.10.2024 14:35:03</t>
  </si>
  <si>
    <t xml:space="preserve">        509K           509K            14K</t>
  </si>
  <si>
    <t>96,232</t>
  </si>
  <si>
    <t>28.10.2024 14:20:52</t>
  </si>
  <si>
    <t>-62.90%</t>
  </si>
  <si>
    <t>28.10.2024 14:02:51</t>
  </si>
  <si>
    <t xml:space="preserve">        125K           125K             5K</t>
  </si>
  <si>
    <t>IA</t>
  </si>
  <si>
    <t>338,053</t>
  </si>
  <si>
    <t>28.10.2024 13:13:59</t>
  </si>
  <si>
    <t>8tASPZToUJYaB8LPK6YftH3TghCX9aQd8v9Tnqgtpump</t>
  </si>
  <si>
    <t>x982a{j:+</t>
  </si>
  <si>
    <t>-69.36%</t>
  </si>
  <si>
    <t>28.10.2024 13:05:22</t>
  </si>
  <si>
    <t xml:space="preserve">         67K            18K             7K</t>
  </si>
  <si>
    <t>9RiG5eXy9zExjCFuY9npNrSSzZestokgSP4mgpCiK9f8</t>
  </si>
  <si>
    <t>CLEMENTINE</t>
  </si>
  <si>
    <t>1,494,585</t>
  </si>
  <si>
    <t>28.10.2024 12:47:27</t>
  </si>
  <si>
    <t>B2QYkRZURXV4DbWMGnJhmqij6QNp7sRWx4jHY4hkpump</t>
  </si>
  <si>
    <t>201,467</t>
  </si>
  <si>
    <t>28.10.2024 12:41:48</t>
  </si>
  <si>
    <t>70,180</t>
  </si>
  <si>
    <t>28.10.2024 12:10:28</t>
  </si>
  <si>
    <t xml:space="preserve">        249K           249K             6K</t>
  </si>
  <si>
    <t>28.10.2024 06:47:18</t>
  </si>
  <si>
    <t xml:space="preserve">         33K            39K             5K</t>
  </si>
  <si>
    <t>3aQGUbyruXP9cFvsjcoVSpmGJ33XLACPqfzgD89Xpump</t>
  </si>
  <si>
    <t>CRYPTOIDS</t>
  </si>
  <si>
    <t>32,404</t>
  </si>
  <si>
    <t>28.10.2024 05:20:19</t>
  </si>
  <si>
    <t xml:space="preserve">        406K           406K             4K</t>
  </si>
  <si>
    <t>14aD1cQRLTxDNJAtvkPx8iqqssjHqjRLXAL5wPaipump</t>
  </si>
  <si>
    <t>28,427</t>
  </si>
  <si>
    <t>28.10.2024 02:44:23</t>
  </si>
  <si>
    <t xml:space="preserve">        464K           464K            73K</t>
  </si>
  <si>
    <t>DARIUS</t>
  </si>
  <si>
    <t>108,002</t>
  </si>
  <si>
    <t>28.10.2024 02:33:39</t>
  </si>
  <si>
    <t xml:space="preserve">        121K           121K           130K</t>
  </si>
  <si>
    <t>8QXM6vf7E1TUJ9MvFf8p6BDWCYwBLYd9T26MPiprsX3w</t>
  </si>
  <si>
    <t>MEMEMAXI</t>
  </si>
  <si>
    <t>27.10.2024 22:49:05</t>
  </si>
  <si>
    <t xml:space="preserve">        321K           321K            12K</t>
  </si>
  <si>
    <t>Cc4sinjiaruP69C7Eotftsu2AjFHAaKZyGtpaLbApump</t>
  </si>
  <si>
    <t>269,366</t>
  </si>
  <si>
    <t>27.10.2024 22:36:48</t>
  </si>
  <si>
    <t>FOREVER</t>
  </si>
  <si>
    <t>-24.18%</t>
  </si>
  <si>
    <t>27.10.2024 22:19:21</t>
  </si>
  <si>
    <t>6Kt6fyL87dPcyjaehBsMNAQ3PKSCPTJyPM67ZgNGpump</t>
  </si>
  <si>
    <t>56,493</t>
  </si>
  <si>
    <t>27.10.2024 21:44:48</t>
  </si>
  <si>
    <t xml:space="preserve">        225K           225K             5K</t>
  </si>
  <si>
    <t>BURNEY</t>
  </si>
  <si>
    <t>82.51%</t>
  </si>
  <si>
    <t>27.10.2024 21:28:46</t>
  </si>
  <si>
    <t xml:space="preserve">         51K           162K             4K</t>
  </si>
  <si>
    <t>31pyJGWmd9nxb3UN4cmhpZZeeMHXWcf6Nh8VU2vPpump</t>
  </si>
  <si>
    <t>1,219,545</t>
  </si>
  <si>
    <t>27.10.2024 21:26:08</t>
  </si>
  <si>
    <t>HjVucq5tfxXJYmssCT5mm3kUG18UtEVViAmiMmyUpump</t>
  </si>
  <si>
    <t>STFU</t>
  </si>
  <si>
    <t>75.03%</t>
  </si>
  <si>
    <t>27.10.2024 20:48:49</t>
  </si>
  <si>
    <t xml:space="preserve">         16K            28K             3K</t>
  </si>
  <si>
    <t>FQfeJYLmD7wf6YyV29E1bjzxX7JeGKavmwociXWipump</t>
  </si>
  <si>
    <t>SHUTUP</t>
  </si>
  <si>
    <t>443,557</t>
  </si>
  <si>
    <t>27.10.2024 20:47:45</t>
  </si>
  <si>
    <t>9Hh3Kxo4oarGr5kA4uciKPEaFm3spqqNFfvPJALrpump</t>
  </si>
  <si>
    <t>-20.51%</t>
  </si>
  <si>
    <t>27.10.2024 20:35:32</t>
  </si>
  <si>
    <t xml:space="preserve">         25K            40K             5K</t>
  </si>
  <si>
    <t>627.42%</t>
  </si>
  <si>
    <t>27.10.2024 10:02:37</t>
  </si>
  <si>
    <t xml:space="preserve">        234K             2M            32K</t>
  </si>
  <si>
    <t>43,032</t>
  </si>
  <si>
    <t>27.10.2024 07:53:04</t>
  </si>
  <si>
    <t xml:space="preserve">        306K           306K            15K</t>
  </si>
  <si>
    <t>176,225</t>
  </si>
  <si>
    <t>27.10.2024 07:14:29</t>
  </si>
  <si>
    <t>25,936</t>
  </si>
  <si>
    <t>27.10.2024 07:10:01</t>
  </si>
  <si>
    <t xml:space="preserve">        678K           678K            14K</t>
  </si>
  <si>
    <t>NexCoin</t>
  </si>
  <si>
    <t>1,751,775</t>
  </si>
  <si>
    <t>27.10.2024 05:37:37</t>
  </si>
  <si>
    <t>FApzaVYXjGqibTvzJKGhSNscQDFYH3JDnRpcpAfypump</t>
  </si>
  <si>
    <t>1,472,668</t>
  </si>
  <si>
    <t>27.10.2024 05:31:56</t>
  </si>
  <si>
    <t>1,561,760</t>
  </si>
  <si>
    <t>27.10.2024 05:29:46</t>
  </si>
  <si>
    <t>57,592</t>
  </si>
  <si>
    <t>26.10.2024 15:13:25</t>
  </si>
  <si>
    <t>DAVE</t>
  </si>
  <si>
    <t>322,138</t>
  </si>
  <si>
    <t>BrPjSkpdWfgz5XXPoVbDfGxLSiKbzYz76NdvuTqJ8e7H</t>
  </si>
  <si>
    <t>-58.82%</t>
  </si>
  <si>
    <t>26.10.2024 14:29:50</t>
  </si>
  <si>
    <t xml:space="preserve">        369K           369K           313K</t>
  </si>
  <si>
    <t>GlaDoS</t>
  </si>
  <si>
    <t>25,958</t>
  </si>
  <si>
    <t>26.10.2024 12:51:38</t>
  </si>
  <si>
    <t xml:space="preserve">        508K           508K            10K</t>
  </si>
  <si>
    <t>zGSm7WWkUgV6NqrU47nC1iLheZsWaRMyFnzVKTUpump</t>
  </si>
  <si>
    <t>35,017</t>
  </si>
  <si>
    <t>26.10.2024 12:07:50</t>
  </si>
  <si>
    <t xml:space="preserve">        425K           439K            31K</t>
  </si>
  <si>
    <t>CRYPT</t>
  </si>
  <si>
    <t>129,127</t>
  </si>
  <si>
    <t>26.10.2024 09:47:48</t>
  </si>
  <si>
    <t>HcpuhTEUBYoA4WeRMQE2zeRKNNFmWVcjRRzbYkFopump</t>
  </si>
  <si>
    <t>163,642</t>
  </si>
  <si>
    <t>26.10.2024 07:03:53</t>
  </si>
  <si>
    <t xml:space="preserve">        104K            47K            13K</t>
  </si>
  <si>
    <t>334,854</t>
  </si>
  <si>
    <t>26.10.2024 04:50:06</t>
  </si>
  <si>
    <t>2Bm2xQRgSS5GLRm8eXj3Xe8WzFq9noEkx4MmGsHBpump</t>
  </si>
  <si>
    <t>72,355</t>
  </si>
  <si>
    <t>26.10.2024 03:18:31</t>
  </si>
  <si>
    <t xml:space="preserve">        183K           183K            60K</t>
  </si>
  <si>
    <t>234,808</t>
  </si>
  <si>
    <t>26.10.2024 01:59:23</t>
  </si>
  <si>
    <t xml:space="preserve">         61K            61K             7K</t>
  </si>
  <si>
    <t>web</t>
  </si>
  <si>
    <t>180,013</t>
  </si>
  <si>
    <t>25.10.2024 16:16:27</t>
  </si>
  <si>
    <t xml:space="preserve">         74K            74K             6K</t>
  </si>
  <si>
    <t>AKjkUfgVvbmc9LfvniaaaeVJfEpYbKFDonA76fuWpump</t>
  </si>
  <si>
    <t>61.30%</t>
  </si>
  <si>
    <t>24.10.2024 17:55:35</t>
  </si>
  <si>
    <t xml:space="preserve">        625K           678K            10M</t>
  </si>
  <si>
    <t>24,066</t>
  </si>
  <si>
    <t>24.10.2024 13:56:32</t>
  </si>
  <si>
    <t xml:space="preserve">        548K           548K            20K</t>
  </si>
  <si>
    <t>gape</t>
  </si>
  <si>
    <t>97,499</t>
  </si>
  <si>
    <t>24.10.2024 13:31:49</t>
  </si>
  <si>
    <t xml:space="preserve">        177K           379K             6K</t>
  </si>
  <si>
    <t>zatHUKJXCvgYBkbDMFn6Q8FukeLQkywroBw5Uv4pump</t>
  </si>
  <si>
    <t>76,894</t>
  </si>
  <si>
    <t>24.10.2024 07:13:13</t>
  </si>
  <si>
    <t xml:space="preserve">        172K           172K             7K</t>
  </si>
  <si>
    <t>Jungians</t>
  </si>
  <si>
    <t>499,027</t>
  </si>
  <si>
    <t>23.10.2024 22:34:00</t>
  </si>
  <si>
    <t>8T7n6U2GSzpCqFNbNdt4JSoZHtdXp6kdb9BXHs8Ypump</t>
  </si>
  <si>
    <t>GRUMPY</t>
  </si>
  <si>
    <t>320,134</t>
  </si>
  <si>
    <t>23.10.2024 22:31:42</t>
  </si>
  <si>
    <t>5hZc1qQKpzTBLFm31VfhWPjo81rCJ2NspXjF9Uujpump</t>
  </si>
  <si>
    <t>J8CFQP3Hdt4ZdYoqAoEfAeZRuA3oeEPbvy4tLysZKmN</t>
  </si>
  <si>
    <t>4.06 SOL</t>
  </si>
  <si>
    <t>91%</t>
  </si>
  <si>
    <t>34.04 SOL</t>
  </si>
  <si>
    <t>8 (14%)</t>
  </si>
  <si>
    <t>-23.92%</t>
  </si>
  <si>
    <t>3.81 SOL</t>
  </si>
  <si>
    <t>5.4%</t>
  </si>
  <si>
    <t>39.9 SOL</t>
  </si>
  <si>
    <t>3.8 SOL</t>
  </si>
  <si>
    <t>-6.5 SOL</t>
  </si>
  <si>
    <t>58.0K</t>
  </si>
  <si>
    <t>orca</t>
  </si>
  <si>
    <t>0.008950</t>
  </si>
  <si>
    <t>0.727 SOL</t>
  </si>
  <si>
    <t>60.14%</t>
  </si>
  <si>
    <t>30.10.2024 19:08:53</t>
  </si>
  <si>
    <t xml:space="preserve">         59K           124K           321K</t>
  </si>
  <si>
    <t>CaLyryATQhnVZaau425zAJ9fNf4uNWVa1GKD6JN94AX9</t>
  </si>
  <si>
    <t>WAGER</t>
  </si>
  <si>
    <t>12,746</t>
  </si>
  <si>
    <t>30.10.2024 18:37:54</t>
  </si>
  <si>
    <t>5fJFaSEeSyMnth9uLFJTceLpgwNohqtxR7yhTSTZKAjH</t>
  </si>
  <si>
    <t>0.008610</t>
  </si>
  <si>
    <t>50.44%</t>
  </si>
  <si>
    <t>30.10.2024 18:12:03</t>
  </si>
  <si>
    <t xml:space="preserve">        934K           934K             6M</t>
  </si>
  <si>
    <t>Aspen</t>
  </si>
  <si>
    <t>69.65%</t>
  </si>
  <si>
    <t>30.10.2024 17:00:52</t>
  </si>
  <si>
    <t xml:space="preserve">         51K            72K             4K</t>
  </si>
  <si>
    <t>B8V1VEFZp1GHTGM4D8zJTFWM8g6mofJRrK2JSUZepump</t>
  </si>
  <si>
    <t>544,149</t>
  </si>
  <si>
    <t>30.10.2024 15:42:23</t>
  </si>
  <si>
    <t xml:space="preserve">         49K            49K            19K</t>
  </si>
  <si>
    <t>chichi</t>
  </si>
  <si>
    <t>86,527</t>
  </si>
  <si>
    <t>30.10.2024 15:01:00</t>
  </si>
  <si>
    <t xml:space="preserve">        204K           204K            16K</t>
  </si>
  <si>
    <t>BLXsCT43Q9pXHFpeTSq6bxddefNXBgqfe22RAAzXpyEY</t>
  </si>
  <si>
    <t>CHILEAN</t>
  </si>
  <si>
    <t>0.007200</t>
  </si>
  <si>
    <t>-23.69%</t>
  </si>
  <si>
    <t>30.10.2024 07:16:26</t>
  </si>
  <si>
    <t xml:space="preserve">         47K            37K             7K</t>
  </si>
  <si>
    <t>F9rhG8StmrcKiDgaUMdfuBnG1hag1sysBCT1KufZpump</t>
  </si>
  <si>
    <t>Gunner</t>
  </si>
  <si>
    <t>0.007120</t>
  </si>
  <si>
    <t>99.50%</t>
  </si>
  <si>
    <t>30.10.2024 05:41:33</t>
  </si>
  <si>
    <t xml:space="preserve">         30K            23K             4K</t>
  </si>
  <si>
    <t>2YdzsERTXgp5cPfTFRF4oey3eYEf77FzcS89KqmUpump</t>
  </si>
  <si>
    <t>Félicette</t>
  </si>
  <si>
    <t>0.011280</t>
  </si>
  <si>
    <t>0.599 SOL</t>
  </si>
  <si>
    <t>51.33%</t>
  </si>
  <si>
    <t>30.10.2024 05:03:11</t>
  </si>
  <si>
    <t xml:space="preserve">        149K           234K             5K</t>
  </si>
  <si>
    <t>omPwhhB8qZysrvP72VESvFwuqimcFSF6pkSNj94pump</t>
  </si>
  <si>
    <t>GHOST</t>
  </si>
  <si>
    <t>22.01%</t>
  </si>
  <si>
    <t>30.10.2024 04:15:16</t>
  </si>
  <si>
    <t>A9QBZAGehGNdaA2cBNA9ksnDoDdZJTqtnVjrK2w2pump</t>
  </si>
  <si>
    <t>-7.27%</t>
  </si>
  <si>
    <t>30.10.2024 04:14:31</t>
  </si>
  <si>
    <t xml:space="preserve">        109K           102K           836K</t>
  </si>
  <si>
    <t>0.010290</t>
  </si>
  <si>
    <t>-52.96%</t>
  </si>
  <si>
    <t>30.10.2024 03:20:21</t>
  </si>
  <si>
    <t xml:space="preserve">          3M             2M           195K</t>
  </si>
  <si>
    <t>13,880</t>
  </si>
  <si>
    <t>30.10.2024 02:46:53</t>
  </si>
  <si>
    <t xml:space="preserve">          3M             3M           175K</t>
  </si>
  <si>
    <t>Hopium</t>
  </si>
  <si>
    <t>0.026180</t>
  </si>
  <si>
    <t>-21.69%</t>
  </si>
  <si>
    <t>30.10.2024 02:01:03</t>
  </si>
  <si>
    <t>FER9TxkyodrtpkWRrQUaRsvMhHvzRWFT4eJiyHJSpump</t>
  </si>
  <si>
    <t>Rick</t>
  </si>
  <si>
    <t>149,513</t>
  </si>
  <si>
    <t>30.10.2024 01:04:40</t>
  </si>
  <si>
    <t>8WhaR9JZk3D6FAzStdpVuBfoWhgBvZFaRfYbourbpump</t>
  </si>
  <si>
    <t>Eagle</t>
  </si>
  <si>
    <t>-0.94%</t>
  </si>
  <si>
    <t>30.10.2024 01:03:12</t>
  </si>
  <si>
    <t xml:space="preserve">         61K           126K             5K</t>
  </si>
  <si>
    <t>74T9WemB1nJEjseuKgfsRXPab3S3hgJQ1ZywDsYtpump</t>
  </si>
  <si>
    <t>5,666</t>
  </si>
  <si>
    <t>29.10.2024 11:59:15</t>
  </si>
  <si>
    <t>Tao</t>
  </si>
  <si>
    <t>0.479 SOL</t>
  </si>
  <si>
    <t>2.197 SOL</t>
  </si>
  <si>
    <t>457.59%</t>
  </si>
  <si>
    <t>29.10.2024 04:56:42</t>
  </si>
  <si>
    <t xml:space="preserve">          7K            37K             3K</t>
  </si>
  <si>
    <t>G5QWsZmyaMEh3GFp8FQ4Wk2W9pNoPCRYcphWLjfUpump</t>
  </si>
  <si>
    <t>-51.11%</t>
  </si>
  <si>
    <t>29.10.2024 02:06:27</t>
  </si>
  <si>
    <t xml:space="preserve">        133K            67K             4K</t>
  </si>
  <si>
    <t>0.004740</t>
  </si>
  <si>
    <t>237.28%</t>
  </si>
  <si>
    <t>29.10.2024 02:04:24</t>
  </si>
  <si>
    <t xml:space="preserve">         14K            37K            10K</t>
  </si>
  <si>
    <t>265sKc6C7wRcEkuLqzPCWUziHCqsp2Q1gXJo2H9Bpump</t>
  </si>
  <si>
    <t>gws</t>
  </si>
  <si>
    <t>5.23%</t>
  </si>
  <si>
    <t>29.10.2024 02:03:24</t>
  </si>
  <si>
    <t xml:space="preserve">         54K            54K            10K</t>
  </si>
  <si>
    <t>HGyJdCggoistzH4Zr7pN8xkv6GCauWNSe4T1rTjQpump</t>
  </si>
  <si>
    <t>OneirOS</t>
  </si>
  <si>
    <t>0.046870</t>
  </si>
  <si>
    <t>2.940 SOL</t>
  </si>
  <si>
    <t>37.679 SOL</t>
  </si>
  <si>
    <t>34.692 SOL</t>
  </si>
  <si>
    <t>1161.33%</t>
  </si>
  <si>
    <t>29.10.2024 00:18:17</t>
  </si>
  <si>
    <t xml:space="preserve">        527K           270K            35K</t>
  </si>
  <si>
    <t>4FdqyFg3rYs9NRjC7shGmSH7YG4iQgAPSUyzDkWxpump</t>
  </si>
  <si>
    <t>0.002320</t>
  </si>
  <si>
    <t>5,332</t>
  </si>
  <si>
    <t>28.10.2024 22:22:37</t>
  </si>
  <si>
    <t>tokidoki</t>
  </si>
  <si>
    <t>-0.146 SOL</t>
  </si>
  <si>
    <t>-57.81%</t>
  </si>
  <si>
    <t>28.10.2024 22:06:32</t>
  </si>
  <si>
    <t xml:space="preserve">        265K           265K            42K</t>
  </si>
  <si>
    <t>AqpJ2uRYEFdmsL1gZuQoMkWof8YRuuBVMm8dkNK7pump</t>
  </si>
  <si>
    <t>28.10.2024 21:45:31</t>
  </si>
  <si>
    <t xml:space="preserve">        255K           252K            64K</t>
  </si>
  <si>
    <t>0.892 SOL</t>
  </si>
  <si>
    <t>-0.894 SOL</t>
  </si>
  <si>
    <t>184,229</t>
  </si>
  <si>
    <t>28.10.2024 15:59:19</t>
  </si>
  <si>
    <t xml:space="preserve">          1M           659K             2M</t>
  </si>
  <si>
    <t>TAPY</t>
  </si>
  <si>
    <t>3,504,573</t>
  </si>
  <si>
    <t>28.10.2024 15:32:01</t>
  </si>
  <si>
    <t>AGJZ7AWczniY8ycNfUZywsw37z7nDas2FVS6ScJKpump</t>
  </si>
  <si>
    <t>-24.16%</t>
  </si>
  <si>
    <t>28.10.2024 02:53:50</t>
  </si>
  <si>
    <t>GXSFovUZTr27SxkNYEG4mYMqdLPewj1u5PUQSicXpump</t>
  </si>
  <si>
    <t>19.83%</t>
  </si>
  <si>
    <t>27.10.2024 22:42:21</t>
  </si>
  <si>
    <t xml:space="preserve">          1M             1M           378K</t>
  </si>
  <si>
    <t>JNG</t>
  </si>
  <si>
    <t>0.002180</t>
  </si>
  <si>
    <t>50.40%</t>
  </si>
  <si>
    <t>27.10.2024 22:35:07</t>
  </si>
  <si>
    <t>BHkpntZHeouUnb74VqcaN9ni5Dk8u7weQnXjV3xmpump</t>
  </si>
  <si>
    <t>@elon</t>
  </si>
  <si>
    <t>0.003730</t>
  </si>
  <si>
    <t>-18.11%</t>
  </si>
  <si>
    <t>27.10.2024 22:31:58</t>
  </si>
  <si>
    <t>3w9t7VmoUv9Ys91HjtUfm4PghuqkhtgaKSPkzSaipump</t>
  </si>
  <si>
    <t>ONYX</t>
  </si>
  <si>
    <t>68,244</t>
  </si>
  <si>
    <t>26.10.2024 23:07:43</t>
  </si>
  <si>
    <t xml:space="preserve">        706K           945K            45K</t>
  </si>
  <si>
    <t>71FqyeLTgw6xushf7nWRkRwkm3pqqAsD8CCjcjaapump</t>
  </si>
  <si>
    <t>Kopon</t>
  </si>
  <si>
    <t>493,460</t>
  </si>
  <si>
    <t>26.10.2024 23:05:38</t>
  </si>
  <si>
    <t xml:space="preserve">        142K           142K            19K</t>
  </si>
  <si>
    <t>376kKRPZf5uvVyxdjPdZ56oQtgkfhWHi2sCs9t3Hpump</t>
  </si>
  <si>
    <t>Gaia</t>
  </si>
  <si>
    <t>344,095</t>
  </si>
  <si>
    <t>26.10.2024 22:32:23</t>
  </si>
  <si>
    <t xml:space="preserve">        128K           128K            54K</t>
  </si>
  <si>
    <t>mchXra9PGqbMPuJ5FW9YxkkoSVKWAhyu5xP5tk4pump</t>
  </si>
  <si>
    <t>Hippo</t>
  </si>
  <si>
    <t>663,393</t>
  </si>
  <si>
    <t>26.10.2024 22:11:08</t>
  </si>
  <si>
    <t xml:space="preserve">         26K            26K             7K</t>
  </si>
  <si>
    <t>3KDsuwo3f8bAd2mS4EVJtqBb5jzr6VKq2729DoNspump</t>
  </si>
  <si>
    <t>CFT</t>
  </si>
  <si>
    <t>0.002470</t>
  </si>
  <si>
    <t>8,778,239</t>
  </si>
  <si>
    <t>26.10.2024 19:05:12</t>
  </si>
  <si>
    <t>oc43uSNgcQ93AEXsNQEMKcY9gGey4KmBNTKBbSNpump</t>
  </si>
  <si>
    <t>0.014190</t>
  </si>
  <si>
    <t>0.833 SOL</t>
  </si>
  <si>
    <t>-17.90%</t>
  </si>
  <si>
    <t>26.10.2024 19:01:05</t>
  </si>
  <si>
    <t xml:space="preserve">         57K            43K            24K</t>
  </si>
  <si>
    <t>38nBDcor3onWbxC8mjNN53xHibgXGrJmPBiP27Zhpump</t>
  </si>
  <si>
    <t>Shakey</t>
  </si>
  <si>
    <t>-40.73%</t>
  </si>
  <si>
    <t>26.10.2024 17:53:10</t>
  </si>
  <si>
    <t>QMiqpzcH9vqSSWkJPEFiGQwhQDqznRFddWEdLzjpump</t>
  </si>
  <si>
    <t>788</t>
  </si>
  <si>
    <t>26.10.2024 15:20:46</t>
  </si>
  <si>
    <t xml:space="preserve">         22M            22M            23M</t>
  </si>
  <si>
    <t>ENDER</t>
  </si>
  <si>
    <t>0.872 SOL</t>
  </si>
  <si>
    <t>26.10.2024 15:09:32</t>
  </si>
  <si>
    <t xml:space="preserve">         35K            31K             5K</t>
  </si>
  <si>
    <t>2vAqg5MPPtdXLMYzaDkjq91PWH3d33o9BsmuxsNkpump</t>
  </si>
  <si>
    <t>SLUSH</t>
  </si>
  <si>
    <t>-4.25%</t>
  </si>
  <si>
    <t>25.10.2024 23:14:37</t>
  </si>
  <si>
    <t>7ds8p4Jvd4P6EKbuKb3a3Egw1JxHYkbeVR38xugzw8PG</t>
  </si>
  <si>
    <t>EPPO</t>
  </si>
  <si>
    <t>10.10%</t>
  </si>
  <si>
    <t>25.10.2024 23:09:37</t>
  </si>
  <si>
    <t xml:space="preserve">         39K            42K             5K</t>
  </si>
  <si>
    <t>2xy2Whbg45Vw4QLjebRjfhFMTamkCczrNLvd1urXrBmP</t>
  </si>
  <si>
    <t>GREG</t>
  </si>
  <si>
    <t>25.10.2024 23:02:34</t>
  </si>
  <si>
    <t>EsALFdSt6AMmGrHqvA2FM5ddjJtBCwH4EVo1H2eopump</t>
  </si>
  <si>
    <t>racistai</t>
  </si>
  <si>
    <t>0.884 SOL</t>
  </si>
  <si>
    <t>0.184 SOL</t>
  </si>
  <si>
    <t>-79.20%</t>
  </si>
  <si>
    <t>25.10.2024 22:17:46</t>
  </si>
  <si>
    <t xml:space="preserve">         44K             5K             5K</t>
  </si>
  <si>
    <t>8jVD4FDUswC2dYscVxTruTEy8dGqvgE4f7x2kE1XfKP7</t>
  </si>
  <si>
    <t>1,709,566</t>
  </si>
  <si>
    <t>25.10.2024 21:21:17</t>
  </si>
  <si>
    <t>6hrAVAn8YL4uFKMfdMse4abCGCj66hgaak1CzgQHpump</t>
  </si>
  <si>
    <t>108.73%</t>
  </si>
  <si>
    <t>25.10.2024 21:05:39</t>
  </si>
  <si>
    <t xml:space="preserve">         76K           179K             4K</t>
  </si>
  <si>
    <t>85.24%</t>
  </si>
  <si>
    <t>25.10.2024 20:49:10</t>
  </si>
  <si>
    <t xml:space="preserve">         60K           328K             5K</t>
  </si>
  <si>
    <t>25.10.2024 20:43:31</t>
  </si>
  <si>
    <t xml:space="preserve">         10M            10M             4M</t>
  </si>
  <si>
    <t>0.007910</t>
  </si>
  <si>
    <t>23.21%</t>
  </si>
  <si>
    <t>25.10.2024 20:23:58</t>
  </si>
  <si>
    <t xml:space="preserve">          2M             3M           325K</t>
  </si>
  <si>
    <t>ILER</t>
  </si>
  <si>
    <t>2.557 SOL</t>
  </si>
  <si>
    <t>-0.815 SOL</t>
  </si>
  <si>
    <t>25.10.2024 06:34:09</t>
  </si>
  <si>
    <t>BFbY4FTWqWHR4YUJMdEMSRVw7GN2LaV6QHvjqkGypump</t>
  </si>
  <si>
    <t>0.006610</t>
  </si>
  <si>
    <t>4.969 SOL</t>
  </si>
  <si>
    <t>-1.038 SOL</t>
  </si>
  <si>
    <t>-17.28%</t>
  </si>
  <si>
    <t>25.10.2024 04:00:29</t>
  </si>
  <si>
    <t xml:space="preserve">         11K             8K             4K</t>
  </si>
  <si>
    <t>RAPE</t>
  </si>
  <si>
    <t>4.679 SOL</t>
  </si>
  <si>
    <t>2.882 SOL</t>
  </si>
  <si>
    <t>-1.798 SOL</t>
  </si>
  <si>
    <t>-38.42%</t>
  </si>
  <si>
    <t>25.10.2024 04:00:10</t>
  </si>
  <si>
    <t xml:space="preserve">         35K            21K             6K</t>
  </si>
  <si>
    <t>CLo3jAkv69Y5BaFJ5q8qmnwohwwsQknasZgwbeBJpump</t>
  </si>
  <si>
    <t>LADAI</t>
  </si>
  <si>
    <t>0.006300</t>
  </si>
  <si>
    <t>1.669 SOL</t>
  </si>
  <si>
    <t>-1.337 SOL</t>
  </si>
  <si>
    <t>-44.49%</t>
  </si>
  <si>
    <t>25.10.2024 03:59:48</t>
  </si>
  <si>
    <t xml:space="preserve">         11K             7K             4K</t>
  </si>
  <si>
    <t>4aRjfD2rWQwfXf5hvf6GHEQRnLYBJtfVwQ4TBRcUpump</t>
  </si>
  <si>
    <t>Flash</t>
  </si>
  <si>
    <t>0.006870</t>
  </si>
  <si>
    <t>2.358 SOL</t>
  </si>
  <si>
    <t>-0.649 SOL</t>
  </si>
  <si>
    <t>-21.59%</t>
  </si>
  <si>
    <t>25.10.2024 03:59:32</t>
  </si>
  <si>
    <t>7WDhJakP1zN7fE4tQoktBQkQ7U6E2iUsUyXSbwB6pump</t>
  </si>
  <si>
    <t>NODE</t>
  </si>
  <si>
    <t>515,672</t>
  </si>
  <si>
    <t>24.10.2024 20:21:01</t>
  </si>
  <si>
    <t>2UqpumQPfmx8MMBe64zUKfiuUhc8NKQtzbTTD428pump</t>
  </si>
  <si>
    <t>5.739 SOL</t>
  </si>
  <si>
    <t>1047.71%</t>
  </si>
  <si>
    <t>24.10.2024 16:49:47</t>
  </si>
  <si>
    <t xml:space="preserve">         11K           165K             5K</t>
  </si>
  <si>
    <t>B6fSL8sMoAGKJEafNbKsGsV9KuiKCmaFZrGLX26Zpump</t>
  </si>
  <si>
    <t>67XYw3WnAQbmpJuLoKh7YZwzVUd2q9z2FCNz4Ycjj5dC</t>
  </si>
  <si>
    <t>7.44 SOL</t>
  </si>
  <si>
    <t>111%</t>
  </si>
  <si>
    <t>7.07 SOL</t>
  </si>
  <si>
    <t>-3.43%</t>
  </si>
  <si>
    <t>6.6 SOL</t>
  </si>
  <si>
    <t>0.1 SOL</t>
  </si>
  <si>
    <t>Glory</t>
  </si>
  <si>
    <t>-19.14%</t>
  </si>
  <si>
    <t>30.10.2024 17:34:58</t>
  </si>
  <si>
    <t>DZqXyNkK52FpPHGN73EmvvLoSZNXskpNvtL1GMjLpump</t>
  </si>
  <si>
    <t>Liberty</t>
  </si>
  <si>
    <t>0.220110</t>
  </si>
  <si>
    <t>1.557 SOL</t>
  </si>
  <si>
    <t>55.28%</t>
  </si>
  <si>
    <t>30.10.2024 13:20:51</t>
  </si>
  <si>
    <t>CqBmg5ZUoaPg5Yx5uAKYzpyRcXme2UpVmZ8U5iotpump</t>
  </si>
  <si>
    <t>0.620310</t>
  </si>
  <si>
    <t>7.752 SOL</t>
  </si>
  <si>
    <t>6.582 SOL</t>
  </si>
  <si>
    <t>562.59%</t>
  </si>
  <si>
    <t>30.10.2024 06:17:46</t>
  </si>
  <si>
    <t xml:space="preserve">         11K           102K             7K</t>
  </si>
  <si>
    <t>Butters</t>
  </si>
  <si>
    <t>12.28%</t>
  </si>
  <si>
    <t>29.10.2024 18:25:21</t>
  </si>
  <si>
    <t xml:space="preserve">         12K            14K             4K</t>
  </si>
  <si>
    <t>BFc3G2JaqZA3eCJzWiSMhGZp7aXwonXETtr2Nudppump</t>
  </si>
  <si>
    <t>Nina</t>
  </si>
  <si>
    <t>0.844 SOL</t>
  </si>
  <si>
    <t>-0.333 SOL</t>
  </si>
  <si>
    <t>-28.31%</t>
  </si>
  <si>
    <t>29.10.2024 15:46:54</t>
  </si>
  <si>
    <t>CDkwBE7pPovZLJC2KxM7jvWXkyygR1Y1u2R7f6hmpump</t>
  </si>
  <si>
    <t>0.416 SOL</t>
  </si>
  <si>
    <t>29.10.2024 14:48:14</t>
  </si>
  <si>
    <t>BPFXTGBjoARa89gbSvbp7Dy6cQwgGc7efW1jE8nTpump</t>
  </si>
  <si>
    <t>Trina</t>
  </si>
  <si>
    <t>0.410160</t>
  </si>
  <si>
    <t>87.43%</t>
  </si>
  <si>
    <t>29.10.2024 13:33:41</t>
  </si>
  <si>
    <t>DirQ7FDi1C5SZCy8ai1GTSvnm9o8MDf9s4C4cExzpump</t>
  </si>
  <si>
    <t>0.110010</t>
  </si>
  <si>
    <t>-52.49%</t>
  </si>
  <si>
    <t>29.10.2024 13:22:14</t>
  </si>
  <si>
    <t>CsT44i2W2MWp23WQ2EqjorxZVVzuN4niw1cj1Qr5pump</t>
  </si>
  <si>
    <t>GBUvKJp5BTx65h5yWA4s8q6Ast1T86viRKRVxZtahbsD</t>
  </si>
  <si>
    <t>10.15 SOL</t>
  </si>
  <si>
    <t>78%</t>
  </si>
  <si>
    <t>166%</t>
  </si>
  <si>
    <t>10.05 SOL</t>
  </si>
  <si>
    <t>6.9 SOL</t>
  </si>
  <si>
    <t>0.477 SOL</t>
  </si>
  <si>
    <t>30.10.2024 17:34:53</t>
  </si>
  <si>
    <t>113.34%</t>
  </si>
  <si>
    <t>0.140070</t>
  </si>
  <si>
    <t>202.90%</t>
  </si>
  <si>
    <t>30.10.2024 06:27:45</t>
  </si>
  <si>
    <t xml:space="preserve">          9K            14K             3K</t>
  </si>
  <si>
    <t>HxdzGHd2jLF12UHjgFKCb6zMzgfqGnwRvwKweXmXpump</t>
  </si>
  <si>
    <t>7.852 SOL</t>
  </si>
  <si>
    <t>6.879 SOL</t>
  </si>
  <si>
    <t>706.44%</t>
  </si>
  <si>
    <t xml:space="preserve">          7K           100K             7K</t>
  </si>
  <si>
    <t>11.58%</t>
  </si>
  <si>
    <t xml:space="preserve">         11K            12K             4K</t>
  </si>
  <si>
    <t>3.01%</t>
  </si>
  <si>
    <t>29.10.2024 15:47:07</t>
  </si>
  <si>
    <t>-42.72%</t>
  </si>
  <si>
    <t>29.10.2024 14:48:15</t>
  </si>
  <si>
    <t xml:space="preserve">         54K            33K             4K</t>
  </si>
  <si>
    <t>0.470190</t>
  </si>
  <si>
    <t>129.27%</t>
  </si>
  <si>
    <t>29.10.2024 13:33:37</t>
  </si>
  <si>
    <t xml:space="preserve">          9K            12K             4K</t>
  </si>
  <si>
    <t>-51.90%</t>
  </si>
  <si>
    <t>29.10.2024 13:22:13</t>
  </si>
  <si>
    <t>9QZ5gwreKEsjvs1ewbTN7BnGKHGe7uW6YDfBe5ChRYeE</t>
  </si>
  <si>
    <t>11.20 SOL</t>
  </si>
  <si>
    <t>13.28 SOL</t>
  </si>
  <si>
    <t>-23.09%</t>
  </si>
  <si>
    <t>2.79 SOL</t>
  </si>
  <si>
    <t>14.5%</t>
  </si>
  <si>
    <t>12.7%</t>
  </si>
  <si>
    <t>34.5%</t>
  </si>
  <si>
    <t>51</t>
  </si>
  <si>
    <t>-5.5 SOL</t>
  </si>
  <si>
    <t>-2.75%</t>
  </si>
  <si>
    <t>30.10.2024 21:33:22</t>
  </si>
  <si>
    <t xml:space="preserve">         23K            23K            17K</t>
  </si>
  <si>
    <t>Tz1SURXfPznRZFycdV93o11jJLMBMy1qYiVuQ8Tpump</t>
  </si>
  <si>
    <t>POCONG</t>
  </si>
  <si>
    <t>11.44%</t>
  </si>
  <si>
    <t>30.10.2024 20:34:54</t>
  </si>
  <si>
    <t xml:space="preserve">         11K            11K            13K</t>
  </si>
  <si>
    <t>8iuDWM3CGnDbeXa1Srg32W5DKTzDF8z5fu7aWJUXpump</t>
  </si>
  <si>
    <t>LMIO</t>
  </si>
  <si>
    <t>1.242 SOL</t>
  </si>
  <si>
    <t>133.51%</t>
  </si>
  <si>
    <t>30.10.2024 20:09:27</t>
  </si>
  <si>
    <t xml:space="preserve">         11K            11K            32K</t>
  </si>
  <si>
    <t>Cak1rBaJfS1LCe6U7qoB8bCv9eUy2WbdnpcRwziD4bT3</t>
  </si>
  <si>
    <t>CALVES</t>
  </si>
  <si>
    <t>-17.74%</t>
  </si>
  <si>
    <t>30.10.2024 19:27:25</t>
  </si>
  <si>
    <t>nZLGwR3z66G2DDwRz884MdpXvvFg7Az99ZW1ZeGpump</t>
  </si>
  <si>
    <t>MIKUAI</t>
  </si>
  <si>
    <t>-28.12%</t>
  </si>
  <si>
    <t>30.10.2024 19:13:15</t>
  </si>
  <si>
    <t>cnxjRb3g3hPdhe4juMJNXGzgg8h4wp7RXeaNmNYpump</t>
  </si>
  <si>
    <t>Bones</t>
  </si>
  <si>
    <t>-50.98%</t>
  </si>
  <si>
    <t>30.10.2024 19:11:46</t>
  </si>
  <si>
    <t>7qsTPxr4t3st5KDJ2zRQLgnb7SDiQXFkmFJq4JuRpump</t>
  </si>
  <si>
    <t>$UAI</t>
  </si>
  <si>
    <t>-40.18%</t>
  </si>
  <si>
    <t>30.10.2024 19:01:39</t>
  </si>
  <si>
    <t>EjmoAgw6zFWhSoXRu92wF6N46p5fHC3eYYwy8L3kpump</t>
  </si>
  <si>
    <t>SPEEDY</t>
  </si>
  <si>
    <t>6,998,901</t>
  </si>
  <si>
    <t>30.10.2024 18:26:50</t>
  </si>
  <si>
    <t>Fp9iJqRo4abC3KKTwq7qdLsqZf7kw1QoYUAv3Zz8pump</t>
  </si>
  <si>
    <t>DANA</t>
  </si>
  <si>
    <t>3,229,580</t>
  </si>
  <si>
    <t>30.10.2024 18:09:39</t>
  </si>
  <si>
    <t xml:space="preserve">         18K            18K            16K</t>
  </si>
  <si>
    <t>EB4QvpKcpbYYWeofk13FSvPDc7jMzgc4gUJpUfuLpump</t>
  </si>
  <si>
    <t>XCAT</t>
  </si>
  <si>
    <t>-12.82%</t>
  </si>
  <si>
    <t>30.10.2024 18:04:46</t>
  </si>
  <si>
    <t>Aw8miS54vfWXBF6w8m7kd9dCsA2LWEcPKBqqeRipump</t>
  </si>
  <si>
    <t>EGTP</t>
  </si>
  <si>
    <t>151.56%</t>
  </si>
  <si>
    <t>30.10.2024 18:04:20</t>
  </si>
  <si>
    <t xml:space="preserve">         16K            16K            19K</t>
  </si>
  <si>
    <t>3Vte3SFsTgY9wWJKjPg4kCn8HhKSGWTLvUgoW3Q8pump</t>
  </si>
  <si>
    <t>MORDECAI</t>
  </si>
  <si>
    <t>1.433 SOL</t>
  </si>
  <si>
    <t>0.819 SOL</t>
  </si>
  <si>
    <t>133.39%</t>
  </si>
  <si>
    <t>30.10.2024 15:46:48</t>
  </si>
  <si>
    <t xml:space="preserve">         13K            13K            23K</t>
  </si>
  <si>
    <t>7svSfU4nFMusnPyDsiizvTq9Au8iFaSyQSczbe1Qpump</t>
  </si>
  <si>
    <t>BBWCAT</t>
  </si>
  <si>
    <t>153.68%</t>
  </si>
  <si>
    <t>30.10.2024 15:44:39</t>
  </si>
  <si>
    <t xml:space="preserve">         21K            51K            48K</t>
  </si>
  <si>
    <t>39LeswCXKeEGESiBPNUUEkvRyMp5UeqC7dGw1uT5pump</t>
  </si>
  <si>
    <t>30.10.2024 15:13:25</t>
  </si>
  <si>
    <t>DJT&lt;3MERT</t>
  </si>
  <si>
    <t>56.08%</t>
  </si>
  <si>
    <t>30.10.2024 12:48:26</t>
  </si>
  <si>
    <t xml:space="preserve">         18K            18K            21K</t>
  </si>
  <si>
    <t>GyjozRaVw8Mwm37UL7Aq7LvKhR4UKH51xGZ14XrXpump</t>
  </si>
  <si>
    <t>RTORD</t>
  </si>
  <si>
    <t>-26.45%</t>
  </si>
  <si>
    <t>30.10.2024 12:05:21</t>
  </si>
  <si>
    <t>AY3Wbg7K3zrp8uNxU9Hs77ymNoDZT8SxKgqCEH67pump</t>
  </si>
  <si>
    <t>30.10.2024 09:33:36</t>
  </si>
  <si>
    <t xml:space="preserve">         11K             9K             6K</t>
  </si>
  <si>
    <t>FKpimM7H84WcPLrW4NzxKpo6LzvjaTBQTGg9WbRFpump</t>
  </si>
  <si>
    <t>LZCAT</t>
  </si>
  <si>
    <t>30.10.2024 07:16:39</t>
  </si>
  <si>
    <t>6FKreffFGSMXS6TTxuCU8MoiWNQv5ZpJPLffj7RJpump</t>
  </si>
  <si>
    <t>OSAI</t>
  </si>
  <si>
    <t>8,241,761</t>
  </si>
  <si>
    <t>30.10.2024 07:15:01</t>
  </si>
  <si>
    <t xml:space="preserve">         11K            11K             9K</t>
  </si>
  <si>
    <t>3udZbFn14HaYYL8y7UvN5uCqHSVxif81tUc18JvVpump</t>
  </si>
  <si>
    <t>CATDIA</t>
  </si>
  <si>
    <t>-45.47%</t>
  </si>
  <si>
    <t>30.10.2024 06:36:15</t>
  </si>
  <si>
    <t xml:space="preserve">         26K            26K            15K</t>
  </si>
  <si>
    <t>3ajwpaTr8zYMCQUS9gCHCsrUgVZ6SGN4j57Ax7dApump</t>
  </si>
  <si>
    <t>29.10.2024 19:07:27</t>
  </si>
  <si>
    <t>9TnUDhb5A21ijDDSer4dKa1RF2XdQG95nWs4k2Yopump</t>
  </si>
  <si>
    <t>CAPITALIST</t>
  </si>
  <si>
    <t>4,123,727</t>
  </si>
  <si>
    <t>29.10.2024 19:02:51</t>
  </si>
  <si>
    <t xml:space="preserve">         12K            12K            18K</t>
  </si>
  <si>
    <t>EQ27hD1WGY61HVEKkLZKnG4npHXa396HNnGkRMCApump</t>
  </si>
  <si>
    <t>3,833,091</t>
  </si>
  <si>
    <t>29.10.2024 18:48:28</t>
  </si>
  <si>
    <t>53sUsF22vNAP2CfQux41ttoVbcQGrbtbXhBVtYbrpump</t>
  </si>
  <si>
    <t>-35.75%</t>
  </si>
  <si>
    <t>29.10.2024 18:03:30</t>
  </si>
  <si>
    <t>DN68nbrbeaBwSYjPGuopLqkFhdDvEKCFKNJp3T73N4Gn</t>
  </si>
  <si>
    <t>St.Peter</t>
  </si>
  <si>
    <t>63.19%</t>
  </si>
  <si>
    <t>29.10.2024 17:59:08</t>
  </si>
  <si>
    <t xml:space="preserve">         14K            23K             8K</t>
  </si>
  <si>
    <t>BCSPxwZKRYZF5iEsze6VfG29efj5i9oQx2REBw5ivaFz</t>
  </si>
  <si>
    <t>BURNIE</t>
  </si>
  <si>
    <t>0.937 SOL</t>
  </si>
  <si>
    <t>82.21%</t>
  </si>
  <si>
    <t>29.10.2024 17:39:36</t>
  </si>
  <si>
    <t>BBcAUu7t6o6CqFVngM1pSBiGF42HPNxiStWkBoKmpump</t>
  </si>
  <si>
    <t>-27.56%</t>
  </si>
  <si>
    <t>29.10.2024 04:27:30</t>
  </si>
  <si>
    <t>5NMszeyEcDdrWuRVog2UiJAdA7gN9WEttFrkcaiLpump</t>
  </si>
  <si>
    <t>0.046080</t>
  </si>
  <si>
    <t>3.799 SOL</t>
  </si>
  <si>
    <t>582.06%</t>
  </si>
  <si>
    <t>29.10.2024 03:04:42</t>
  </si>
  <si>
    <t>Maga47</t>
  </si>
  <si>
    <t>25.17%</t>
  </si>
  <si>
    <t>28.10.2024 20:16:45</t>
  </si>
  <si>
    <t>5y66vd1wqCoYsZyqJnY17PY7CZz11j6iwWaR3W8mpump</t>
  </si>
  <si>
    <t>UNICORNO</t>
  </si>
  <si>
    <t>28.10.2024 18:35:27</t>
  </si>
  <si>
    <t xml:space="preserve">         11K             9K             7K</t>
  </si>
  <si>
    <t>5YXqAzvGbNDdVaxKWBUw8JCrvSJpmtoqWpCsU3HWpump</t>
  </si>
  <si>
    <t>CatholicAI</t>
  </si>
  <si>
    <t>28.10.2024 18:06:51</t>
  </si>
  <si>
    <t>mL8kMm3BPRox7TNTFDXeZjWBriDAExKJXeWKCfupump</t>
  </si>
  <si>
    <t>-4.68%</t>
  </si>
  <si>
    <t>28.10.2024 17:50:44</t>
  </si>
  <si>
    <t>C4wmtaHg8aaKf2b8rsR564hcJJ7HRUmpyJdcHdWHpump</t>
  </si>
  <si>
    <t>187.68%</t>
  </si>
  <si>
    <t>28.10.2024 17:48:27</t>
  </si>
  <si>
    <t xml:space="preserve">         12K            12K            22K</t>
  </si>
  <si>
    <t>$BATAI</t>
  </si>
  <si>
    <t>-50.87%</t>
  </si>
  <si>
    <t>28.10.2024 16:25:10</t>
  </si>
  <si>
    <t>ETzg8JFyCPzceKhFMvJB6AZw1fx6fytxHEkK3k9qpump</t>
  </si>
  <si>
    <t>Hullipop</t>
  </si>
  <si>
    <t>2,998,129</t>
  </si>
  <si>
    <t>28.10.2024 14:35:26</t>
  </si>
  <si>
    <t>7Fm9ziUSwBHVMpexMGtyNRUda3WJjX8QnvuEr6xLpump</t>
  </si>
  <si>
    <t>STINGYJACK</t>
  </si>
  <si>
    <t>0.484 SOL</t>
  </si>
  <si>
    <t>56.77%</t>
  </si>
  <si>
    <t>28.10.2024 12:48:01</t>
  </si>
  <si>
    <t>UXqo4U63Sjo8YpQf9LhYErsWWVwVDirH2D3eHbTpump</t>
  </si>
  <si>
    <t>DOOLY</t>
  </si>
  <si>
    <t>-0.611 SOL</t>
  </si>
  <si>
    <t>7,529,732</t>
  </si>
  <si>
    <t>28.10.2024 10:48:38</t>
  </si>
  <si>
    <t xml:space="preserve">         14K            14K            14K</t>
  </si>
  <si>
    <t>BZwNVravPuo3dtrTDWJLAktf5sCXq7eeA9UXk1LPpump</t>
  </si>
  <si>
    <t>MAGA69420</t>
  </si>
  <si>
    <t>3.20%</t>
  </si>
  <si>
    <t>28.10.2024 09:44:11</t>
  </si>
  <si>
    <t xml:space="preserve">         19K            19K            73K</t>
  </si>
  <si>
    <t>DsjBx22vTtqoH1BWYDscMfM5zNm7DAQAG4CJhpPbpump</t>
  </si>
  <si>
    <t>minecreft</t>
  </si>
  <si>
    <t>82.15%</t>
  </si>
  <si>
    <t>28.10.2024 03:43:28</t>
  </si>
  <si>
    <t>HAg512eZxtCnAAVTd2UXY5PkqKYxAeoG32TjMNMpump</t>
  </si>
  <si>
    <t>TANIC</t>
  </si>
  <si>
    <t>-8.46%</t>
  </si>
  <si>
    <t>27.10.2024 23:28:31</t>
  </si>
  <si>
    <t xml:space="preserve">         23K            21K             6K</t>
  </si>
  <si>
    <t>7qpK5UyX16JskttFF6gqujFe7dYpCjXGFYqfCVFtpump</t>
  </si>
  <si>
    <t>2.786 SOL</t>
  </si>
  <si>
    <t>288.07%</t>
  </si>
  <si>
    <t>27.10.2024 23:11:02</t>
  </si>
  <si>
    <t xml:space="preserve">         14K            51K             4K</t>
  </si>
  <si>
    <t>ds</t>
  </si>
  <si>
    <t>65.22%</t>
  </si>
  <si>
    <t>27.10.2024 22:33:30</t>
  </si>
  <si>
    <t>43m2NMQXobysHVjtSAL7x8sBcyxLrZW7tUr3YXf7pump</t>
  </si>
  <si>
    <t>AIJAK</t>
  </si>
  <si>
    <t>-45.29%</t>
  </si>
  <si>
    <t>27.10.2024 22:08:05</t>
  </si>
  <si>
    <t>cqrA1s1UVkA7QZyfdPr2hLbdApY5JJZL15QE8Hzpump</t>
  </si>
  <si>
    <t>158.72%</t>
  </si>
  <si>
    <t>27.10.2024 21:42:12</t>
  </si>
  <si>
    <t>4p81yDzS2MxRkk4S67mhBHWVCiQoCkGeaEPJhXpSpump</t>
  </si>
  <si>
    <t>deathAI</t>
  </si>
  <si>
    <t>0.015080</t>
  </si>
  <si>
    <t>9.136 SOL</t>
  </si>
  <si>
    <t>8.280 SOL</t>
  </si>
  <si>
    <t>967.27%</t>
  </si>
  <si>
    <t>27.10.2024 20:52:13</t>
  </si>
  <si>
    <t xml:space="preserve">         19K           662K             7K</t>
  </si>
  <si>
    <t>GQVfAmab4hFJQdqBHMWGcQ48xa8QuWeQos6hpFSGpump</t>
  </si>
  <si>
    <t>MESSI#DIEZ</t>
  </si>
  <si>
    <t>2,971,940</t>
  </si>
  <si>
    <t>27.10.2024 19:53:23</t>
  </si>
  <si>
    <t xml:space="preserve">         12K            12K            13K</t>
  </si>
  <si>
    <t>2TpLEqnCgEMmj5JLLxkrAsK3GZ614ZV3XSxyGm1Hpump</t>
  </si>
  <si>
    <t>WISP</t>
  </si>
  <si>
    <t>93.44%</t>
  </si>
  <si>
    <t>27.10.2024 19:40:09</t>
  </si>
  <si>
    <t>A9VqA2UtejVve5TWeT18F5TwgxLG9v7AafcSfMY3Sk3U</t>
  </si>
  <si>
    <t>Fatcatmeme</t>
  </si>
  <si>
    <t>3,669,133</t>
  </si>
  <si>
    <t>27.10.2024 19:32:45</t>
  </si>
  <si>
    <t xml:space="preserve">         30K            30K            34K</t>
  </si>
  <si>
    <t>CWvieV9nqzkJRbypdpa2BB7RdJEd3oU7dumjekqupump</t>
  </si>
  <si>
    <t>SHEETS</t>
  </si>
  <si>
    <t>-52.38%</t>
  </si>
  <si>
    <t>27.10.2024 18:40:42</t>
  </si>
  <si>
    <t>76Jwkdz5oea39vgimt6UDS95ZAkvXjeHqBf4QdkFpump</t>
  </si>
  <si>
    <t>146.76%</t>
  </si>
  <si>
    <t>27.10.2024 18:05:09</t>
  </si>
  <si>
    <t xml:space="preserve">         26K            37K             4K</t>
  </si>
  <si>
    <t>BanDoge</t>
  </si>
  <si>
    <t>-0.387 SOL</t>
  </si>
  <si>
    <t>-77.56%</t>
  </si>
  <si>
    <t>27.10.2024 17:55:13</t>
  </si>
  <si>
    <t>AapNGxDqwSiqNAvLdLZR9yuyenaNPKjisnh5oPMepump</t>
  </si>
  <si>
    <t>TWA2024</t>
  </si>
  <si>
    <t>-42.21%</t>
  </si>
  <si>
    <t>27.10.2024 16:49:23</t>
  </si>
  <si>
    <t>FmpwM96nYw2sGUqvrPDJDWjXmvPFGRyvVVataBZxpump</t>
  </si>
  <si>
    <t>T1</t>
  </si>
  <si>
    <t>1,967,568</t>
  </si>
  <si>
    <t xml:space="preserve">          9K             9K            11K</t>
  </si>
  <si>
    <t>XbVkny6kZtrts6RBghbGFM6nqZxXZkhJYfg9vq2pump</t>
  </si>
  <si>
    <t>PIC</t>
  </si>
  <si>
    <t>-69.30%</t>
  </si>
  <si>
    <t>27.10.2024 16:17:40</t>
  </si>
  <si>
    <t>GSe5d5ZetEKp2AzJ6VUqSsbFC6UhUVDZYGXtTGRQpump</t>
  </si>
  <si>
    <t>NAV</t>
  </si>
  <si>
    <t>-38.26%</t>
  </si>
  <si>
    <t>27.10.2024 15:07:13</t>
  </si>
  <si>
    <t xml:space="preserve">         26K            18K             5K</t>
  </si>
  <si>
    <t>ENHbnNEyUQJpbGVCzqoaw572PLpeakpLebtAaZw5pump</t>
  </si>
  <si>
    <t>GbZsEfC5krJMa1gQHvVuBCVGeSbsqR2Sxr151nCfLKa8</t>
  </si>
  <si>
    <t>8.55 SOL</t>
  </si>
  <si>
    <t>197%</t>
  </si>
  <si>
    <t>8.06 SOL</t>
  </si>
  <si>
    <t>23 h</t>
  </si>
  <si>
    <t>72.34%</t>
  </si>
  <si>
    <t>0.160080</t>
  </si>
  <si>
    <t>168.89%</t>
  </si>
  <si>
    <t xml:space="preserve">          9K            16K             3K</t>
  </si>
  <si>
    <t>0.590290</t>
  </si>
  <si>
    <t>6.460 SOL</t>
  </si>
  <si>
    <t>603.34%</t>
  </si>
  <si>
    <t>30.10.2024 06:17:47</t>
  </si>
  <si>
    <t xml:space="preserve">          9K           100K             7K</t>
  </si>
  <si>
    <t>-0.365 SOL</t>
  </si>
  <si>
    <t>-46.16%</t>
  </si>
  <si>
    <t xml:space="preserve">         58K            32K             4K</t>
  </si>
  <si>
    <t>0.350130</t>
  </si>
  <si>
    <t>39.79%</t>
  </si>
  <si>
    <t>55V4hMbPjQDQcGM4RM4hQWJwbgMvPD1SKRGunMDkrZJy</t>
  </si>
  <si>
    <t>1.69 SOL</t>
  </si>
  <si>
    <t>81%</t>
  </si>
  <si>
    <t>26.74 SOL</t>
  </si>
  <si>
    <t>4 (13%)</t>
  </si>
  <si>
    <t>8.43%</t>
  </si>
  <si>
    <t>0.17 SOL</t>
  </si>
  <si>
    <t>-1</t>
  </si>
  <si>
    <t>40.0%</t>
  </si>
  <si>
    <t>6.3 SOL</t>
  </si>
  <si>
    <t>capcore</t>
  </si>
  <si>
    <t>0.614 SOL</t>
  </si>
  <si>
    <t>16.57%</t>
  </si>
  <si>
    <t>30.10.2024 00:46:23</t>
  </si>
  <si>
    <t>5kQ4r5fERmhhQZjTp7ULkVpeKRwSx9QigwRLeGwvpump</t>
  </si>
  <si>
    <t>10.00%</t>
  </si>
  <si>
    <t>29.10.2024 23:50:18</t>
  </si>
  <si>
    <t xml:space="preserve">         14K            16K            13K</t>
  </si>
  <si>
    <t>Louis XIV</t>
  </si>
  <si>
    <t>-17.04%</t>
  </si>
  <si>
    <t>29.10.2024 23:48:07</t>
  </si>
  <si>
    <t xml:space="preserve">         21K            18K            13K</t>
  </si>
  <si>
    <t>34b3pMvjMC8s1R6dNEEKRn2WSRbo9BB1v9hDKzeSDgEC</t>
  </si>
  <si>
    <t>ShoeCoin</t>
  </si>
  <si>
    <t>29.10.2024 22:09:16</t>
  </si>
  <si>
    <t>8aPYTjptzaRcL56QGoZSUW5bB3Vs8d5rpRgSLWMFpump</t>
  </si>
  <si>
    <t>gw</t>
  </si>
  <si>
    <t>-26.23%</t>
  </si>
  <si>
    <t>29.10.2024 20:22:52</t>
  </si>
  <si>
    <t>AbhYZvSXK5V6URzfQcnoL23h5BhusQB2H2RVtqbVpump</t>
  </si>
  <si>
    <t>WRM</t>
  </si>
  <si>
    <t>0.049090</t>
  </si>
  <si>
    <t>19.124 SOL</t>
  </si>
  <si>
    <t>18.275 SOL</t>
  </si>
  <si>
    <t>2152.35%</t>
  </si>
  <si>
    <t>29.10.2024 18:55:29</t>
  </si>
  <si>
    <t xml:space="preserve">          5K           100K             8K</t>
  </si>
  <si>
    <t>73y2d48ndV9fwGgL99iYagD27a2UMxCxLcNaDKzpump</t>
  </si>
  <si>
    <t>SIMON</t>
  </si>
  <si>
    <t>1.592 SOL</t>
  </si>
  <si>
    <t>0.452 SOL</t>
  </si>
  <si>
    <t>39.62%</t>
  </si>
  <si>
    <t>29.10.2024 17:17:29</t>
  </si>
  <si>
    <t xml:space="preserve">         37K            53K             3K</t>
  </si>
  <si>
    <t>Dw5ztHRA55p51qmffB64jKgh8HMT7yEpkiKmbwL6N5ie</t>
  </si>
  <si>
    <t>0.003630</t>
  </si>
  <si>
    <t>3.300 SOL</t>
  </si>
  <si>
    <t>5.040 SOL</t>
  </si>
  <si>
    <t>52.55%</t>
  </si>
  <si>
    <t>29.10.2024 17:00:54</t>
  </si>
  <si>
    <t xml:space="preserve">         11K            30K             7K</t>
  </si>
  <si>
    <t>-1.83%</t>
  </si>
  <si>
    <t>29.10.2024 16:43:34</t>
  </si>
  <si>
    <t>8i2g8yN8opaNma9XhZZMxLNRyj5gqUAx9szJVuHSpump</t>
  </si>
  <si>
    <t>PUFF</t>
  </si>
  <si>
    <t>-13.44%</t>
  </si>
  <si>
    <t>29.10.2024 07:43:16</t>
  </si>
  <si>
    <t>5PWxKbFuertFREmF49jeMqhLLLomhjfzRKnCg9Jgpump</t>
  </si>
  <si>
    <t>CHIWIWI</t>
  </si>
  <si>
    <t>1.634 SOL</t>
  </si>
  <si>
    <t>122.93%</t>
  </si>
  <si>
    <t>29.10.2024 06:28:02</t>
  </si>
  <si>
    <t>BBbu3EUE9SgvnyqdLASXEc5unvgAN27TyYtv4ne2pump</t>
  </si>
  <si>
    <t>-15.51%</t>
  </si>
  <si>
    <t>29.10.2024 05:42:14</t>
  </si>
  <si>
    <t>FQ16dVpcAngR75HdNxBWhBwtTbVSZtofbTZC5Kgnpump</t>
  </si>
  <si>
    <t>bibleus</t>
  </si>
  <si>
    <t>0.002420</t>
  </si>
  <si>
    <t>29.10.2024 04:50:21</t>
  </si>
  <si>
    <t>CBRkk36QxrtRXahN7QEBsG2ik1ucq1tpSfssdkKZpump</t>
  </si>
  <si>
    <t>GLIM</t>
  </si>
  <si>
    <t>1.279 SOL</t>
  </si>
  <si>
    <t>-1.71%</t>
  </si>
  <si>
    <t>29.10.2024 04:19:56</t>
  </si>
  <si>
    <t xml:space="preserve">         81K            79K             3K</t>
  </si>
  <si>
    <t>AjqNDnWMb7W1dnMsmPdMWaPjTn2hidAT5GVERCdApump</t>
  </si>
  <si>
    <t>Domo</t>
  </si>
  <si>
    <t>1.185 SOL</t>
  </si>
  <si>
    <t>6.85%</t>
  </si>
  <si>
    <t>29.10.2024 04:14:38</t>
  </si>
  <si>
    <t>9yEuEhWPAYjy2wAGhArs5rMgmbgz18tqvuPgGHVvpump</t>
  </si>
  <si>
    <t>Soohorang</t>
  </si>
  <si>
    <t>2.007 SOL</t>
  </si>
  <si>
    <t>54.16%</t>
  </si>
  <si>
    <t>29.10.2024 04:05:11</t>
  </si>
  <si>
    <t>HjeaZXEkE8f6GtWKjsRsLmGiixGxtFeaY7ryFxHjpump</t>
  </si>
  <si>
    <t>0.021820</t>
  </si>
  <si>
    <t>2.813 SOL</t>
  </si>
  <si>
    <t>73.45%</t>
  </si>
  <si>
    <t>29.10.2024 03:44:39</t>
  </si>
  <si>
    <t>/higher</t>
  </si>
  <si>
    <t>55.12%</t>
  </si>
  <si>
    <t>29.10.2024 03:26:32</t>
  </si>
  <si>
    <t xml:space="preserve">         53K            83K             4K</t>
  </si>
  <si>
    <t>DwGJNktdqxH2n6rvQ2MYbMFNzxp8zD5EEGEU59Qapump</t>
  </si>
  <si>
    <t>25.29%</t>
  </si>
  <si>
    <t>29.10.2024 03:22:30</t>
  </si>
  <si>
    <t xml:space="preserve">         18K            23K            10K</t>
  </si>
  <si>
    <t>-51.87%</t>
  </si>
  <si>
    <t>29.10.2024 02:46:37</t>
  </si>
  <si>
    <t xml:space="preserve">         19K            11K             4K</t>
  </si>
  <si>
    <t>fRR2kmbzcpKJffYApnbsDR5sneYe6XHAQc9zbNypump</t>
  </si>
  <si>
    <t>29.10.2024 02:26:37</t>
  </si>
  <si>
    <t>5cNyrS8y33RwMVBAUTi9VcNZnGDbmwqHUK5NN8jVJH9N</t>
  </si>
  <si>
    <t>maneki</t>
  </si>
  <si>
    <t>1.478 SOL</t>
  </si>
  <si>
    <t>23.06%</t>
  </si>
  <si>
    <t>29.10.2024 02:26:20</t>
  </si>
  <si>
    <t xml:space="preserve">         18K            23K             8K</t>
  </si>
  <si>
    <t>4CL3LCcKnixvys5yyxdFQyPeAX72aA2pGYxfxFY6pump</t>
  </si>
  <si>
    <t>1.416 SOL</t>
  </si>
  <si>
    <t>38.39%</t>
  </si>
  <si>
    <t>28.10.2024 21:24:47</t>
  </si>
  <si>
    <t>MONK</t>
  </si>
  <si>
    <t>-19.32%</t>
  </si>
  <si>
    <t>25.10.2024 22:27:24</t>
  </si>
  <si>
    <t xml:space="preserve">         68K            56K             6K</t>
  </si>
  <si>
    <t>Monkv6a5h2hrfpQzyKdWp9vUxTRGbzWX89zsZ1QTj4F</t>
  </si>
  <si>
    <t>1.551 SOL</t>
  </si>
  <si>
    <t>0.543 SOL</t>
  </si>
  <si>
    <t>53.93%</t>
  </si>
  <si>
    <t>23.10.2024 17:53:11</t>
  </si>
  <si>
    <t xml:space="preserve">        144K           223K            59K</t>
  </si>
  <si>
    <t>3.48%</t>
  </si>
  <si>
    <t>21.10.2024 16:12:55</t>
  </si>
  <si>
    <t xml:space="preserve">         46K            49K            22K</t>
  </si>
  <si>
    <t>BACK</t>
  </si>
  <si>
    <t>-62.10%</t>
  </si>
  <si>
    <t>21.10.2024 15:39:50</t>
  </si>
  <si>
    <t>ETcyc5aEdHFRXjQsuXqGDMxMJYRGHPaGhbAf1oFKDZgU</t>
  </si>
  <si>
    <t>0.978 SOL</t>
  </si>
  <si>
    <t>97.78%</t>
  </si>
  <si>
    <t>20.10.2024 06:05:41</t>
  </si>
  <si>
    <t xml:space="preserve">        100K           197K            66K</t>
  </si>
  <si>
    <t>MATILDA</t>
  </si>
  <si>
    <t>1.58%</t>
  </si>
  <si>
    <t>16.10.2024 18:55:49</t>
  </si>
  <si>
    <t>FE3ZEyfJ86c4eH6pTHwHu2m1gyQPBxdirTeroUXGpump</t>
  </si>
  <si>
    <t>Milla</t>
  </si>
  <si>
    <t>1.093 SOL</t>
  </si>
  <si>
    <t>0.90%</t>
  </si>
  <si>
    <t>16.10.2024 18:03:19</t>
  </si>
  <si>
    <t>CxWrRKENNyVi5guZrD8Q5yurTy4mGKS8cYe11sRCpump</t>
  </si>
  <si>
    <t>7DAMCyYSf3PpNn6jVzcrC3tyBQ5tD45JMajpKBocboHW</t>
  </si>
  <si>
    <t>9.24 SOL</t>
  </si>
  <si>
    <t>56%</t>
  </si>
  <si>
    <t>128%</t>
  </si>
  <si>
    <t>9.08 SOL</t>
  </si>
  <si>
    <t>28.83%</t>
  </si>
  <si>
    <t>12.0K</t>
  </si>
  <si>
    <t xml:space="preserve">         12K             9K             6K</t>
  </si>
  <si>
    <t>0.170080</t>
  </si>
  <si>
    <t>1.476 SOL</t>
  </si>
  <si>
    <t>62.23%</t>
  </si>
  <si>
    <t>30.10.2024 13:20:50</t>
  </si>
  <si>
    <t>1.941 SOL</t>
  </si>
  <si>
    <t>152.46%</t>
  </si>
  <si>
    <t>30.10.2024 06:27:36</t>
  </si>
  <si>
    <t xml:space="preserve">         11K            19K             3K</t>
  </si>
  <si>
    <t>0.630320</t>
  </si>
  <si>
    <t>7.839 SOL</t>
  </si>
  <si>
    <t>6.777 SOL</t>
  </si>
  <si>
    <t>637.64%</t>
  </si>
  <si>
    <t>29.10.2024 18:25:18</t>
  </si>
  <si>
    <t xml:space="preserve">         11K            14K             4K</t>
  </si>
  <si>
    <t>0.945 SOL</t>
  </si>
  <si>
    <t xml:space="preserve">         16K            14K             5K</t>
  </si>
  <si>
    <t>-42.39%</t>
  </si>
  <si>
    <t xml:space="preserve">         56K            32K             4K</t>
  </si>
  <si>
    <t>2.298 SOL</t>
  </si>
  <si>
    <t>108.28%</t>
  </si>
  <si>
    <t>-52.15%</t>
  </si>
  <si>
    <t>E7Vpwi8ys3iRf2gyVtXLxA8K2CxrtCR2bD2igzR4gWWa</t>
  </si>
  <si>
    <t>20.77 SOL</t>
  </si>
  <si>
    <t>83%</t>
  </si>
  <si>
    <t>19.05 SOL</t>
  </si>
  <si>
    <t>67.06%</t>
  </si>
  <si>
    <t>11.2 SOL</t>
  </si>
  <si>
    <t>ZEN</t>
  </si>
  <si>
    <t>0.240010</t>
  </si>
  <si>
    <t>17.35%</t>
  </si>
  <si>
    <t>30.10.2024 16:41:50</t>
  </si>
  <si>
    <t>4KdmmBF845nJknS1DpWWdL8CsjKExFoUmiEnzHrtpump</t>
  </si>
  <si>
    <t>SPARKY</t>
  </si>
  <si>
    <t>9.75%</t>
  </si>
  <si>
    <t>30.10.2024 13:29:20</t>
  </si>
  <si>
    <t>ChhFGDYQ5n6UkCcsX3NDXHfdgoFbjBMn1msye5HDpump</t>
  </si>
  <si>
    <t>SOAR</t>
  </si>
  <si>
    <t>3.082 SOL</t>
  </si>
  <si>
    <t>192.48%</t>
  </si>
  <si>
    <t>30.10.2024 12:48:04</t>
  </si>
  <si>
    <t>DSMBxacyzGiqNgmadjZPMMGY2EEjRriH4HMbFDbRpump</t>
  </si>
  <si>
    <t>-0.633 SOL</t>
  </si>
  <si>
    <t>-54.19%</t>
  </si>
  <si>
    <t>30.10.2024 06:27:41</t>
  </si>
  <si>
    <t xml:space="preserve">         28K            16K             3K</t>
  </si>
  <si>
    <t>1.832 SOL</t>
  </si>
  <si>
    <t>75.53%</t>
  </si>
  <si>
    <t>29.10.2024 14:47:57</t>
  </si>
  <si>
    <t xml:space="preserve">         21K            49K             4K</t>
  </si>
  <si>
    <t>0.280020</t>
  </si>
  <si>
    <t>2.464 SOL</t>
  </si>
  <si>
    <t>116.59%</t>
  </si>
  <si>
    <t>29.10.2024 14:25:37</t>
  </si>
  <si>
    <t xml:space="preserve">         14K            38K             4K</t>
  </si>
  <si>
    <t>SOLO</t>
  </si>
  <si>
    <t>58.60%</t>
  </si>
  <si>
    <t>29.10.2024 13:00:00</t>
  </si>
  <si>
    <t xml:space="preserve">         13K            27K             4K</t>
  </si>
  <si>
    <t>GeHMGsBk1SfZSmRccWiUxoGd9ZpYHhTYYqMn95Hapump</t>
  </si>
  <si>
    <t>0.320020</t>
  </si>
  <si>
    <t>7.649 SOL</t>
  </si>
  <si>
    <t>6.781 SOL</t>
  </si>
  <si>
    <t>780.76%</t>
  </si>
  <si>
    <t>29.10.2024 04:29:53</t>
  </si>
  <si>
    <t xml:space="preserve">         11K           152K             4K</t>
  </si>
  <si>
    <t>45.46%</t>
  </si>
  <si>
    <t>28.10.2024 16:51:16</t>
  </si>
  <si>
    <t xml:space="preserve">         63K           114K             4K</t>
  </si>
  <si>
    <t>0.260010</t>
  </si>
  <si>
    <t>1.292 SOL</t>
  </si>
  <si>
    <t>6.279 SOL</t>
  </si>
  <si>
    <t>4.727 SOL</t>
  </si>
  <si>
    <t>304.65%</t>
  </si>
  <si>
    <t>28.10.2024 15:36:37</t>
  </si>
  <si>
    <t xml:space="preserve">         12K            44K             7K</t>
  </si>
  <si>
    <t>2vuTTsSqRjjDcozauGTXcUYR3a7GVJsnKMcMLpxjpump</t>
  </si>
  <si>
    <t>2.802 SOL</t>
  </si>
  <si>
    <t>2.023 SOL</t>
  </si>
  <si>
    <t>259.77%</t>
  </si>
  <si>
    <t>28.10.2024 15:12:54</t>
  </si>
  <si>
    <t xml:space="preserve">         12K            63K             4K</t>
  </si>
  <si>
    <t>-0.641 SOL</t>
  </si>
  <si>
    <t>-57.95%</t>
  </si>
  <si>
    <t>27.10.2024 14:32:10</t>
  </si>
  <si>
    <t xml:space="preserve">         46K             9K             4K</t>
  </si>
  <si>
    <t>5L2VdnbQDDBLHBxLn79chKbszxbfZKkHp3ENHaErsPGA</t>
  </si>
  <si>
    <t>9.26 SOL</t>
  </si>
  <si>
    <t>142%</t>
  </si>
  <si>
    <t>9.03 SOL</t>
  </si>
  <si>
    <t>65.55%</t>
  </si>
  <si>
    <t>0.20%</t>
  </si>
  <si>
    <t>0.190090</t>
  </si>
  <si>
    <t>0.720 SOL</t>
  </si>
  <si>
    <t>92.75%</t>
  </si>
  <si>
    <t>1.779 SOL</t>
  </si>
  <si>
    <t>147.10%</t>
  </si>
  <si>
    <t>0.610300</t>
  </si>
  <si>
    <t>7.611 SOL</t>
  </si>
  <si>
    <t>6.609 SOL</t>
  </si>
  <si>
    <t>659.65%</t>
  </si>
  <si>
    <t xml:space="preserve">          7K           102K             7K</t>
  </si>
  <si>
    <t>0.366 SOL</t>
  </si>
  <si>
    <t>29.10.2024 18:24:57</t>
  </si>
  <si>
    <t xml:space="preserve">         12K            21K             4K</t>
  </si>
  <si>
    <t>-38.49%</t>
  </si>
  <si>
    <t xml:space="preserve">         54K            32K             4K</t>
  </si>
  <si>
    <t>0.420160</t>
  </si>
  <si>
    <t>1.717 SOL</t>
  </si>
  <si>
    <t>85.55%</t>
  </si>
  <si>
    <t>29.10.2024 13:33:44</t>
  </si>
  <si>
    <t>-50.52%</t>
  </si>
  <si>
    <t>DSsSCWgC7rfYfLUvQBt2QEgwLHretBbmxPCgWMwb49pB</t>
  </si>
  <si>
    <t>9.00 SOL</t>
  </si>
  <si>
    <t>157%</t>
  </si>
  <si>
    <t>8.73 SOL</t>
  </si>
  <si>
    <t>50.45%</t>
  </si>
  <si>
    <t>6.1 SOL</t>
  </si>
  <si>
    <t>2.2 SOL</t>
  </si>
  <si>
    <t>11.5K</t>
  </si>
  <si>
    <t>0.210100</t>
  </si>
  <si>
    <t>1.657 SOL</t>
  </si>
  <si>
    <t>100.61%</t>
  </si>
  <si>
    <t>30.10.2024 13:20:49</t>
  </si>
  <si>
    <t>0.150070</t>
  </si>
  <si>
    <t>1.979 SOL</t>
  </si>
  <si>
    <t>1.415 SOL</t>
  </si>
  <si>
    <t>250.67%</t>
  </si>
  <si>
    <t xml:space="preserve">          7K            19K             3K</t>
  </si>
  <si>
    <t>7.120 SOL</t>
  </si>
  <si>
    <t>630.70%</t>
  </si>
  <si>
    <t>0.575 SOL</t>
  </si>
  <si>
    <t>-3.77%</t>
  </si>
  <si>
    <t>8.25%</t>
  </si>
  <si>
    <t>-0.351 SOL</t>
  </si>
  <si>
    <t>-45.55%</t>
  </si>
  <si>
    <t>0.390150</t>
  </si>
  <si>
    <t>0.775 SOL</t>
  </si>
  <si>
    <t>92.65%</t>
  </si>
  <si>
    <t>-51.12%</t>
  </si>
  <si>
    <t>29.10.2024 13:22:12</t>
  </si>
  <si>
    <t>3p2CpeP8gbVRDoFLr5a3mXzRdwGMp1VCHP4RhthE5Rzo</t>
  </si>
  <si>
    <t>13.42 SOL</t>
  </si>
  <si>
    <t>5.54 SOL</t>
  </si>
  <si>
    <t>96.23 SOL</t>
  </si>
  <si>
    <t>163</t>
  </si>
  <si>
    <t>85.7%</t>
  </si>
  <si>
    <t>42.9 SOL</t>
  </si>
  <si>
    <t>-40.7 SOL</t>
  </si>
  <si>
    <t>47.5K</t>
  </si>
  <si>
    <t>7.050 SOL</t>
  </si>
  <si>
    <t>10.388 SOL</t>
  </si>
  <si>
    <t>3.338 SOL</t>
  </si>
  <si>
    <t>47.35%</t>
  </si>
  <si>
    <t>30.10.2024 17:33:40</t>
  </si>
  <si>
    <t xml:space="preserve">        312K           197K           585K</t>
  </si>
  <si>
    <t>0.004960</t>
  </si>
  <si>
    <t>-1.155 SOL</t>
  </si>
  <si>
    <t>4,515,665</t>
  </si>
  <si>
    <t>30.10.2024 17:07:22</t>
  </si>
  <si>
    <t xml:space="preserve">         44K            44K             7K</t>
  </si>
  <si>
    <t>Croco</t>
  </si>
  <si>
    <t>-0.861 SOL</t>
  </si>
  <si>
    <t>23,989,630</t>
  </si>
  <si>
    <t>30.10.2024 14:44:48</t>
  </si>
  <si>
    <t>bSPifrxupQPYfrh45hujTph3GoiPCHs5F85Li65pump</t>
  </si>
  <si>
    <t>CHARLES</t>
  </si>
  <si>
    <t>3.418 SOL</t>
  </si>
  <si>
    <t>-3.418 SOL</t>
  </si>
  <si>
    <t>51,115,795</t>
  </si>
  <si>
    <t>30.10.2024 13:43:00</t>
  </si>
  <si>
    <t xml:space="preserve">         18K             7K             6K</t>
  </si>
  <si>
    <t>4egZWa36ndFdBqiHB66NdwXYfWCWSvkV3umSX6cupump</t>
  </si>
  <si>
    <t>1,775,818</t>
  </si>
  <si>
    <t>30.10.2024 13:41:59</t>
  </si>
  <si>
    <t xml:space="preserve">         98K            98K            11K</t>
  </si>
  <si>
    <t>BNqefzuRXjFQZdgn8zFsM1svNprTAeQJ1SKkMh7Qpump</t>
  </si>
  <si>
    <t>Water</t>
  </si>
  <si>
    <t>5.209 SOL</t>
  </si>
  <si>
    <t>-5.211 SOL</t>
  </si>
  <si>
    <t>38,606,763</t>
  </si>
  <si>
    <t>30.10.2024 13:33:17</t>
  </si>
  <si>
    <t xml:space="preserve">         25K            23K             7K</t>
  </si>
  <si>
    <t>AiCw26DPkAVmFNecgBzCM7sejz3CHidytKuAcaGrpump</t>
  </si>
  <si>
    <t>Charles</t>
  </si>
  <si>
    <t>-3.226 SOL</t>
  </si>
  <si>
    <t>33,645,873</t>
  </si>
  <si>
    <t>30.10.2024 13:28:46</t>
  </si>
  <si>
    <t>AjwFwqEWTnUxucfyeWixDMWoEgE21vsWLq8dLkBupump</t>
  </si>
  <si>
    <t>COKE</t>
  </si>
  <si>
    <t>2.088 SOL</t>
  </si>
  <si>
    <t>-2.088 SOL</t>
  </si>
  <si>
    <t>17,011,677</t>
  </si>
  <si>
    <t>30.10.2024 12:55:37</t>
  </si>
  <si>
    <t>8WTke7BisW4eD11HeqoXMAYCqYbVmii1d1hajWYJpump</t>
  </si>
  <si>
    <t>2.039 SOL</t>
  </si>
  <si>
    <t>-2.039 SOL</t>
  </si>
  <si>
    <t>8,453,929</t>
  </si>
  <si>
    <t>30.10.2024 12:34:02</t>
  </si>
  <si>
    <t xml:space="preserve">         42K            42K            35K</t>
  </si>
  <si>
    <t>santa</t>
  </si>
  <si>
    <t>14,515,343</t>
  </si>
  <si>
    <t>30.10.2024 12:08:04</t>
  </si>
  <si>
    <t xml:space="preserve">         60K            60K            64K</t>
  </si>
  <si>
    <t>34wfgAa6JzKxN1TGCneRk3LY1xetvnF8q5n6H7fzf2TY</t>
  </si>
  <si>
    <t>10.050 SOL</t>
  </si>
  <si>
    <t>-9.830 SOL</t>
  </si>
  <si>
    <t>-97.81%</t>
  </si>
  <si>
    <t>30.10.2024 11:29:55</t>
  </si>
  <si>
    <t xml:space="preserve">        112K           244K            87K</t>
  </si>
  <si>
    <t>HJBHJPL6QZ5wq5sXEsEmMNPLZqxJKsQBHiRF3Hj3pump</t>
  </si>
  <si>
    <t>9,238,530</t>
  </si>
  <si>
    <t>30.10.2024 06:48:27</t>
  </si>
  <si>
    <t xml:space="preserve">         51K            51K            48K</t>
  </si>
  <si>
    <t>FROGE</t>
  </si>
  <si>
    <t>37.167 SOL</t>
  </si>
  <si>
    <t>80.058 SOL</t>
  </si>
  <si>
    <t>42.891 SOL</t>
  </si>
  <si>
    <t>115.40%</t>
  </si>
  <si>
    <t>30.10.2024 06:46:53</t>
  </si>
  <si>
    <t xml:space="preserve">        474K           393K           426K</t>
  </si>
  <si>
    <t>FA9jJDQzBEeV4qunJpt7XY7wC4smNYLsBNtMCTPsj3pp</t>
  </si>
  <si>
    <t>す る AI</t>
  </si>
  <si>
    <t>6.040 SOL</t>
  </si>
  <si>
    <t>-3.866 SOL</t>
  </si>
  <si>
    <t>23.10.2024 21:22:36</t>
  </si>
  <si>
    <t xml:space="preserve">        104K            40K             8K</t>
  </si>
  <si>
    <t>Ctkd5XNt9SAYVgdoD36BQw7cTktjMAUJ954kah1Hpump</t>
  </si>
  <si>
    <t>EwMT7ygvaGxSsg7dn9gH6vRXLNSRv9BHYCf8fNUJVxdU</t>
  </si>
  <si>
    <t>10.92 SOL</t>
  </si>
  <si>
    <t>20%</t>
  </si>
  <si>
    <t>-4.30 SOL</t>
  </si>
  <si>
    <t>5.43 SOL</t>
  </si>
  <si>
    <t>-5.7 SOL</t>
  </si>
  <si>
    <t>525.0K</t>
  </si>
  <si>
    <t>-49.86%</t>
  </si>
  <si>
    <t>30.10.2024 07:34:41</t>
  </si>
  <si>
    <t xml:space="preserve">          3M             1M           170K</t>
  </si>
  <si>
    <t>치비</t>
  </si>
  <si>
    <t>108.71%</t>
  </si>
  <si>
    <t>30.10.2024 06:57:55</t>
  </si>
  <si>
    <t xml:space="preserve">         19K            40K             4K</t>
  </si>
  <si>
    <t>Brr65HPDUpnYinFiRFqMdFTRjX9mN9Bk9t77PHdTpump</t>
  </si>
  <si>
    <t>COLIN</t>
  </si>
  <si>
    <t>-46.84%</t>
  </si>
  <si>
    <t>DYun9hK6Y5HeWBoRMFGyKZfZt5GztLoa3ErrgUzTpump</t>
  </si>
  <si>
    <t>30.10.2024 06:54:48</t>
  </si>
  <si>
    <t xml:space="preserve">         46K             7K             4K</t>
  </si>
  <si>
    <t>0.006340</t>
  </si>
  <si>
    <t>166.63%</t>
  </si>
  <si>
    <t>29.10.2024 14:18:24</t>
  </si>
  <si>
    <t xml:space="preserve">          5M            25M            57M</t>
  </si>
  <si>
    <t>0.009020</t>
  </si>
  <si>
    <t>-51.06%</t>
  </si>
  <si>
    <t>28.10.2024 02:50:32</t>
  </si>
  <si>
    <t xml:space="preserve">         46M            46M            23M</t>
  </si>
  <si>
    <t>HeLp6NuQkmYB4pYWo2zYs22mESHXPQYzXbB8n4V98jwC</t>
  </si>
  <si>
    <t>344,423</t>
  </si>
  <si>
    <t>24.10.2024 06:20:27</t>
  </si>
  <si>
    <t xml:space="preserve">        509K           509K           398K</t>
  </si>
  <si>
    <t>4,852</t>
  </si>
  <si>
    <t>24.10.2024 06:20:08</t>
  </si>
  <si>
    <t xml:space="preserve">         36M            36M             1M</t>
  </si>
  <si>
    <t>29,956</t>
  </si>
  <si>
    <t>23.10.2024 12:34:25</t>
  </si>
  <si>
    <t>0.003420</t>
  </si>
  <si>
    <t>-2.70%</t>
  </si>
  <si>
    <t>23.10.2024 11:25:56</t>
  </si>
  <si>
    <t>282,384</t>
  </si>
  <si>
    <t>23.10.2024 10:49:23</t>
  </si>
  <si>
    <t xml:space="preserve">        541K           732K            13K</t>
  </si>
  <si>
    <t>82,861</t>
  </si>
  <si>
    <t>23.10.2024 09:46:55</t>
  </si>
  <si>
    <t xml:space="preserve">          1M             1M            97K</t>
  </si>
  <si>
    <t>Lima AI</t>
  </si>
  <si>
    <t>10,021,158</t>
  </si>
  <si>
    <t>22.10.2024 07:23:32</t>
  </si>
  <si>
    <t>2Ft2kpgH43s98Q8wPksAqejM9cse4wueuzu9ypzspump</t>
  </si>
  <si>
    <t>MCAT</t>
  </si>
  <si>
    <t>6,460,258</t>
  </si>
  <si>
    <t>22.10.2024 07:22:38</t>
  </si>
  <si>
    <t>D9fJwRdzNgh85MApLvQ5cKenhdk5DEoJbfnR9xJjAyVJ</t>
  </si>
  <si>
    <t>Qliphoth</t>
  </si>
  <si>
    <t>94.60%</t>
  </si>
  <si>
    <t>22.10.2024 07:18:39</t>
  </si>
  <si>
    <t xml:space="preserve">         25K           227K             4K</t>
  </si>
  <si>
    <t>9StrGbWhX8nuKSuTNjv5B3BgfLNrbk3c3Hh9YB85pump</t>
  </si>
  <si>
    <t>2FaNRoiXTZ9xXXNKRPap3VXiSZQr6ebwjnHBseCWJc9h</t>
  </si>
  <si>
    <t>9.17 SOL</t>
  </si>
  <si>
    <t>146%</t>
  </si>
  <si>
    <t>8.93 SOL</t>
  </si>
  <si>
    <t>55.77%</t>
  </si>
  <si>
    <t>13.0K</t>
  </si>
  <si>
    <t>0.180090</t>
  </si>
  <si>
    <t>1.270 SOL</t>
  </si>
  <si>
    <t>199.62%</t>
  </si>
  <si>
    <t>30.10.2024 06:27:37</t>
  </si>
  <si>
    <t>7.877 SOL</t>
  </si>
  <si>
    <t>6.627 SOL</t>
  </si>
  <si>
    <t>530.00%</t>
  </si>
  <si>
    <t xml:space="preserve">         12K           100K             7K</t>
  </si>
  <si>
    <t>-27.18%</t>
  </si>
  <si>
    <t>29.10.2024 18:25:36</t>
  </si>
  <si>
    <t xml:space="preserve">         14K            11K             4K</t>
  </si>
  <si>
    <t>50.39%</t>
  </si>
  <si>
    <t>-44.45%</t>
  </si>
  <si>
    <t>1.723 SOL</t>
  </si>
  <si>
    <t>-50.93%</t>
  </si>
  <si>
    <t>9r7b8dnjoCGfpQNcVLf4kPCsbPy6u8eFsD4rLYVHEgmr</t>
  </si>
  <si>
    <t>23.67 SOL</t>
  </si>
  <si>
    <t>68%</t>
  </si>
  <si>
    <t>76.47 SOL</t>
  </si>
  <si>
    <t>13 (46%)</t>
  </si>
  <si>
    <t>20.02%</t>
  </si>
  <si>
    <t>0.53 SOL</t>
  </si>
  <si>
    <t>17.9%</t>
  </si>
  <si>
    <t>29.4 SOL</t>
  </si>
  <si>
    <t>51.6 SOL</t>
  </si>
  <si>
    <t>-3.1 SOL</t>
  </si>
  <si>
    <t>-11.2 SOL</t>
  </si>
  <si>
    <t>35.0K</t>
  </si>
  <si>
    <t>17.690 SOL</t>
  </si>
  <si>
    <t>16.660 SOL</t>
  </si>
  <si>
    <t>1617.49%</t>
  </si>
  <si>
    <t>30.10.2024 17:11:38</t>
  </si>
  <si>
    <t>0.041320</t>
  </si>
  <si>
    <t>3.664 SOL</t>
  </si>
  <si>
    <t>14.518 SOL</t>
  </si>
  <si>
    <t>291.79%</t>
  </si>
  <si>
    <t>30.10.2024 16:43:08</t>
  </si>
  <si>
    <t>0.021320</t>
  </si>
  <si>
    <t>1.610 SOL</t>
  </si>
  <si>
    <t>14.371 SOL</t>
  </si>
  <si>
    <t>12.740 SOL</t>
  </si>
  <si>
    <t>780.74%</t>
  </si>
  <si>
    <t>30.10.2024 12:47:51</t>
  </si>
  <si>
    <t xml:space="preserve">          7K            65K             4K</t>
  </si>
  <si>
    <t>Kenny</t>
  </si>
  <si>
    <t>0.011310</t>
  </si>
  <si>
    <t>3.246 SOL</t>
  </si>
  <si>
    <t>29.10.2024 23:15:02</t>
  </si>
  <si>
    <t xml:space="preserve">         12K             7K             3K</t>
  </si>
  <si>
    <t>6TPFp2mEUFKRS9YZ7SCMXu8HZdmPczRM1PnxikiPpump</t>
  </si>
  <si>
    <t>aidobe</t>
  </si>
  <si>
    <t>4.707 SOL</t>
  </si>
  <si>
    <t>5.176 SOL</t>
  </si>
  <si>
    <t>9.04%</t>
  </si>
  <si>
    <t>29.10.2024 21:32:54</t>
  </si>
  <si>
    <t xml:space="preserve">         32K            53K             4K</t>
  </si>
  <si>
    <t>Ei9HjRCTKgurMJDo3dhGjJsgCS7REex24wcQ3Pehpump</t>
  </si>
  <si>
    <t>pump</t>
  </si>
  <si>
    <t>0.031320</t>
  </si>
  <si>
    <t>4.722 SOL</t>
  </si>
  <si>
    <t>5.983 SOL</t>
  </si>
  <si>
    <t>1.230 SOL</t>
  </si>
  <si>
    <t>25.87%</t>
  </si>
  <si>
    <t>29.10.2024 20:20:02</t>
  </si>
  <si>
    <t xml:space="preserve">         12K            44K             6K</t>
  </si>
  <si>
    <t>aembnJ3BuUHV1Wd2et6q8ZD9BqbsVgr9qct7C8cpump</t>
  </si>
  <si>
    <t>0.041330</t>
  </si>
  <si>
    <t>21.718 SOL</t>
  </si>
  <si>
    <t>11.676 SOL</t>
  </si>
  <si>
    <t>116.28%</t>
  </si>
  <si>
    <t>29.10.2024 19:03:26</t>
  </si>
  <si>
    <t xml:space="preserve">        141K            46K             5K</t>
  </si>
  <si>
    <t>5DoGHVxbcQgLgPx3uKMDK8ft97shHC3gfoQBdTMapump</t>
  </si>
  <si>
    <t>Christus</t>
  </si>
  <si>
    <t>4.464 SOL</t>
  </si>
  <si>
    <t>126.42%</t>
  </si>
  <si>
    <t>29.10.2024 17:10:15</t>
  </si>
  <si>
    <t>NmqxqcouxxsmdeeNV6MFGJjjGgE13ZTuuuwbd1Zpump</t>
  </si>
  <si>
    <t>0.822 SOL</t>
  </si>
  <si>
    <t>-2.198 SOL</t>
  </si>
  <si>
    <t>-72.78%</t>
  </si>
  <si>
    <t>29.10.2024 15:32:49</t>
  </si>
  <si>
    <t xml:space="preserve">        776K           212K             7K</t>
  </si>
  <si>
    <t>-3.14%</t>
  </si>
  <si>
    <t>29.10.2024 14:37:17</t>
  </si>
  <si>
    <t>-0.580 SOL</t>
  </si>
  <si>
    <t>-28.70%</t>
  </si>
  <si>
    <t>29.10.2024 14:25:02</t>
  </si>
  <si>
    <t xml:space="preserve">         71K            51K             4K</t>
  </si>
  <si>
    <t>CQUICK</t>
  </si>
  <si>
    <t>367.75%</t>
  </si>
  <si>
    <t>29.10.2024 02:25:11</t>
  </si>
  <si>
    <t>DoaT1YeXjNRDDJPs7pGX4LV21p5L6799cMuik9Ypump</t>
  </si>
  <si>
    <t>7.599 SOL</t>
  </si>
  <si>
    <t>2.549 SOL</t>
  </si>
  <si>
    <t>50.48%</t>
  </si>
  <si>
    <t>27.10.2024 17:05:46</t>
  </si>
  <si>
    <t xml:space="preserve">        330K           469K           449K</t>
  </si>
  <si>
    <t>3.867 SOL</t>
  </si>
  <si>
    <t>10.733 SOL</t>
  </si>
  <si>
    <t>6.822 SOL</t>
  </si>
  <si>
    <t>174.39%</t>
  </si>
  <si>
    <t>27.10.2024 02:11:50</t>
  </si>
  <si>
    <t xml:space="preserve">         72K            93K            21K</t>
  </si>
  <si>
    <t>G1pKojoCJopPDVMMLUowsyXTaPzKPnBfNWQhraqvpump</t>
  </si>
  <si>
    <t>0.025000</t>
  </si>
  <si>
    <t>3.444 SOL</t>
  </si>
  <si>
    <t>-3.469 SOL</t>
  </si>
  <si>
    <t>8,512,231</t>
  </si>
  <si>
    <t>26.10.2024 21:00:26</t>
  </si>
  <si>
    <t>0.080010</t>
  </si>
  <si>
    <t>3.607 SOL</t>
  </si>
  <si>
    <t>9.746 SOL</t>
  </si>
  <si>
    <t>6.059 SOL</t>
  </si>
  <si>
    <t>164.32%</t>
  </si>
  <si>
    <t>25.10.2024 01:19:00</t>
  </si>
  <si>
    <t xml:space="preserve">         63K            95K             6K</t>
  </si>
  <si>
    <t>SONICAI</t>
  </si>
  <si>
    <t>0.040000</t>
  </si>
  <si>
    <t>3.270 SOL</t>
  </si>
  <si>
    <t>-3.310 SOL</t>
  </si>
  <si>
    <t>8,254,378</t>
  </si>
  <si>
    <t>24.10.2024 02:03:14</t>
  </si>
  <si>
    <t xml:space="preserve">         70K            70K             8K</t>
  </si>
  <si>
    <t>BQYPkPWpYY36eUgt2fbPNrQnvE7Qa5vd5JPjqYvmpump</t>
  </si>
  <si>
    <t>MOOP</t>
  </si>
  <si>
    <t>1.951 SOL</t>
  </si>
  <si>
    <t>4.205 SOL</t>
  </si>
  <si>
    <t>114.30%</t>
  </si>
  <si>
    <t>22.10.2024 14:30:05</t>
  </si>
  <si>
    <t xml:space="preserve">         11K            23K             5K</t>
  </si>
  <si>
    <t>283sGa3ZMauu1HSuMNt4CrgFAtZji5ziia71aAgppump</t>
  </si>
  <si>
    <t>3.178 SOL</t>
  </si>
  <si>
    <t>3.337 SOL</t>
  </si>
  <si>
    <t>4.62%</t>
  </si>
  <si>
    <t>22.10.2024 13:55:44</t>
  </si>
  <si>
    <t>FLuFhGLV1EqnKLZnNNaUQ1aC4Huvoemk84tMKP4Upump</t>
  </si>
  <si>
    <t>doom</t>
  </si>
  <si>
    <t>4.290 SOL</t>
  </si>
  <si>
    <t>3.217 SOL</t>
  </si>
  <si>
    <t>-1.084 SOL</t>
  </si>
  <si>
    <t>-25.20%</t>
  </si>
  <si>
    <t>22.10.2024 13:44:10</t>
  </si>
  <si>
    <t xml:space="preserve">         74K            54K             3K</t>
  </si>
  <si>
    <t>13v7nvkkd1PpMJ6meoscLKeLRRZLznLfFhXpzFTKpump</t>
  </si>
  <si>
    <t>LONG</t>
  </si>
  <si>
    <t>0.125050</t>
  </si>
  <si>
    <t>29.000 SOL</t>
  </si>
  <si>
    <t>31.515 SOL</t>
  </si>
  <si>
    <t>8.20%</t>
  </si>
  <si>
    <t>22.10.2024 03:35:02</t>
  </si>
  <si>
    <t xml:space="preserve">        160K           112K             4K</t>
  </si>
  <si>
    <t>2wSnYg2he87jofkzz3k3CPqMUSvbVGhu923EwYkEpump</t>
  </si>
  <si>
    <t>goerner</t>
  </si>
  <si>
    <t>2.987 SOL</t>
  </si>
  <si>
    <t>8.993 SOL</t>
  </si>
  <si>
    <t>5.995 SOL</t>
  </si>
  <si>
    <t>199.93%</t>
  </si>
  <si>
    <t>22.10.2024 00:54:04</t>
  </si>
  <si>
    <t xml:space="preserve">         16K            49K             4K</t>
  </si>
  <si>
    <t>dTqEjwRFUMVMetJovR92d29S5V8MM4ftGTXgR1Jpump</t>
  </si>
  <si>
    <t>LOTUSAI</t>
  </si>
  <si>
    <t>3.528 SOL</t>
  </si>
  <si>
    <t>73.75%</t>
  </si>
  <si>
    <t>22.10.2024 00:45:36</t>
  </si>
  <si>
    <t>B87nziHcGyTjVPZFW6yJNxzzZTRcPDSUNAWsUq7vpump</t>
  </si>
  <si>
    <t>FROSTY</t>
  </si>
  <si>
    <t>2.725 SOL</t>
  </si>
  <si>
    <t>22.10.2024 00:15:48</t>
  </si>
  <si>
    <t xml:space="preserve">         45K            48K             4K</t>
  </si>
  <si>
    <t>6DGF3Dh6BNddtvRb386KvDrxWcSzHHEvXAr55HYTpump</t>
  </si>
  <si>
    <t>1.541 SOL</t>
  </si>
  <si>
    <t>1.458 SOL</t>
  </si>
  <si>
    <t>22.10.2024 00:07:19</t>
  </si>
  <si>
    <t>LvknyzvzAurVB5KK14qBVy9a8YzCyFAdttyJ15cpump</t>
  </si>
  <si>
    <t>FLOWAI</t>
  </si>
  <si>
    <t>-2.252 SOL</t>
  </si>
  <si>
    <t>-72.80%</t>
  </si>
  <si>
    <t>21.10.2024 23:52:50</t>
  </si>
  <si>
    <t xml:space="preserve">         47K            12K             3K</t>
  </si>
  <si>
    <t>6AuhhT1KsznuTdTWBBch3EoBeij9J2aUcq4mWCCNpump</t>
  </si>
  <si>
    <t>2.713 SOL</t>
  </si>
  <si>
    <t>14.16%</t>
  </si>
  <si>
    <t>21.10.2024 23:04:17</t>
  </si>
  <si>
    <t>CWbS3j6bdm9HWrwh5F4soFNHZk34e9iRwBxFoXm8pump</t>
  </si>
  <si>
    <t>FWUG</t>
  </si>
  <si>
    <t>3.325 SOL</t>
  </si>
  <si>
    <t>48.68%</t>
  </si>
  <si>
    <t>21.10.2024 14:36:25</t>
  </si>
  <si>
    <t xml:space="preserve">         28K            42K             4K</t>
  </si>
  <si>
    <t>2ZBLtWiwFeSK7qVLApQnmdDucsd2Z6ht8tk36Y8jpump</t>
  </si>
  <si>
    <t>47KdXtjkFVcUkew2hwjhX7kaTrN3JYvEx8dBpgHVABoH</t>
  </si>
  <si>
    <t>8.32 SOL</t>
  </si>
  <si>
    <t>152%</t>
  </si>
  <si>
    <t>7.81 SOL</t>
  </si>
  <si>
    <t>17 h</t>
  </si>
  <si>
    <t>1.237 SOL</t>
  </si>
  <si>
    <t>208.86%</t>
  </si>
  <si>
    <t xml:space="preserve">          7K            14K             3K</t>
  </si>
  <si>
    <t>0.652 SOL</t>
  </si>
  <si>
    <t>7.633 SOL</t>
  </si>
  <si>
    <t>6.360 SOL</t>
  </si>
  <si>
    <t>499.87%</t>
  </si>
  <si>
    <t xml:space="preserve">         12K           102K             7K</t>
  </si>
  <si>
    <t>0.680 SOL</t>
  </si>
  <si>
    <t>-17.94%</t>
  </si>
  <si>
    <t>-44.87%</t>
  </si>
  <si>
    <t xml:space="preserve">         54K            30K             4K</t>
  </si>
  <si>
    <t>1.615 SOL</t>
  </si>
  <si>
    <t>70.53%</t>
  </si>
  <si>
    <t xml:space="preserve">          9K            11K             4K</t>
  </si>
  <si>
    <t>-52.28%</t>
  </si>
  <si>
    <t>AP3oxFV3eTS4Vvo2FoS9ZCfTni1BuXTm2jkx6kp2F1hd</t>
  </si>
  <si>
    <t>2.40 SOL</t>
  </si>
  <si>
    <t>-25%</t>
  </si>
  <si>
    <t>-6.91 SOL</t>
  </si>
  <si>
    <t>6 (24%)</t>
  </si>
  <si>
    <t>38 days</t>
  </si>
  <si>
    <t>10.91 SOL</t>
  </si>
  <si>
    <t>146</t>
  </si>
  <si>
    <t>56.0%</t>
  </si>
  <si>
    <t>-4.7 SOL</t>
  </si>
  <si>
    <t>-8.1 SOL</t>
  </si>
  <si>
    <t>434.0K</t>
  </si>
  <si>
    <t>1.026 SOL</t>
  </si>
  <si>
    <t>-1.026 SOL</t>
  </si>
  <si>
    <t>237,365</t>
  </si>
  <si>
    <t>30.10.2024 11:59:30</t>
  </si>
  <si>
    <t xml:space="preserve">        759K           759K           170K</t>
  </si>
  <si>
    <t>-0.632 SOL</t>
  </si>
  <si>
    <t>298,594</t>
  </si>
  <si>
    <t>30.10.2024 08:52:56</t>
  </si>
  <si>
    <t xml:space="preserve">        255K           392K           119K</t>
  </si>
  <si>
    <t>468,308</t>
  </si>
  <si>
    <t>30.10.2024 06:01:44</t>
  </si>
  <si>
    <t>F2Vs9VuvAjRnJADwb6gcnHyRynweGSegxYYssGAapuMP</t>
  </si>
  <si>
    <t>Les</t>
  </si>
  <si>
    <t>-0.638 SOL</t>
  </si>
  <si>
    <t>2,126,830</t>
  </si>
  <si>
    <t>30.10.2024 01:03:01</t>
  </si>
  <si>
    <t xml:space="preserve">         79K            30K            17K</t>
  </si>
  <si>
    <t>2STuxBNmKUtBkAzLwuN8hVKWYMGf6h3vVHSJJe74pump</t>
  </si>
  <si>
    <t>807.07%</t>
  </si>
  <si>
    <t>29.10.2024 15:39:53</t>
  </si>
  <si>
    <t xml:space="preserve">        225K           225K             7M</t>
  </si>
  <si>
    <t>0.887 SOL</t>
  </si>
  <si>
    <t>29.10.2024 15:37:52</t>
  </si>
  <si>
    <t xml:space="preserve">         75K            75K            61K</t>
  </si>
  <si>
    <t>0.011870</t>
  </si>
  <si>
    <t>8.223 SOL</t>
  </si>
  <si>
    <t>-3.239 SOL</t>
  </si>
  <si>
    <t>-28.26%</t>
  </si>
  <si>
    <t>28.10.2024 23:58:41</t>
  </si>
  <si>
    <t xml:space="preserve">         42K           170K            46K</t>
  </si>
  <si>
    <t>-32.77%</t>
  </si>
  <si>
    <t>28.10.2024 22:53:41</t>
  </si>
  <si>
    <t xml:space="preserve">        413K           281K           138K</t>
  </si>
  <si>
    <t>0.659 SOL</t>
  </si>
  <si>
    <t>123,600</t>
  </si>
  <si>
    <t>27.10.2024 22:38:29</t>
  </si>
  <si>
    <t xml:space="preserve">         12M           577K             4M</t>
  </si>
  <si>
    <t>3.598 SOL</t>
  </si>
  <si>
    <t>884.62%</t>
  </si>
  <si>
    <t>27.10.2024 14:02:47</t>
  </si>
  <si>
    <t xml:space="preserve">          2M            19M             7M</t>
  </si>
  <si>
    <t>27.10.2024 10:44:39</t>
  </si>
  <si>
    <t xml:space="preserve">         25M            21M             8M</t>
  </si>
  <si>
    <t>0.002360</t>
  </si>
  <si>
    <t>-36.84%</t>
  </si>
  <si>
    <t>19.10.2024 08:01:27</t>
  </si>
  <si>
    <t xml:space="preserve">        275M           444M           569M</t>
  </si>
  <si>
    <t>3,187</t>
  </si>
  <si>
    <t>17.10.2024 06:14:30</t>
  </si>
  <si>
    <t xml:space="preserve">         20M            20M            12M</t>
  </si>
  <si>
    <t>0.000780</t>
  </si>
  <si>
    <t>-19.51%</t>
  </si>
  <si>
    <t>16.10.2024 08:48:16</t>
  </si>
  <si>
    <t xml:space="preserve">          3M             2M           223K</t>
  </si>
  <si>
    <t>1.095 SOL</t>
  </si>
  <si>
    <t>-27.66%</t>
  </si>
  <si>
    <t>14.10.2024 14:38:47</t>
  </si>
  <si>
    <t xml:space="preserve">        221K           414K           102K</t>
  </si>
  <si>
    <t>9WuADsQtSPQCA18xan5PJj8m1t82bQeUkLoLssS2pump</t>
  </si>
  <si>
    <t>W</t>
  </si>
  <si>
    <t>27,310</t>
  </si>
  <si>
    <t>14.10.2024 12:58:49</t>
  </si>
  <si>
    <t>2xyoTZzNVvbWABQmaDwYb1mhuvutQkGuCPTSMqicpump</t>
  </si>
  <si>
    <t>WLFI</t>
  </si>
  <si>
    <t>11.10.2024 13:01:18</t>
  </si>
  <si>
    <t xml:space="preserve">        N/A           N/A           195K</t>
  </si>
  <si>
    <t>Cq1y5UdQfqf1JMFw98iEYHRXm1VY7aLxhdShxGbffp7e</t>
  </si>
  <si>
    <t>1.247 SOL</t>
  </si>
  <si>
    <t>-1.248 SOL</t>
  </si>
  <si>
    <t>19,829,248,073,674</t>
  </si>
  <si>
    <t>11.10.2024 12:31:32</t>
  </si>
  <si>
    <t xml:space="preserve">          3M           N/A           121K</t>
  </si>
  <si>
    <t>MOODENGWIF</t>
  </si>
  <si>
    <t>0.000930</t>
  </si>
  <si>
    <t>0.593 SOL</t>
  </si>
  <si>
    <t>786.89%</t>
  </si>
  <si>
    <t>30.09.2024 14:42:59</t>
  </si>
  <si>
    <t xml:space="preserve">        455K           485K            27K</t>
  </si>
  <si>
    <t>CkXMc7jucs85oPfFsE4N51TgKWttSPuFuu6AAGZYpump</t>
  </si>
  <si>
    <t>sSOL</t>
  </si>
  <si>
    <t>1.395 SOL</t>
  </si>
  <si>
    <t>-1.395 SOL</t>
  </si>
  <si>
    <t>35,382</t>
  </si>
  <si>
    <t>29.09.2024 04:55:13</t>
  </si>
  <si>
    <t xml:space="preserve">          3K           347K           216M</t>
  </si>
  <si>
    <t>sSo14endRuUbvQaJS3dq36Q829a3A6BEfoeeRGJywEh</t>
  </si>
  <si>
    <t>GM</t>
  </si>
  <si>
    <t>1.114 SOL</t>
  </si>
  <si>
    <t>-0.565 SOL</t>
  </si>
  <si>
    <t>-50.64%</t>
  </si>
  <si>
    <t>29.09.2024 03:44:26</t>
  </si>
  <si>
    <t xml:space="preserve">        349K           348K           458K</t>
  </si>
  <si>
    <t>4aL5GLRuzsnJjJWNdXK7TPTVpGhP6PyV4ZhyQiyxpump</t>
  </si>
  <si>
    <t>FIGHT</t>
  </si>
  <si>
    <t>135,531</t>
  </si>
  <si>
    <t>26.09.2024 02:31:15</t>
  </si>
  <si>
    <t xml:space="preserve">        397K           502K           676K</t>
  </si>
  <si>
    <t>KMnDBXcPXoz6oMJW5XG4tXdwSWpmWEP2RQM1Uujpump</t>
  </si>
  <si>
    <t>GIF</t>
  </si>
  <si>
    <t>25.09.2024 09:02:07</t>
  </si>
  <si>
    <t xml:space="preserve">        564K            44K            17K</t>
  </si>
  <si>
    <t>2pbQKb4SPxVhXZRBxoyzbAbJNtVU1hDSQJqHjGdDpump</t>
  </si>
  <si>
    <t>NVIDIA</t>
  </si>
  <si>
    <t>22.09.2024 11:25:21</t>
  </si>
  <si>
    <t>2j9NXadKFKojd9aENsGh85f5gMdi4tytxo9uBDCFKfHh</t>
  </si>
  <si>
    <t>0.000340</t>
  </si>
  <si>
    <t>22.09.2024 09:23:53</t>
  </si>
  <si>
    <t xml:space="preserve">        455K           455K            19K</t>
  </si>
  <si>
    <t>5zSDDWmrejaoZ5hMKtZA1bEE3we1Z7RvN4aiWZqKpump</t>
  </si>
  <si>
    <t>8vQjS83mYfGaF9bhmJHNcHodPUVQ8Vsgc2S84nRS4zfx</t>
  </si>
  <si>
    <t>12.30 SOL</t>
  </si>
  <si>
    <t>22.11 SOL</t>
  </si>
  <si>
    <t>11.43 SOL</t>
  </si>
  <si>
    <t>2.3%</t>
  </si>
  <si>
    <t>89.4%</t>
  </si>
  <si>
    <t>41</t>
  </si>
  <si>
    <t>63.5 SOL</t>
  </si>
  <si>
    <t>-47.6 SOL</t>
  </si>
  <si>
    <t>74.0K</t>
  </si>
  <si>
    <t>297,125</t>
  </si>
  <si>
    <t xml:space="preserve">        295K           295K             8K</t>
  </si>
  <si>
    <t>1,024,586</t>
  </si>
  <si>
    <t>217,103</t>
  </si>
  <si>
    <t xml:space="preserve">        404K           404K             9K</t>
  </si>
  <si>
    <t>953,529</t>
  </si>
  <si>
    <t>30.10.2024 13:48:38</t>
  </si>
  <si>
    <t>572,438</t>
  </si>
  <si>
    <t>30.10.2024 12:34:09</t>
  </si>
  <si>
    <t xml:space="preserve">        153K           153K            19K</t>
  </si>
  <si>
    <t>-0.261 SOL</t>
  </si>
  <si>
    <t>1,395,946</t>
  </si>
  <si>
    <t>30.10.2024 12:20:49</t>
  </si>
  <si>
    <t>113.94%</t>
  </si>
  <si>
    <t>30.10.2024 11:55:37</t>
  </si>
  <si>
    <t xml:space="preserve">        360K           360K           233K</t>
  </si>
  <si>
    <t>4,419,322</t>
  </si>
  <si>
    <t>30.10.2024 09:31:44</t>
  </si>
  <si>
    <t>2,113,163</t>
  </si>
  <si>
    <t>30.10.2024 09:25:56</t>
  </si>
  <si>
    <t xml:space="preserve">         32K            32K            35K</t>
  </si>
  <si>
    <t>9,561,617</t>
  </si>
  <si>
    <t>1,119,130</t>
  </si>
  <si>
    <t xml:space="preserve">         77K            77K            11K</t>
  </si>
  <si>
    <t>1,957,790</t>
  </si>
  <si>
    <t>30.10.2024 07:44:22</t>
  </si>
  <si>
    <t>1,929,834</t>
  </si>
  <si>
    <t>30.10.2024 07:08:29</t>
  </si>
  <si>
    <t xml:space="preserve">         34K            34K            58K</t>
  </si>
  <si>
    <t>251,382</t>
  </si>
  <si>
    <t>30.10.2024 03:12:39</t>
  </si>
  <si>
    <t xml:space="preserve">        350K           350K           657K</t>
  </si>
  <si>
    <t>806,208</t>
  </si>
  <si>
    <t>-66.38%</t>
  </si>
  <si>
    <t>29.10.2024 21:02:37</t>
  </si>
  <si>
    <t>-82.31%</t>
  </si>
  <si>
    <t>29.10.2024 20:09:36</t>
  </si>
  <si>
    <t>1,647,194</t>
  </si>
  <si>
    <t>29.10.2024 17:46:04</t>
  </si>
  <si>
    <t>1,473,512</t>
  </si>
  <si>
    <t>29.10.2024 17:33:56</t>
  </si>
  <si>
    <t>206,334</t>
  </si>
  <si>
    <t xml:space="preserve">        424K           424K             8K</t>
  </si>
  <si>
    <t>Mr.Noodles</t>
  </si>
  <si>
    <t>3,451,133</t>
  </si>
  <si>
    <t>29.10.2024 17:06:47</t>
  </si>
  <si>
    <t>9jso3Fzdp8xuLXXbRuMAzZqpnp9U2Dn5s17Bxr11pump</t>
  </si>
  <si>
    <t>183,550</t>
  </si>
  <si>
    <t xml:space="preserve">        478K           478K             8K</t>
  </si>
  <si>
    <t>DIANA</t>
  </si>
  <si>
    <t>4,344,556</t>
  </si>
  <si>
    <t>29.10.2024 16:50:43</t>
  </si>
  <si>
    <t>GoxzQqv43D6e4AM9ZB9GtJXAuGsXaSh9nTvSRRnzpump</t>
  </si>
  <si>
    <t>1,450,521</t>
  </si>
  <si>
    <t>29.10.2024 16:45:38</t>
  </si>
  <si>
    <t>197,454</t>
  </si>
  <si>
    <t xml:space="preserve">        444K           444K             8K</t>
  </si>
  <si>
    <t>1,442,180</t>
  </si>
  <si>
    <t>1,959,234</t>
  </si>
  <si>
    <t>229,318</t>
  </si>
  <si>
    <t xml:space="preserve">        383K           383K            13K</t>
  </si>
  <si>
    <t>1,027,398</t>
  </si>
  <si>
    <t>315,470</t>
  </si>
  <si>
    <t>29.10.2024 13:03:22</t>
  </si>
  <si>
    <t xml:space="preserve">        277K           277K             7K</t>
  </si>
  <si>
    <t>678,240</t>
  </si>
  <si>
    <t>-63.50%</t>
  </si>
  <si>
    <t>29.10.2024 11:44:10</t>
  </si>
  <si>
    <t>487,281</t>
  </si>
  <si>
    <t xml:space="preserve">        181K           181K             4K</t>
  </si>
  <si>
    <t>515,320</t>
  </si>
  <si>
    <t>292,583</t>
  </si>
  <si>
    <t xml:space="preserve">        300K           300K             5K</t>
  </si>
  <si>
    <t>1,088,862</t>
  </si>
  <si>
    <t>29.10.2024 03:14:51</t>
  </si>
  <si>
    <t xml:space="preserve">         79K            79K            11K</t>
  </si>
  <si>
    <t>0.938 SOL</t>
  </si>
  <si>
    <t>0.778 SOL</t>
  </si>
  <si>
    <t>487.01%</t>
  </si>
  <si>
    <t>28.10.2024 16:24:20</t>
  </si>
  <si>
    <t>AHEGAO</t>
  </si>
  <si>
    <t>1,789,083</t>
  </si>
  <si>
    <t>28.10.2024 16:10:38</t>
  </si>
  <si>
    <t>3PgU1nJK3NSimGLDpC3BnzVarxNSfcMwwGrt9SF6pump</t>
  </si>
  <si>
    <t>1,984,145</t>
  </si>
  <si>
    <t>1,238,645</t>
  </si>
  <si>
    <t>28.10.2024 16:01:52</t>
  </si>
  <si>
    <t>1,549,954</t>
  </si>
  <si>
    <t>2,433,338</t>
  </si>
  <si>
    <t>28.10.2024 15:57:31</t>
  </si>
  <si>
    <t>4,013,451</t>
  </si>
  <si>
    <t>1,287,362</t>
  </si>
  <si>
    <t>28.10.2024 15:27:20</t>
  </si>
  <si>
    <t>449,013</t>
  </si>
  <si>
    <t xml:space="preserve">        195K           195K            39K</t>
  </si>
  <si>
    <t>28.10.2024 15:20:27</t>
  </si>
  <si>
    <t xml:space="preserve">         30K            14K             5K</t>
  </si>
  <si>
    <t>3,180,968</t>
  </si>
  <si>
    <t>28.10.2024 15:15:08</t>
  </si>
  <si>
    <t>37.79%</t>
  </si>
  <si>
    <t>28.10.2024 14:54:07</t>
  </si>
  <si>
    <t xml:space="preserve">        165K           165K             8K</t>
  </si>
  <si>
    <t>153,179</t>
  </si>
  <si>
    <t>28.10.2024 14:34:09</t>
  </si>
  <si>
    <t xml:space="preserve">        572K           572K            14K</t>
  </si>
  <si>
    <t>638,262</t>
  </si>
  <si>
    <t>-93.55%</t>
  </si>
  <si>
    <t>28.10.2024 14:16:47</t>
  </si>
  <si>
    <t>1,795,073</t>
  </si>
  <si>
    <t>28.10.2024 13:17:33</t>
  </si>
  <si>
    <t>615,336</t>
  </si>
  <si>
    <t>28.10.2024 12:59:15</t>
  </si>
  <si>
    <t xml:space="preserve">         60K            60K             7K</t>
  </si>
  <si>
    <t>1,014,101</t>
  </si>
  <si>
    <t>28.10.2024 12:46:17</t>
  </si>
  <si>
    <t>352,258</t>
  </si>
  <si>
    <t>-76.14%</t>
  </si>
  <si>
    <t>28.10.2024 07:30:00</t>
  </si>
  <si>
    <t>3,031,690</t>
  </si>
  <si>
    <t>28.10.2024 07:16:57</t>
  </si>
  <si>
    <t>151.01%</t>
  </si>
  <si>
    <t>28.10.2024 06:17:25</t>
  </si>
  <si>
    <t xml:space="preserve">        390K           390K             1M</t>
  </si>
  <si>
    <t>216,643</t>
  </si>
  <si>
    <t>188,044</t>
  </si>
  <si>
    <t xml:space="preserve">        462K           462K            73K</t>
  </si>
  <si>
    <t>287,353</t>
  </si>
  <si>
    <t xml:space="preserve">        123K           123K           130K</t>
  </si>
  <si>
    <t>15.210 SOL</t>
  </si>
  <si>
    <t>14.949 SOL</t>
  </si>
  <si>
    <t>5727.14%</t>
  </si>
  <si>
    <t>27.10.2024 22:48:27</t>
  </si>
  <si>
    <t>717,362</t>
  </si>
  <si>
    <t>2,274,948</t>
  </si>
  <si>
    <t>27.10.2024 22:19:08</t>
  </si>
  <si>
    <t>150,373</t>
  </si>
  <si>
    <t>109,713</t>
  </si>
  <si>
    <t>27.10.2024 21:29:28</t>
  </si>
  <si>
    <t xml:space="preserve">        320K           320K            12K</t>
  </si>
  <si>
    <t>3,243,016</t>
  </si>
  <si>
    <t>27.10.2024 21:26:07</t>
  </si>
  <si>
    <t>810,159</t>
  </si>
  <si>
    <t>27.10.2024 21:25:04</t>
  </si>
  <si>
    <t>5,625,437</t>
  </si>
  <si>
    <t>27.10.2024 21:13:33</t>
  </si>
  <si>
    <t>2,246,948</t>
  </si>
  <si>
    <t>27.10.2024 20:48:27</t>
  </si>
  <si>
    <t>1,180,820</t>
  </si>
  <si>
    <t>1,613,304</t>
  </si>
  <si>
    <t>27.10.2024 20:31:46</t>
  </si>
  <si>
    <t>BANKSY</t>
  </si>
  <si>
    <t>2,442,145</t>
  </si>
  <si>
    <t>27.10.2024 19:45:14</t>
  </si>
  <si>
    <t>GG4V3Lh63NAkvpXqfdnjgsEMTbXP4BFZA2FC5HJpump</t>
  </si>
  <si>
    <t>iykyk</t>
  </si>
  <si>
    <t>2,185,849</t>
  </si>
  <si>
    <t>27.10.2024 19:43:24</t>
  </si>
  <si>
    <t>7ruuEZv2UwSLUA8Kjyh5vUAnLFHN7GuG6T1wkfrpump</t>
  </si>
  <si>
    <t>-0.411 SOL</t>
  </si>
  <si>
    <t>-81.93%</t>
  </si>
  <si>
    <t>27.10.2024 19:43:10</t>
  </si>
  <si>
    <t xml:space="preserve">        423K           423K            10K</t>
  </si>
  <si>
    <t>209,599</t>
  </si>
  <si>
    <t>27.10.2024 16:54:35</t>
  </si>
  <si>
    <t xml:space="preserve">        420K           420K            52K</t>
  </si>
  <si>
    <t>NESH</t>
  </si>
  <si>
    <t>501,713</t>
  </si>
  <si>
    <t>27.10.2024 15:29:07</t>
  </si>
  <si>
    <t xml:space="preserve">        176K           176K             4K</t>
  </si>
  <si>
    <t>3GMWBYirJHVpQzKNMxXR36kHPA9nB9UD3Bxxv1Qjpump</t>
  </si>
  <si>
    <t>149,567</t>
  </si>
  <si>
    <t>27.10.2024 02:51:32</t>
  </si>
  <si>
    <t xml:space="preserve">        235K           235K            32K</t>
  </si>
  <si>
    <t>816,533</t>
  </si>
  <si>
    <t xml:space="preserve">        187K           187K             5K</t>
  </si>
  <si>
    <t>-1.221 SOL</t>
  </si>
  <si>
    <t>4,274,201</t>
  </si>
  <si>
    <t>-2.003 SOL</t>
  </si>
  <si>
    <t>645,397</t>
  </si>
  <si>
    <t>26.10.2024 13:57:04</t>
  </si>
  <si>
    <t xml:space="preserve">        509K           509K            10K</t>
  </si>
  <si>
    <t>414,455</t>
  </si>
  <si>
    <t>26.10.2024 11:13:04</t>
  </si>
  <si>
    <t xml:space="preserve">        423K           423K            31K</t>
  </si>
  <si>
    <t>1,711,739</t>
  </si>
  <si>
    <t>1,691,794</t>
  </si>
  <si>
    <t>26.10.2024 05:04:30</t>
  </si>
  <si>
    <t xml:space="preserve">        104K           104K            13K</t>
  </si>
  <si>
    <t>1.197 SOL</t>
  </si>
  <si>
    <t>4,442,493</t>
  </si>
  <si>
    <t>-0.991 SOL</t>
  </si>
  <si>
    <t>951,659</t>
  </si>
  <si>
    <t>1.041 SOL</t>
  </si>
  <si>
    <t>-1.043 SOL</t>
  </si>
  <si>
    <t>3,117,709</t>
  </si>
  <si>
    <t xml:space="preserve">         58K            58K             7K</t>
  </si>
  <si>
    <t>0.013920</t>
  </si>
  <si>
    <t>16.315 SOL</t>
  </si>
  <si>
    <t>15.901 SOL</t>
  </si>
  <si>
    <t>3841.65%</t>
  </si>
  <si>
    <t>25.10.2024 18:24:22</t>
  </si>
  <si>
    <t xml:space="preserve">         74K            74K           539K</t>
  </si>
  <si>
    <t>-0.801 SOL</t>
  </si>
  <si>
    <t>1,909,426</t>
  </si>
  <si>
    <t>286,750</t>
  </si>
  <si>
    <t>24.10.2024 18:34:36</t>
  </si>
  <si>
    <t xml:space="preserve">        367K           367K           313K</t>
  </si>
  <si>
    <t>20.164 SOL</t>
  </si>
  <si>
    <t>19.560 SOL</t>
  </si>
  <si>
    <t>3237.13%</t>
  </si>
  <si>
    <t>24.10.2024 18:12:53</t>
  </si>
  <si>
    <t xml:space="preserve">        156K           156K            10M</t>
  </si>
  <si>
    <t>192,220</t>
  </si>
  <si>
    <t>593,279</t>
  </si>
  <si>
    <t>24.10.2024 13:28:14</t>
  </si>
  <si>
    <t xml:space="preserve">        177K           177K             6K</t>
  </si>
  <si>
    <t>610,560</t>
  </si>
  <si>
    <t>Cybercab</t>
  </si>
  <si>
    <t>659,295</t>
  </si>
  <si>
    <t>23.10.2024 17:58:39</t>
  </si>
  <si>
    <t>DRgibxudczieNizFWtnnpWFDwYXnFChQ6nHFKMm2pump</t>
  </si>
  <si>
    <t>979,940</t>
  </si>
  <si>
    <t>23.10.2024 16:18:53</t>
  </si>
  <si>
    <t xml:space="preserve">         70K            70K            25K</t>
  </si>
  <si>
    <t>1,448,116</t>
  </si>
  <si>
    <t>23.10.2024 16:05:27</t>
  </si>
  <si>
    <t xml:space="preserve">         10K            10K             6K</t>
  </si>
  <si>
    <t>136,574</t>
  </si>
  <si>
    <t>23.10.2024 15:58:12</t>
  </si>
  <si>
    <t xml:space="preserve">        771K           771K            10K</t>
  </si>
  <si>
    <t>1,287,890</t>
  </si>
  <si>
    <t>23.10.2024 15:44:26</t>
  </si>
  <si>
    <t>-0.595 SOL</t>
  </si>
  <si>
    <t>219,083</t>
  </si>
  <si>
    <t>23.10.2024 10:39:05</t>
  </si>
  <si>
    <t xml:space="preserve">        476K           476K            13K</t>
  </si>
  <si>
    <t>DWF</t>
  </si>
  <si>
    <t>4.31%</t>
  </si>
  <si>
    <t>23.10.2024 10:36:00</t>
  </si>
  <si>
    <t xml:space="preserve">         68K           218K             4K</t>
  </si>
  <si>
    <t>49BpEqdXm9uahssPR9x8uzBhjoaKbAzWqMS9oCb8pump</t>
  </si>
  <si>
    <t>Kleros</t>
  </si>
  <si>
    <t>-81.54%</t>
  </si>
  <si>
    <t>23.10.2024 10:34:50</t>
  </si>
  <si>
    <t>HQXmwse6Uatgj175V2UJuv8CNunK4TptoFW56L2aCT3a</t>
  </si>
  <si>
    <t>-92.23%</t>
  </si>
  <si>
    <t>23.10.2024 07:13:57</t>
  </si>
  <si>
    <t xml:space="preserve">        119K             9K             3K</t>
  </si>
  <si>
    <t>DyC9KmJpoSNtSfWrg1AVCsDi6UR1BRgCd7nmK5wRpump</t>
  </si>
  <si>
    <t>23.10.2024 06:52:41</t>
  </si>
  <si>
    <t xml:space="preserve">        228K           228K             5K</t>
  </si>
  <si>
    <t>-79.33%</t>
  </si>
  <si>
    <t>23.10.2024 04:52:51</t>
  </si>
  <si>
    <t xml:space="preserve">        253K            53K             4K</t>
  </si>
  <si>
    <t>HARAMBAI</t>
  </si>
  <si>
    <t>0.262 SOL</t>
  </si>
  <si>
    <t>2,476,910</t>
  </si>
  <si>
    <t>23.10.2024 03:25:10</t>
  </si>
  <si>
    <t xml:space="preserve">         19K            19K             7K</t>
  </si>
  <si>
    <t>KviFcA9aXLXeY9rKYjp8h2KXUrZUYyaKkqLm6v2pump</t>
  </si>
  <si>
    <t>endAI</t>
  </si>
  <si>
    <t>135.75%</t>
  </si>
  <si>
    <t>23.10.2024 00:46:23</t>
  </si>
  <si>
    <t xml:space="preserve">        211K           211K            19K</t>
  </si>
  <si>
    <t>CUsLQwd3wvcXxin2UyxcstTTaSmXvWXSo3E18G3Fpump</t>
  </si>
  <si>
    <t>Opus</t>
  </si>
  <si>
    <t>580,036</t>
  </si>
  <si>
    <t>22.10.2024 14:22:32</t>
  </si>
  <si>
    <t xml:space="preserve">        179K           179K             5K</t>
  </si>
  <si>
    <t>we2uCiJ3PsjSLjcYPgdmTuJ7AfocnysF7U4sakwpump</t>
  </si>
  <si>
    <t>DANK</t>
  </si>
  <si>
    <t>-95.87%</t>
  </si>
  <si>
    <t>22.10.2024 12:41:37</t>
  </si>
  <si>
    <t xml:space="preserve">        325K           325K             4K</t>
  </si>
  <si>
    <t>6zY3btk8QZ6aikpkswnuqA3RQkVYGJBwrpb13HzDpump</t>
  </si>
  <si>
    <t>287,293</t>
  </si>
  <si>
    <t>22.10.2024 10:55:36</t>
  </si>
  <si>
    <t xml:space="preserve">        244K           244K            14K</t>
  </si>
  <si>
    <t>368,652</t>
  </si>
  <si>
    <t>22.10.2024 10:22:29</t>
  </si>
  <si>
    <t xml:space="preserve">        191K           191K             6K</t>
  </si>
  <si>
    <t>DCh7xKpTMH9sNrEssMhPX9CPQeeXDyW6mvEmVy4Mpump</t>
  </si>
  <si>
    <t>3.942 SOL</t>
  </si>
  <si>
    <t>459.70%</t>
  </si>
  <si>
    <t>22.10.2024 07:25:51</t>
  </si>
  <si>
    <t xml:space="preserve">         86K           218K            82K</t>
  </si>
  <si>
    <t>-53.60%</t>
  </si>
  <si>
    <t>22.10.2024 05:45:36</t>
  </si>
  <si>
    <t xml:space="preserve">        264K           138K             2M</t>
  </si>
  <si>
    <t>11.824 SOL</t>
  </si>
  <si>
    <t>2835.43%</t>
  </si>
  <si>
    <t>22.10.2024 04:41:22</t>
  </si>
  <si>
    <t xml:space="preserve">        253K            10M           325K</t>
  </si>
  <si>
    <t>LEWD</t>
  </si>
  <si>
    <t>1,736,195</t>
  </si>
  <si>
    <t>22.10.2024 01:13:01</t>
  </si>
  <si>
    <t>FiEJeVw6MJToGkN6KVktYzMvX1zQS9H6RtV15ARdpump</t>
  </si>
  <si>
    <t>Ruri</t>
  </si>
  <si>
    <t>477,118</t>
  </si>
  <si>
    <t>22.10.2024 01:05:26</t>
  </si>
  <si>
    <t xml:space="preserve">         72K            72K            28K</t>
  </si>
  <si>
    <t>7q9koN6yzdiP3b5noPMN4V3LVVkh1msBAzHHiVCppump</t>
  </si>
  <si>
    <t>513,932</t>
  </si>
  <si>
    <t>22.10.2024 00:16:21</t>
  </si>
  <si>
    <t>2,075,077</t>
  </si>
  <si>
    <t>21.10.2024 14:38:46</t>
  </si>
  <si>
    <t>Slopo</t>
  </si>
  <si>
    <t>3,507,858</t>
  </si>
  <si>
    <t>21.10.2024 12:30:48</t>
  </si>
  <si>
    <t>HTK8TMTEKuWVQTQXpk4cAzhz19bzwh57rBtMqv8upump</t>
  </si>
  <si>
    <t>SLOM</t>
  </si>
  <si>
    <t>987,378</t>
  </si>
  <si>
    <t>21.10.2024 12:06:58</t>
  </si>
  <si>
    <t xml:space="preserve">         70K            70K             9K</t>
  </si>
  <si>
    <t>5Uzw4pxZuHfrcMsrZgkjMeyk7WGnj6gFwn1bGqitpump</t>
  </si>
  <si>
    <t>2,408,118</t>
  </si>
  <si>
    <t>21.10.2024 09:00:15</t>
  </si>
  <si>
    <t>exo</t>
  </si>
  <si>
    <t>1,879,910</t>
  </si>
  <si>
    <t>21.10.2024 08:34:26</t>
  </si>
  <si>
    <t xml:space="preserve">         19K            19K            25K</t>
  </si>
  <si>
    <t>26LDHcthoC5jeQtYJFyRJ14yFVYqwsrMDznAUhWepump</t>
  </si>
  <si>
    <t>0.005640</t>
  </si>
  <si>
    <t>0.910 SOL</t>
  </si>
  <si>
    <t>13.00%</t>
  </si>
  <si>
    <t>21.10.2024 05:18:59</t>
  </si>
  <si>
    <t xml:space="preserve">         77K            90K             5K</t>
  </si>
  <si>
    <t>3,352,867</t>
  </si>
  <si>
    <t>21.10.2024 04:44:03</t>
  </si>
  <si>
    <t xml:space="preserve">         21K            21K            12K</t>
  </si>
  <si>
    <t>FX7RsVm1y59Cr166Eb4VteRzAdTY9idPWtcN15j4pump</t>
  </si>
  <si>
    <t>CfAR</t>
  </si>
  <si>
    <t>-55.13%</t>
  </si>
  <si>
    <t>20.10.2024 15:39:52</t>
  </si>
  <si>
    <t xml:space="preserve">         49K            23K             5K</t>
  </si>
  <si>
    <t>5VrJTBsjpmeGaQaf6EYewARFYVzF1ZCYmxoLf7RPpump</t>
  </si>
  <si>
    <t>NOSM</t>
  </si>
  <si>
    <t>-60.22%</t>
  </si>
  <si>
    <t>20.10.2024 14:36:17</t>
  </si>
  <si>
    <t xml:space="preserve">         40K            16K             7K</t>
  </si>
  <si>
    <t>Jq27m8AfBJ5gyuzpZqtjfQAgDFUwD8CVAH9dS9hpump</t>
  </si>
  <si>
    <t>-40.00%</t>
  </si>
  <si>
    <t>20.10.2024 06:47:01</t>
  </si>
  <si>
    <t>8joRyg6QjWq83ZtGY25A3bpcMAgtyEcKY4iNPusCpump</t>
  </si>
  <si>
    <t>1,924,687</t>
  </si>
  <si>
    <t>20.10.2024 06:11:25</t>
  </si>
  <si>
    <t>165,007</t>
  </si>
  <si>
    <t>20.10.2024 04:37:02</t>
  </si>
  <si>
    <t xml:space="preserve">        383K           383K             9K</t>
  </si>
  <si>
    <t>A1VW4WZVQxBvwyxMXdaXp3vYez9ULfFBiTHCVLHapump</t>
  </si>
  <si>
    <t>1.913 SOL</t>
  </si>
  <si>
    <t>1.709 SOL</t>
  </si>
  <si>
    <t>836.84%</t>
  </si>
  <si>
    <t>19.10.2024 15:26:33</t>
  </si>
  <si>
    <t xml:space="preserve">          2M            36M            35M</t>
  </si>
  <si>
    <t>-0.279 SOL</t>
  </si>
  <si>
    <t>-55.26%</t>
  </si>
  <si>
    <t>19.10.2024 15:26:00</t>
  </si>
  <si>
    <t xml:space="preserve">        402K           625K            14K</t>
  </si>
  <si>
    <t>a/alt</t>
  </si>
  <si>
    <t>1,619,350</t>
  </si>
  <si>
    <t>19.10.2024 14:31:19</t>
  </si>
  <si>
    <t>B6tbCTAMGzMVitT8Hjj9P6oirBEfAL5cZfELjAg3pump</t>
  </si>
  <si>
    <t>dikyzV9BxbNgLX3VYeyaXJceUE5S3fFFfxmB6nUQpRM</t>
  </si>
  <si>
    <t>40.76 SOL</t>
  </si>
  <si>
    <t>19.38 SOL</t>
  </si>
  <si>
    <t>2 (2%)</t>
  </si>
  <si>
    <t>55.8 SOL</t>
  </si>
  <si>
    <t>7.4%</t>
  </si>
  <si>
    <t>19.1%</t>
  </si>
  <si>
    <t>62.8%</t>
  </si>
  <si>
    <t>79.7 SOL</t>
  </si>
  <si>
    <t>66.8 SOL</t>
  </si>
  <si>
    <t>-119.7 SOL</t>
  </si>
  <si>
    <t>389.0K</t>
  </si>
  <si>
    <t>21,793</t>
  </si>
  <si>
    <t>30.10.2024 17:41:01</t>
  </si>
  <si>
    <t>0.009010</t>
  </si>
  <si>
    <t>0.999 SOL</t>
  </si>
  <si>
    <t>-4.72%</t>
  </si>
  <si>
    <t>30.10.2024 17:10:26</t>
  </si>
  <si>
    <t xml:space="preserve">         28K            56K            37K</t>
  </si>
  <si>
    <t>0.149470</t>
  </si>
  <si>
    <t>28.395 SOL</t>
  </si>
  <si>
    <t>26.931 SOL</t>
  </si>
  <si>
    <t>-1.614 SOL</t>
  </si>
  <si>
    <t>-5.65%</t>
  </si>
  <si>
    <t>30.10.2024 17:00:22</t>
  </si>
  <si>
    <t xml:space="preserve">        980K             1M           338K</t>
  </si>
  <si>
    <t>-3.023 SOL</t>
  </si>
  <si>
    <t>1,618,967</t>
  </si>
  <si>
    <t>30.10.2024 16:11:57</t>
  </si>
  <si>
    <t xml:space="preserve">        393K           274K             6K</t>
  </si>
  <si>
    <t>762,626</t>
  </si>
  <si>
    <t>30.10.2024 13:54:00</t>
  </si>
  <si>
    <t xml:space="preserve">        223K           223K            38K</t>
  </si>
  <si>
    <t>0.007220</t>
  </si>
  <si>
    <t>30.10.2024 12:07:03</t>
  </si>
  <si>
    <t xml:space="preserve">         75K            75K            80K</t>
  </si>
  <si>
    <t>0.003050</t>
  </si>
  <si>
    <t>1.607 SOL</t>
  </si>
  <si>
    <t>-1.396 SOL</t>
  </si>
  <si>
    <t>-46.50%</t>
  </si>
  <si>
    <t>30.10.2024 12:06:27</t>
  </si>
  <si>
    <t>5Wd2ALxQfnpgQKCyH4WL9giBiiuuLuJs84CJxfQccvmN</t>
  </si>
  <si>
    <t>0.015610</t>
  </si>
  <si>
    <t>68.03%</t>
  </si>
  <si>
    <t>30.10.2024 12:05:24</t>
  </si>
  <si>
    <t xml:space="preserve">        385K           385K           544K</t>
  </si>
  <si>
    <t>-0.502 SOL</t>
  </si>
  <si>
    <t>11,259,160</t>
  </si>
  <si>
    <t>30.10.2024 11:49:42</t>
  </si>
  <si>
    <t>2pAGNKBTxSYt5rpGUpHZm4D3kAUNqo7WHg7GBpUMcFvW</t>
  </si>
  <si>
    <t>0.015580</t>
  </si>
  <si>
    <t>3.132 SOL</t>
  </si>
  <si>
    <t>182.53%</t>
  </si>
  <si>
    <t>30.10.2024 10:58:42</t>
  </si>
  <si>
    <t xml:space="preserve">         11K            28K            19K</t>
  </si>
  <si>
    <t>Doja</t>
  </si>
  <si>
    <t>6,891,205</t>
  </si>
  <si>
    <t>30.10.2024 10:57:58</t>
  </si>
  <si>
    <t>3nB247drq79SpWvfFrCUDeLP5Su12aQAsnyoofNzpump</t>
  </si>
  <si>
    <t>0.005870</t>
  </si>
  <si>
    <t>-2.006 SOL</t>
  </si>
  <si>
    <t>17,294,125</t>
  </si>
  <si>
    <t>30.10.2024 10:29:29</t>
  </si>
  <si>
    <t xml:space="preserve">         21K            21K             7K</t>
  </si>
  <si>
    <t>0.180610</t>
  </si>
  <si>
    <t>67.438 SOL</t>
  </si>
  <si>
    <t>119.981 SOL</t>
  </si>
  <si>
    <t>52.363 SOL</t>
  </si>
  <si>
    <t>77.44%</t>
  </si>
  <si>
    <t>30.10.2024 09:49:21</t>
  </si>
  <si>
    <t xml:space="preserve">         22M             2M            25M</t>
  </si>
  <si>
    <t>ohto</t>
  </si>
  <si>
    <t>0.002490</t>
  </si>
  <si>
    <t>3,417,887</t>
  </si>
  <si>
    <t>30.10.2024 09:11:46</t>
  </si>
  <si>
    <t>97tJR4nXFb8oajs1AEFzUzjgpA84c6iHeQ1X5ehDpump</t>
  </si>
  <si>
    <t>0.072750</t>
  </si>
  <si>
    <t>16.230 SOL</t>
  </si>
  <si>
    <t>14.685 SOL</t>
  </si>
  <si>
    <t>-1.617 SOL</t>
  </si>
  <si>
    <t>-9.92%</t>
  </si>
  <si>
    <t>30.10.2024 04:39:54</t>
  </si>
  <si>
    <t xml:space="preserve">          2M             4M             7M</t>
  </si>
  <si>
    <t>-1.002 SOL</t>
  </si>
  <si>
    <t>3,149,455</t>
  </si>
  <si>
    <t>30.10.2024 01:57:53</t>
  </si>
  <si>
    <t xml:space="preserve">         56K            56K            27K</t>
  </si>
  <si>
    <t>5,377,824</t>
  </si>
  <si>
    <t>30.10.2024 01:57:32</t>
  </si>
  <si>
    <t xml:space="preserve">         33K            33K            11K</t>
  </si>
  <si>
    <t>GoxMPi7T3VgvgkWgnNsY9Lys8tT3dAPTEm8dsqJHZEVf</t>
  </si>
  <si>
    <t>0.005960</t>
  </si>
  <si>
    <t>6,662,211</t>
  </si>
  <si>
    <t>30.10.2024 01:56:59</t>
  </si>
  <si>
    <t xml:space="preserve">         26K            26K            16K</t>
  </si>
  <si>
    <t>FE</t>
  </si>
  <si>
    <t>8,918,644</t>
  </si>
  <si>
    <t>30.10.2024 01:56:00</t>
  </si>
  <si>
    <t>4AyViLduWHAiR6MhS8upSTx6A9C4dvMUa1F9Krzgpump</t>
  </si>
  <si>
    <t>0.062660</t>
  </si>
  <si>
    <t>7.367 SOL</t>
  </si>
  <si>
    <t>41.067 SOL</t>
  </si>
  <si>
    <t>33.637 SOL</t>
  </si>
  <si>
    <t>452.71%</t>
  </si>
  <si>
    <t>30.10.2024 01:37:14</t>
  </si>
  <si>
    <t xml:space="preserve">          8M             5M            57M</t>
  </si>
  <si>
    <t>0.003440</t>
  </si>
  <si>
    <t>-3.003 SOL</t>
  </si>
  <si>
    <t>173,263</t>
  </si>
  <si>
    <t>29.10.2024 19:03:22</t>
  </si>
  <si>
    <t>frank</t>
  </si>
  <si>
    <t>2.28%</t>
  </si>
  <si>
    <t>29.10.2024 18:51:09</t>
  </si>
  <si>
    <t xml:space="preserve">          1M             3M             3M</t>
  </si>
  <si>
    <t>AYhFJk9ZyKN5aCRwrG78iTvuxnrrLp5q4fGfyBM7pump</t>
  </si>
  <si>
    <t>FOMO3D.FUN</t>
  </si>
  <si>
    <t>0.972 SOL</t>
  </si>
  <si>
    <t>29.10.2024 18:28:48</t>
  </si>
  <si>
    <t>GpGW2SJMwbD8JuKVVHsd8QPCJkBQ4txAorBRJk4Cpump</t>
  </si>
  <si>
    <t>peace</t>
  </si>
  <si>
    <t>1.043 SOL</t>
  </si>
  <si>
    <t>-1.048 SOL</t>
  </si>
  <si>
    <t>25,871,753</t>
  </si>
  <si>
    <t>29.10.2024 16:34:27</t>
  </si>
  <si>
    <t>HXrus7tU6KZS6qU63M4haRkaLfTL5r24daQEmbrrGzGZ</t>
  </si>
  <si>
    <t>0.064370</t>
  </si>
  <si>
    <t>14.900 SOL</t>
  </si>
  <si>
    <t>40.428 SOL</t>
  </si>
  <si>
    <t>25.463 SOL</t>
  </si>
  <si>
    <t>170.15%</t>
  </si>
  <si>
    <t>29.10.2024 16:24:12</t>
  </si>
  <si>
    <t xml:space="preserve">        472K            12K             8K</t>
  </si>
  <si>
    <t>PEEP</t>
  </si>
  <si>
    <t>7,313,073</t>
  </si>
  <si>
    <t>29.10.2024 15:34:39</t>
  </si>
  <si>
    <t>3i8MpsF8nPqhnGecmR4oiD2N4vDVdn8kcKvPqZkmpump</t>
  </si>
  <si>
    <t>-2.008 SOL</t>
  </si>
  <si>
    <t>99,838</t>
  </si>
  <si>
    <t>29.10.2024 14:55:17</t>
  </si>
  <si>
    <t xml:space="preserve">          4M             4M             3M</t>
  </si>
  <si>
    <t>shaun</t>
  </si>
  <si>
    <t>4,790,618</t>
  </si>
  <si>
    <t>29.10.2024 14:53:39</t>
  </si>
  <si>
    <t>8DZzow4ZmvUJGstj54EuKSyu5DtVCVxbphAxFoiYpump</t>
  </si>
  <si>
    <t>DINNER</t>
  </si>
  <si>
    <t>-3.015 SOL</t>
  </si>
  <si>
    <t>16,348,566</t>
  </si>
  <si>
    <t>29.10.2024 14:27:06</t>
  </si>
  <si>
    <t xml:space="preserve">         31K            33K            15K</t>
  </si>
  <si>
    <t>EvRzwCKxMg7689votYzPxQhA6Qx2JAuKcxj2tNUz52uK</t>
  </si>
  <si>
    <t>BOODENG</t>
  </si>
  <si>
    <t>0.005560</t>
  </si>
  <si>
    <t>3,417,592</t>
  </si>
  <si>
    <t>29.10.2024 13:27:17</t>
  </si>
  <si>
    <t xml:space="preserve">        155K           155K             9K</t>
  </si>
  <si>
    <t>BY1phzPpWavqEMC5zQsHpsVD2Tp11q4HpK2DfEpspump</t>
  </si>
  <si>
    <t>-3.008 SOL</t>
  </si>
  <si>
    <t>1,858,857</t>
  </si>
  <si>
    <t>29.10.2024 12:23:24</t>
  </si>
  <si>
    <t xml:space="preserve">        283K           283K             5K</t>
  </si>
  <si>
    <t>2.149 SOL</t>
  </si>
  <si>
    <t>29.10.2024 12:13:14</t>
  </si>
  <si>
    <t xml:space="preserve">         40K            86K            30K</t>
  </si>
  <si>
    <t>Nailong</t>
  </si>
  <si>
    <t>0.011930</t>
  </si>
  <si>
    <t>4.390 SOL</t>
  </si>
  <si>
    <t>7.001 SOL</t>
  </si>
  <si>
    <t>2.599 SOL</t>
  </si>
  <si>
    <t>59.05%</t>
  </si>
  <si>
    <t>29.10.2024 10:57:10</t>
  </si>
  <si>
    <t xml:space="preserve">          8M             1M            10M</t>
  </si>
  <si>
    <t>mkvXiNBpa8uiSApe5BrhWVJaT87pJFTZxRy7zFapump</t>
  </si>
  <si>
    <t>Raelism</t>
  </si>
  <si>
    <t>0.004520</t>
  </si>
  <si>
    <t>-0.332 SOL</t>
  </si>
  <si>
    <t>-32.50%</t>
  </si>
  <si>
    <t>29.10.2024 10:43:21</t>
  </si>
  <si>
    <t>m7Fub7YiwFy4EJU7k1EDgKzLUPAkEvskY9tRunEpump</t>
  </si>
  <si>
    <t>0.001120</t>
  </si>
  <si>
    <t>992,990</t>
  </si>
  <si>
    <t>29.10.2024 07:23:33</t>
  </si>
  <si>
    <t xml:space="preserve">        530K           530K           119K</t>
  </si>
  <si>
    <t>MOFA</t>
  </si>
  <si>
    <t>0.004060</t>
  </si>
  <si>
    <t>-0.879 SOL</t>
  </si>
  <si>
    <t>2,921,437</t>
  </si>
  <si>
    <t>29.10.2024 06:11:24</t>
  </si>
  <si>
    <t>5HdP98Awxbf6fSt4VuKG3P2FHSeNCceiMZXUCs57LHfb</t>
  </si>
  <si>
    <t>0.017810</t>
  </si>
  <si>
    <t>-53.75%</t>
  </si>
  <si>
    <t>29.10.2024 06:10:20</t>
  </si>
  <si>
    <t xml:space="preserve">          4M             2M           347K</t>
  </si>
  <si>
    <t>776,282</t>
  </si>
  <si>
    <t>29.10.2024 06:09:52</t>
  </si>
  <si>
    <t xml:space="preserve">        453K           453K            18K</t>
  </si>
  <si>
    <t>0.009140</t>
  </si>
  <si>
    <t>7,812,512</t>
  </si>
  <si>
    <t>29.10.2024 05:56:19</t>
  </si>
  <si>
    <t xml:space="preserve">        262K            49K            11K</t>
  </si>
  <si>
    <t>TJR</t>
  </si>
  <si>
    <t>0.010980</t>
  </si>
  <si>
    <t>49.77%</t>
  </si>
  <si>
    <t>29.10.2024 05:35:13</t>
  </si>
  <si>
    <t xml:space="preserve">         46K           100K             5K</t>
  </si>
  <si>
    <t>AKfPvDjZxmZjRZttfCF6wGMeK8LH3MZYd7r9Mxe3pump</t>
  </si>
  <si>
    <t>-5.37%</t>
  </si>
  <si>
    <t>29.10.2024 05:24:20</t>
  </si>
  <si>
    <t xml:space="preserve">          7M             7M             5M</t>
  </si>
  <si>
    <t>179,174</t>
  </si>
  <si>
    <t>29.10.2024 04:52:24</t>
  </si>
  <si>
    <t xml:space="preserve">        980K           980K            18K</t>
  </si>
  <si>
    <t>Minion</t>
  </si>
  <si>
    <t>0.021340</t>
  </si>
  <si>
    <t>5.581 SOL</t>
  </si>
  <si>
    <t>-4.441 SOL</t>
  </si>
  <si>
    <t>29.10.2024 03:28:53</t>
  </si>
  <si>
    <t xml:space="preserve">          2M             1M             1M</t>
  </si>
  <si>
    <t>DqWf9DDK6H5c7KmEHkNJxnzNPSM6mzxonZJjK6yxpump</t>
  </si>
  <si>
    <t>TEC</t>
  </si>
  <si>
    <t>-1.382 SOL</t>
  </si>
  <si>
    <t>-68.48%</t>
  </si>
  <si>
    <t>29.10.2024 01:40:06</t>
  </si>
  <si>
    <t xml:space="preserve">         21K            21K            10K</t>
  </si>
  <si>
    <t>DYXn283gvH6oBkZtzJQzq2CayL88pd1zEdZoPVuypump</t>
  </si>
  <si>
    <t>TEOC</t>
  </si>
  <si>
    <t>0.013520</t>
  </si>
  <si>
    <t>-23.75%</t>
  </si>
  <si>
    <t>28.10.2024 17:08:54</t>
  </si>
  <si>
    <t xml:space="preserve">         14K            11K             7K</t>
  </si>
  <si>
    <t>7dw4PrcowF4THewGsWfjELaBhwVdsitsktoQpPLgpump</t>
  </si>
  <si>
    <t>PTO</t>
  </si>
  <si>
    <t>0.005200</t>
  </si>
  <si>
    <t>28.10.2024 15:02:19</t>
  </si>
  <si>
    <t xml:space="preserve">         32K             9K             6K</t>
  </si>
  <si>
    <t>3dqvHuqqbtGNJanRC7bsHtHx6vGemhRbNEFbE6mnH4KE</t>
  </si>
  <si>
    <t>0.055910</t>
  </si>
  <si>
    <t>5.016 SOL</t>
  </si>
  <si>
    <t>22.24%</t>
  </si>
  <si>
    <t>28.10.2024 11:06:01</t>
  </si>
  <si>
    <t xml:space="preserve">         50K           173K            36K</t>
  </si>
  <si>
    <t>67,215</t>
  </si>
  <si>
    <t>28.10.2024 06:14:40</t>
  </si>
  <si>
    <t>Botto</t>
  </si>
  <si>
    <t>0.035350</t>
  </si>
  <si>
    <t>14.386 SOL</t>
  </si>
  <si>
    <t>22.975 SOL</t>
  </si>
  <si>
    <t>59.30%</t>
  </si>
  <si>
    <t>28.10.2024 03:15:15</t>
  </si>
  <si>
    <t xml:space="preserve">        102K            18K            27K</t>
  </si>
  <si>
    <t>2Aaj5DXGE5n6XPLeSrC6oNxCkjAuJVEumtJN3PA9pump</t>
  </si>
  <si>
    <t>0.019790</t>
  </si>
  <si>
    <t>28.10.2024 03:07:30</t>
  </si>
  <si>
    <t xml:space="preserve">         11M            16M           873K</t>
  </si>
  <si>
    <t>0.016040</t>
  </si>
  <si>
    <t>-8.13%</t>
  </si>
  <si>
    <t>28.10.2024 03:05:35</t>
  </si>
  <si>
    <t xml:space="preserve">        938K           940K           245K</t>
  </si>
  <si>
    <t>4.638 SOL</t>
  </si>
  <si>
    <t>4.584 SOL</t>
  </si>
  <si>
    <t>-1.41%</t>
  </si>
  <si>
    <t>28.10.2024 03:01:56</t>
  </si>
  <si>
    <t xml:space="preserve">         20M            20M             9M</t>
  </si>
  <si>
    <t>151,185</t>
  </si>
  <si>
    <t>28.10.2024 02:56:18</t>
  </si>
  <si>
    <t xml:space="preserve">          1M             1M            19K</t>
  </si>
  <si>
    <t>ELF</t>
  </si>
  <si>
    <t>0.008440</t>
  </si>
  <si>
    <t xml:space="preserve">        597K             1M           144K</t>
  </si>
  <si>
    <t>7p4CMCdETxQgSBiPqKsefFLVQgd8yHd1VQqQKEAzpump</t>
  </si>
  <si>
    <t>171,779</t>
  </si>
  <si>
    <t>27.10.2024 15:42:12</t>
  </si>
  <si>
    <t xml:space="preserve">          2M             2M            57K</t>
  </si>
  <si>
    <t>0.010360</t>
  </si>
  <si>
    <t>1.010 SOL</t>
  </si>
  <si>
    <t>-0.08%</t>
  </si>
  <si>
    <t>27.10.2024 14:58:03</t>
  </si>
  <si>
    <t xml:space="preserve">          1M             1M           659K</t>
  </si>
  <si>
    <t>0.015960</t>
  </si>
  <si>
    <t>4.928 SOL</t>
  </si>
  <si>
    <t>63.41%</t>
  </si>
  <si>
    <t>27.10.2024 14:56:00</t>
  </si>
  <si>
    <t xml:space="preserve">          3M             5M             4M</t>
  </si>
  <si>
    <t>0.014460</t>
  </si>
  <si>
    <t>17.670 SOL</t>
  </si>
  <si>
    <t>14.656 SOL</t>
  </si>
  <si>
    <t>486.18%</t>
  </si>
  <si>
    <t>27.10.2024 14:53:49</t>
  </si>
  <si>
    <t xml:space="preserve">          2M            12M            13M</t>
  </si>
  <si>
    <t>2,685,972</t>
  </si>
  <si>
    <t>27.10.2024 14:40:38</t>
  </si>
  <si>
    <t xml:space="preserve">        197K           197K             5K</t>
  </si>
  <si>
    <t>0.009870</t>
  </si>
  <si>
    <t>27.10.2024 14:18:18</t>
  </si>
  <si>
    <t xml:space="preserve">         44K            90K            16K</t>
  </si>
  <si>
    <t>EAR</t>
  </si>
  <si>
    <t>3,246,786</t>
  </si>
  <si>
    <t>27.10.2024 13:33:19</t>
  </si>
  <si>
    <t xml:space="preserve">        162K           162K             7K</t>
  </si>
  <si>
    <t>E3DEwMSsqdnQvZQwwrpL89s1HQUbres2Ce2rPy1Lpump</t>
  </si>
  <si>
    <t>0.007290</t>
  </si>
  <si>
    <t>-7.007 SOL</t>
  </si>
  <si>
    <t>480,560</t>
  </si>
  <si>
    <t>27.10.2024 13:08:33</t>
  </si>
  <si>
    <t xml:space="preserve">          2M             3M            20K</t>
  </si>
  <si>
    <t>4ALtFjC3M3Cg8RiooUoqzDGXCpgwb9csDEHiRaT9pump</t>
  </si>
  <si>
    <t>BSP</t>
  </si>
  <si>
    <t>-0.990 SOL</t>
  </si>
  <si>
    <t>7,998,684</t>
  </si>
  <si>
    <t>27.10.2024 12:23:38</t>
  </si>
  <si>
    <t>4BwLvAreX6wM72qP56FZPoAUDPbbkQukaeccHHTLpump</t>
  </si>
  <si>
    <t>0.020860</t>
  </si>
  <si>
    <t>4.401 SOL</t>
  </si>
  <si>
    <t>45.68%</t>
  </si>
  <si>
    <t>27.10.2024 11:45:11</t>
  </si>
  <si>
    <t xml:space="preserve">          1M             1M            61K</t>
  </si>
  <si>
    <t>FRUIT</t>
  </si>
  <si>
    <t>0.004340</t>
  </si>
  <si>
    <t>1,016,812</t>
  </si>
  <si>
    <t>27.10.2024 09:30:09</t>
  </si>
  <si>
    <t xml:space="preserve">        172K           172K            13K</t>
  </si>
  <si>
    <t>2STafwnVsP6f8QcQ5pe4xrRYYCvNSTieo6mznYnMpump</t>
  </si>
  <si>
    <t>APD</t>
  </si>
  <si>
    <t>-10.40%</t>
  </si>
  <si>
    <t>27.10.2024 09:15:56</t>
  </si>
  <si>
    <t>D7BkxwqDXJiuJ13n8zpcPVQCW5bp7UoGdesZ8XFvpump</t>
  </si>
  <si>
    <t>1,907,815</t>
  </si>
  <si>
    <t>27.10.2024 08:58:36</t>
  </si>
  <si>
    <t xml:space="preserve">         91K            91K             4K</t>
  </si>
  <si>
    <t>Pigcasso</t>
  </si>
  <si>
    <t>-2.132 SOL</t>
  </si>
  <si>
    <t>2,182,161</t>
  </si>
  <si>
    <t>27.10.2024 08:41:43</t>
  </si>
  <si>
    <t xml:space="preserve">        172K           172K            15K</t>
  </si>
  <si>
    <t>BdZ166jQNf7dzRKf7ZTbwKZVFi2unfedjcJs31Tipump</t>
  </si>
  <si>
    <t>0.010560</t>
  </si>
  <si>
    <t>-0.288 SOL</t>
  </si>
  <si>
    <t>-14.35%</t>
  </si>
  <si>
    <t>27.10.2024 08:34:20</t>
  </si>
  <si>
    <t xml:space="preserve">          1M             1M            80K</t>
  </si>
  <si>
    <t>0.003030</t>
  </si>
  <si>
    <t>207,835</t>
  </si>
  <si>
    <t>27.10.2024 07:53:50</t>
  </si>
  <si>
    <t xml:space="preserve">          2M             2M           378K</t>
  </si>
  <si>
    <t>11,804,535</t>
  </si>
  <si>
    <t>27.10.2024 07:52:10</t>
  </si>
  <si>
    <t>HfEcammtZgViSBKkbqg4trpB2paohjVSjyizxSfkpump</t>
  </si>
  <si>
    <t>1,707,275</t>
  </si>
  <si>
    <t>27.10.2024 07:43:19</t>
  </si>
  <si>
    <t xml:space="preserve">        104K           104K            11K</t>
  </si>
  <si>
    <t>1,757,993</t>
  </si>
  <si>
    <t>27.10.2024 07:42:57</t>
  </si>
  <si>
    <t xml:space="preserve">        100K           100K            11K</t>
  </si>
  <si>
    <t>0.000750</t>
  </si>
  <si>
    <t>4,689,271</t>
  </si>
  <si>
    <t>27.10.2024 07:12:21</t>
  </si>
  <si>
    <t xml:space="preserve">        112K           112K             7K</t>
  </si>
  <si>
    <t>6.916 SOL</t>
  </si>
  <si>
    <t>3.914 SOL</t>
  </si>
  <si>
    <t>130.38%</t>
  </si>
  <si>
    <t>27.10.2024 07:07:15</t>
  </si>
  <si>
    <t xml:space="preserve">         84K           611K            14K</t>
  </si>
  <si>
    <t>-2.285 SOL</t>
  </si>
  <si>
    <t>8,017,639</t>
  </si>
  <si>
    <t>27.10.2024 07:06:11</t>
  </si>
  <si>
    <t>214,360</t>
  </si>
  <si>
    <t>27.10.2024 06:36:17</t>
  </si>
  <si>
    <t>936,834</t>
  </si>
  <si>
    <t>27.10.2024 05:49:07</t>
  </si>
  <si>
    <t xml:space="preserve">        281K           281K            20K</t>
  </si>
  <si>
    <t>1.996 SOL</t>
  </si>
  <si>
    <t>-1.996 SOL</t>
  </si>
  <si>
    <t>427,380</t>
  </si>
  <si>
    <t>27.10.2024 05:46:03</t>
  </si>
  <si>
    <t xml:space="preserve">        820K           820K           607K</t>
  </si>
  <si>
    <t>MSPC</t>
  </si>
  <si>
    <t>0.003070</t>
  </si>
  <si>
    <t>1,687,221</t>
  </si>
  <si>
    <t>27.10.2024 05:38:13</t>
  </si>
  <si>
    <t xml:space="preserve">        209K           209K           166K</t>
  </si>
  <si>
    <t>CRQdQmb9TDmG9FFTPEL9gqDvfyF6HxGaHwiq5eybpump</t>
  </si>
  <si>
    <t>WINTER</t>
  </si>
  <si>
    <t>637,460</t>
  </si>
  <si>
    <t>27.10.2024 05:37:09</t>
  </si>
  <si>
    <t xml:space="preserve">        552K           552K           460K</t>
  </si>
  <si>
    <t>4j2gUEmfbSAacvSSd6yXo8yEzXCAUVeoXrqLVV3apump</t>
  </si>
  <si>
    <t>RIZO</t>
  </si>
  <si>
    <t>242,996,919</t>
  </si>
  <si>
    <t>27.10.2024 05:36:12</t>
  </si>
  <si>
    <t xml:space="preserve">        739K           739K           523K</t>
  </si>
  <si>
    <t>rizo34MUwbCBqpSTSfnEktdWB4CTByqqYh8zBxL3WAR</t>
  </si>
  <si>
    <t>96,934</t>
  </si>
  <si>
    <t>26.10.2024 18:00:21</t>
  </si>
  <si>
    <t xml:space="preserve">          4M             4M           823K</t>
  </si>
  <si>
    <t>RACCOON</t>
  </si>
  <si>
    <t>280,710</t>
  </si>
  <si>
    <t>26.10.2024 17:57:35</t>
  </si>
  <si>
    <t>FsHk9DeVV3yL45KVdSay87qLRU9Y2zr6HZRfqhhspump</t>
  </si>
  <si>
    <t>0.007590</t>
  </si>
  <si>
    <t>-9.57%</t>
  </si>
  <si>
    <t>26.10.2024 16:59:29</t>
  </si>
  <si>
    <t xml:space="preserve">          3M             3M           332K</t>
  </si>
  <si>
    <t>0.004660</t>
  </si>
  <si>
    <t>-3.005 SOL</t>
  </si>
  <si>
    <t>1,058,602</t>
  </si>
  <si>
    <t>26.10.2024 16:03:09</t>
  </si>
  <si>
    <t xml:space="preserve">        497K           497K           187K</t>
  </si>
  <si>
    <t>1glitch</t>
  </si>
  <si>
    <t>6,367,317</t>
  </si>
  <si>
    <t>26.10.2024 13:45:13</t>
  </si>
  <si>
    <t xml:space="preserve">         28K            28K             4K</t>
  </si>
  <si>
    <t>3F4pGvzvwSJGDYUX8YqSoqD9mMSH82StzhUoxJyvpump</t>
  </si>
  <si>
    <t>DARK-1020</t>
  </si>
  <si>
    <t>0.003890</t>
  </si>
  <si>
    <t>-2.078 SOL</t>
  </si>
  <si>
    <t>7,823,991</t>
  </si>
  <si>
    <t>26.10.2024 12:35:12</t>
  </si>
  <si>
    <t>DRRkvzEyN41WL6CNCLamipGjs7jK6vD6AYPsiqAYpump</t>
  </si>
  <si>
    <t>0.001990</t>
  </si>
  <si>
    <t>-3.113 SOL</t>
  </si>
  <si>
    <t>185,838</t>
  </si>
  <si>
    <t>26.10.2024 09:22:16</t>
  </si>
  <si>
    <t xml:space="preserve">          3M             3M           166K</t>
  </si>
  <si>
    <t>-3.130 SOL</t>
  </si>
  <si>
    <t>74,960</t>
  </si>
  <si>
    <t>24.10.2024 06:04:48</t>
  </si>
  <si>
    <t xml:space="preserve">          7M             7M           166K</t>
  </si>
  <si>
    <t>4.891 SOL</t>
  </si>
  <si>
    <t>-4.899 SOL</t>
  </si>
  <si>
    <t>44,741</t>
  </si>
  <si>
    <t>23.10.2024 07:15:41</t>
  </si>
  <si>
    <t xml:space="preserve">         19M            19M             4M</t>
  </si>
  <si>
    <t>0.001650</t>
  </si>
  <si>
    <t>-2.028 SOL</t>
  </si>
  <si>
    <t>135,984</t>
  </si>
  <si>
    <t>20.10.2024 00:48:55</t>
  </si>
  <si>
    <t xml:space="preserve">        917K           917K           558K</t>
  </si>
  <si>
    <t>2FKMWYwr17j7AHexcgcQbn5gwZTsYR86qBPrU1BHpump</t>
  </si>
  <si>
    <t>0.002300</t>
  </si>
  <si>
    <t>2.986 SOL</t>
  </si>
  <si>
    <t>-0.54%</t>
  </si>
  <si>
    <t>19.10.2024 16:50:09</t>
  </si>
  <si>
    <t xml:space="preserve">          7M            13M           120K</t>
  </si>
  <si>
    <t>841,230</t>
  </si>
  <si>
    <t>19.10.2024 11:24:12</t>
  </si>
  <si>
    <t xml:space="preserve">        627K           627K            69K</t>
  </si>
  <si>
    <t>9gm4FUx84rch5s96hV27NfuXXfRyUeWCt6wFbjLDpump</t>
  </si>
  <si>
    <t>D9hsi4iAu2fzrsiJ5VpdHgfAUnnkwzwLQo5jMrXQF1wt</t>
  </si>
  <si>
    <t>94.13 SOL</t>
  </si>
  <si>
    <t>82%</t>
  </si>
  <si>
    <t>128.94 SOL</t>
  </si>
  <si>
    <t>4 (5%)</t>
  </si>
  <si>
    <t>-67.55%</t>
  </si>
  <si>
    <t>29.77 SOL</t>
  </si>
  <si>
    <t>1232</t>
  </si>
  <si>
    <t>16.9%</t>
  </si>
  <si>
    <t>55.8%</t>
  </si>
  <si>
    <t>188.3 SOL</t>
  </si>
  <si>
    <t>-3.5 SOL</t>
  </si>
  <si>
    <t>-73.7 SOL</t>
  </si>
  <si>
    <t>259.5K</t>
  </si>
  <si>
    <t>-2.975 SOL</t>
  </si>
  <si>
    <t>75,762</t>
  </si>
  <si>
    <t>30.10.2024 19:08:28</t>
  </si>
  <si>
    <t>13.25%</t>
  </si>
  <si>
    <t>30.10.2024 18:23:16</t>
  </si>
  <si>
    <t>3wbfVFv2xAEdNi3yR7AqkznfHw3d1cmL4uc2wRSXbiPH</t>
  </si>
  <si>
    <t>2,629,912</t>
  </si>
  <si>
    <t>30.10.2024 16:18:01</t>
  </si>
  <si>
    <t xml:space="preserve">         33K            33K             7K</t>
  </si>
  <si>
    <t>BIPE</t>
  </si>
  <si>
    <t>-0.277 SOL</t>
  </si>
  <si>
    <t>-54.31%</t>
  </si>
  <si>
    <t>30.10.2024 16:14:24</t>
  </si>
  <si>
    <t>DRWrn9Np2FRWfBqedqVXDT3YhYv3D2TxagjYkRPspump</t>
  </si>
  <si>
    <t>15,834,847</t>
  </si>
  <si>
    <t>30.10.2024 16:09:39</t>
  </si>
  <si>
    <t>Ca5Xr3db7j6rsBVNPGvdGzG5A6K7Ar8TLWgjcEG3ZMPS</t>
  </si>
  <si>
    <t>733,809</t>
  </si>
  <si>
    <t>30.10.2024 14:41:55</t>
  </si>
  <si>
    <t xml:space="preserve">        119K           119K           115K</t>
  </si>
  <si>
    <t>DBNLn6C32cMmbh8ABcioWgv3ninciwUyfjgL1wyCpSxG</t>
  </si>
  <si>
    <t>2.681 SOL</t>
  </si>
  <si>
    <t>1.663 SOL</t>
  </si>
  <si>
    <t>163.29%</t>
  </si>
  <si>
    <t>30.10.2024 14:34:30</t>
  </si>
  <si>
    <t xml:space="preserve">         25K            25K            35K</t>
  </si>
  <si>
    <t>65f1VwPxncLCWBUSwvB1PM4CFaYRj4wvPWjH2uuipump</t>
  </si>
  <si>
    <t>-84.48%</t>
  </si>
  <si>
    <t>30.10.2024 14:33:22</t>
  </si>
  <si>
    <t>2RU3yGJoB1P14n7fSXzmw16AH4ffLk81KsUkvZj4pump</t>
  </si>
  <si>
    <t>CULTS</t>
  </si>
  <si>
    <t>-0.782 SOL</t>
  </si>
  <si>
    <t>-78.75%</t>
  </si>
  <si>
    <t>30.10.2024 14:30:10</t>
  </si>
  <si>
    <t>BMPo3jjLgAvXNeq1eVcXfnpBKstEPF4HLqqCuN71pump</t>
  </si>
  <si>
    <t>Meddog</t>
  </si>
  <si>
    <t>-1.35%</t>
  </si>
  <si>
    <t>30.10.2024 14:29:49</t>
  </si>
  <si>
    <t xml:space="preserve">         37K            56K             5K</t>
  </si>
  <si>
    <t>EvK8cwoFzwYxM1u86uK8rRfScZAcKBkdhK36pQiGgBfe</t>
  </si>
  <si>
    <t>CG</t>
  </si>
  <si>
    <t>4466.74%</t>
  </si>
  <si>
    <t>30.10.2024 14:29:24</t>
  </si>
  <si>
    <t>3KwJhAzhy4GhXpJH8X5CgdXsBZE2uXtsCtzX3kcjpump</t>
  </si>
  <si>
    <t>📦</t>
  </si>
  <si>
    <t>0.000620</t>
  </si>
  <si>
    <t>5592.85%</t>
  </si>
  <si>
    <t>30.10.2024 14:29:07</t>
  </si>
  <si>
    <t>FiuGcgwYWrsCgX77uUNs5GhGRtzX5g81Bf5CXgDtpump</t>
  </si>
  <si>
    <t>mban</t>
  </si>
  <si>
    <t>8839.47%</t>
  </si>
  <si>
    <t>30.10.2024 14:28:29</t>
  </si>
  <si>
    <t>A3nKqbp48QYbMcaTUiNZw5vWLB8jK8WWnMZCDMm6pump</t>
  </si>
  <si>
    <t>B4TS4K</t>
  </si>
  <si>
    <t>9478.50%</t>
  </si>
  <si>
    <t>30.10.2024 14:28:05</t>
  </si>
  <si>
    <t xml:space="preserve">        N/A           N/A             8K</t>
  </si>
  <si>
    <t>6TvpcaTfD4KdSuT2hTQGdoeznq5rq77dNKXieWYapump</t>
  </si>
  <si>
    <t>WPTID</t>
  </si>
  <si>
    <t>0.001630</t>
  </si>
  <si>
    <t>6307.77%</t>
  </si>
  <si>
    <t>30.10.2024 14:27:25</t>
  </si>
  <si>
    <t>BUxoSWur5z99qYGMZxGKdgysyZqUBiru8SBiWQAJpump</t>
  </si>
  <si>
    <t>Form</t>
  </si>
  <si>
    <t>1.384 SOL</t>
  </si>
  <si>
    <t>1.370 SOL</t>
  </si>
  <si>
    <t>9970.25%</t>
  </si>
  <si>
    <t>30.10.2024 14:26:59</t>
  </si>
  <si>
    <t>HM37ZXZw5GNxXa6tHfbWfXsoqo41Gg5iBdfefP68pump</t>
  </si>
  <si>
    <t>chuchu</t>
  </si>
  <si>
    <t>-41.90%</t>
  </si>
  <si>
    <t>30.10.2024 14:23:49</t>
  </si>
  <si>
    <t>ByExbdoXfo2tTVrp4oqwkutKoy9A2g6BNGhJYMU7pump</t>
  </si>
  <si>
    <t>-25.29%</t>
  </si>
  <si>
    <t>30.10.2024 14:16:08</t>
  </si>
  <si>
    <t xml:space="preserve">         12K            14K             7K</t>
  </si>
  <si>
    <t>FqaUMHcmuSAEp6uR5Ny89HvmiWmF4fMBYFeqBP8Cpump</t>
  </si>
  <si>
    <t>POPTRUMP</t>
  </si>
  <si>
    <t>1.388 SOL</t>
  </si>
  <si>
    <t>-0.751 SOL</t>
  </si>
  <si>
    <t>-54.07%</t>
  </si>
  <si>
    <t>30.10.2024 14:00:08</t>
  </si>
  <si>
    <t xml:space="preserve">        125K           125K           118K</t>
  </si>
  <si>
    <t>61qXWH3UdH8CZFi24tU44DNukv4rvTBosVydVkWVpump</t>
  </si>
  <si>
    <t>FPF</t>
  </si>
  <si>
    <t>-14.04%</t>
  </si>
  <si>
    <t>30.10.2024 12:45:47</t>
  </si>
  <si>
    <t>ASBTRhEykJ775NXZUx5tW8dREvYhkBiaYh5XfvC5pump</t>
  </si>
  <si>
    <t>0.004170</t>
  </si>
  <si>
    <t>-9.29%</t>
  </si>
  <si>
    <t>30.10.2024 12:44:25</t>
  </si>
  <si>
    <t>1,201,904</t>
  </si>
  <si>
    <t>30.10.2024 12:33:35</t>
  </si>
  <si>
    <t xml:space="preserve">        220K           429K           276K</t>
  </si>
  <si>
    <t>PEWARS</t>
  </si>
  <si>
    <t>0.000850</t>
  </si>
  <si>
    <t>-29.99%</t>
  </si>
  <si>
    <t>30.10.2024 11:04:13</t>
  </si>
  <si>
    <t>D5vAj3Lct9Zmk3H9aMg9NwmELeG91rpEqxpExMFpump</t>
  </si>
  <si>
    <t>DLP</t>
  </si>
  <si>
    <t>30.10.2024 10:35:32</t>
  </si>
  <si>
    <t>Az4eZG892XfT2KpCyFPFQqMQg9CL4FRnb5KoGhzqpump</t>
  </si>
  <si>
    <t>-7.99%</t>
  </si>
  <si>
    <t>30.10.2024 10:29:24</t>
  </si>
  <si>
    <t>WANGuqYzU6tT3R7wwMxjMwcD9xzLVx6QZYwRjdJWWVb</t>
  </si>
  <si>
    <t>TDL</t>
  </si>
  <si>
    <t>4,802,105</t>
  </si>
  <si>
    <t>30.10.2024 10:18:41</t>
  </si>
  <si>
    <t xml:space="preserve">        N/A           N/A            14K</t>
  </si>
  <si>
    <t>CNTizh4wY2c63iezuyXQaiTsFxF8ZyysjvFnKGmRpump</t>
  </si>
  <si>
    <t>POC</t>
  </si>
  <si>
    <t>2.710 SOL</t>
  </si>
  <si>
    <t>14778.60%</t>
  </si>
  <si>
    <t>30.10.2024 07:32:59</t>
  </si>
  <si>
    <t xml:space="preserve">        N/A           N/A            61K</t>
  </si>
  <si>
    <t>ABdn3Zp7rK1TowqabiaqjHAxS2GKtWJVhNpDX1qHpump</t>
  </si>
  <si>
    <t>DOPAMINE</t>
  </si>
  <si>
    <t>5.284 SOL</t>
  </si>
  <si>
    <t>155.32%</t>
  </si>
  <si>
    <t>30.10.2024 01:30:22</t>
  </si>
  <si>
    <t>6A1nnKKE8Pd6GFcB5tZ8tRTYpqufyr1uSWMdzVdBpump</t>
  </si>
  <si>
    <t>-11.33%</t>
  </si>
  <si>
    <t>29.10.2024 22:45:10</t>
  </si>
  <si>
    <t xml:space="preserve">        458K           353K           225K</t>
  </si>
  <si>
    <t>8aZuUoqr9rBLjikz7kvpajm1JRqhoWiLMnrNtnRNpump</t>
  </si>
  <si>
    <t>yogi</t>
  </si>
  <si>
    <t>0.005370</t>
  </si>
  <si>
    <t>-2.641 SOL</t>
  </si>
  <si>
    <t>-87.87%</t>
  </si>
  <si>
    <t>29.10.2024 21:23:43</t>
  </si>
  <si>
    <t xml:space="preserve">        292K           292K            11K</t>
  </si>
  <si>
    <t>5T3kPqWujSu2v6Y4YoZcQ4A2UtTRQFAwE82MoRm9pump</t>
  </si>
  <si>
    <t>11.383 SOL</t>
  </si>
  <si>
    <t>6.422 SOL</t>
  </si>
  <si>
    <t>129.45%</t>
  </si>
  <si>
    <t>29.10.2024 21:07:52</t>
  </si>
  <si>
    <t xml:space="preserve">          5M             2M             1M</t>
  </si>
  <si>
    <t>hoe</t>
  </si>
  <si>
    <t>5.613 SOL</t>
  </si>
  <si>
    <t>5.589 SOL</t>
  </si>
  <si>
    <t>23065.60%</t>
  </si>
  <si>
    <t>29.10.2024 18:31:31</t>
  </si>
  <si>
    <t xml:space="preserve">        N/A            14K             5K</t>
  </si>
  <si>
    <t>6EJaKs5y7aPPMYaQgcWk5HKtC4rTLchiioFzXY2L1QrU</t>
  </si>
  <si>
    <t>-2.042 SOL</t>
  </si>
  <si>
    <t>-68.63%</t>
  </si>
  <si>
    <t>28.10.2024 16:47:04</t>
  </si>
  <si>
    <t xml:space="preserve">        852K           852K             2M</t>
  </si>
  <si>
    <t>SWORD</t>
  </si>
  <si>
    <t>-0.699 SOL</t>
  </si>
  <si>
    <t>-68.82%</t>
  </si>
  <si>
    <t>28.10.2024 16:39:14</t>
  </si>
  <si>
    <t>Emvu58KVTKMCViCJc3Ji5MVqATdBNr5YSkeGZS2g2gLe</t>
  </si>
  <si>
    <t>35.703 SOL</t>
  </si>
  <si>
    <t>187.575 SOL</t>
  </si>
  <si>
    <t>151.862 SOL</t>
  </si>
  <si>
    <t>425.23%</t>
  </si>
  <si>
    <t xml:space="preserve">          6M            54K             4M</t>
  </si>
  <si>
    <t>PENIS</t>
  </si>
  <si>
    <t>5.652 SOL</t>
  </si>
  <si>
    <t>-4.999 SOL</t>
  </si>
  <si>
    <t>-88.44%</t>
  </si>
  <si>
    <t>28.10.2024 13:48:41</t>
  </si>
  <si>
    <t xml:space="preserve">        390K           390K             8K</t>
  </si>
  <si>
    <t>8sqkgSRcpgQvEPcZ5jeh5sSPw1W9sAYHGX9JTT5fpump</t>
  </si>
  <si>
    <t>2,035,352</t>
  </si>
  <si>
    <t>28.10.2024 00:47:23</t>
  </si>
  <si>
    <t xml:space="preserve">         80K            80K            11K</t>
  </si>
  <si>
    <t>-0.455 SOL</t>
  </si>
  <si>
    <t>-15.29%</t>
  </si>
  <si>
    <t>27.10.2024 22:40:45</t>
  </si>
  <si>
    <t xml:space="preserve">          1M             1M           449K</t>
  </si>
  <si>
    <t>27.10.2024 17:19:57</t>
  </si>
  <si>
    <t xml:space="preserve">        659K           659K           210K</t>
  </si>
  <si>
    <t>MineTrump</t>
  </si>
  <si>
    <t>0.002040</t>
  </si>
  <si>
    <t>1.403 SOL</t>
  </si>
  <si>
    <t>37.14%</t>
  </si>
  <si>
    <t>27.10.2024 15:17:05</t>
  </si>
  <si>
    <t>38H5toaBTxfFn3kJEiZGCszc2jcYpNsQRoGSkReEAUAE</t>
  </si>
  <si>
    <t>6.295 SOL</t>
  </si>
  <si>
    <t>23.819 SOL</t>
  </si>
  <si>
    <t>17.522 SOL</t>
  </si>
  <si>
    <t>278.27%</t>
  </si>
  <si>
    <t>27.10.2024 09:40:29</t>
  </si>
  <si>
    <t xml:space="preserve">          1M             2M           903K</t>
  </si>
  <si>
    <t>2GMEDWxPhdBicySMjUky49UHgXutxQ8SJjWyrcKPpump</t>
  </si>
  <si>
    <t>7.238 SOL</t>
  </si>
  <si>
    <t>3.353 SOL</t>
  </si>
  <si>
    <t>-3.887 SOL</t>
  </si>
  <si>
    <t>-53.69%</t>
  </si>
  <si>
    <t>27.10.2024 01:36:40</t>
  </si>
  <si>
    <t xml:space="preserve">        125K            18K             6K</t>
  </si>
  <si>
    <t>3xckQouCi1rTmdqY8AsMymhFfkY4KEryxRDK6iaopump</t>
  </si>
  <si>
    <t>3.157 SOL</t>
  </si>
  <si>
    <t>27.10.2024 00:43:53</t>
  </si>
  <si>
    <t xml:space="preserve">        227K           227K           245K</t>
  </si>
  <si>
    <t>1.686 SOL</t>
  </si>
  <si>
    <t>-1.686 SOL</t>
  </si>
  <si>
    <t>102,220</t>
  </si>
  <si>
    <t>26.10.2024 23:30:20</t>
  </si>
  <si>
    <t>0.002430</t>
  </si>
  <si>
    <t>6.656 SOL</t>
  </si>
  <si>
    <t>5.414 SOL</t>
  </si>
  <si>
    <t>436.00%</t>
  </si>
  <si>
    <t>26.10.2024 21:59:43</t>
  </si>
  <si>
    <t xml:space="preserve">        345K           807K           332K</t>
  </si>
  <si>
    <t>RBLX</t>
  </si>
  <si>
    <t>278,846</t>
  </si>
  <si>
    <t>26.10.2024 19:43:26</t>
  </si>
  <si>
    <t xml:space="preserve">        624K           624K           222K</t>
  </si>
  <si>
    <t>98PeX1sFL7RoJprMxrvAapzZu4v6YBCEVozdge4snQpF</t>
  </si>
  <si>
    <t>Fortnite</t>
  </si>
  <si>
    <t>6,203,162</t>
  </si>
  <si>
    <t>26.10.2024 18:57:26</t>
  </si>
  <si>
    <t xml:space="preserve">         67K            49K             6K</t>
  </si>
  <si>
    <t>21gK1z4pc6LGYRHU2QkytVePhZayBkAMH2rEw7eHpump</t>
  </si>
  <si>
    <t>alpha</t>
  </si>
  <si>
    <t>125,947</t>
  </si>
  <si>
    <t>26.10.2024 13:38:14</t>
  </si>
  <si>
    <t>2zrH2jE542mzB4HABgBjdWMQPtNC5H12pwo1iLpfpump</t>
  </si>
  <si>
    <t>26.10.2024 13:27:22</t>
  </si>
  <si>
    <t xml:space="preserve">          4M             9M             4M</t>
  </si>
  <si>
    <t>Nixar</t>
  </si>
  <si>
    <t>3.853 SOL</t>
  </si>
  <si>
    <t>3.835 SOL</t>
  </si>
  <si>
    <t>20594.15%</t>
  </si>
  <si>
    <t>25.10.2024 06:16:54</t>
  </si>
  <si>
    <t>CbMP7j1vCybSrVoBZGCWXMtjFdq6dHf6Y1Ave58jpump</t>
  </si>
  <si>
    <t>1.506 SOL</t>
  </si>
  <si>
    <t>-0.478 SOL</t>
  </si>
  <si>
    <t>-24.08%</t>
  </si>
  <si>
    <t>24.10.2024 15:38:36</t>
  </si>
  <si>
    <t xml:space="preserve">          1M             1M            41K</t>
  </si>
  <si>
    <t>71,914</t>
  </si>
  <si>
    <t>24.10.2024 06:11:28</t>
  </si>
  <si>
    <t>$horny</t>
  </si>
  <si>
    <t>168,897</t>
  </si>
  <si>
    <t>23.10.2024 23:56:23</t>
  </si>
  <si>
    <t xml:space="preserve">          2M             2M            90K</t>
  </si>
  <si>
    <t>8AS9yeGsAwvTs9gCDKMmB2MgX8NiSvv4uppH61yqpump</t>
  </si>
  <si>
    <t>276,186</t>
  </si>
  <si>
    <t>23.10.2024 23:16:19</t>
  </si>
  <si>
    <t>Tarot</t>
  </si>
  <si>
    <t>393,524</t>
  </si>
  <si>
    <t>23.10.2024 22:03:02</t>
  </si>
  <si>
    <t>E8cxtZH4ivfrZTHXKtVmcEqkyKX5EKKFWW9X8jy8pump</t>
  </si>
  <si>
    <t>204,996</t>
  </si>
  <si>
    <t>22.10.2024 23:50:21</t>
  </si>
  <si>
    <t xml:space="preserve">          2M             2M           119K</t>
  </si>
  <si>
    <t>Gabriel</t>
  </si>
  <si>
    <t>4.69%</t>
  </si>
  <si>
    <t>21.10.2024 23:32:56</t>
  </si>
  <si>
    <t xml:space="preserve">         35K            35K             6K</t>
  </si>
  <si>
    <t>HS7Q3wFt22uaWA1S2SQNd6ft1kQcxDvPuBMmPYqANGps</t>
  </si>
  <si>
    <t>1,002,853</t>
  </si>
  <si>
    <t>21.10.2024 23:31:12</t>
  </si>
  <si>
    <t xml:space="preserve">        174K           174K             7K</t>
  </si>
  <si>
    <t>1,031,128</t>
  </si>
  <si>
    <t>21.10.2024 23:23:58</t>
  </si>
  <si>
    <t xml:space="preserve">        169K           169K            14K</t>
  </si>
  <si>
    <t>1.654 SOL</t>
  </si>
  <si>
    <t>-16.67%</t>
  </si>
  <si>
    <t>21.10.2024 13:12:02</t>
  </si>
  <si>
    <t xml:space="preserve">        349K           478K             9K</t>
  </si>
  <si>
    <t>$OHFUG</t>
  </si>
  <si>
    <t>1,306,134</t>
  </si>
  <si>
    <t>21.10.2024 12:25:17</t>
  </si>
  <si>
    <t xml:space="preserve">        114K           114K             7K</t>
  </si>
  <si>
    <t>6JQfi4zU2P6pBXJvRoatTngwnc4VLF1HKiR6K2gkpump</t>
  </si>
  <si>
    <t>SHOGGOTH</t>
  </si>
  <si>
    <t>41,069</t>
  </si>
  <si>
    <t>21.10.2024 11:01:52</t>
  </si>
  <si>
    <t>q8BbQ4bFssfpCra5krgAp9bFELTy1ZGZawLrsT9pump</t>
  </si>
  <si>
    <t>14,534</t>
  </si>
  <si>
    <t>19.10.2024 16:30:22</t>
  </si>
  <si>
    <t xml:space="preserve">         11M            11M             7M</t>
  </si>
  <si>
    <t>147,261</t>
  </si>
  <si>
    <t>18.10.2024 10:02:30</t>
  </si>
  <si>
    <t>50,648</t>
  </si>
  <si>
    <t>16.10.2024 11:27:47</t>
  </si>
  <si>
    <t>0.000320</t>
  </si>
  <si>
    <t>1.144 SOL</t>
  </si>
  <si>
    <t>15.30%</t>
  </si>
  <si>
    <t>15.10.2024 23:00:25</t>
  </si>
  <si>
    <t xml:space="preserve">         72K           227K            12K</t>
  </si>
  <si>
    <t>DOUGY</t>
  </si>
  <si>
    <t>0.706 SOL</t>
  </si>
  <si>
    <t>-0.965 SOL</t>
  </si>
  <si>
    <t>-57.75%</t>
  </si>
  <si>
    <t>15.10.2024 20:05:12</t>
  </si>
  <si>
    <t xml:space="preserve">        524K           281K           175K</t>
  </si>
  <si>
    <t>8QP6tVPFBWGqYY4wDX4rMhzKAbm3E7awRAiTWC1UXqLc</t>
  </si>
  <si>
    <t>26,180</t>
  </si>
  <si>
    <t>14.10.2024 22:43:07</t>
  </si>
  <si>
    <t xml:space="preserve">          7M             7M           394K</t>
  </si>
  <si>
    <t>-1.596 SOL</t>
  </si>
  <si>
    <t>564,454</t>
  </si>
  <si>
    <t>14.10.2024 21:04:58</t>
  </si>
  <si>
    <t>9o81cWB4kAWZ1hxxpakTsCTorJAwehPtxDKxMA564poi</t>
  </si>
  <si>
    <t>JOYCAT</t>
  </si>
  <si>
    <t>-91.36%</t>
  </si>
  <si>
    <t>14.10.2024 15:32:53</t>
  </si>
  <si>
    <t xml:space="preserve">        191K            17K             7K</t>
  </si>
  <si>
    <t>A6EjZ7vd8iaoWQ6Sixm3o1txbShbBrPFqqerh7AYpump</t>
  </si>
  <si>
    <t>🐖</t>
  </si>
  <si>
    <t>2,861,442</t>
  </si>
  <si>
    <t>14.10.2024 08:35:45</t>
  </si>
  <si>
    <t xml:space="preserve">         40K            40K            10K</t>
  </si>
  <si>
    <t>DXFQZR1DaGHxEKDRDT2Na7EU4CnNDYJBAhL1rddKpump</t>
  </si>
  <si>
    <t>SORA</t>
  </si>
  <si>
    <t>-2.320 SOL</t>
  </si>
  <si>
    <t>501,560</t>
  </si>
  <si>
    <t>13.10.2024 07:46:45</t>
  </si>
  <si>
    <t>2fsJzjj5WmPuwbkK172js9J5pDU6RmycsaW4GyFYyaz6</t>
  </si>
  <si>
    <t>3.391 SOL</t>
  </si>
  <si>
    <t>-1.120 SOL</t>
  </si>
  <si>
    <t>13.10.2024 07:44:37</t>
  </si>
  <si>
    <t xml:space="preserve">        161K            35K             6K</t>
  </si>
  <si>
    <t>mini</t>
  </si>
  <si>
    <t>-3.391 SOL</t>
  </si>
  <si>
    <t>7,494</t>
  </si>
  <si>
    <t>12.10.2024 22:12:54</t>
  </si>
  <si>
    <t xml:space="preserve">         70M            70M            47M</t>
  </si>
  <si>
    <t>2JcXacFwt9mVAwBQ5nZkYwCyXQkRcdsYrDXn6hj22SbP</t>
  </si>
  <si>
    <t>4.747 SOL</t>
  </si>
  <si>
    <t>-4.747 SOL</t>
  </si>
  <si>
    <t>77,349</t>
  </si>
  <si>
    <t>12.10.2024 21:51:00</t>
  </si>
  <si>
    <t>EATGZHJViJsk7nEKkrdJicwNbfpkJfAtmrEmrjXR8NBj</t>
  </si>
  <si>
    <t>105,540</t>
  </si>
  <si>
    <t>07.10.2024 23:10:33</t>
  </si>
  <si>
    <t xml:space="preserve">          2M             2M           698K</t>
  </si>
  <si>
    <t>BALLTZE</t>
  </si>
  <si>
    <t>3,556,143</t>
  </si>
  <si>
    <t>02.10.2024 22:04:26</t>
  </si>
  <si>
    <t xml:space="preserve">         49K            49K            11K</t>
  </si>
  <si>
    <t>BqsE4AhFY1AoakyQXYWGRW8W8om94cBQ81wyKsZGkZEx</t>
  </si>
  <si>
    <t>5FA9hUrwhpyKD9KipvtvpUTR6TqQ6mgHWNMS8EPqRQEj</t>
  </si>
  <si>
    <t>6.03 SOL</t>
  </si>
  <si>
    <t>124%</t>
  </si>
  <si>
    <t>43.52 SOL</t>
  </si>
  <si>
    <t>-4.33%</t>
  </si>
  <si>
    <t>29.2%</t>
  </si>
  <si>
    <t>43.7 SOL</t>
  </si>
  <si>
    <t>20.0K</t>
  </si>
  <si>
    <t>29.641 SOL</t>
  </si>
  <si>
    <t>27.637 SOL</t>
  </si>
  <si>
    <t>1379.07%</t>
  </si>
  <si>
    <t>30.10.2024 16:41:12</t>
  </si>
  <si>
    <t xml:space="preserve">        133K           133K            64K</t>
  </si>
  <si>
    <t>-2.004 SOL</t>
  </si>
  <si>
    <t>748,595</t>
  </si>
  <si>
    <t>30.10.2024 15:51:38</t>
  </si>
  <si>
    <t xml:space="preserve">        469K           469K           799K</t>
  </si>
  <si>
    <t>CATSo3iPhKCJX8xxshgSMH2hhijnc22VJWNcqKNHwRMk</t>
  </si>
  <si>
    <t>-48.72%</t>
  </si>
  <si>
    <t>30.10.2024 14:53:11</t>
  </si>
  <si>
    <t xml:space="preserve">         18K             9K             7K</t>
  </si>
  <si>
    <t>ELE</t>
  </si>
  <si>
    <t>-1.275 SOL</t>
  </si>
  <si>
    <t>-90.31%</t>
  </si>
  <si>
    <t>29.10.2024 11:57:55</t>
  </si>
  <si>
    <t xml:space="preserve">         58K             5K             3K</t>
  </si>
  <si>
    <t>FgNJRhSsLa9RMvajHgdbv2oZYykGSUJ4bhfrKZaApump</t>
  </si>
  <si>
    <t>-15.17%</t>
  </si>
  <si>
    <t>29.10.2024 05:56:12</t>
  </si>
  <si>
    <t>Ec3SpK5v9HVTutaKk3LuLShkGUBpZTNGN39q7eJ8PvBz</t>
  </si>
  <si>
    <t>7.040 SOL</t>
  </si>
  <si>
    <t>560.57%</t>
  </si>
  <si>
    <t>29.10.2024 05:04:51</t>
  </si>
  <si>
    <t xml:space="preserve">          9K            53K             9K</t>
  </si>
  <si>
    <t>RETALIK</t>
  </si>
  <si>
    <t>-0.851 SOL</t>
  </si>
  <si>
    <t>-73.52%</t>
  </si>
  <si>
    <t>29.10.2024 01:19:16</t>
  </si>
  <si>
    <t>wSqBecHDZYSUBgCeHhKBqUR73TYm4CZBoLN1pWspump</t>
  </si>
  <si>
    <t>Dorime</t>
  </si>
  <si>
    <t>9.69%</t>
  </si>
  <si>
    <t>28.10.2024 17:58:23</t>
  </si>
  <si>
    <t>F2JYLbA1gjHnyfX1oYQJ1y5Tjv318k3Gm1pYWbuzpump</t>
  </si>
  <si>
    <t>DEEP</t>
  </si>
  <si>
    <t>1.066 SOL</t>
  </si>
  <si>
    <t>28.10.2024 15:31:29</t>
  </si>
  <si>
    <t>ECgJJmoPb9Zqf6kiXKopZGo7GcCuTSh4G6TkbSsVpump</t>
  </si>
  <si>
    <t>Ascend</t>
  </si>
  <si>
    <t>2.248 SOL</t>
  </si>
  <si>
    <t>11.94%</t>
  </si>
  <si>
    <t>28.10.2024 15:29:05</t>
  </si>
  <si>
    <t>6WNDE2xboFPp3TkYXtLBr535oRNpoVAGrpcVffLipump</t>
  </si>
  <si>
    <t>0.012070</t>
  </si>
  <si>
    <t>4.587 SOL</t>
  </si>
  <si>
    <t>120.65%</t>
  </si>
  <si>
    <t>27.10.2024 22:18:53</t>
  </si>
  <si>
    <t xml:space="preserve">         18K           258K           449K</t>
  </si>
  <si>
    <t>4.193 SOL</t>
  </si>
  <si>
    <t>1.636 SOL</t>
  </si>
  <si>
    <t>63.99%</t>
  </si>
  <si>
    <t>27.10.2024 17:25:26</t>
  </si>
  <si>
    <t xml:space="preserve">         19K            33K             5K</t>
  </si>
  <si>
    <t>-1.879 SOL</t>
  </si>
  <si>
    <t>-93.57%</t>
  </si>
  <si>
    <t>27.10.2024 15:03:19</t>
  </si>
  <si>
    <t xml:space="preserve">        307K           307K             4K</t>
  </si>
  <si>
    <t>11.166 SOL</t>
  </si>
  <si>
    <t>10.070 SOL</t>
  </si>
  <si>
    <t>919.00%</t>
  </si>
  <si>
    <t>27.10.2024 13:57:33</t>
  </si>
  <si>
    <t xml:space="preserve">         13K           108K             5K</t>
  </si>
  <si>
    <t>4.488 SOL</t>
  </si>
  <si>
    <t>314.77%</t>
  </si>
  <si>
    <t>27.10.2024 13:25:48</t>
  </si>
  <si>
    <t xml:space="preserve">         16K            65K             6K</t>
  </si>
  <si>
    <t>1.479 SOL</t>
  </si>
  <si>
    <t>27.10.2024 11:58:04</t>
  </si>
  <si>
    <t>1.062 SOL</t>
  </si>
  <si>
    <t>-1.066 SOL</t>
  </si>
  <si>
    <t>9,158,297</t>
  </si>
  <si>
    <t>27.10.2024 08:33:40</t>
  </si>
  <si>
    <t xml:space="preserve">         21K            21K             8K</t>
  </si>
  <si>
    <t>Bj4gfziJdoMZv9wWzEiArdFTiMiGwQ1ha3jGwbEmpump</t>
  </si>
  <si>
    <t>0.351 SOL</t>
  </si>
  <si>
    <t>-68.46%</t>
  </si>
  <si>
    <t>25.10.2024 19:58:53</t>
  </si>
  <si>
    <t>3NtuvZhSMYvX7UMo956JHEQ3jUZUYbSVopeYQphPMGQP</t>
  </si>
  <si>
    <t>-1.970 SOL</t>
  </si>
  <si>
    <t>-97.89%</t>
  </si>
  <si>
    <t>25.10.2024 19:43:27</t>
  </si>
  <si>
    <t xml:space="preserve">        300K             7K             3K</t>
  </si>
  <si>
    <t>25.10.2024 17:13:24</t>
  </si>
  <si>
    <t>3.552 SOL</t>
  </si>
  <si>
    <t>253.72%</t>
  </si>
  <si>
    <t>23.10.2024 15:48:19</t>
  </si>
  <si>
    <t xml:space="preserve">         63K           225K            41K</t>
  </si>
  <si>
    <t>-11.38%</t>
  </si>
  <si>
    <t>23.10.2024 10:22:51</t>
  </si>
  <si>
    <t xml:space="preserve">         69K            60K             4K</t>
  </si>
  <si>
    <t>FuvGoDo84SNL2fKpwuGfQD3tc1wihUDLxr2qXxXkpump</t>
  </si>
  <si>
    <t>Aleister</t>
  </si>
  <si>
    <t>-40.03%</t>
  </si>
  <si>
    <t>23.10.2024 09:12:54</t>
  </si>
  <si>
    <t xml:space="preserve">         60K            37K             5K</t>
  </si>
  <si>
    <t>5dRVkRqL4P8jv1E9NfkmfVBxV75MYLstc6UtyNTgpump</t>
  </si>
  <si>
    <t>plex</t>
  </si>
  <si>
    <t>3.015 SOL</t>
  </si>
  <si>
    <t>23.10.2024 08:58:30</t>
  </si>
  <si>
    <t xml:space="preserve">         40K            40K             6K</t>
  </si>
  <si>
    <t>DeYoi2NxeRPwo4R72KJezZKBUtHzmtuEeekwW82Epump</t>
  </si>
  <si>
    <t>BbS7e412soMUG4HBrJuhmXRcYxiaj5ereVwKayHCNCnU</t>
  </si>
  <si>
    <t>21.12 SOL</t>
  </si>
  <si>
    <t>19.46 SOL</t>
  </si>
  <si>
    <t>1 (9%)</t>
  </si>
  <si>
    <t>61.81%</t>
  </si>
  <si>
    <t>18.2%</t>
  </si>
  <si>
    <t>2.680 SOL</t>
  </si>
  <si>
    <t>90.90%</t>
  </si>
  <si>
    <t>30.10.2024 16:42:32</t>
  </si>
  <si>
    <t>31.43%</t>
  </si>
  <si>
    <t>30.10.2024 13:29:19</t>
  </si>
  <si>
    <t>0.576 SOL</t>
  </si>
  <si>
    <t>-0.625 SOL</t>
  </si>
  <si>
    <t>-52.03%</t>
  </si>
  <si>
    <t xml:space="preserve">         23K            28K             4K</t>
  </si>
  <si>
    <t>3.601 SOL</t>
  </si>
  <si>
    <t>196.18%</t>
  </si>
  <si>
    <t>29.10.2024 14:28:50</t>
  </si>
  <si>
    <t xml:space="preserve">         14K            30K             4K</t>
  </si>
  <si>
    <t>1.205 SOL</t>
  </si>
  <si>
    <t>2.403 SOL</t>
  </si>
  <si>
    <t>29.10.2024 13:00:25</t>
  </si>
  <si>
    <t xml:space="preserve">         16K            38K             4K</t>
  </si>
  <si>
    <t>0.561 SOL</t>
  </si>
  <si>
    <t>6.725 SOL</t>
  </si>
  <si>
    <t>5.844 SOL</t>
  </si>
  <si>
    <t>663.34%</t>
  </si>
  <si>
    <t>29.10.2024 04:30:14</t>
  </si>
  <si>
    <t xml:space="preserve">         11K           143K             4K</t>
  </si>
  <si>
    <t>30.43%</t>
  </si>
  <si>
    <t xml:space="preserve">         68K           111K             4K</t>
  </si>
  <si>
    <t>6.698 SOL</t>
  </si>
  <si>
    <t>5.049 SOL</t>
  </si>
  <si>
    <t>306.12%</t>
  </si>
  <si>
    <t>28.10.2024 15:35:49</t>
  </si>
  <si>
    <t xml:space="preserve">         12K            53K             7K</t>
  </si>
  <si>
    <t>5.670 SOL</t>
  </si>
  <si>
    <t>4.838 SOL</t>
  </si>
  <si>
    <t>581.50%</t>
  </si>
  <si>
    <t>28.10.2024 15:16:17</t>
  </si>
  <si>
    <t xml:space="preserve">         14K           130K             4K</t>
  </si>
  <si>
    <t>0.220010</t>
  </si>
  <si>
    <t>-0.824 SOL</t>
  </si>
  <si>
    <t xml:space="preserve">         40K            11K             4K</t>
  </si>
  <si>
    <t>7ApjVzSa4eWsH7hi5aCwPjbo1k2cw9unV2vy4VQZuL7K</t>
  </si>
  <si>
    <t>9.44 SOL</t>
  </si>
  <si>
    <t>125%</t>
  </si>
  <si>
    <t>9.27 SOL</t>
  </si>
  <si>
    <t>51.11%</t>
  </si>
  <si>
    <t>-30.01%</t>
  </si>
  <si>
    <t>0.200100</t>
  </si>
  <si>
    <t>1.519 SOL</t>
  </si>
  <si>
    <t>224.57%</t>
  </si>
  <si>
    <t xml:space="preserve">          7K            16K             3K</t>
  </si>
  <si>
    <t>0.640320</t>
  </si>
  <si>
    <t>7.657 SOL</t>
  </si>
  <si>
    <t>6.640 SOL</t>
  </si>
  <si>
    <t>652.74%</t>
  </si>
  <si>
    <t>54.68%</t>
  </si>
  <si>
    <t xml:space="preserve">         14K            23K             4K</t>
  </si>
  <si>
    <t>0.862 SOL</t>
  </si>
  <si>
    <t>3.17%</t>
  </si>
  <si>
    <t>0.320030</t>
  </si>
  <si>
    <t xml:space="preserve">         21K            32K             4K</t>
  </si>
  <si>
    <t>1.796 SOL</t>
  </si>
  <si>
    <t>79.09%</t>
  </si>
  <si>
    <t>29.10.2024 13:33:33</t>
  </si>
  <si>
    <t>-52.86%</t>
  </si>
  <si>
    <t xml:space="preserve">         39K            33K             5K</t>
  </si>
  <si>
    <t>77AeyLRLcrFb195Qve1bUxFHWYVVvGRQDLmNpSnrpfJP</t>
  </si>
  <si>
    <t>9.88 SOL</t>
  </si>
  <si>
    <t>150%</t>
  </si>
  <si>
    <t>9.73 SOL</t>
  </si>
  <si>
    <t>34.83%</t>
  </si>
  <si>
    <t>6.7 SOL</t>
  </si>
  <si>
    <t>0.657 SOL</t>
  </si>
  <si>
    <t>1.509 SOL</t>
  </si>
  <si>
    <t>136.71%</t>
  </si>
  <si>
    <t>1.834 SOL</t>
  </si>
  <si>
    <t>187.51%</t>
  </si>
  <si>
    <t>7.700 SOL</t>
  </si>
  <si>
    <t>6.665 SOL</t>
  </si>
  <si>
    <t>643.52%</t>
  </si>
  <si>
    <t>0.23%</t>
  </si>
  <si>
    <t>29.10.2024 18:25:22</t>
  </si>
  <si>
    <t>-0.286 SOL</t>
  </si>
  <si>
    <t>-37.35%</t>
  </si>
  <si>
    <t>2.267 SOL</t>
  </si>
  <si>
    <t>94.48%</t>
  </si>
  <si>
    <t>29.10.2024 13:33:43</t>
  </si>
  <si>
    <t>-50.61%</t>
  </si>
  <si>
    <t>7BJk376WuRbWZ7DJRnxyJoYwwh5p6XAV3gySChMMQ4pi</t>
  </si>
  <si>
    <t>10.04 SOL</t>
  </si>
  <si>
    <t>163%</t>
  </si>
  <si>
    <t>9.94 SOL</t>
  </si>
  <si>
    <t>96.72%</t>
  </si>
  <si>
    <t>1.475 SOL</t>
  </si>
  <si>
    <t>127.88%</t>
  </si>
  <si>
    <t xml:space="preserve">         11K            21K             3K</t>
  </si>
  <si>
    <t>0.650330</t>
  </si>
  <si>
    <t>7.947 SOL</t>
  </si>
  <si>
    <t>6.661 SOL</t>
  </si>
  <si>
    <t>517.94%</t>
  </si>
  <si>
    <t>-20.40%</t>
  </si>
  <si>
    <t>0.552 SOL</t>
  </si>
  <si>
    <t>-0.306 SOL</t>
  </si>
  <si>
    <t>-39.68%</t>
  </si>
  <si>
    <t>0.480190</t>
  </si>
  <si>
    <t>2.380 SOL</t>
  </si>
  <si>
    <t>154.64%</t>
  </si>
  <si>
    <t>29.10.2024 13:33:34</t>
  </si>
  <si>
    <t xml:space="preserve">          7K            14K             4K</t>
  </si>
  <si>
    <t>-50.37%</t>
  </si>
  <si>
    <t>BcViwxDP94ZDX9zLbrzmwRyPD7Ygo8GCc589nxMpcR9C</t>
  </si>
  <si>
    <t>0.00 SOL</t>
  </si>
  <si>
    <t>272%</t>
  </si>
  <si>
    <t>214.48 SOL</t>
  </si>
  <si>
    <t>6 (40%)</t>
  </si>
  <si>
    <t>2.11%</t>
  </si>
  <si>
    <t>237</t>
  </si>
  <si>
    <t>173.2 SOL</t>
  </si>
  <si>
    <t>47.0 SOL</t>
  </si>
  <si>
    <t>-3.6 SOL</t>
  </si>
  <si>
    <t>0.003840</t>
  </si>
  <si>
    <t>4.275 SOL</t>
  </si>
  <si>
    <t>4.316 SOL</t>
  </si>
  <si>
    <t>30.10.2024 13:56:32</t>
  </si>
  <si>
    <t xml:space="preserve">         30K            32K            11K</t>
  </si>
  <si>
    <t>5.769 SOL</t>
  </si>
  <si>
    <t>29.924 SOL</t>
  </si>
  <si>
    <t>24.154 SOL</t>
  </si>
  <si>
    <t>418.64%</t>
  </si>
  <si>
    <t>16.10.2024 17:03:05</t>
  </si>
  <si>
    <t>DCa8emumq3cnkozq4sf4JGmp28dLuT9LVPKHk4cypump</t>
  </si>
  <si>
    <t>FROG</t>
  </si>
  <si>
    <t>6.065 SOL</t>
  </si>
  <si>
    <t>5.926 SOL</t>
  </si>
  <si>
    <t>16.10.2024 15:43:38</t>
  </si>
  <si>
    <t>2xcBVhTLNmx7HVxNNjYCR9DbvFhwXESV5kjZHct7pump</t>
  </si>
  <si>
    <t>16.10.2024 14:57:16</t>
  </si>
  <si>
    <t>61rpxDaPX7YhGHoGLJVLUNwX6U2Mqv2t75LHyzUxpump</t>
  </si>
  <si>
    <t>0.001710</t>
  </si>
  <si>
    <t>5.404 SOL</t>
  </si>
  <si>
    <t>58.798 SOL</t>
  </si>
  <si>
    <t>53.392 SOL</t>
  </si>
  <si>
    <t>987.74%</t>
  </si>
  <si>
    <t>16.10.2024 13:42:12</t>
  </si>
  <si>
    <t>6RmKWy38xWrU38xQcM17hwCrYKkkLjVWCdckyq7Xpump</t>
  </si>
  <si>
    <t>JOE</t>
  </si>
  <si>
    <t>59.774 SOL</t>
  </si>
  <si>
    <t>53.708 SOL</t>
  </si>
  <si>
    <t>885.28%</t>
  </si>
  <si>
    <t>15.10.2024 18:39:08</t>
  </si>
  <si>
    <t>GpyWtEutywYPMJFnZmT1LWiZQaiE1aPDQojcYdsdpump</t>
  </si>
  <si>
    <t>BTURBO</t>
  </si>
  <si>
    <t>4.752 SOL</t>
  </si>
  <si>
    <t>56.132 SOL</t>
  </si>
  <si>
    <t>51.379 SOL</t>
  </si>
  <si>
    <t>1080.96%</t>
  </si>
  <si>
    <t>15.10.2024 16:23:47</t>
  </si>
  <si>
    <t>6VT39pSEyGSBW7prUe4U1d96PVVfVLfbRMKK3kcipump</t>
  </si>
  <si>
    <t>NEIRO</t>
  </si>
  <si>
    <t>2.836 SOL</t>
  </si>
  <si>
    <t>-1.934 SOL</t>
  </si>
  <si>
    <t>-40.55%</t>
  </si>
  <si>
    <t>09.10.2024 06:11:42</t>
  </si>
  <si>
    <t>GgdVTmUow4LqvCYhtBngRDRDmF8zeWrjEFo4fa5Spump</t>
  </si>
  <si>
    <t>3.926 SOL</t>
  </si>
  <si>
    <t>3.911 SOL</t>
  </si>
  <si>
    <t>-0.41%</t>
  </si>
  <si>
    <t>09.10.2024 03:20:02</t>
  </si>
  <si>
    <t>2WXmgwG4pHAu9tswVciXRpq6QbnQWVdtiPCp4Crcpump</t>
  </si>
  <si>
    <t>-1.053 SOL</t>
  </si>
  <si>
    <t>-34.68%</t>
  </si>
  <si>
    <t>09.10.2024 03:07:12</t>
  </si>
  <si>
    <t>EzWht1gYUAzKoqbtHZVeM8Ney5wGCAfArE5UmYwcpump</t>
  </si>
  <si>
    <t>4.553 SOL</t>
  </si>
  <si>
    <t>5.401 SOL</t>
  </si>
  <si>
    <t>0.848 SOL</t>
  </si>
  <si>
    <t>18.62%</t>
  </si>
  <si>
    <t>09.10.2024 02:52:46</t>
  </si>
  <si>
    <t>D8F2DuWB2cNVDVyjAVocX1smidCtmgtJE8Nznnqnpump</t>
  </si>
  <si>
    <t>BABYNEIRO</t>
  </si>
  <si>
    <t>1.470 SOL</t>
  </si>
  <si>
    <t>16.196 SOL</t>
  </si>
  <si>
    <t>14.726 SOL</t>
  </si>
  <si>
    <t>1001.64%</t>
  </si>
  <si>
    <t>08.10.2024 23:25:04</t>
  </si>
  <si>
    <t xml:space="preserve">          7K            37K             4K</t>
  </si>
  <si>
    <t>CLzvow1g6NQseSZfe9Ejo97HMemWYQYHSaDW6RhMpump</t>
  </si>
  <si>
    <t>1.924 SOL</t>
  </si>
  <si>
    <t>1.481 SOL</t>
  </si>
  <si>
    <t>08.10.2024 20:21:32</t>
  </si>
  <si>
    <t>F75vXecBWwAbET1DJrK7yRRyGSJzVrJY8mEU898Npump</t>
  </si>
  <si>
    <t>1.916 SOL</t>
  </si>
  <si>
    <t>-3.057 SOL</t>
  </si>
  <si>
    <t>-61.47%</t>
  </si>
  <si>
    <t>08.10.2024 09:17:21</t>
  </si>
  <si>
    <t xml:space="preserve">         53K            21K             4K</t>
  </si>
  <si>
    <t>19.850 SOL</t>
  </si>
  <si>
    <t>42.688 SOL</t>
  </si>
  <si>
    <t>22.838 SOL</t>
  </si>
  <si>
    <t>115.05%</t>
  </si>
  <si>
    <t>03.10.2024 13:15:11</t>
  </si>
  <si>
    <t>5Z67JE3WvDXNpwGca8o8q8hJc8obN5vPLHpHoYXKEbG1</t>
  </si>
  <si>
    <t>6X1jSkx7uDssCkm2PfXAWpvqT7s8ydt4663HF6YNLVZN</t>
  </si>
  <si>
    <t>8.33 SOL</t>
  </si>
  <si>
    <t>134%</t>
  </si>
  <si>
    <t>39.78%</t>
  </si>
  <si>
    <t>30.27%</t>
  </si>
  <si>
    <t>124.46%</t>
  </si>
  <si>
    <t>0.491 SOL</t>
  </si>
  <si>
    <t>7.812 SOL</t>
  </si>
  <si>
    <t>6.711 SOL</t>
  </si>
  <si>
    <t>609.43%</t>
  </si>
  <si>
    <t xml:space="preserve">         11K           100K             7K</t>
  </si>
  <si>
    <t>49.28%</t>
  </si>
  <si>
    <t xml:space="preserve">         12K            19K             4K</t>
  </si>
  <si>
    <t>-39.16%</t>
  </si>
  <si>
    <t>-37.84%</t>
  </si>
  <si>
    <t>0.580 SOL</t>
  </si>
  <si>
    <t>74.44%</t>
  </si>
  <si>
    <t>-50.82%</t>
  </si>
  <si>
    <t>9UHGG5A73zsxE5uB5ZB67wc3p7zoNEer8assxVpJ7w3t</t>
  </si>
  <si>
    <t>10.86 SOL</t>
  </si>
  <si>
    <t>86%</t>
  </si>
  <si>
    <t>8.27 SOL</t>
  </si>
  <si>
    <t>18.32%</t>
  </si>
  <si>
    <t>8.6 SOL</t>
  </si>
  <si>
    <t>17.0K</t>
  </si>
  <si>
    <t>-34.48%</t>
  </si>
  <si>
    <t>7WzjS8eRhoVb495GKwJZEKkTCP3v7Ymjh4yCy3rVpump</t>
  </si>
  <si>
    <t>1.354 SOL</t>
  </si>
  <si>
    <t>30.10.2024 16:41:56</t>
  </si>
  <si>
    <t>-61.21%</t>
  </si>
  <si>
    <t>30.10.2024 13:29:33</t>
  </si>
  <si>
    <t xml:space="preserve">         51K             5K             5K</t>
  </si>
  <si>
    <t>3.713 SOL</t>
  </si>
  <si>
    <t>2.762 SOL</t>
  </si>
  <si>
    <t>290.47%</t>
  </si>
  <si>
    <t>30.10.2024 12:48:08</t>
  </si>
  <si>
    <t>RAGE</t>
  </si>
  <si>
    <t>-59.32%</t>
  </si>
  <si>
    <t>30.10.2024 04:47:07</t>
  </si>
  <si>
    <t>H6WfFZ5EjUDmJoGvJpsChUZTiRuNGuMr3xoSRssEpump</t>
  </si>
  <si>
    <t>29.10.2024 14:49:33</t>
  </si>
  <si>
    <t xml:space="preserve">         16K            19K             4K</t>
  </si>
  <si>
    <t>254.34%</t>
  </si>
  <si>
    <t>29.10.2024 12:59:50</t>
  </si>
  <si>
    <t xml:space="preserve">          9K            22K             4K</t>
  </si>
  <si>
    <t>0.260020</t>
  </si>
  <si>
    <t>4.702 SOL</t>
  </si>
  <si>
    <t>3.703 SOL</t>
  </si>
  <si>
    <t>370.67%</t>
  </si>
  <si>
    <t>29.10.2024 04:32:02</t>
  </si>
  <si>
    <t xml:space="preserve">         18K            38K             4K</t>
  </si>
  <si>
    <t>0.240020</t>
  </si>
  <si>
    <t>2.555 SOL</t>
  </si>
  <si>
    <t>98.09%</t>
  </si>
  <si>
    <t>27.10.2024 14:32:03</t>
  </si>
  <si>
    <t xml:space="preserve">         32K            11K             4K</t>
  </si>
  <si>
    <t>5Y5gmTQe5fKs4VFBAPSDtAxqUehBq7WURcF1gt762LMb</t>
  </si>
  <si>
    <t>1.99 SOL</t>
  </si>
  <si>
    <t>71%</t>
  </si>
  <si>
    <t>2.20 SOL</t>
  </si>
  <si>
    <t>69.40%</t>
  </si>
  <si>
    <t>0.09 SOL</t>
  </si>
  <si>
    <t>42.9%</t>
  </si>
  <si>
    <t>569.0K</t>
  </si>
  <si>
    <t>0.779 SOL</t>
  </si>
  <si>
    <t>50.17%</t>
  </si>
  <si>
    <t>30.10.2024 03:44:50</t>
  </si>
  <si>
    <t xml:space="preserve">         33K            42K            14K</t>
  </si>
  <si>
    <t>0.001580</t>
  </si>
  <si>
    <t>1.608 SOL</t>
  </si>
  <si>
    <t>132.56%</t>
  </si>
  <si>
    <t>29.10.2024 22:22:51</t>
  </si>
  <si>
    <t xml:space="preserve">         14M            53M            57M</t>
  </si>
  <si>
    <t>grr</t>
  </si>
  <si>
    <t>-36.44%</t>
  </si>
  <si>
    <t>28.10.2024 19:28:12</t>
  </si>
  <si>
    <t xml:space="preserve">        569K           321K            19K</t>
  </si>
  <si>
    <t>Fm6hFGBsyeV5NJMumTkJNSZ8zKKwqdwUBzrkm6ccEUyj</t>
  </si>
  <si>
    <t>94.16%</t>
  </si>
  <si>
    <t>27.10.2024 15:55:59</t>
  </si>
  <si>
    <t xml:space="preserve">          3M             6M             2M</t>
  </si>
  <si>
    <t>27.10.2024 12:29:01</t>
  </si>
  <si>
    <t xml:space="preserve">         14M            24M             7M</t>
  </si>
  <si>
    <t>SWIG</t>
  </si>
  <si>
    <t>0.906 SOL</t>
  </si>
  <si>
    <t>592.47%</t>
  </si>
  <si>
    <t>26.10.2024 05:26:47</t>
  </si>
  <si>
    <t xml:space="preserve">         91K           627K            37K</t>
  </si>
  <si>
    <t>3ougYPdtSunmDvxkFb4ZEnahEomRGr936HuNqFoopump</t>
  </si>
  <si>
    <t>KIRK</t>
  </si>
  <si>
    <t>-71.39%</t>
  </si>
  <si>
    <t>24.10.2024 16:56:33</t>
  </si>
  <si>
    <t xml:space="preserve">        421K           121K            65K</t>
  </si>
  <si>
    <t>9CA4oDuvnP5oULiechySPf6FxnNS7JmG1VL19X5spump</t>
  </si>
  <si>
    <t>8H3xT8L4hHkkVv5B861nVfr81vgw1RuYcbnufBsgxwyk</t>
  </si>
  <si>
    <t>5.34 SOL</t>
  </si>
  <si>
    <t>13.06 SOL</t>
  </si>
  <si>
    <t>1 (3%)</t>
  </si>
  <si>
    <t>-12.79%</t>
  </si>
  <si>
    <t>138.95%</t>
  </si>
  <si>
    <t>30.10.2024 19:58:15</t>
  </si>
  <si>
    <t xml:space="preserve">          7K            11K             7K</t>
  </si>
  <si>
    <t>⋙⋙⋙</t>
  </si>
  <si>
    <t>0.090050</t>
  </si>
  <si>
    <t>4.439 SOL</t>
  </si>
  <si>
    <t>6.724 SOL</t>
  </si>
  <si>
    <t>48.47%</t>
  </si>
  <si>
    <t>30.10.2024 18:17:28</t>
  </si>
  <si>
    <t xml:space="preserve">         16K            32K             6K</t>
  </si>
  <si>
    <t>3qhdDQ8BuMXtcWTrULFfofoJcqCMbE6aDH5WoF34pump</t>
  </si>
  <si>
    <t>30.10.2024 13:06:16</t>
  </si>
  <si>
    <t xml:space="preserve">         68K            72K             7K</t>
  </si>
  <si>
    <t>2oVm46bBPHqFfB8YALSdZh6k38t2Xj2Js69fmX6spump</t>
  </si>
  <si>
    <t>-72.09%</t>
  </si>
  <si>
    <t>30.10.2024 13:06:01</t>
  </si>
  <si>
    <t xml:space="preserve">         72K            25K             8K</t>
  </si>
  <si>
    <t>BIRB</t>
  </si>
  <si>
    <t>379,247</t>
  </si>
  <si>
    <t>30.10.2024 09:25:19</t>
  </si>
  <si>
    <t xml:space="preserve">        259K           208K           283K</t>
  </si>
  <si>
    <t>hoUht5a7Ci8G3dZvjEHN9MdEfmTBhny2JKmUFEEpump</t>
  </si>
  <si>
    <t>30.10.2024 08:13:34</t>
  </si>
  <si>
    <t>8db618UgRSoWUJVNY4n6DJNGqMXDcWsQyZsH9TUipump</t>
  </si>
  <si>
    <t>WEHOT</t>
  </si>
  <si>
    <t>-62.15%</t>
  </si>
  <si>
    <t>29.10.2024 20:03:58</t>
  </si>
  <si>
    <t>GRXsMfL65XnSk5Ps4Zj8ToBvWg2gQrGW9KPXKy5mpump</t>
  </si>
  <si>
    <t>29.10.2024 19:21:02</t>
  </si>
  <si>
    <t xml:space="preserve">         40K            30K             5K</t>
  </si>
  <si>
    <t>92Y2uhYSRBFfHBjK27RfsksejUT9YZW7yhszUmexpump</t>
  </si>
  <si>
    <t>-18.63%</t>
  </si>
  <si>
    <t>29.10.2024 18:02:20</t>
  </si>
  <si>
    <t xml:space="preserve">         37K            23K             5K</t>
  </si>
  <si>
    <t>PECY</t>
  </si>
  <si>
    <t>-29.55%</t>
  </si>
  <si>
    <t>29.10.2024 10:20:03</t>
  </si>
  <si>
    <t>EG4YVeJSbYd9R6ZfLy23UGBiGQV3vWYcvGpUZkWRpump</t>
  </si>
  <si>
    <t>DEVSOLD</t>
  </si>
  <si>
    <t>28.10.2024 20:47:35</t>
  </si>
  <si>
    <t>8DVSrutFAxHhMnwyqCf1EJeZGrNBgaqP1oa3G9Zhpump</t>
  </si>
  <si>
    <t>SOULS</t>
  </si>
  <si>
    <t>71.34%</t>
  </si>
  <si>
    <t>28.10.2024 19:51:49</t>
  </si>
  <si>
    <t>Cnv6aoMJBignHDpsXrjdtiNAD7QAwfVgrke6RVXVpump</t>
  </si>
  <si>
    <t>DTRIP</t>
  </si>
  <si>
    <t>28.10.2024 19:08:35</t>
  </si>
  <si>
    <t>HXjDCr5ZCmVCTTgsA55tuNC5Nyq73AsiUWcgNJRzpump</t>
  </si>
  <si>
    <t>pepemask</t>
  </si>
  <si>
    <t>219.37%</t>
  </si>
  <si>
    <t>28.10.2024 16:12:23</t>
  </si>
  <si>
    <t xml:space="preserve">         42K            25K             6K</t>
  </si>
  <si>
    <t>L2zhY3yhdw4CQAP6iT3xZy1eH598AHkSEQtmSQVpump</t>
  </si>
  <si>
    <t>1,179,936</t>
  </si>
  <si>
    <t>28.10.2024 13:02:00</t>
  </si>
  <si>
    <t xml:space="preserve">         30K            30K            16K</t>
  </si>
  <si>
    <t>smokeymo</t>
  </si>
  <si>
    <t>2.141 SOL</t>
  </si>
  <si>
    <t>5.964 SOL</t>
  </si>
  <si>
    <t>163.71%</t>
  </si>
  <si>
    <t>28.10.2024 12:38:35</t>
  </si>
  <si>
    <t xml:space="preserve">         16K            24K             5K</t>
  </si>
  <si>
    <t>2QEjZVKEj2MhDr2JFUNZ6gmaufqYYt2aPeL31nFVpump</t>
  </si>
  <si>
    <t>-38.90%</t>
  </si>
  <si>
    <t>28.10.2024 11:46:29</t>
  </si>
  <si>
    <t>JIGCOW</t>
  </si>
  <si>
    <t>-50.10%</t>
  </si>
  <si>
    <t>28.10.2024 10:49:52</t>
  </si>
  <si>
    <t xml:space="preserve">          9K            46K             9K</t>
  </si>
  <si>
    <t>H6YMhP828m4i9UmxCh7HVovktM92qZEY3DMDwtvRpump</t>
  </si>
  <si>
    <t>PIMPLE</t>
  </si>
  <si>
    <t>1.039 SOL</t>
  </si>
  <si>
    <t>3.00%</t>
  </si>
  <si>
    <t>28.10.2024 07:19:12</t>
  </si>
  <si>
    <t>5huXvAYpEsuoMfWFr6AER4yAmXQCteRioKkVwKkHpump</t>
  </si>
  <si>
    <t>KEDRA</t>
  </si>
  <si>
    <t>4.867 SOL</t>
  </si>
  <si>
    <t>331.60%</t>
  </si>
  <si>
    <t>27.10.2024 16:24:02</t>
  </si>
  <si>
    <t xml:space="preserve">         14K            18K             4K</t>
  </si>
  <si>
    <t>E2keFx7gBh1L51XRrQ9AefJQpvffvk4KCJUxvPL3pump</t>
  </si>
  <si>
    <t>ANUS</t>
  </si>
  <si>
    <t>2.57%</t>
  </si>
  <si>
    <t>27.10.2024 13:12:27</t>
  </si>
  <si>
    <t>DKS6ZUNX6BhFxvkpp88T5vxBrFf5K2xQoq7GdX99pump</t>
  </si>
  <si>
    <t>2.233 SOL</t>
  </si>
  <si>
    <t>5.86%</t>
  </si>
  <si>
    <t>27.10.2024 11:58:54</t>
  </si>
  <si>
    <t xml:space="preserve">         28K            16K             7K</t>
  </si>
  <si>
    <t>⋱⋱⋱</t>
  </si>
  <si>
    <t>0.986 SOL</t>
  </si>
  <si>
    <t>65.96%</t>
  </si>
  <si>
    <t>27.10.2024 08:14:21</t>
  </si>
  <si>
    <t xml:space="preserve">         11K            16K             6K</t>
  </si>
  <si>
    <t>7LaQQ3ahWeHR59B7eDzDhHkeMa3rLHxF7eb1ZmHPpump</t>
  </si>
  <si>
    <t>102.96%</t>
  </si>
  <si>
    <t>26.10.2024 23:17:18</t>
  </si>
  <si>
    <t xml:space="preserve">          9K             7K             4K</t>
  </si>
  <si>
    <t>EGO</t>
  </si>
  <si>
    <t>-33.14%</t>
  </si>
  <si>
    <t>26.10.2024 22:27:38</t>
  </si>
  <si>
    <t>F1YVsxXSpQYF38PmVSZkyqCGj3EfeDyRber8Q2zrpump</t>
  </si>
  <si>
    <t>ƎԀƎԀ</t>
  </si>
  <si>
    <t>-48.43%</t>
  </si>
  <si>
    <t>25.10.2024 19:42:50</t>
  </si>
  <si>
    <t>FVEq1XcQwwd74DkVFpUpdUJw49VNJtUmVvNU26TMpump</t>
  </si>
  <si>
    <t>չєภ</t>
  </si>
  <si>
    <t>-57.10%</t>
  </si>
  <si>
    <t>25.10.2024 18:46:22</t>
  </si>
  <si>
    <t>BbiUNtykVPb3K9sqt2mUVAGuC1FTeB9WbYtnbu5kpump</t>
  </si>
  <si>
    <t>-38.66%</t>
  </si>
  <si>
    <t>25.10.2024 15:56:24</t>
  </si>
  <si>
    <t xml:space="preserve">          5M             4M            25M</t>
  </si>
  <si>
    <t>-39.48%</t>
  </si>
  <si>
    <t>25.10.2024 09:26:44</t>
  </si>
  <si>
    <t xml:space="preserve">          2M             1M           166K</t>
  </si>
  <si>
    <t>HUMANAI</t>
  </si>
  <si>
    <t>1.038 SOL</t>
  </si>
  <si>
    <t>1.729 SOL</t>
  </si>
  <si>
    <t>63.42%</t>
  </si>
  <si>
    <t>24.10.2024 20:36:24</t>
  </si>
  <si>
    <t>FC8sbvpmuSbb58fexUwZuJ7f4V9VLQgtffesvrMNpump</t>
  </si>
  <si>
    <t>APEPE</t>
  </si>
  <si>
    <t>-7.31%</t>
  </si>
  <si>
    <t>24.10.2024 19:39:22</t>
  </si>
  <si>
    <t>CsiY9A46Aq7KWUqZsoV1uegM8y5KkVv6E9qs6Phspump</t>
  </si>
  <si>
    <t>COWCLUB</t>
  </si>
  <si>
    <t>0.595 SOL</t>
  </si>
  <si>
    <t>24.10.2024 18:56:32</t>
  </si>
  <si>
    <t>5Vm2kfMXWZ2BnyKYTU2hMy1CTMHJZZT6B9m54Dtnpump</t>
  </si>
  <si>
    <t>GREED</t>
  </si>
  <si>
    <t>10.77%</t>
  </si>
  <si>
    <t>24.10.2024 18:35:46</t>
  </si>
  <si>
    <t>J9825UTXkKoqXE8g7671YoPYML1MuSRkESo1EgFppump</t>
  </si>
  <si>
    <t>8GC8KU7bZVAevvSCF3JqTuG6iZbT4FKttjAwdxqEw8zM</t>
  </si>
  <si>
    <t>51.89 SOL</t>
  </si>
  <si>
    <t>27 (96%)</t>
  </si>
  <si>
    <t>32.51%</t>
  </si>
  <si>
    <t>10.0 SOL</t>
  </si>
  <si>
    <t>18.9 SOL</t>
  </si>
  <si>
    <t>9.4 SOL</t>
  </si>
  <si>
    <t>SOKURO</t>
  </si>
  <si>
    <t>0.100010</t>
  </si>
  <si>
    <t>4.765 SOL</t>
  </si>
  <si>
    <t>8.352 SOL</t>
  </si>
  <si>
    <t>3.486 SOL</t>
  </si>
  <si>
    <t>71.65%</t>
  </si>
  <si>
    <t>30.10.2024 21:11:14</t>
  </si>
  <si>
    <t xml:space="preserve">         33K            58K             4K</t>
  </si>
  <si>
    <t>FbU2Bxn4ptQtE58SCKTFK49JneCxkb36VyYDPpfDpump</t>
  </si>
  <si>
    <t>BAI</t>
  </si>
  <si>
    <t>4.623 SOL</t>
  </si>
  <si>
    <t>5.120 SOL</t>
  </si>
  <si>
    <t>8.40%</t>
  </si>
  <si>
    <t>30.10.2024 02:57:48</t>
  </si>
  <si>
    <t>AegmnEikPdzToUAxM9UQ1cjonUAKKzccYKLeYZqs8txU</t>
  </si>
  <si>
    <t>3.765 SOL</t>
  </si>
  <si>
    <t>4.411 SOL</t>
  </si>
  <si>
    <t>14.13%</t>
  </si>
  <si>
    <t>29.10.2024 22:26:06</t>
  </si>
  <si>
    <t xml:space="preserve">         35K            40K             3K</t>
  </si>
  <si>
    <t>$BOT</t>
  </si>
  <si>
    <t>3.522 SOL</t>
  </si>
  <si>
    <t>3.068 SOL</t>
  </si>
  <si>
    <t>-0.554 SOL</t>
  </si>
  <si>
    <t>29.10.2024 22:00:15</t>
  </si>
  <si>
    <t xml:space="preserve">         33K            30K             6K</t>
  </si>
  <si>
    <t>FEtRDsRPrKnbh73BmxKf62FacjHgbhneRBzT8RRRpump</t>
  </si>
  <si>
    <t>3.587 SOL</t>
  </si>
  <si>
    <t>-13.68%</t>
  </si>
  <si>
    <t>29.10.2024 19:00:33</t>
  </si>
  <si>
    <t xml:space="preserve">        601K           534K             5K</t>
  </si>
  <si>
    <t>3.594 SOL</t>
  </si>
  <si>
    <t>4.992 SOL</t>
  </si>
  <si>
    <t>35.14%</t>
  </si>
  <si>
    <t>29.10.2024 05:20:48</t>
  </si>
  <si>
    <t xml:space="preserve">        227K           316K            11K</t>
  </si>
  <si>
    <t>3.834 SOL</t>
  </si>
  <si>
    <t>3.639 SOL</t>
  </si>
  <si>
    <t>-7.51%</t>
  </si>
  <si>
    <t>29.10.2024 00:52:19</t>
  </si>
  <si>
    <t xml:space="preserve">         44K            42K             3K</t>
  </si>
  <si>
    <t>HZ6NmDPXL26gxAvzFWam3CpHr2hUumNCNAFU6jMkpump</t>
  </si>
  <si>
    <t>4.706 SOL</t>
  </si>
  <si>
    <t>7.383 SOL</t>
  </si>
  <si>
    <t>2.576 SOL</t>
  </si>
  <si>
    <t>53.60%</t>
  </si>
  <si>
    <t>28.10.2024 01:54:19</t>
  </si>
  <si>
    <t>6PMCGMvp5esDTcc2kvZwfKLKpiDsAjwJBWwXv8CMpump</t>
  </si>
  <si>
    <t>5.477 SOL</t>
  </si>
  <si>
    <t>2.615 SOL</t>
  </si>
  <si>
    <t>91.39%</t>
  </si>
  <si>
    <t>27.10.2024 23:16:11</t>
  </si>
  <si>
    <t xml:space="preserve">         72K           142K             6K</t>
  </si>
  <si>
    <t>Alaska</t>
  </si>
  <si>
    <t>3.746 SOL</t>
  </si>
  <si>
    <t>13.758 SOL</t>
  </si>
  <si>
    <t>9.952 SOL</t>
  </si>
  <si>
    <t>261.48%</t>
  </si>
  <si>
    <t>27.10.2024 21:38:42</t>
  </si>
  <si>
    <t>xSq3fM5bHdsGdYsDtJgkJQdHyWbjzmorNo8E8fjpump</t>
  </si>
  <si>
    <t>3.770 SOL</t>
  </si>
  <si>
    <t>33.78%</t>
  </si>
  <si>
    <t>26.10.2024 00:23:25</t>
  </si>
  <si>
    <t xml:space="preserve">         46K            61K             3K</t>
  </si>
  <si>
    <t>😕</t>
  </si>
  <si>
    <t>4.127 SOL</t>
  </si>
  <si>
    <t>7.803 SOL</t>
  </si>
  <si>
    <t>3.616 SOL</t>
  </si>
  <si>
    <t>86.37%</t>
  </si>
  <si>
    <t>25.10.2024 21:37:19</t>
  </si>
  <si>
    <t xml:space="preserve">         12K            21K             5K</t>
  </si>
  <si>
    <t>BYoJv3HvxvqonFvDkQDW9CGdey2EFVdnyj3J8jq2pump</t>
  </si>
  <si>
    <t>3.796 SOL</t>
  </si>
  <si>
    <t>0.904 SOL</t>
  </si>
  <si>
    <t>31.24%</t>
  </si>
  <si>
    <t>25.10.2024 01:04:11</t>
  </si>
  <si>
    <t xml:space="preserve">          2M             3M            22K</t>
  </si>
  <si>
    <t>2.803 SOL</t>
  </si>
  <si>
    <t>-10.90%</t>
  </si>
  <si>
    <t>24.10.2024 22:07:42</t>
  </si>
  <si>
    <t>2.522 SOL</t>
  </si>
  <si>
    <t>-15.10%</t>
  </si>
  <si>
    <t>23.10.2024 23:20:49</t>
  </si>
  <si>
    <t xml:space="preserve">        100K            86K            20K</t>
  </si>
  <si>
    <t>2.872 SOL</t>
  </si>
  <si>
    <t>2.860 SOL</t>
  </si>
  <si>
    <t>-2.46%</t>
  </si>
  <si>
    <t>23.10.2024 20:45:47</t>
  </si>
  <si>
    <t xml:space="preserve">         99M            99M             4M</t>
  </si>
  <si>
    <t>3.031 SOL</t>
  </si>
  <si>
    <t>5.128 SOL</t>
  </si>
  <si>
    <t>65.90%</t>
  </si>
  <si>
    <t>23.10.2024 03:25:16</t>
  </si>
  <si>
    <t xml:space="preserve">         39K            65K            10K</t>
  </si>
  <si>
    <t>Zyphrax</t>
  </si>
  <si>
    <t>4.274 SOL</t>
  </si>
  <si>
    <t>12.74%</t>
  </si>
  <si>
    <t>23.10.2024 01:34:50</t>
  </si>
  <si>
    <t>CDacJQZDQuRLV8xyugT79Utt76d2DTypUxCAcdp2pump</t>
  </si>
  <si>
    <t xml:space="preserve">BANJO </t>
  </si>
  <si>
    <t>2.973 SOL</t>
  </si>
  <si>
    <t>3.130 SOL</t>
  </si>
  <si>
    <t>22.10.2024 05:57:34</t>
  </si>
  <si>
    <t xml:space="preserve">         79K            84K             5K</t>
  </si>
  <si>
    <t>Dkbq6yYX7mQHwv6FTSXY891xsNkBQmSHgNiUyzuq2Qp7</t>
  </si>
  <si>
    <t>KORAT</t>
  </si>
  <si>
    <t>18.680 SOL</t>
  </si>
  <si>
    <t>15.806 SOL</t>
  </si>
  <si>
    <t>549.92%</t>
  </si>
  <si>
    <t>22.10.2024 00:13:07</t>
  </si>
  <si>
    <t xml:space="preserve">         30K           281K             4K</t>
  </si>
  <si>
    <t>8z7CWj4uc8GcCo9WoznGvU9m24d6SSTtMdr3buQ4pump</t>
  </si>
  <si>
    <t>WAND</t>
  </si>
  <si>
    <t>81.30%</t>
  </si>
  <si>
    <t>21.10.2024 20:39:09</t>
  </si>
  <si>
    <t xml:space="preserve">         26K            49K             3K</t>
  </si>
  <si>
    <t>558hASfoVRYZz3KzCYeNTqodfdLhxFQMEn49Yh38pump</t>
  </si>
  <si>
    <t>21.10.2024 00:17:11</t>
  </si>
  <si>
    <t>H1ApzvQ8zDU6s8R3JKnPRb1nMHZDyrMtECzMA8U4pump</t>
  </si>
  <si>
    <t>GLOBE</t>
  </si>
  <si>
    <t>2.894 SOL</t>
  </si>
  <si>
    <t>4.412 SOL</t>
  </si>
  <si>
    <t>49.36%</t>
  </si>
  <si>
    <t>20.10.2024 23:56:56</t>
  </si>
  <si>
    <t xml:space="preserve">         16K            25K             3K</t>
  </si>
  <si>
    <t>CHZyQWifZt5ypEiDAJ5Je7HP4DLVLDPardqkF48Zpump</t>
  </si>
  <si>
    <t>lemur</t>
  </si>
  <si>
    <t>3.127 SOL</t>
  </si>
  <si>
    <t>4.460 SOL</t>
  </si>
  <si>
    <t>39.91%</t>
  </si>
  <si>
    <t>20.10.2024 04:48:17</t>
  </si>
  <si>
    <t xml:space="preserve">        411K           585K            10K</t>
  </si>
  <si>
    <t>9vqsBhx1jPoKokZfCY8JMU7ob5ZFm7XtkwY3T2hapump</t>
  </si>
  <si>
    <t>2.815 SOL</t>
  </si>
  <si>
    <t>2.102 SOL</t>
  </si>
  <si>
    <t>73.12%</t>
  </si>
  <si>
    <t>20.10.2024 04:43:42</t>
  </si>
  <si>
    <t xml:space="preserve">         14K            25K             5K</t>
  </si>
  <si>
    <t>4.072 SOL</t>
  </si>
  <si>
    <t>1.171 SOL</t>
  </si>
  <si>
    <t>40.37%</t>
  </si>
  <si>
    <t>20.10.2024 02:47:13</t>
  </si>
  <si>
    <t xml:space="preserve">         91K           132K             5K</t>
  </si>
  <si>
    <t>4.282 SOL</t>
  </si>
  <si>
    <t>9.33%</t>
  </si>
  <si>
    <t>19.10.2024 18:31:43</t>
  </si>
  <si>
    <t>C6GFrzeEbZppNqD85vYJhiNfBFFtWrLTDw1ZQq5opump</t>
  </si>
  <si>
    <t>19.10.2024 17:54:18</t>
  </si>
  <si>
    <t xml:space="preserve">          3M             3M            58K</t>
  </si>
  <si>
    <t>DAvFwQyaHCUhnVKWgykeB1aJeCX2JeRRMZebqmiozpWx</t>
  </si>
  <si>
    <t>86.22 SOL</t>
  </si>
  <si>
    <t>147%</t>
  </si>
  <si>
    <t>64.82 SOL</t>
  </si>
  <si>
    <t>1 (20%)</t>
  </si>
  <si>
    <t>73.25%</t>
  </si>
  <si>
    <t>169%</t>
  </si>
  <si>
    <t>74.19 SOL</t>
  </si>
  <si>
    <t>172</t>
  </si>
  <si>
    <t>62.5 SOL</t>
  </si>
  <si>
    <t>5.1 SOL</t>
  </si>
  <si>
    <t>-4.9 SOL</t>
  </si>
  <si>
    <t>44.0K</t>
  </si>
  <si>
    <t>4.997 SOL</t>
  </si>
  <si>
    <t>146.72%</t>
  </si>
  <si>
    <t>30.10.2024 16:37:56</t>
  </si>
  <si>
    <t xml:space="preserve">          9K            19K             4K</t>
  </si>
  <si>
    <t>dwf_rapist</t>
  </si>
  <si>
    <t>4.917 SOL</t>
  </si>
  <si>
    <t>-4.917 SOL</t>
  </si>
  <si>
    <t>19,951,714</t>
  </si>
  <si>
    <t>30.10.2024 16:09:31</t>
  </si>
  <si>
    <t xml:space="preserve">         44K            44K            24K</t>
  </si>
  <si>
    <t>31i89o54vwDmsFTGuTVUcgkRntiJfz9znRnyG7P3pump</t>
  </si>
  <si>
    <t>12.130 SOL</t>
  </si>
  <si>
    <t>29.10.2024 21:27:00</t>
  </si>
  <si>
    <t xml:space="preserve">        137K           255K            45K</t>
  </si>
  <si>
    <t>0.002100</t>
  </si>
  <si>
    <t>84.551 SOL</t>
  </si>
  <si>
    <t>59.549 SOL</t>
  </si>
  <si>
    <t>238.18%</t>
  </si>
  <si>
    <t>24.10.2024 00:38:09</t>
  </si>
  <si>
    <t xml:space="preserve">          2M             9M            13M</t>
  </si>
  <si>
    <t>ston</t>
  </si>
  <si>
    <t>5.055 SOL</t>
  </si>
  <si>
    <t>7.141 SOL</t>
  </si>
  <si>
    <t>41.27%</t>
  </si>
  <si>
    <t>20.10.2024 02:52:59</t>
  </si>
  <si>
    <t xml:space="preserve">         33K            47K             6K</t>
  </si>
  <si>
    <t>3RtNJqfL56PhHn8q4hfrfCop9rKmLrVjCdvBRkxspump</t>
  </si>
  <si>
    <t>4DzbUe9RJ254JPVnknx6uLvXzJZhRgYeB3bER1HmDvk2</t>
  </si>
  <si>
    <t>45.85 SOL</t>
  </si>
  <si>
    <t>-56%</t>
  </si>
  <si>
    <t>-352.03 SOL</t>
  </si>
  <si>
    <t>37%</t>
  </si>
  <si>
    <t>234.06 SOL</t>
  </si>
  <si>
    <t>1.2%</t>
  </si>
  <si>
    <t>0.6%</t>
  </si>
  <si>
    <t>93.8%</t>
  </si>
  <si>
    <t>181.3 SOL</t>
  </si>
  <si>
    <t>26.5 SOL</t>
  </si>
  <si>
    <t>8.8 SOL</t>
  </si>
  <si>
    <t>-5.9 SOL</t>
  </si>
  <si>
    <t>-563.1 SOL</t>
  </si>
  <si>
    <t>48</t>
  </si>
  <si>
    <t>105.5K</t>
  </si>
  <si>
    <t>7,244,873</t>
  </si>
  <si>
    <t>30.10.2024 05:32:00</t>
  </si>
  <si>
    <t xml:space="preserve">        121K           121K            14K</t>
  </si>
  <si>
    <t>-4.000 SOL</t>
  </si>
  <si>
    <t>9,741,663</t>
  </si>
  <si>
    <t>30.10.2024 00:01:38</t>
  </si>
  <si>
    <t xml:space="preserve">         72K            72K             8K</t>
  </si>
  <si>
    <t>SHIT</t>
  </si>
  <si>
    <t>4,617,605</t>
  </si>
  <si>
    <t>29.10.2024 19:00:04</t>
  </si>
  <si>
    <t xml:space="preserve">        369K           162K            12K</t>
  </si>
  <si>
    <t>EYzLaZ7Xqtg96wSvs3G2vU96JoVQTtsdAKZx6kXGNrXq</t>
  </si>
  <si>
    <t>418,116</t>
  </si>
  <si>
    <t>29.10.2024 18:57:31</t>
  </si>
  <si>
    <t xml:space="preserve">          3M             2M             3M</t>
  </si>
  <si>
    <t>EDGING</t>
  </si>
  <si>
    <t>15,665,695</t>
  </si>
  <si>
    <t>29.10.2024 18:52:31</t>
  </si>
  <si>
    <t xml:space="preserve">         41K            41K            44K</t>
  </si>
  <si>
    <t>CTFUdw7GKfHesysSsTr6TCy7WNiszAwXduhoLTtF9PZP</t>
  </si>
  <si>
    <t>MOGGER</t>
  </si>
  <si>
    <t>5,319,850</t>
  </si>
  <si>
    <t>29.10.2024 18:48:20</t>
  </si>
  <si>
    <t xml:space="preserve">        179K           105K            12K</t>
  </si>
  <si>
    <t>7WZzc9gh1gDW51zKT9Qso2hPUzwuporXqdbGQgtH2FqP</t>
  </si>
  <si>
    <t>260,938</t>
  </si>
  <si>
    <t>29.10.2024 18:47:57</t>
  </si>
  <si>
    <t xml:space="preserve">          2M             3M           647K</t>
  </si>
  <si>
    <t>ORANG</t>
  </si>
  <si>
    <t>2,586,811,880</t>
  </si>
  <si>
    <t>29.10.2024 18:22:32</t>
  </si>
  <si>
    <t xml:space="preserve">        N/A           N/A            53K</t>
  </si>
  <si>
    <t>J8UjmiSJASyKLTgwcvB6kTZyF9xDkvBEmU8yyNr12oh9</t>
  </si>
  <si>
    <t>-1.056 SOL</t>
  </si>
  <si>
    <t>8,572,540</t>
  </si>
  <si>
    <t>29.10.2024 17:21:21</t>
  </si>
  <si>
    <t>DsPbs8hMR74nFk7HmenvvFxSj8iiekT5wLwZ5672pump</t>
  </si>
  <si>
    <t>Jingtao</t>
  </si>
  <si>
    <t>3,699,907</t>
  </si>
  <si>
    <t>29.10.2024 17:07:06</t>
  </si>
  <si>
    <t>3AYpsSfxEeFyEUGJpzfrFTThJkJFS7iDZrWJ3riupump</t>
  </si>
  <si>
    <t>6,022,404</t>
  </si>
  <si>
    <t>29.10.2024 17:04:50</t>
  </si>
  <si>
    <t xml:space="preserve">        202K           514K             8K</t>
  </si>
  <si>
    <t>23.768 SOL</t>
  </si>
  <si>
    <t>8.768 SOL</t>
  </si>
  <si>
    <t>58.45%</t>
  </si>
  <si>
    <t>29.10.2024 17:04:19</t>
  </si>
  <si>
    <t xml:space="preserve">        277K           931K             1M</t>
  </si>
  <si>
    <t>INSHALLAH</t>
  </si>
  <si>
    <t>3,989,466</t>
  </si>
  <si>
    <t>29.10.2024 04:39:06</t>
  </si>
  <si>
    <t xml:space="preserve">          3K             3K             6K</t>
  </si>
  <si>
    <t>3sXfwhWq8ndBP97MiEKjb79Zr94Lpq46punboa5475Bx</t>
  </si>
  <si>
    <t>pray</t>
  </si>
  <si>
    <t>24,192,772</t>
  </si>
  <si>
    <t>29.10.2024 04:37:44</t>
  </si>
  <si>
    <t xml:space="preserve">         29K            46K           161K</t>
  </si>
  <si>
    <t>7ij5esLPHU8zprHAMUHR1Bu8MEJX6cT5hzG1bBEcpump</t>
  </si>
  <si>
    <t>3,100,398</t>
  </si>
  <si>
    <t>29.10.2024 03:08:37</t>
  </si>
  <si>
    <t xml:space="preserve">        369K           409K             7K</t>
  </si>
  <si>
    <t>LUNCHLY</t>
  </si>
  <si>
    <t>5,226,867</t>
  </si>
  <si>
    <t>29.10.2024 03:03:38</t>
  </si>
  <si>
    <t xml:space="preserve">        132K           137K            82K</t>
  </si>
  <si>
    <t>nYerK4wiMzsKxwMKM6KbubwSnMPrctTLN87EswRpump</t>
  </si>
  <si>
    <t>𓆉</t>
  </si>
  <si>
    <t>5,231,882</t>
  </si>
  <si>
    <t>29.10.2024 01:22:17</t>
  </si>
  <si>
    <t>Ed4JMUsjzMJ2yDasRvzdAZ784NE6WcELzK47WobVpump</t>
  </si>
  <si>
    <t>2,349,104</t>
  </si>
  <si>
    <t>29.10.2024 00:31:43</t>
  </si>
  <si>
    <t xml:space="preserve">        297K           306K           544K</t>
  </si>
  <si>
    <t>17,566,233</t>
  </si>
  <si>
    <t>29.10.2024 00:21:16</t>
  </si>
  <si>
    <t xml:space="preserve">         35K            25K            10K</t>
  </si>
  <si>
    <t>Bw5oXrdwFH8zmewejTVBa5364qFSyA7kskSg69LZpump</t>
  </si>
  <si>
    <t>7,290,257</t>
  </si>
  <si>
    <t>28.10.2024 21:38:06</t>
  </si>
  <si>
    <t xml:space="preserve">         47K            47K            13K</t>
  </si>
  <si>
    <t>2,320,675</t>
  </si>
  <si>
    <t>28.10.2024 03:05:47</t>
  </si>
  <si>
    <t xml:space="preserve">        151K           151K            39K</t>
  </si>
  <si>
    <t>3,795,187</t>
  </si>
  <si>
    <t>28.10.2024 01:41:32</t>
  </si>
  <si>
    <t xml:space="preserve">        160K           111K             7K</t>
  </si>
  <si>
    <t>KOTI</t>
  </si>
  <si>
    <t>19,942,639</t>
  </si>
  <si>
    <t>28.10.2024 00:49:44</t>
  </si>
  <si>
    <t xml:space="preserve">         28K            46K             6K</t>
  </si>
  <si>
    <t>EMFU6t7eFsTKVv6UkatPpyDt1bugmMqdfScb6jRipump</t>
  </si>
  <si>
    <t>10,867,147</t>
  </si>
  <si>
    <t>28.10.2024 00:41:47</t>
  </si>
  <si>
    <t>4,124,725</t>
  </si>
  <si>
    <t>28.10.2024 00:29:25</t>
  </si>
  <si>
    <t>1,153,927</t>
  </si>
  <si>
    <t>27.10.2024 18:56:04</t>
  </si>
  <si>
    <t>BmpF5awAZW6baUoSF1CMS3A2XbMU62VPPH58Trbkpump</t>
  </si>
  <si>
    <t>764,492</t>
  </si>
  <si>
    <t>27.10.2024 18:54:52</t>
  </si>
  <si>
    <t xml:space="preserve">        460K           460K             5K</t>
  </si>
  <si>
    <t>GOF</t>
  </si>
  <si>
    <t>7,729,649</t>
  </si>
  <si>
    <t>27.10.2024 18:39:22</t>
  </si>
  <si>
    <t>5vuGNdsz1Zp4p43UuZfYFbZNWGYmpqVJEk3YQdCBpump</t>
  </si>
  <si>
    <t>-1.102 SOL</t>
  </si>
  <si>
    <t>15,195,262</t>
  </si>
  <si>
    <t>27.10.2024 18:32:27</t>
  </si>
  <si>
    <t>8kDaXw1K2mG5xbe6YCurRyEEhjgcimWwkdcKDfB4pump</t>
  </si>
  <si>
    <t>fella</t>
  </si>
  <si>
    <t>8,930,990</t>
  </si>
  <si>
    <t>27.10.2024 16:37:02</t>
  </si>
  <si>
    <t xml:space="preserve">        175K           184K           264K</t>
  </si>
  <si>
    <t>5hQvD2F5DRNTcZGniDqU4HHZh4HZjapRg4aWAPFsRKmG</t>
  </si>
  <si>
    <t>GNFOS</t>
  </si>
  <si>
    <t>7,790,734</t>
  </si>
  <si>
    <t>27.10.2024 04:10:37</t>
  </si>
  <si>
    <t xml:space="preserve">         22K            22K             7K</t>
  </si>
  <si>
    <t>CogJ4K7DXFJKhkhyxKayuZWrihoQzs5sksonimQYmP33</t>
  </si>
  <si>
    <t>376,861</t>
  </si>
  <si>
    <t>27.10.2024 03:35:01</t>
  </si>
  <si>
    <t xml:space="preserve">        933K           933K           103K</t>
  </si>
  <si>
    <t>PAWJOB</t>
  </si>
  <si>
    <t>4,162,387</t>
  </si>
  <si>
    <t>27.10.2024 02:31:52</t>
  </si>
  <si>
    <t xml:space="preserve">        126K           126K           138K</t>
  </si>
  <si>
    <t>FFqb9Cj4fSdDX3BFYUAH92mjP6Wqci6XqFq8u3Zqpump</t>
  </si>
  <si>
    <t>6,258,925</t>
  </si>
  <si>
    <t>26.10.2024 16:59:50</t>
  </si>
  <si>
    <t xml:space="preserve">         49K            49K            64K</t>
  </si>
  <si>
    <t>-3.097 SOL</t>
  </si>
  <si>
    <t>15,699,384</t>
  </si>
  <si>
    <t>26.10.2024 05:00:39</t>
  </si>
  <si>
    <t xml:space="preserve">         56K            19K            37K</t>
  </si>
  <si>
    <t>-9.000 SOL</t>
  </si>
  <si>
    <t>23,004,733</t>
  </si>
  <si>
    <t>25.10.2024 20:31:48</t>
  </si>
  <si>
    <t xml:space="preserve">         21K           191K             5K</t>
  </si>
  <si>
    <t>22,521,465</t>
  </si>
  <si>
    <t>25.10.2024 20:29:01</t>
  </si>
  <si>
    <t>69xYAEKLeX9Ph4rQdp1hkATvyX9cczVcABcYpuaT2W3C</t>
  </si>
  <si>
    <t>Panko</t>
  </si>
  <si>
    <t>11,177,436</t>
  </si>
  <si>
    <t>25.10.2024 20:21:31</t>
  </si>
  <si>
    <t>HWFgWPGymxBHcPz1kW9qVaPHQUhsP9UncPR1TG8Ypump</t>
  </si>
  <si>
    <t>PRONY</t>
  </si>
  <si>
    <t>4.092 SOL</t>
  </si>
  <si>
    <t>-4.092 SOL</t>
  </si>
  <si>
    <t>18,007,876</t>
  </si>
  <si>
    <t>25.10.2024 20:00:59</t>
  </si>
  <si>
    <t xml:space="preserve">         33K            47K             8K</t>
  </si>
  <si>
    <t>8ZjxAgY79krNRcySxo6cqd3DAPFBpi2xgPZTmM8Npump</t>
  </si>
  <si>
    <t>-1.962 SOL</t>
  </si>
  <si>
    <t>14,962,791</t>
  </si>
  <si>
    <t>25.10.2024 19:30:29</t>
  </si>
  <si>
    <t>25.612 SOL</t>
  </si>
  <si>
    <t>23.612 SOL</t>
  </si>
  <si>
    <t>1180.46%</t>
  </si>
  <si>
    <t>25.10.2024 19:05:11</t>
  </si>
  <si>
    <t xml:space="preserve">         83K            83K            20K</t>
  </si>
  <si>
    <t>bouncy</t>
  </si>
  <si>
    <t>4,122,990</t>
  </si>
  <si>
    <t>25.10.2024 18:45:11</t>
  </si>
  <si>
    <t xml:space="preserve">        128K           128K            53K</t>
  </si>
  <si>
    <t>CoUxXvFyK8GEaTSfgTQn8ktiRCyXz33bmuk24Affcvzk</t>
  </si>
  <si>
    <t>Scales</t>
  </si>
  <si>
    <t>1,301,013</t>
  </si>
  <si>
    <t>25.10.2024 18:16:07</t>
  </si>
  <si>
    <t xml:space="preserve">        406K           406K             3K</t>
  </si>
  <si>
    <t>8Yvgqo1F1hU7XRzLmw9PW7p6bK9NPUp7PTKsw9qXpump</t>
  </si>
  <si>
    <t>NIGGTARDIO</t>
  </si>
  <si>
    <t>9,076,714</t>
  </si>
  <si>
    <t>25.10.2024 17:52:52</t>
  </si>
  <si>
    <t xml:space="preserve">         39K            39K            15K</t>
  </si>
  <si>
    <t>62hntRDMKf7TK5rPKZ4NDJbZ2tkYbh9RhXBwH2USpump</t>
  </si>
  <si>
    <t>JEWCAT</t>
  </si>
  <si>
    <t>-2.059 SOL</t>
  </si>
  <si>
    <t>11,867,638</t>
  </si>
  <si>
    <t>24.10.2024 23:08:16</t>
  </si>
  <si>
    <t>FWqKnt2wK5c8jAu8YLq5dByToUcPaLZA89DuDKTvESnj</t>
  </si>
  <si>
    <t>5,520,461</t>
  </si>
  <si>
    <t>24.10.2024 22:55:17</t>
  </si>
  <si>
    <t>MZHnGJSYfq8GxD7RELn5qShfUg1K7nMFFDntvRmDDqp</t>
  </si>
  <si>
    <t>5,338,129</t>
  </si>
  <si>
    <t>24.10.2024 22:25:17</t>
  </si>
  <si>
    <t>144e3uj6SVCgviVvhpmShTrZQABuFbcyci6661w3pump</t>
  </si>
  <si>
    <t>24,411,168</t>
  </si>
  <si>
    <t>24.10.2024 22:10:52</t>
  </si>
  <si>
    <t>HIVEMIND</t>
  </si>
  <si>
    <t>3.069 SOL</t>
  </si>
  <si>
    <t>-3.069 SOL</t>
  </si>
  <si>
    <t>12,290,070</t>
  </si>
  <si>
    <t>24.10.2024 21:49:16</t>
  </si>
  <si>
    <t xml:space="preserve">         44K            44K            42K</t>
  </si>
  <si>
    <t>A7FQ9TfiCnnZjFVAA3DWtMqoPR99CYJsGzUuLQbBpump</t>
  </si>
  <si>
    <t>-8.000 SOL</t>
  </si>
  <si>
    <t>1,185,516</t>
  </si>
  <si>
    <t>24.10.2024 21:32:49</t>
  </si>
  <si>
    <t xml:space="preserve">          1M             1M            10K</t>
  </si>
  <si>
    <t>Baxter</t>
  </si>
  <si>
    <t>0.000380</t>
  </si>
  <si>
    <t>37.162 SOL</t>
  </si>
  <si>
    <t>20.162 SOL</t>
  </si>
  <si>
    <t>118.60%</t>
  </si>
  <si>
    <t>24.10.2024 21:30:59</t>
  </si>
  <si>
    <t xml:space="preserve">        478K           409K            20K</t>
  </si>
  <si>
    <t>7LRwrLyztjtusMxCknD4UXMs9f8Cvn3GTobjH4ctt8AN</t>
  </si>
  <si>
    <t>16,861,255</t>
  </si>
  <si>
    <t>24.10.2024 21:24:57</t>
  </si>
  <si>
    <t xml:space="preserve">        101K            85K             4K</t>
  </si>
  <si>
    <t>FUpSAr2f3HF5sQ4YEFw1mYcvXfqs8k7qHRNEtW9ysPY7</t>
  </si>
  <si>
    <t>GOATGOSPEL</t>
  </si>
  <si>
    <t>9.15%</t>
  </si>
  <si>
    <t>24.10.2024 20:53:55</t>
  </si>
  <si>
    <t xml:space="preserve">        286K           286K            21K</t>
  </si>
  <si>
    <t>6rzxx5bCej7aB5WQnDsvTvPxgpo5LENimtkRy5FL5xKo</t>
  </si>
  <si>
    <t>942,458</t>
  </si>
  <si>
    <t>24.10.2024 16:39:46</t>
  </si>
  <si>
    <t xml:space="preserve">        372K           372K           290K</t>
  </si>
  <si>
    <t>Moloch</t>
  </si>
  <si>
    <t>7,795,531</t>
  </si>
  <si>
    <t>24.10.2024 16:37:01</t>
  </si>
  <si>
    <t xml:space="preserve">        123K            51K             8K</t>
  </si>
  <si>
    <t>FdniK3BrfdcdBntCjDzBU4ikXdy1yH7hJJTF3eP2pump</t>
  </si>
  <si>
    <t>L/ACC</t>
  </si>
  <si>
    <t>4,788,731</t>
  </si>
  <si>
    <t>24.10.2024 16:25:15</t>
  </si>
  <si>
    <t xml:space="preserve">         37K            37K             6K</t>
  </si>
  <si>
    <t>4aRVGE1TvAjxsPggECAbBSSaoxNXZDkci6fnDC5Cpump</t>
  </si>
  <si>
    <t>738,684</t>
  </si>
  <si>
    <t>24.10.2024 16:13:28</t>
  </si>
  <si>
    <t xml:space="preserve">        237K           237K            34K</t>
  </si>
  <si>
    <t>1,623,969</t>
  </si>
  <si>
    <t xml:space="preserve">        216K           216K             5K</t>
  </si>
  <si>
    <t>905,103</t>
  </si>
  <si>
    <t>24.10.2024 15:00:19</t>
  </si>
  <si>
    <t xml:space="preserve">        388K           388K             4K</t>
  </si>
  <si>
    <t>12,405,498</t>
  </si>
  <si>
    <t>24.10.2024 14:11:17</t>
  </si>
  <si>
    <t xml:space="preserve">         28K            28K            13K</t>
  </si>
  <si>
    <t>32,136,491</t>
  </si>
  <si>
    <t>24.10.2024 13:28:34</t>
  </si>
  <si>
    <t xml:space="preserve">         53K           162K            65K</t>
  </si>
  <si>
    <t>16,412,295</t>
  </si>
  <si>
    <t>24.10.2024 06:14:45</t>
  </si>
  <si>
    <t xml:space="preserve">        218K           218K            58K</t>
  </si>
  <si>
    <t>-3.218 SOL</t>
  </si>
  <si>
    <t>-40.23%</t>
  </si>
  <si>
    <t>24.10.2024 04:35:21</t>
  </si>
  <si>
    <t xml:space="preserve">        399K           478K            34K</t>
  </si>
  <si>
    <t>6,851,144</t>
  </si>
  <si>
    <t>24.10.2024 03:58:15</t>
  </si>
  <si>
    <t xml:space="preserve">        156K           223K            18K</t>
  </si>
  <si>
    <t>9.317 SOL</t>
  </si>
  <si>
    <t>6.317 SOL</t>
  </si>
  <si>
    <t>210.57%</t>
  </si>
  <si>
    <t>24.10.2024 03:08:12</t>
  </si>
  <si>
    <t xml:space="preserve">          5M             5M           516K</t>
  </si>
  <si>
    <t>24,891,189</t>
  </si>
  <si>
    <t>24.10.2024 01:18:41</t>
  </si>
  <si>
    <t>6rSjoegunjMh6aQR9XTgHnxtXGXPnw4dZ598e9BFpump</t>
  </si>
  <si>
    <t>Docuverse</t>
  </si>
  <si>
    <t>2,870,727</t>
  </si>
  <si>
    <t>24.10.2024 00:23:15</t>
  </si>
  <si>
    <t>qtcA7YoqGHybqFhBi8MjaU4rgppRepffxsPU167pump</t>
  </si>
  <si>
    <t>1,276,676</t>
  </si>
  <si>
    <t>23.10.2024 23:43:48</t>
  </si>
  <si>
    <t xml:space="preserve">        717K           671K            25K</t>
  </si>
  <si>
    <t>16,284,981</t>
  </si>
  <si>
    <t>23.10.2024 21:24:03</t>
  </si>
  <si>
    <t>LUCAS</t>
  </si>
  <si>
    <t>0.981 SOL</t>
  </si>
  <si>
    <t>19,476,508</t>
  </si>
  <si>
    <t>23.10.2024 21:20:03</t>
  </si>
  <si>
    <t>2nVvcPoTDVKk7dqRzGwFGAPz3HGbP27v8vydtSsjpump</t>
  </si>
  <si>
    <t>1,812,534</t>
  </si>
  <si>
    <t>23.10.2024 21:13:54</t>
  </si>
  <si>
    <t xml:space="preserve">        292K           292K            14K</t>
  </si>
  <si>
    <t>lucy</t>
  </si>
  <si>
    <t>16,943,449</t>
  </si>
  <si>
    <t>23.10.2024 21:06:04</t>
  </si>
  <si>
    <t xml:space="preserve">         77K            23K             4K</t>
  </si>
  <si>
    <t>BEGZpbEFqjkqwXYMU7iUknt7sW36J3bH2dKKZVVUpump</t>
  </si>
  <si>
    <t>Lucy</t>
  </si>
  <si>
    <t>11,151,296</t>
  </si>
  <si>
    <t>23.10.2024 21:01:54</t>
  </si>
  <si>
    <t>ADVzHqPLrEhC4M1U4nbJTYaKHVoq2ZryNfePFPvfpump</t>
  </si>
  <si>
    <t>1,056,269</t>
  </si>
  <si>
    <t>23.10.2024 20:26:38</t>
  </si>
  <si>
    <t xml:space="preserve">        332K           332K             8K</t>
  </si>
  <si>
    <t>1,715,140</t>
  </si>
  <si>
    <t>23.10.2024 19:55:31</t>
  </si>
  <si>
    <t xml:space="preserve">        205K           205K            16K</t>
  </si>
  <si>
    <t>HUGH</t>
  </si>
  <si>
    <t>25,421,381</t>
  </si>
  <si>
    <t>23.10.2024 19:35:54</t>
  </si>
  <si>
    <t xml:space="preserve">         81K           322K            25K</t>
  </si>
  <si>
    <t>FPpUFFAr7pmwGA4sqhwRBFJ4oB5URjWensimfL3zpump</t>
  </si>
  <si>
    <t>MANLET</t>
  </si>
  <si>
    <t>3,593,167</t>
  </si>
  <si>
    <t>23.10.2024 19:16:54</t>
  </si>
  <si>
    <t xml:space="preserve">        244K           244K           211K</t>
  </si>
  <si>
    <t>5HvxUFGRRV5FhzJtHDYM5uhSTjWGPp9XQxLLjhMcj382</t>
  </si>
  <si>
    <t>10.408 SOL</t>
  </si>
  <si>
    <t>-2.592 SOL</t>
  </si>
  <si>
    <t>23.10.2024 19:06:27</t>
  </si>
  <si>
    <t xml:space="preserve">        150K           163K            81K</t>
  </si>
  <si>
    <t>express</t>
  </si>
  <si>
    <t>5,545,417</t>
  </si>
  <si>
    <t>23.10.2024 18:58:38</t>
  </si>
  <si>
    <t>95H2EDxSvP2AFP7kHtu1BPRH1MHmnxrSTpz71Xcopump</t>
  </si>
  <si>
    <t>8,808,587</t>
  </si>
  <si>
    <t>23.10.2024 18:36:55</t>
  </si>
  <si>
    <t xml:space="preserve">        102K            98K             7K</t>
  </si>
  <si>
    <t>362,747</t>
  </si>
  <si>
    <t>23.10.2024 17:57:39</t>
  </si>
  <si>
    <t xml:space="preserve">          2M             6M            35K</t>
  </si>
  <si>
    <t>2,226,377</t>
  </si>
  <si>
    <t>23.10.2024 17:36:29</t>
  </si>
  <si>
    <t xml:space="preserve">        395K           395K            14K</t>
  </si>
  <si>
    <t>1,971,473</t>
  </si>
  <si>
    <t>23.10.2024 17:19:38</t>
  </si>
  <si>
    <t xml:space="preserve">         89K            89K             5K</t>
  </si>
  <si>
    <t>2,528,024</t>
  </si>
  <si>
    <t>23.10.2024 14:22:21</t>
  </si>
  <si>
    <t>HORSE</t>
  </si>
  <si>
    <t>-1.046 SOL</t>
  </si>
  <si>
    <t>4,229,475</t>
  </si>
  <si>
    <t>23.10.2024 05:46:09</t>
  </si>
  <si>
    <t>9a1eFxKPBzK5Nh28ArSi3TjoQE9VJnBALWccwRoJpump</t>
  </si>
  <si>
    <t>donut</t>
  </si>
  <si>
    <t>6,394,667</t>
  </si>
  <si>
    <t>23.10.2024 05:00:17</t>
  </si>
  <si>
    <t xml:space="preserve">         83K            83K           103K</t>
  </si>
  <si>
    <t>DQ8C36Zbjqk1q2E89thZa8mJXbP3DnMP45Mu87J7pump</t>
  </si>
  <si>
    <t>2,154,219</t>
  </si>
  <si>
    <t>23.10.2024 00:04:20</t>
  </si>
  <si>
    <t xml:space="preserve">        658K           444K            21K</t>
  </si>
  <si>
    <t>Aella</t>
  </si>
  <si>
    <t>7,715,411</t>
  </si>
  <si>
    <t>22.10.2024 23:30:03</t>
  </si>
  <si>
    <t>7BAQnH4CRnL8Jrd3zGa944LW5YT5R9TE3dx1FHkfpump</t>
  </si>
  <si>
    <t>8,560,512</t>
  </si>
  <si>
    <t>22.10.2024 23:22:05</t>
  </si>
  <si>
    <t xml:space="preserve">        109K            93K             4K</t>
  </si>
  <si>
    <t>Stepmom</t>
  </si>
  <si>
    <t>30,114,987</t>
  </si>
  <si>
    <t>22.10.2024 21:41:01</t>
  </si>
  <si>
    <t xml:space="preserve">         40K            32K            12K</t>
  </si>
  <si>
    <t>HaYFERJX3TwcFAJpQxNy3mwjctU3oSQB5gcP4ZWq3mSn</t>
  </si>
  <si>
    <t>SMILE</t>
  </si>
  <si>
    <t>2.915 SOL</t>
  </si>
  <si>
    <t>-2.85%</t>
  </si>
  <si>
    <t>22.10.2024 20:43:10</t>
  </si>
  <si>
    <t xml:space="preserve">        723K           702K             5K</t>
  </si>
  <si>
    <t>8dwEGohqpP4p6bXdyNRswgQQ85PX8ueNEoETz5sSpump</t>
  </si>
  <si>
    <t>4,856,112</t>
  </si>
  <si>
    <t>22.10.2024 17:13:02</t>
  </si>
  <si>
    <t xml:space="preserve">        144K           144K             4K</t>
  </si>
  <si>
    <t>AQwXd59Nayk1FqWHLQoMxJRbLC9Cikd9d9sb36qXpump</t>
  </si>
  <si>
    <t>ZIPPY</t>
  </si>
  <si>
    <t>4,176,970</t>
  </si>
  <si>
    <t>22.10.2024 16:28:44</t>
  </si>
  <si>
    <t>AnEGqHFgSy2DRzmRGNYZTvQPhaM2TBKLqHUgQktBpump</t>
  </si>
  <si>
    <t>3,196,063</t>
  </si>
  <si>
    <t>22.10.2024 16:20:13</t>
  </si>
  <si>
    <t xml:space="preserve">        111K           111K           420K</t>
  </si>
  <si>
    <t>ROHMO</t>
  </si>
  <si>
    <t>13,321,314</t>
  </si>
  <si>
    <t>22.10.2024 16:09:10</t>
  </si>
  <si>
    <t>iNMddxzi4oEkSgGUDsL76nmkge2MsoNMqtgAmazpump</t>
  </si>
  <si>
    <t>13,806,452</t>
  </si>
  <si>
    <t>22.10.2024 16:05:15</t>
  </si>
  <si>
    <t>AoeDs19YMRFDKx2jLAtj4Fu4YyAD8mku33epp8LRpump</t>
  </si>
  <si>
    <t>4,200,571</t>
  </si>
  <si>
    <t>22.10.2024 00:36:23</t>
  </si>
  <si>
    <t>7,254,451</t>
  </si>
  <si>
    <t>21.10.2024 23:31:53</t>
  </si>
  <si>
    <t xml:space="preserve">        313K           318K            36K</t>
  </si>
  <si>
    <t>3,674,616</t>
  </si>
  <si>
    <t>21.10.2024 20:30:31</t>
  </si>
  <si>
    <t xml:space="preserve">        239K           239K            20K</t>
  </si>
  <si>
    <t>P5JS</t>
  </si>
  <si>
    <t>243,772</t>
  </si>
  <si>
    <t>21.10.2024 16:31:48</t>
  </si>
  <si>
    <t>98JbJ8zzca8nwsM3Z9Ex1Fz6zNAbpp3LM5vA8Tqrpump</t>
  </si>
  <si>
    <t>CIMON</t>
  </si>
  <si>
    <t>12,402,650</t>
  </si>
  <si>
    <t>21.10.2024 16:24:04</t>
  </si>
  <si>
    <t xml:space="preserve">        288K            70K             5K</t>
  </si>
  <si>
    <t>Dfi9wKAzomtmcqV8PoKEWMgtyiA4mbpu5xCWGLrhpump</t>
  </si>
  <si>
    <t>4,565,907</t>
  </si>
  <si>
    <t>21.10.2024 16:15:58</t>
  </si>
  <si>
    <t xml:space="preserve">        374K           476K            26K</t>
  </si>
  <si>
    <t>257,085</t>
  </si>
  <si>
    <t>21.10.2024 16:04:37</t>
  </si>
  <si>
    <t xml:space="preserve">          3M             3M            43K</t>
  </si>
  <si>
    <t>save</t>
  </si>
  <si>
    <t>26,468,141</t>
  </si>
  <si>
    <t>21.10.2024 15:54:26</t>
  </si>
  <si>
    <t>Hiz5YNZFudg6g5VvDYCfUHoCspKVbXfXFwSGfuWVpump</t>
  </si>
  <si>
    <t>loki</t>
  </si>
  <si>
    <t>13,180,827</t>
  </si>
  <si>
    <t>21.10.2024 05:36:04</t>
  </si>
  <si>
    <t>HBgd18cv3HpcCUXU2A5Cav9hVd6t7k9miaSKnrJdpump</t>
  </si>
  <si>
    <t>3,206,066</t>
  </si>
  <si>
    <t>21.10.2024 05:16:20</t>
  </si>
  <si>
    <t xml:space="preserve">        109K           109K            12K</t>
  </si>
  <si>
    <t>kino</t>
  </si>
  <si>
    <t>22,767,444</t>
  </si>
  <si>
    <t>21.10.2024 05:02:57</t>
  </si>
  <si>
    <t xml:space="preserve">         16K            16K            23K</t>
  </si>
  <si>
    <t>FYC5nxJ75GTU4Bq1SGtzfa3XB2MsbxrfAqYtZt8kpump</t>
  </si>
  <si>
    <t>Prime</t>
  </si>
  <si>
    <t>8,553,055</t>
  </si>
  <si>
    <t>21.10.2024 02:28:04</t>
  </si>
  <si>
    <t xml:space="preserve">        198K           216K             9K</t>
  </si>
  <si>
    <t>EkzxmLhvHx7mLDvbWgRGFrHQDNRmpTbHE4EsA5Uupump</t>
  </si>
  <si>
    <t>1,187,064</t>
  </si>
  <si>
    <t>21.10.2024 02:16:36</t>
  </si>
  <si>
    <t xml:space="preserve">        162K           162K           816K</t>
  </si>
  <si>
    <t>3,077,678</t>
  </si>
  <si>
    <t>21.10.2024 02:05:54</t>
  </si>
  <si>
    <t xml:space="preserve">        114K           114K             6K</t>
  </si>
  <si>
    <t>2.069 SOL</t>
  </si>
  <si>
    <t>-2.069 SOL</t>
  </si>
  <si>
    <t>7,837,971</t>
  </si>
  <si>
    <t>21.10.2024 01:06:48</t>
  </si>
  <si>
    <t>FqYh5Fns3hDkxbCFuzxgBz2Dso5bo5Q8ykCveXzZpump</t>
  </si>
  <si>
    <t>Chublon</t>
  </si>
  <si>
    <t>18,098,382</t>
  </si>
  <si>
    <t>21.10.2024 00:41:12</t>
  </si>
  <si>
    <t xml:space="preserve">         19K            19K            16K</t>
  </si>
  <si>
    <t>AD8NyaTRc1HtvSTrfLKxbgBrMSY4o2rLCPL3xTMSq6NY</t>
  </si>
  <si>
    <t xml:space="preserve">Penia </t>
  </si>
  <si>
    <t>4,540,232</t>
  </si>
  <si>
    <t>20.10.2024 23:57:24</t>
  </si>
  <si>
    <t xml:space="preserve">         39K            39K            12K</t>
  </si>
  <si>
    <t>6QWTF7nbZaLWd63WpRkigEgJ6bHrTHtoXGy2zjsqpump</t>
  </si>
  <si>
    <t>US</t>
  </si>
  <si>
    <t>5,962,320</t>
  </si>
  <si>
    <t>20.10.2024 22:26:30</t>
  </si>
  <si>
    <t xml:space="preserve">        111K           126K             4K</t>
  </si>
  <si>
    <t>BbbYo2naPz4xR9EJsLCwF5XpVWg9pTs3wwMbg1Kcpump</t>
  </si>
  <si>
    <t>6,445,363</t>
  </si>
  <si>
    <t>20.10.2024 22:09:08</t>
  </si>
  <si>
    <t>3,485,950</t>
  </si>
  <si>
    <t>20.10.2024 20:09:38</t>
  </si>
  <si>
    <t xml:space="preserve">        251K           251K            36K</t>
  </si>
  <si>
    <t>248,741</t>
  </si>
  <si>
    <t>20.10.2024 18:47:28</t>
  </si>
  <si>
    <t>CORRA</t>
  </si>
  <si>
    <t>6,885,143</t>
  </si>
  <si>
    <t>20.10.2024 18:31:55</t>
  </si>
  <si>
    <t xml:space="preserve">         26K            26K             9K</t>
  </si>
  <si>
    <t>CDA3CFpoJgyu8Zg4UV94G8nXeveGTHaSyquaK34fpump</t>
  </si>
  <si>
    <t>582,632</t>
  </si>
  <si>
    <t>20.10.2024 11:05:16</t>
  </si>
  <si>
    <t xml:space="preserve">        602K           602K           138K</t>
  </si>
  <si>
    <t>REN</t>
  </si>
  <si>
    <t>4.379 SOL</t>
  </si>
  <si>
    <t>-4.379 SOL</t>
  </si>
  <si>
    <t>21,924,812</t>
  </si>
  <si>
    <t>20.10.2024 11:03:11</t>
  </si>
  <si>
    <t xml:space="preserve">         63K            33K            14K</t>
  </si>
  <si>
    <t>H2zb37x5nyW1yeCzVn2RecQFCdt8JK9ZioxqSNsFpump</t>
  </si>
  <si>
    <t>MIKU</t>
  </si>
  <si>
    <t>6,926,003</t>
  </si>
  <si>
    <t>20.10.2024 05:30:14</t>
  </si>
  <si>
    <t xml:space="preserve">        102K            92K             7K</t>
  </si>
  <si>
    <t>fczy4cBWZ5FD5vc7rEaVDDseCtf9m64t3rrax7Lpump</t>
  </si>
  <si>
    <t>16.213 SOL</t>
  </si>
  <si>
    <t>14.212 SOL</t>
  </si>
  <si>
    <t>710.23%</t>
  </si>
  <si>
    <t>20.10.2024 04:04:55</t>
  </si>
  <si>
    <t xml:space="preserve">        281K           281K             4M</t>
  </si>
  <si>
    <t>185,575</t>
  </si>
  <si>
    <t>20.10.2024 03:58:04</t>
  </si>
  <si>
    <t>raw</t>
  </si>
  <si>
    <t>4,578,130</t>
  </si>
  <si>
    <t>20.10.2024 03:52:26</t>
  </si>
  <si>
    <t>tQFfHADz2FqHmr7axYiDiYKTyprmzh15vG1mdQ2pump</t>
  </si>
  <si>
    <t>LAM</t>
  </si>
  <si>
    <t>17,268,236</t>
  </si>
  <si>
    <t>20.10.2024 01:56:05</t>
  </si>
  <si>
    <t>6G7eLC9sxoBpFxdvKTYY5VcogJwtYBBRq88iSWxmpump</t>
  </si>
  <si>
    <t>CYBERIA</t>
  </si>
  <si>
    <t>4,087,680</t>
  </si>
  <si>
    <t>20.10.2024 01:08:36</t>
  </si>
  <si>
    <t xml:space="preserve">        128K           128K             7K</t>
  </si>
  <si>
    <t>f4NMCNnGR7qiCxDfGgFoXp6B4JFTHsHVn7eDYJ9pump</t>
  </si>
  <si>
    <t>4,137,667</t>
  </si>
  <si>
    <t>20.10.2024 00:54:16</t>
  </si>
  <si>
    <t>HUMAN</t>
  </si>
  <si>
    <t>2,065,875</t>
  </si>
  <si>
    <t>20.10.2024 00:24:36</t>
  </si>
  <si>
    <t>BJWyKVWrBxdwmn9vPP7HndJTQa31BtSYX6fXivTJpump</t>
  </si>
  <si>
    <t>1,011,372</t>
  </si>
  <si>
    <t>19.10.2024 23:51:15</t>
  </si>
  <si>
    <t xml:space="preserve">        348K           348K            15K</t>
  </si>
  <si>
    <t>146.452 SOL</t>
  </si>
  <si>
    <t>143.450 SOL</t>
  </si>
  <si>
    <t>4779.21%</t>
  </si>
  <si>
    <t>19.10.2024 21:54:36</t>
  </si>
  <si>
    <t xml:space="preserve">         43K             2M           889K</t>
  </si>
  <si>
    <t>-24.000 SOL</t>
  </si>
  <si>
    <t>11,171,678</t>
  </si>
  <si>
    <t>19.10.2024 20:00:14</t>
  </si>
  <si>
    <t xml:space="preserve">        460K           163K            37K</t>
  </si>
  <si>
    <t>ESheep</t>
  </si>
  <si>
    <t>2.073 SOL</t>
  </si>
  <si>
    <t>-2.073 SOL</t>
  </si>
  <si>
    <t>10,754,167</t>
  </si>
  <si>
    <t>19.10.2024 17:56:33</t>
  </si>
  <si>
    <t>87FFrD6vqfxBhjP19z2bT186iFjHrGBuYL41w8E7pump</t>
  </si>
  <si>
    <t>457,097</t>
  </si>
  <si>
    <t>19.10.2024 17:42:16</t>
  </si>
  <si>
    <t>aitism</t>
  </si>
  <si>
    <t>2,439,783</t>
  </si>
  <si>
    <t>19.10.2024 17:14:44</t>
  </si>
  <si>
    <t xml:space="preserve">        144K           144K             9K</t>
  </si>
  <si>
    <t>7EqfS5kHGj3mLiBaFZ2B91GccdKoUcBQvLmqkaKjpump</t>
  </si>
  <si>
    <t>6,921,256</t>
  </si>
  <si>
    <t>19.10.2024 16:33:58</t>
  </si>
  <si>
    <t>6hS6Lfu1tbQxFmZaG8vqpuFrj8Tk4Q75mW8sSR5wpump</t>
  </si>
  <si>
    <t>16,738,920</t>
  </si>
  <si>
    <t>19.10.2024 16:13:51</t>
  </si>
  <si>
    <t>D9eWcgTRHapeTp6Ze2GUcfGe49N4Cyy9YkcR87mkpump</t>
  </si>
  <si>
    <t>1,551,617</t>
  </si>
  <si>
    <t>19.10.2024 05:14:39</t>
  </si>
  <si>
    <t xml:space="preserve">        226K           226K             4K</t>
  </si>
  <si>
    <t>B9E6jadTVWE7NonxaSvJEnZnT5RABZpv2iLGUoCepump</t>
  </si>
  <si>
    <t>1,746,459</t>
  </si>
  <si>
    <t>19.10.2024 04:47:35</t>
  </si>
  <si>
    <t>GvKeVuawSzGiPkkZnQA34M2w5mkQNANJstxjaQvaGZ8a</t>
  </si>
  <si>
    <t>256,177</t>
  </si>
  <si>
    <t>19.10.2024 04:24:31</t>
  </si>
  <si>
    <t>HERO</t>
  </si>
  <si>
    <t>8,654,386</t>
  </si>
  <si>
    <t>19.10.2024 02:41:49</t>
  </si>
  <si>
    <t>2F9hMcShUSVaocwWmVJc7CemnXwajP3czFJv2Mhjpump</t>
  </si>
  <si>
    <t>450,967</t>
  </si>
  <si>
    <t>18.10.2024 23:53:31</t>
  </si>
  <si>
    <t xml:space="preserve">        778K           778K            28K</t>
  </si>
  <si>
    <t>Fent</t>
  </si>
  <si>
    <t>6,176,274</t>
  </si>
  <si>
    <t>18.10.2024 22:24:50</t>
  </si>
  <si>
    <t>AWV9HTCZqGh54JgdVmetSkXA2tMNXgBAKoxA2snkpump</t>
  </si>
  <si>
    <t>11,383,908</t>
  </si>
  <si>
    <t>18.10.2024 21:39:57</t>
  </si>
  <si>
    <t xml:space="preserve">         26K            26K            13K</t>
  </si>
  <si>
    <t>1,620,142</t>
  </si>
  <si>
    <t>18.10.2024 21:29:57</t>
  </si>
  <si>
    <t xml:space="preserve">        109K           109K             6K</t>
  </si>
  <si>
    <t>FKFSSSk6mPQQCSt4S71m5temXzE8K2sLby7WKWsypump</t>
  </si>
  <si>
    <t>5,948,494</t>
  </si>
  <si>
    <t>18.10.2024 20:57:40</t>
  </si>
  <si>
    <t>4Tx58YQDTePfuf26MQwxrE61ovAXZm2DkQNwoGjxpump</t>
  </si>
  <si>
    <t>24,471,991</t>
  </si>
  <si>
    <t>18.10.2024 19:38:16</t>
  </si>
  <si>
    <t>7trb6ShUrYxCfmZdBUwtzUthB7853jR5qFxjH6kLpump</t>
  </si>
  <si>
    <t>2,454,099</t>
  </si>
  <si>
    <t>18.10.2024 19:36:43</t>
  </si>
  <si>
    <t xml:space="preserve">          2M           383K           417K</t>
  </si>
  <si>
    <t>3,096,670</t>
  </si>
  <si>
    <t>18.10.2024 19:21:22</t>
  </si>
  <si>
    <t xml:space="preserve">        114K           114K            11K</t>
  </si>
  <si>
    <t>FARTNANNY</t>
  </si>
  <si>
    <t>-2.066 SOL</t>
  </si>
  <si>
    <t>14,262,319</t>
  </si>
  <si>
    <t>18.10.2024 19:13:50</t>
  </si>
  <si>
    <t>6oL9WTnJ4p7XUruL5UCXyvFGeHZr2JwygdruEdW9pump</t>
  </si>
  <si>
    <t>COW</t>
  </si>
  <si>
    <t>10,958,888</t>
  </si>
  <si>
    <t>18.10.2024 18:02:35</t>
  </si>
  <si>
    <t xml:space="preserve">         36K            36K             6K</t>
  </si>
  <si>
    <t>8pGX4L6vqTEBR58xdqaMswkVVPXbGLAoZ7Y68J1ZdsqC</t>
  </si>
  <si>
    <t>Mai</t>
  </si>
  <si>
    <t>4.053 SOL</t>
  </si>
  <si>
    <t>-4.053 SOL</t>
  </si>
  <si>
    <t>16,371,695</t>
  </si>
  <si>
    <t>18.10.2024 17:55:39</t>
  </si>
  <si>
    <t>9Y7PxRMohMzzQ1Vg4UJMGdXsRDHLSrt7oyBJtwF3jVci</t>
  </si>
  <si>
    <t>BVD</t>
  </si>
  <si>
    <t>22,983,725</t>
  </si>
  <si>
    <t>18.10.2024 03:34:52</t>
  </si>
  <si>
    <t>Atyo6gYvHVTkePZsXXn7248hkHUteu1swtr2VDzspump</t>
  </si>
  <si>
    <t>8,918,806</t>
  </si>
  <si>
    <t>17.10.2024 21:28:03</t>
  </si>
  <si>
    <t xml:space="preserve">         79K           235K             7K</t>
  </si>
  <si>
    <t>16,468,494</t>
  </si>
  <si>
    <t>17.10.2024 20:57:03</t>
  </si>
  <si>
    <t xml:space="preserve">         51K            56K             3K</t>
  </si>
  <si>
    <t>ICK</t>
  </si>
  <si>
    <t>6,913,794</t>
  </si>
  <si>
    <t>16.10.2024 22:55:06</t>
  </si>
  <si>
    <t xml:space="preserve">         51K            51K             7K</t>
  </si>
  <si>
    <t>AqYqcTgKqPVaMMjK9niKR4C5gLgU3RuNs5FHDQahpump</t>
  </si>
  <si>
    <t>-12.000 SOL</t>
  </si>
  <si>
    <t>17,678,598</t>
  </si>
  <si>
    <t>16.10.2024 20:17:07</t>
  </si>
  <si>
    <t xml:space="preserve">        207K            93K             6K</t>
  </si>
  <si>
    <t>-1.845 SOL</t>
  </si>
  <si>
    <t>34,670,156</t>
  </si>
  <si>
    <t>16.10.2024 18:40:33</t>
  </si>
  <si>
    <t>CwRp7vowzLqhmKEaSAhRfqatjeHRYv5pQBT3b3BQeuvj</t>
  </si>
  <si>
    <t>841,197</t>
  </si>
  <si>
    <t>16.10.2024 15:53:36</t>
  </si>
  <si>
    <t xml:space="preserve">        418K           418K           652K</t>
  </si>
  <si>
    <t>BAMBE</t>
  </si>
  <si>
    <t>16,669,268</t>
  </si>
  <si>
    <t>16.10.2024 15:41:12</t>
  </si>
  <si>
    <t xml:space="preserve">         26K            28K            13K</t>
  </si>
  <si>
    <t>5Ys8twKWfC9aFodKRHnHLCQhzzu9DEN5ZUzdrFekFgcK</t>
  </si>
  <si>
    <t>732,678,770</t>
  </si>
  <si>
    <t>16.10.2024 15:19:14</t>
  </si>
  <si>
    <t>DONKEH</t>
  </si>
  <si>
    <t>13,890,411</t>
  </si>
  <si>
    <t>16.10.2024 15:13:50</t>
  </si>
  <si>
    <t xml:space="preserve">         63K            63K            41K</t>
  </si>
  <si>
    <t>7HRFfxJdgQJTYghgve416fqDRVXUEJ72pbuF9bPBPXbA</t>
  </si>
  <si>
    <t>10,034,776</t>
  </si>
  <si>
    <t>16.10.2024 15:03:41</t>
  </si>
  <si>
    <t>4ANWddp8hUV2MUD8uDdRaMPLXg68kayLpLGDbinit7QF</t>
  </si>
  <si>
    <t>0.98 SOL</t>
  </si>
  <si>
    <t>4.42%</t>
  </si>
  <si>
    <t>15.0%</t>
  </si>
  <si>
    <t>18.5K</t>
  </si>
  <si>
    <t>19.08%</t>
  </si>
  <si>
    <t>27.10.2024 18:46:43</t>
  </si>
  <si>
    <t xml:space="preserve">         21K            42K           253K</t>
  </si>
  <si>
    <t>Awkward</t>
  </si>
  <si>
    <t>26.10.2024 02:40:23</t>
  </si>
  <si>
    <t>GmnhdjaVZbgzjyYXEGGUawMrb1oS9V6WAtE9bxCZpump</t>
  </si>
  <si>
    <t>Ĥ ψ</t>
  </si>
  <si>
    <t>-99.54%</t>
  </si>
  <si>
    <t>26.10.2024 02:07:03</t>
  </si>
  <si>
    <t>B9Q4oasDcXG2d4G56ABD9W7Ydy74rJXmRrMpYv6pump</t>
  </si>
  <si>
    <t>Jona</t>
  </si>
  <si>
    <t>-99.45%</t>
  </si>
  <si>
    <t>25.10.2024 19:26:42</t>
  </si>
  <si>
    <t>SqFAShm8xxsLdsAaWGCCxTQVgRhNVECigvnd6xLpump</t>
  </si>
  <si>
    <t>19.10%</t>
  </si>
  <si>
    <t>25.10.2024 17:54:23</t>
  </si>
  <si>
    <t xml:space="preserve">         93K           112K            35K</t>
  </si>
  <si>
    <t>LORD</t>
  </si>
  <si>
    <t>-17.59%</t>
  </si>
  <si>
    <t>25.10.2024 17:30:10</t>
  </si>
  <si>
    <t>4322EXTSqgXpg4tbMH9sZmEihria25jdwRd8M3TWpump</t>
  </si>
  <si>
    <t>GOATDOG</t>
  </si>
  <si>
    <t>-31.89%</t>
  </si>
  <si>
    <t>25.10.2024 17:24:24</t>
  </si>
  <si>
    <t xml:space="preserve">          4K             9K             4K</t>
  </si>
  <si>
    <t>GCjshceavPuhS2SL9iN1ePVSuPJ29jtuNSgrrUUGpump</t>
  </si>
  <si>
    <t>50.59%</t>
  </si>
  <si>
    <t>19.10.2024 03:43:21</t>
  </si>
  <si>
    <t>211,388</t>
  </si>
  <si>
    <t>16.10.2024 23:57:22</t>
  </si>
  <si>
    <t>125,832</t>
  </si>
  <si>
    <t>16.10.2024 03:48:49</t>
  </si>
  <si>
    <t>Moo krob</t>
  </si>
  <si>
    <t>35.36%</t>
  </si>
  <si>
    <t>16.10.2024 03:43:29</t>
  </si>
  <si>
    <t xml:space="preserve">         46K            53K            13K</t>
  </si>
  <si>
    <t>DMTvMH4xa4ALhWtcxSR4jAeWByGQymBQRHXyyELRpump</t>
  </si>
  <si>
    <t>478,652</t>
  </si>
  <si>
    <t>15.10.2024 15:18:28</t>
  </si>
  <si>
    <t>403.94%</t>
  </si>
  <si>
    <t>14.10.2024 22:14:28</t>
  </si>
  <si>
    <t xml:space="preserve">         16K            76K            28K</t>
  </si>
  <si>
    <t>249,734</t>
  </si>
  <si>
    <t>14.10.2024 20:09:48</t>
  </si>
  <si>
    <t xml:space="preserve">         10K            10K             2B</t>
  </si>
  <si>
    <t>Es9vMFrzaCERmJfrF4H2FYD4KCoNkY11McCe8BenwNYB</t>
  </si>
  <si>
    <t>219.04%</t>
  </si>
  <si>
    <t>14.10.2024 04:15:10</t>
  </si>
  <si>
    <t xml:space="preserve">         19K            60K           127K</t>
  </si>
  <si>
    <t>maxfap</t>
  </si>
  <si>
    <t>-99.41%</t>
  </si>
  <si>
    <t>14.10.2024 00:12:10</t>
  </si>
  <si>
    <t>9oj65MaMBdxkStY8DVhnGwaJGucoH9V7LxnoKxcupump</t>
  </si>
  <si>
    <t>0.765 SOL</t>
  </si>
  <si>
    <t>0.664 SOL</t>
  </si>
  <si>
    <t>659.83%</t>
  </si>
  <si>
    <t>13.10.2024 16:53:42</t>
  </si>
  <si>
    <t xml:space="preserve">         51K           317K           101K</t>
  </si>
  <si>
    <t>🐬</t>
  </si>
  <si>
    <t>43.33%</t>
  </si>
  <si>
    <t>11.10.2024 17:33:17</t>
  </si>
  <si>
    <t xml:space="preserve">         28K            28K            27K</t>
  </si>
  <si>
    <t>GK9Lx5CNmcUJLUoK5XEdJow1uWQg4gkBnU9JYwG9pump</t>
  </si>
  <si>
    <t>ROGI</t>
  </si>
  <si>
    <t>32.26%</t>
  </si>
  <si>
    <t>10.10.2024 14:55:49</t>
  </si>
  <si>
    <t xml:space="preserve">        176K           191K            38K</t>
  </si>
  <si>
    <t>E1Bke3PvckrEBPh1QjioDMXcy2vdsUCQuDfqw4p5pump</t>
  </si>
  <si>
    <t>Skrumpey</t>
  </si>
  <si>
    <t>38.17%</t>
  </si>
  <si>
    <t>09.10.2024 00:29:17</t>
  </si>
  <si>
    <t xml:space="preserve">         49K            68K             5K</t>
  </si>
  <si>
    <t>9L2Ypo1p31hLHVvB9xwovBtPMcGJf7dx5gch5wCupump</t>
  </si>
  <si>
    <t>D5ZZVQCLWYJcFPoYinPMnGixJxV1om1HohfcaXbQq3cG</t>
  </si>
  <si>
    <t>70.22 SOL</t>
  </si>
  <si>
    <t>92%</t>
  </si>
  <si>
    <t>60.59 SOL</t>
  </si>
  <si>
    <t>25 (14%)</t>
  </si>
  <si>
    <t>26 days</t>
  </si>
  <si>
    <t>-3.90%</t>
  </si>
  <si>
    <t>38.6%</t>
  </si>
  <si>
    <t>47.5 SOL</t>
  </si>
  <si>
    <t>18.0 SOL</t>
  </si>
  <si>
    <t>3.0 SOL</t>
  </si>
  <si>
    <t>-7.0 SOL</t>
  </si>
  <si>
    <t>46</t>
  </si>
  <si>
    <t>44.5K</t>
  </si>
  <si>
    <t>THINGS</t>
  </si>
  <si>
    <t>722,738</t>
  </si>
  <si>
    <t>30.10.2024 20:04:54</t>
  </si>
  <si>
    <t xml:space="preserve">         17K            17K             7K</t>
  </si>
  <si>
    <t>HCYi2UYSAJ5QCdz6mcapmp6H3DVTU8iyhbxW5U4xS8NE</t>
  </si>
  <si>
    <t>CoRL</t>
  </si>
  <si>
    <t>0.006210</t>
  </si>
  <si>
    <t>0.692 SOL</t>
  </si>
  <si>
    <t>17.19%</t>
  </si>
  <si>
    <t>30.10.2024 18:49:11</t>
  </si>
  <si>
    <t>6zthUPvrG82dq8SnF7TAZgBm2Z9KTC7HGjoLqeR9pump</t>
  </si>
  <si>
    <t>-70.09%</t>
  </si>
  <si>
    <t>30.10.2024 09:37:08</t>
  </si>
  <si>
    <t xml:space="preserve">        262K           262K            40K</t>
  </si>
  <si>
    <t>30.10.2024 09:36:51</t>
  </si>
  <si>
    <t>2r2PfRef7jWPYJLyT5nZ8wwmXAo67VfCWaJCDf9spump</t>
  </si>
  <si>
    <t>$VAT</t>
  </si>
  <si>
    <t>0.001070</t>
  </si>
  <si>
    <t>11.99%</t>
  </si>
  <si>
    <t>30.10.2024 05:43:31</t>
  </si>
  <si>
    <t xml:space="preserve">         37K            91K             7K</t>
  </si>
  <si>
    <t>FjYgAsYkdPM9Z14i32o7uAiJm3PqXqaCfDVsKQZTpump</t>
  </si>
  <si>
    <t>-17.60%</t>
  </si>
  <si>
    <t>29.10.2024 20:04:11</t>
  </si>
  <si>
    <t xml:space="preserve">         28K            23K             5K</t>
  </si>
  <si>
    <t>3LreX7x5Tt7H9VcypwVjHJJ22yozgforSk5MtjoYgAEt</t>
  </si>
  <si>
    <t>Meta</t>
  </si>
  <si>
    <t>0.005470</t>
  </si>
  <si>
    <t>3.33%</t>
  </si>
  <si>
    <t>29.10.2024 19:56:33</t>
  </si>
  <si>
    <t>9owhD5tUKSk3cMtzSmTBrVnNY5cewvs8FqkHNtDjpump</t>
  </si>
  <si>
    <t>10.25%</t>
  </si>
  <si>
    <t>29.10.2024 18:05:45</t>
  </si>
  <si>
    <t xml:space="preserve">        133K           149K            42K</t>
  </si>
  <si>
    <t>29.10.2024 17:40:47</t>
  </si>
  <si>
    <t xml:space="preserve">         33K            35K             4K</t>
  </si>
  <si>
    <t>e/monk</t>
  </si>
  <si>
    <t>-64.53%</t>
  </si>
  <si>
    <t>29.10.2024 07:48:52</t>
  </si>
  <si>
    <t xml:space="preserve">         51K            51K            12K</t>
  </si>
  <si>
    <t>C8NYBumh8XaCVRg3oGEzVqHk6gUipgjbTEQ93HXopump</t>
  </si>
  <si>
    <t>LUCERDIO</t>
  </si>
  <si>
    <t>0.015460</t>
  </si>
  <si>
    <t>-79.23%</t>
  </si>
  <si>
    <t>28.10.2024 19:57:45</t>
  </si>
  <si>
    <t xml:space="preserve">         63K            14K             4K</t>
  </si>
  <si>
    <t>BiTY1AwEdZqq3Jru6zFyVjp7qsA3okqnyuTEkkJMpump</t>
  </si>
  <si>
    <t>KILO</t>
  </si>
  <si>
    <t>28.10.2024 19:35:16</t>
  </si>
  <si>
    <t>3HnuaUhWLstagPZM9nR1dmhmGPeJxmmqz4VNUHVkpump</t>
  </si>
  <si>
    <t>-8.93%</t>
  </si>
  <si>
    <t>28.10.2024 19:13:28</t>
  </si>
  <si>
    <t xml:space="preserve">         32K            28K            29K</t>
  </si>
  <si>
    <t>Apple AI</t>
  </si>
  <si>
    <t>-37.14%</t>
  </si>
  <si>
    <t>28.10.2024 18:59:55</t>
  </si>
  <si>
    <t>FSbaYcPkhr7hZFNH1um7UxDUVByDkvq8r75yXekspump</t>
  </si>
  <si>
    <t>3.97%</t>
  </si>
  <si>
    <t>28.10.2024 16:19:50</t>
  </si>
  <si>
    <t>2W5HCkA5yEJLD16fsPsjgLzZxHn8Bemr9Yk51EsUidPk</t>
  </si>
  <si>
    <t>IBM</t>
  </si>
  <si>
    <t>-13.59%</t>
  </si>
  <si>
    <t>27.10.2024 22:49:42</t>
  </si>
  <si>
    <t xml:space="preserve">          8K             7K             5K</t>
  </si>
  <si>
    <t>6pND53RSQqB7mEJW8cBkJq3UJL8GEBjo689Wyqfppump</t>
  </si>
  <si>
    <t>0.062290</t>
  </si>
  <si>
    <t>118.22%</t>
  </si>
  <si>
    <t>27.10.2024 22:48:08</t>
  </si>
  <si>
    <t xml:space="preserve">        151K           335K            12K</t>
  </si>
  <si>
    <t>TATETANIC</t>
  </si>
  <si>
    <t>0.288 SOL</t>
  </si>
  <si>
    <t>-27.76%</t>
  </si>
  <si>
    <t>27.10.2024 22:00:40</t>
  </si>
  <si>
    <t xml:space="preserve">         49K            33K            49K</t>
  </si>
  <si>
    <t>BGpagh9pKjWCxuZHte4eC4y5TVAa7AZ8unVUaACMG9ZS</t>
  </si>
  <si>
    <t>0.016830</t>
  </si>
  <si>
    <t>314.93%</t>
  </si>
  <si>
    <t>27.10.2024 21:21:00</t>
  </si>
  <si>
    <t xml:space="preserve">         49K           364K           175K</t>
  </si>
  <si>
    <t>27.10.2024 21:20:39</t>
  </si>
  <si>
    <t xml:space="preserve">        474K           899K           659K</t>
  </si>
  <si>
    <t>TIMMY</t>
  </si>
  <si>
    <t>-13.47%</t>
  </si>
  <si>
    <t>27.10.2024 00:35:47</t>
  </si>
  <si>
    <t>DZw5sP9sKaYw7b7Qtj74qLmEidw3rBBxnsiTJbPMpump</t>
  </si>
  <si>
    <t>TOOMUCH</t>
  </si>
  <si>
    <t>-74.96%</t>
  </si>
  <si>
    <t>27.10.2024 00:29:28</t>
  </si>
  <si>
    <t>EoANnf7Y4ESWYMUP7347N8RTVjeXL2DUeuDCwKxJpump</t>
  </si>
  <si>
    <t>minecraft</t>
  </si>
  <si>
    <t>1.39%</t>
  </si>
  <si>
    <t>26.10.2024 23:39:53</t>
  </si>
  <si>
    <t>36ctZjjAYJ1AFZDX3B5n5AvsKTsuetN3gPB9vNDbpump</t>
  </si>
  <si>
    <t>vrdog</t>
  </si>
  <si>
    <t>-67.62%</t>
  </si>
  <si>
    <t>26.10.2024 23:18:29</t>
  </si>
  <si>
    <t>H3JYLKrtXYGh9o9VxmabkQgbgDao2fLmyQoykyM5pump</t>
  </si>
  <si>
    <t>TNT</t>
  </si>
  <si>
    <t>4.32%</t>
  </si>
  <si>
    <t>26.10.2024 22:23:52</t>
  </si>
  <si>
    <t>8kugrMSq1XXTDeJ1b1GtfUi9J3DZBu1qxzj5zScJ7aM2</t>
  </si>
  <si>
    <t>Herobrine</t>
  </si>
  <si>
    <t>-77.48%</t>
  </si>
  <si>
    <t>26.10.2024 21:29:37</t>
  </si>
  <si>
    <t>EkJcSvtA9ysD23x2hcuQZWoD8ZMHQSZrT8a4p3Fzpump</t>
  </si>
  <si>
    <t>Solcraft</t>
  </si>
  <si>
    <t>26.10.2024 19:53:06</t>
  </si>
  <si>
    <t>9Ygox6RyFtueHUT3uihApDHrf64g7RAHk4ARbMFFpump</t>
  </si>
  <si>
    <t>26.10.2024 18:37:06</t>
  </si>
  <si>
    <t>F8dweQWGrrCWPbDpiLprCum7MoqrtmascmR6Nvc4pump</t>
  </si>
  <si>
    <t>sword</t>
  </si>
  <si>
    <t>26.10.2024 18:32:33</t>
  </si>
  <si>
    <t>BhfmJq2rMKpieEcxi7RYkUdGzW7JZenxMo3X6WJmPJ5w</t>
  </si>
  <si>
    <t>SEND</t>
  </si>
  <si>
    <t>-3.29%</t>
  </si>
  <si>
    <t>26.10.2024 18:31:23</t>
  </si>
  <si>
    <t xml:space="preserve">         88K            86K             6K</t>
  </si>
  <si>
    <t>2dC9FjrKkETwhTKRp8JgNGV3fZFpLxf7J6gjzDKUPnUK</t>
  </si>
  <si>
    <t>EDragon</t>
  </si>
  <si>
    <t>0.031830</t>
  </si>
  <si>
    <t>0.685 SOL</t>
  </si>
  <si>
    <t>26.10.2024 15:22:10</t>
  </si>
  <si>
    <t>6TpTEnNmQ6bKJFD17W7eg5rVd8K8yJHcziky1zUbpump</t>
  </si>
  <si>
    <t>Saidali</t>
  </si>
  <si>
    <t>26.10.2024 12:15:53</t>
  </si>
  <si>
    <t>2URsUBsViebyJSA9kb1so4tHYyDh5p1A4XbWNyejpump</t>
  </si>
  <si>
    <t>-56.57%</t>
  </si>
  <si>
    <t>26.10.2024 02:36:20</t>
  </si>
  <si>
    <t>9iGzyLXaZbTDeexPDcxyZrLYrpxPqGKtEVVNDbiopump</t>
  </si>
  <si>
    <t>FUCKISRAEL</t>
  </si>
  <si>
    <t>0.017740</t>
  </si>
  <si>
    <t>26.10.2024 00:31:32</t>
  </si>
  <si>
    <t>F56f7K8FV9RjaCPRoQ5Q5Dy6SFoDEF52s5uTZCR1pump</t>
  </si>
  <si>
    <t>0.019100</t>
  </si>
  <si>
    <t>0.868 SOL</t>
  </si>
  <si>
    <t>88.31%</t>
  </si>
  <si>
    <t>26.10.2024 00:03:18</t>
  </si>
  <si>
    <t xml:space="preserve">         46K            21K             5K</t>
  </si>
  <si>
    <t>31XZBQWoR9DmbJ38jbXUkgfcxesYDzHCCa9gooL3pump</t>
  </si>
  <si>
    <t>Martin</t>
  </si>
  <si>
    <t>-58.15%</t>
  </si>
  <si>
    <t>25.10.2024 18:50:04</t>
  </si>
  <si>
    <t>BNPuzox3dnyhkJbX8kwscyVZVMZmCGczDgxiuRDcpump</t>
  </si>
  <si>
    <t>PIKAAI</t>
  </si>
  <si>
    <t>-6.43%</t>
  </si>
  <si>
    <t>25.10.2024 16:33:24</t>
  </si>
  <si>
    <t xml:space="preserve">         10K            10K             9K</t>
  </si>
  <si>
    <t>2QW7QcQcp1EMYhzVfSrPH8nyNTKdPznUjB3agRibpump</t>
  </si>
  <si>
    <t>-3.23%</t>
  </si>
  <si>
    <t>25.10.2024 11:39:19</t>
  </si>
  <si>
    <t xml:space="preserve">         97K            97K            76K</t>
  </si>
  <si>
    <t>23.46%</t>
  </si>
  <si>
    <t>25.10.2024 09:22:09</t>
  </si>
  <si>
    <t xml:space="preserve">         86K            86K            95K</t>
  </si>
  <si>
    <t>0.188950</t>
  </si>
  <si>
    <t>0.675 SOL</t>
  </si>
  <si>
    <t>239.16%</t>
  </si>
  <si>
    <t>25.10.2024 08:42:45</t>
  </si>
  <si>
    <t xml:space="preserve">        569K             1M            12K</t>
  </si>
  <si>
    <t>5.17%</t>
  </si>
  <si>
    <t>25.10.2024 08:25:34</t>
  </si>
  <si>
    <t xml:space="preserve">        121K           188K            91K</t>
  </si>
  <si>
    <t>PADMAE</t>
  </si>
  <si>
    <t>313,528</t>
  </si>
  <si>
    <t>25.10.2024 08:17:46</t>
  </si>
  <si>
    <t xml:space="preserve">         70K            70K            23K</t>
  </si>
  <si>
    <t>91oBzETvpZQQR6Qhs43xQVTV4Am6RMQSGDQSiJh4pump</t>
  </si>
  <si>
    <t>TOTO</t>
  </si>
  <si>
    <t>31.47%</t>
  </si>
  <si>
    <t>25.10.2024 08:12:22</t>
  </si>
  <si>
    <t xml:space="preserve">         54K           144K           102K</t>
  </si>
  <si>
    <t>HJkdRUn3qnDSUq2LpFKgTEuoTD1wv5ug59X6PFUFj7oa</t>
  </si>
  <si>
    <t>25.10.2024 08:06:38</t>
  </si>
  <si>
    <t xml:space="preserve">        898K             2M             2M</t>
  </si>
  <si>
    <t>-56.38%</t>
  </si>
  <si>
    <t>25.10.2024 07:26:29</t>
  </si>
  <si>
    <t>G7ffSqzhHbP3FVzVp8iSt1GdwwN91bmuydhDXNvTiVtF</t>
  </si>
  <si>
    <t>0.015920</t>
  </si>
  <si>
    <t>-46.70%</t>
  </si>
  <si>
    <t>25.10.2024 07:25:41</t>
  </si>
  <si>
    <t xml:space="preserve">        926K           782K           114K</t>
  </si>
  <si>
    <t>2.52%</t>
  </si>
  <si>
    <t>25.10.2024 07:25:28</t>
  </si>
  <si>
    <t xml:space="preserve">         16M            19M            16M</t>
  </si>
  <si>
    <t>AN</t>
  </si>
  <si>
    <t>5.15%</t>
  </si>
  <si>
    <t>24.10.2024 19:04:35</t>
  </si>
  <si>
    <t xml:space="preserve">        442K           549K             8K</t>
  </si>
  <si>
    <t>BazV1p9y6EUwCrMjYQVBPiikaunD6eZpfp5kks22pump</t>
  </si>
  <si>
    <t>SMUDGE</t>
  </si>
  <si>
    <t>43.55%</t>
  </si>
  <si>
    <t>24.10.2024 18:01:38</t>
  </si>
  <si>
    <t xml:space="preserve">         12K            30K             9K</t>
  </si>
  <si>
    <t>7e8sgRNUtg9A28c7CNpfhesVv8NRY3AP7YFVcYyUsg33</t>
  </si>
  <si>
    <t>@</t>
  </si>
  <si>
    <t>0.090950</t>
  </si>
  <si>
    <t>-3.56%</t>
  </si>
  <si>
    <t>24.10.2024 11:16:08</t>
  </si>
  <si>
    <t xml:space="preserve">         90K           104K            55K</t>
  </si>
  <si>
    <t>enhHTLgRH4BiDym5WGpVBGnoxHy3237v4NwpL1tpump</t>
  </si>
  <si>
    <t>IBM702</t>
  </si>
  <si>
    <t>-21.77%</t>
  </si>
  <si>
    <t>24.10.2024 10:44:16</t>
  </si>
  <si>
    <t>G251rmuhusqN1kPoAeiN8tgYKJ9pzaZ491hCGo8Mpump</t>
  </si>
  <si>
    <t>POLAH</t>
  </si>
  <si>
    <t>-4.05%</t>
  </si>
  <si>
    <t>24.10.2024 06:09:59</t>
  </si>
  <si>
    <t>HuT3cp8bHHZy6YvSH45aqPUKTfvzjFEefDEvNKAcpump</t>
  </si>
  <si>
    <t>114.48%</t>
  </si>
  <si>
    <t>24.10.2024 04:18:07</t>
  </si>
  <si>
    <t xml:space="preserve">         81K            81K            67K</t>
  </si>
  <si>
    <t>LOLcoin</t>
  </si>
  <si>
    <t>58,327</t>
  </si>
  <si>
    <t>24.10.2024 04:17:40</t>
  </si>
  <si>
    <t xml:space="preserve">        211K           211K             7K</t>
  </si>
  <si>
    <t>4XmpYUQr94sn81MbjkhWmnFwAZbA2x3XzJ7sofAmpump</t>
  </si>
  <si>
    <t>26.48%</t>
  </si>
  <si>
    <t>23.10.2024 18:53:21</t>
  </si>
  <si>
    <t xml:space="preserve">        184K           184K             7K</t>
  </si>
  <si>
    <t>starzy</t>
  </si>
  <si>
    <t>-21.18%</t>
  </si>
  <si>
    <t>23.10.2024 18:47:40</t>
  </si>
  <si>
    <t>3bE1AGHmec7PViFEw41eqEommwNm2ew7ScN2KNtvpump</t>
  </si>
  <si>
    <t>WIREFX</t>
  </si>
  <si>
    <t>23.10.2024 18:33:05</t>
  </si>
  <si>
    <t>H8ih2cQHZ2pQv92FFAaEsukQSsBzyLuKstDJM8eJpump</t>
  </si>
  <si>
    <t>23.10.2024 16:03:25</t>
  </si>
  <si>
    <t xml:space="preserve">        244K           244K            17K</t>
  </si>
  <si>
    <t>KEKW</t>
  </si>
  <si>
    <t>-34.70%</t>
  </si>
  <si>
    <t>22.10.2024 19:25:37</t>
  </si>
  <si>
    <t>F8UsNiiUvqYhb93NmwmXA1vrVjPuWp52V9r3974tpump</t>
  </si>
  <si>
    <t>-17.40%</t>
  </si>
  <si>
    <t>22.10.2024 19:16:08</t>
  </si>
  <si>
    <t xml:space="preserve">        153K           157K             4K</t>
  </si>
  <si>
    <t>D8X1NTFDw3Z5M1Qzxxyae8sB7RCMeEjs1evpt8yMpump</t>
  </si>
  <si>
    <t>Grok</t>
  </si>
  <si>
    <t>0.045020</t>
  </si>
  <si>
    <t>-21.75%</t>
  </si>
  <si>
    <t>22.10.2024 18:40:59</t>
  </si>
  <si>
    <t>GfbtxQ3SWydzjgcLPpVp3WLMEMd4Cv6KLKMfducNpump</t>
  </si>
  <si>
    <t>-72.70%</t>
  </si>
  <si>
    <t>22.10.2024 11:51:43</t>
  </si>
  <si>
    <t>GTTXH1wGjqQY4srLiipVYYhD8ZkMdC1q1nfCGKJSpump</t>
  </si>
  <si>
    <t>127.10%</t>
  </si>
  <si>
    <t>22.10.2024 11:10:00</t>
  </si>
  <si>
    <t xml:space="preserve">         11K           584K             6K</t>
  </si>
  <si>
    <t>Tinker</t>
  </si>
  <si>
    <t>0.095010</t>
  </si>
  <si>
    <t>-0.494 SOL</t>
  </si>
  <si>
    <t>-48.75%</t>
  </si>
  <si>
    <t>22.10.2024 11:08:02</t>
  </si>
  <si>
    <t>7Q7aN2rT3jaBxbxMvbuyBeMowGyRzHSrskX8mXQHpump</t>
  </si>
  <si>
    <t>mk</t>
  </si>
  <si>
    <t>-9.78%</t>
  </si>
  <si>
    <t>22.10.2024 07:25:53</t>
  </si>
  <si>
    <t>7XpdFjAmP4pHPVjzPTv4gyuAnBwpegUAboNTbNXDpump</t>
  </si>
  <si>
    <t>BASILISK</t>
  </si>
  <si>
    <t>0.368 SOL</t>
  </si>
  <si>
    <t>41.73%</t>
  </si>
  <si>
    <t>22.10.2024 07:22:55</t>
  </si>
  <si>
    <t>5Tfzg24hkNajwJvPxUe5H1sBCWESg4RmRXzgLgiApump</t>
  </si>
  <si>
    <t>55.26%</t>
  </si>
  <si>
    <t>22.10.2024 07:20:57</t>
  </si>
  <si>
    <t>9KNr3u4YwNB6U7X4GEP3C9q9E5QHYhjQYhK9rxrJpump</t>
  </si>
  <si>
    <t>Tater</t>
  </si>
  <si>
    <t>1.727 SOL</t>
  </si>
  <si>
    <t>181.54%</t>
  </si>
  <si>
    <t>21.10.2024 19:07:21</t>
  </si>
  <si>
    <t>35kC7amaXnDSbr6ufdaJMZAQ8Z1ejUGnNTegCUXUpump</t>
  </si>
  <si>
    <t>-14.99%</t>
  </si>
  <si>
    <t>21.10.2024 17:22:25</t>
  </si>
  <si>
    <t xml:space="preserve">         53K            47K             6K</t>
  </si>
  <si>
    <t>somsri</t>
  </si>
  <si>
    <t>21.10.2024 07:43:01</t>
  </si>
  <si>
    <t>9eFX4AnnPg6qbjGA59MuJaHuzA4SYeFuAGWvNxyGpump</t>
  </si>
  <si>
    <t>KETSARIN</t>
  </si>
  <si>
    <t>21.10.2024 07:41:22</t>
  </si>
  <si>
    <t xml:space="preserve">         86K            35K             3K</t>
  </si>
  <si>
    <t>EjA41bio7uwV4sHa1FLSm5CMPv1Et3EZTavKW53dpump</t>
  </si>
  <si>
    <t>GAYAI</t>
  </si>
  <si>
    <t>8.48%</t>
  </si>
  <si>
    <t>21.10.2024 03:47:10</t>
  </si>
  <si>
    <t xml:space="preserve">         14K            15K             4K</t>
  </si>
  <si>
    <t>4DcoUz2NPFW7x8Jmx7AA63P1bX3t1v9odz8WGTdRpump</t>
  </si>
  <si>
    <t>114.99%</t>
  </si>
  <si>
    <t>20.10.2024 16:44:33</t>
  </si>
  <si>
    <t xml:space="preserve">         83K            86K            27K</t>
  </si>
  <si>
    <t>Desire</t>
  </si>
  <si>
    <t>16.76%</t>
  </si>
  <si>
    <t>20.10.2024 06:58:43</t>
  </si>
  <si>
    <t xml:space="preserve">         32K            35K             4K</t>
  </si>
  <si>
    <t>4VDscJCtQNDTcRYrfvLPYyNroEQLVkKwg8yVszwspump</t>
  </si>
  <si>
    <t>2.278 SOL</t>
  </si>
  <si>
    <t>832.23%</t>
  </si>
  <si>
    <t>20.10.2024 06:21:08</t>
  </si>
  <si>
    <t xml:space="preserve">         19K           286K            12K</t>
  </si>
  <si>
    <t>6dDdaqnP5CYD3rNRRu2yq7guDh2WXJth5pgaXzX1pump</t>
  </si>
  <si>
    <t>20.10.2024 04:03:26</t>
  </si>
  <si>
    <t xml:space="preserve">          5K             9K             6K</t>
  </si>
  <si>
    <t>5LH1SZSnVuNAfvZ639w7zZRLCcco2mRUfRMjhnd7pump</t>
  </si>
  <si>
    <t>robobeast</t>
  </si>
  <si>
    <t>0.275 SOL</t>
  </si>
  <si>
    <t>-68.11%</t>
  </si>
  <si>
    <t>20.10.2024 03:57:57</t>
  </si>
  <si>
    <t xml:space="preserve">         28K             9K             5K</t>
  </si>
  <si>
    <t>34qnU5uGXEBVnWyhkKAXFBR2mwyQ2Ygz6kH9RvC9pump</t>
  </si>
  <si>
    <t>-74.86%</t>
  </si>
  <si>
    <t>20.10.2024 02:49:07</t>
  </si>
  <si>
    <t>BBhmss7WDYaBud8PWyVAL2hEpgfLmxRczsRPNaNHpump</t>
  </si>
  <si>
    <t>0.030090</t>
  </si>
  <si>
    <t>2.995 SOL</t>
  </si>
  <si>
    <t>43.351 SOL</t>
  </si>
  <si>
    <t>40.326 SOL</t>
  </si>
  <si>
    <t>1333.24%</t>
  </si>
  <si>
    <t>18.10.2024 20:37:38</t>
  </si>
  <si>
    <t xml:space="preserve">         14K           444K             8K</t>
  </si>
  <si>
    <t>$schizo</t>
  </si>
  <si>
    <t>108.25%</t>
  </si>
  <si>
    <t>18.10.2024 04:00:03</t>
  </si>
  <si>
    <t xml:space="preserve">         16K            16K            12K</t>
  </si>
  <si>
    <t>CZsStABB8aZKiDRyMf6hLpQFxzXpjRuJBhHMFVrBVoo3</t>
  </si>
  <si>
    <t>17.10.2024 17:55:52</t>
  </si>
  <si>
    <t xml:space="preserve">         25K            21K             3K</t>
  </si>
  <si>
    <t>BERT</t>
  </si>
  <si>
    <t>-0.679 SOL</t>
  </si>
  <si>
    <t>-66.95%</t>
  </si>
  <si>
    <t>17.10.2024 03:51:34</t>
  </si>
  <si>
    <t>6gsh5Y7XcvKmRZYjT3tCKZwcwZrN3CfduPsqZft1pump</t>
  </si>
  <si>
    <t>Inshallah</t>
  </si>
  <si>
    <t>105,940</t>
  </si>
  <si>
    <t>16.10.2024 18:35:29</t>
  </si>
  <si>
    <t xml:space="preserve">         15K            15K             6K</t>
  </si>
  <si>
    <t>GBeRbFsD9trCxcXZR9SKPUDF7CV6CNM1ahoVcn44pump</t>
  </si>
  <si>
    <t>Furby</t>
  </si>
  <si>
    <t>18.73%</t>
  </si>
  <si>
    <t>16.10.2024 05:03:52</t>
  </si>
  <si>
    <t xml:space="preserve">         16K            19K             3K</t>
  </si>
  <si>
    <t>rrBcrhQznDEk3RwRQV88wymvDEkW5uJJeAbFyj8pump</t>
  </si>
  <si>
    <t>Sugor</t>
  </si>
  <si>
    <t>0.591 SOL</t>
  </si>
  <si>
    <t>85.61%</t>
  </si>
  <si>
    <t>15.10.2024 21:38:55</t>
  </si>
  <si>
    <t xml:space="preserve">         21K            44K             5K</t>
  </si>
  <si>
    <t>EkGnsyMyBwYUqvur5NVrSjaFmuMRKJY7k1VAYEivpump</t>
  </si>
  <si>
    <t>-11.18%</t>
  </si>
  <si>
    <t>14.10.2024 19:37:31</t>
  </si>
  <si>
    <t xml:space="preserve">         93K           103K            80K</t>
  </si>
  <si>
    <t>ANG</t>
  </si>
  <si>
    <t>0.837 SOL</t>
  </si>
  <si>
    <t>1.121 SOL</t>
  </si>
  <si>
    <t>33.95%</t>
  </si>
  <si>
    <t>14.10.2024 18:04:38</t>
  </si>
  <si>
    <t>9drSqmcaPiR9nzfaA23XxozW7HJJidCDmWGVZ1Qqpump</t>
  </si>
  <si>
    <t>Gangshit</t>
  </si>
  <si>
    <t>140.54%</t>
  </si>
  <si>
    <t>14.10.2024 17:37:58</t>
  </si>
  <si>
    <t>DzLjh4aHDifnyKNLpS6pFVaawTV2St3Ji9XDH7Gfpump</t>
  </si>
  <si>
    <t>HUNCH</t>
  </si>
  <si>
    <t>0.676 SOL</t>
  </si>
  <si>
    <t>11.56%</t>
  </si>
  <si>
    <t>14.10.2024 17:34:53</t>
  </si>
  <si>
    <t>6R2JgYeKsFx4awnGJxQd2w3sx33SuSJ6mqZrZWPUpump</t>
  </si>
  <si>
    <t>smol</t>
  </si>
  <si>
    <t>27.22%</t>
  </si>
  <si>
    <t>14.10.2024 17:32:30</t>
  </si>
  <si>
    <t>5gjdeLq969dLyeqvv7xw7bae6gPyM2WMwi5Pnm94pump</t>
  </si>
  <si>
    <t>GOOBY</t>
  </si>
  <si>
    <t>0.001270</t>
  </si>
  <si>
    <t>-55.78%</t>
  </si>
  <si>
    <t>14.10.2024 16:35:48</t>
  </si>
  <si>
    <t>Ga6VkyPxLJdKdyofHJh5NegCzuE4QE6rEARrBYwKbzCv</t>
  </si>
  <si>
    <t>0.048040</t>
  </si>
  <si>
    <t>4.307 SOL</t>
  </si>
  <si>
    <t>1636.38%</t>
  </si>
  <si>
    <t>14.10.2024 15:49:09</t>
  </si>
  <si>
    <t xml:space="preserve">         97K             1M           177K</t>
  </si>
  <si>
    <t>AIFather</t>
  </si>
  <si>
    <t>20.50%</t>
  </si>
  <si>
    <t>14.10.2024 15:38:28</t>
  </si>
  <si>
    <t>7UPqY8cm9XEt9uYTF523RSvUQREpWG5DuBVoc5jiBgV8</t>
  </si>
  <si>
    <t>0.017280</t>
  </si>
  <si>
    <t>-2.07%</t>
  </si>
  <si>
    <t>14.10.2024 04:26:07</t>
  </si>
  <si>
    <t xml:space="preserve">         63K            33K           127K</t>
  </si>
  <si>
    <t>deepfates</t>
  </si>
  <si>
    <t>-19.38%</t>
  </si>
  <si>
    <t>13.10.2024 06:59:53</t>
  </si>
  <si>
    <t xml:space="preserve">         68K            56K             8K</t>
  </si>
  <si>
    <t>46Fy12jQeqci7m7jy4CYuGbVhY1rea6mfxkD4gkMpump</t>
  </si>
  <si>
    <t>WKP</t>
  </si>
  <si>
    <t>11.31%</t>
  </si>
  <si>
    <t>13.10.2024 06:33:07</t>
  </si>
  <si>
    <t>BrAeCEvyNW1jSZxqKZD58MSTLzEWp8twSXAe7p8pA2GK</t>
  </si>
  <si>
    <t>Red40</t>
  </si>
  <si>
    <t>41.88%</t>
  </si>
  <si>
    <t>13.10.2024 06:32:22</t>
  </si>
  <si>
    <t xml:space="preserve">         35K            51K             5K</t>
  </si>
  <si>
    <t>ARBwuAv4TFij4DCSbQAhZw2yRVDEDdAbjFZZAgwbpump</t>
  </si>
  <si>
    <t>BUSINESS</t>
  </si>
  <si>
    <t>7.303 SOL</t>
  </si>
  <si>
    <t>412.45%</t>
  </si>
  <si>
    <t>13.10.2024 06:26:48</t>
  </si>
  <si>
    <t xml:space="preserve">         24K            31K             7K</t>
  </si>
  <si>
    <t>9uodGPRsn5K8CWcErxPBten4dM7ygAB2RTR1cUGNpump</t>
  </si>
  <si>
    <t>264.63%</t>
  </si>
  <si>
    <t>12.10.2024 22:51:04</t>
  </si>
  <si>
    <t xml:space="preserve">         37K            74K            10K</t>
  </si>
  <si>
    <t>MINDSET</t>
  </si>
  <si>
    <t>0.003790</t>
  </si>
  <si>
    <t>-65.14%</t>
  </si>
  <si>
    <t>10.10.2024 17:41:04</t>
  </si>
  <si>
    <t>FV46teREK1opz2W8WSw4vzzjCQzCz22SR5bZZgHApump</t>
  </si>
  <si>
    <t>Pato</t>
  </si>
  <si>
    <t>584,537</t>
  </si>
  <si>
    <t>10.10.2024 15:54:25</t>
  </si>
  <si>
    <t>43kDpYJVBx8ctbyvGPzfBdrLq57w8m4JYibd8tUfpump</t>
  </si>
  <si>
    <t>RIGHT</t>
  </si>
  <si>
    <t>652,439</t>
  </si>
  <si>
    <t>10.10.2024 14:40:10</t>
  </si>
  <si>
    <t>GnMkhejvQmjMfAwnrYfu1LN3AfheiSo6pD2WaBeRL648</t>
  </si>
  <si>
    <t>SEE</t>
  </si>
  <si>
    <t>-7.10%</t>
  </si>
  <si>
    <t>10.10.2024 13:38:44</t>
  </si>
  <si>
    <t>EhJArs6DWDbpTPcHzbEKaUvEH24sYYYMtb6NYHSHpump</t>
  </si>
  <si>
    <t>-7.23%</t>
  </si>
  <si>
    <t>10.10.2024 13:34:46</t>
  </si>
  <si>
    <t>DeBHhUDwiSxLadtHC5a9Cw43UhmngA74M2r45wDhpump</t>
  </si>
  <si>
    <t>HUSTLER</t>
  </si>
  <si>
    <t>-6.51%</t>
  </si>
  <si>
    <t>10.10.2024 13:24:39</t>
  </si>
  <si>
    <t>77uM5bCx8ybvQYNuJdkxkCLieNnEe1PaTDAiUJuEpump</t>
  </si>
  <si>
    <t>BETTER</t>
  </si>
  <si>
    <t>-7.66%</t>
  </si>
  <si>
    <t>10.10.2024 13:01:04</t>
  </si>
  <si>
    <t>Enf3ScqNVSCJJHXriJSddwVZYDVNZQGG4Eukzd1Fpump</t>
  </si>
  <si>
    <t>Hawkey</t>
  </si>
  <si>
    <t>-30.63%</t>
  </si>
  <si>
    <t>10.10.2024 12:45:03</t>
  </si>
  <si>
    <t>DmpHUXBYEWmRvzembkuTt4isXLch1UqyGaYqMxQ3ua6N</t>
  </si>
  <si>
    <t>Tizi</t>
  </si>
  <si>
    <t>-34.99%</t>
  </si>
  <si>
    <t>10.10.2024 10:19:06</t>
  </si>
  <si>
    <t>DsU96srevck8jWXsCbTsSMq39F1L7xV1smHu7oNepump</t>
  </si>
  <si>
    <t>CHARLIE</t>
  </si>
  <si>
    <t>0.009290</t>
  </si>
  <si>
    <t>-67.99%</t>
  </si>
  <si>
    <t>10.10.2024 08:30:22</t>
  </si>
  <si>
    <t xml:space="preserve">        123K             5K             4K</t>
  </si>
  <si>
    <t>7FiAjPVMKBp5eHSicW2pZUNsmiL3XULp1w7AUvFNpump</t>
  </si>
  <si>
    <t>09.10.2024 20:16:03</t>
  </si>
  <si>
    <t xml:space="preserve">        307K            53K            18K</t>
  </si>
  <si>
    <t>09.10.2024 19:38:50</t>
  </si>
  <si>
    <t xml:space="preserve">        614K           572K             6K</t>
  </si>
  <si>
    <t>FERN</t>
  </si>
  <si>
    <t>-57.55%</t>
  </si>
  <si>
    <t>09.10.2024 17:14:20</t>
  </si>
  <si>
    <t xml:space="preserve">         19K             9K             4K</t>
  </si>
  <si>
    <t>F15J7xrDt6Bo2a9BJRWhX2uC9fdUFrA1ENrBouUWpump</t>
  </si>
  <si>
    <t>09.10.2024 08:03:28</t>
  </si>
  <si>
    <t xml:space="preserve">        335K           334K           233K</t>
  </si>
  <si>
    <t>GWdFcYSbpQLywCe5qQkBPeojHGQHmX3L16SQM9mq9fCt</t>
  </si>
  <si>
    <t>FUCK</t>
  </si>
  <si>
    <t>5.31%</t>
  </si>
  <si>
    <t>09.10.2024 08:00:48</t>
  </si>
  <si>
    <t xml:space="preserve">        214K           227K             7K</t>
  </si>
  <si>
    <t>5Bjs6U1Qih7EvZ1RWTQLyJ6c5mjJ951FZBNJRvmV1pZg</t>
  </si>
  <si>
    <t>BONDING</t>
  </si>
  <si>
    <t>-37.02%</t>
  </si>
  <si>
    <t>09.10.2024 05:59:58</t>
  </si>
  <si>
    <t>3sN4cG9fwfXHaeczaxBXkqXSuRCLGLk2uowLPtz1pump</t>
  </si>
  <si>
    <t>ELSA</t>
  </si>
  <si>
    <t>0.74%</t>
  </si>
  <si>
    <t>09.10.2024 01:33:55</t>
  </si>
  <si>
    <t xml:space="preserve">        132K             7K             4K</t>
  </si>
  <si>
    <t>AkzjvPjZMB6oqLWwQhq7NwNPhHcBNn7212Jy5hTCpump</t>
  </si>
  <si>
    <t>satowater</t>
  </si>
  <si>
    <t>-34.17%</t>
  </si>
  <si>
    <t>09.10.2024 01:09:28</t>
  </si>
  <si>
    <t xml:space="preserve">         61K            47K             5K</t>
  </si>
  <si>
    <t>CC8sCXp2eZigJ7FL7kV7NVVaErfeE1TUFYVubc6opump</t>
  </si>
  <si>
    <t>0.017310</t>
  </si>
  <si>
    <t>09.10.2024 01:09:19</t>
  </si>
  <si>
    <t xml:space="preserve">         81K           544K            24K</t>
  </si>
  <si>
    <t>-7.69%</t>
  </si>
  <si>
    <t>09.10.2024 00:40:08</t>
  </si>
  <si>
    <t xml:space="preserve">         45K            42K            26K</t>
  </si>
  <si>
    <t>SMC</t>
  </si>
  <si>
    <t>36.20%</t>
  </si>
  <si>
    <t>09.10.2024 00:37:30</t>
  </si>
  <si>
    <t>3rBCH9gD4PeaCo3MJcLswHsRX9aqkSdPQQZWZ24vpump</t>
  </si>
  <si>
    <t>gDOG</t>
  </si>
  <si>
    <t>09.10.2024 00:26:19</t>
  </si>
  <si>
    <t>9P1qfp9HndhA71L1hDyU5DanfLnPFogRmaDLiTeLpump</t>
  </si>
  <si>
    <t>sending</t>
  </si>
  <si>
    <t>52.18%</t>
  </si>
  <si>
    <t>09.10.2024 00:23:05</t>
  </si>
  <si>
    <t>H2UbNj5hNS1iosWL3cVMX6bzbToPSuqRxJXPpFagpump</t>
  </si>
  <si>
    <t>BAHAMAS</t>
  </si>
  <si>
    <t>09.10.2024 00:19:55</t>
  </si>
  <si>
    <t>3yKikSAzdbwF7vLMoyRCsU6zQNtwxKGP6MLxDcaSgLZP</t>
  </si>
  <si>
    <t>09.10.2024 00:08:06</t>
  </si>
  <si>
    <t xml:space="preserve">         43K            52K             8K</t>
  </si>
  <si>
    <t>3fXFfXHNVhBRsfQQJjavCAgKSRtWK31oNCLapXM8zjif</t>
  </si>
  <si>
    <t>-36.86%</t>
  </si>
  <si>
    <t>08.10.2024 23:49:43</t>
  </si>
  <si>
    <t>GpCjazHj3DuDibE8a6MzFmy8FDQiuEkEH4pxyokyXW4b</t>
  </si>
  <si>
    <t>shoko</t>
  </si>
  <si>
    <t>32.36%</t>
  </si>
  <si>
    <t>08.10.2024 23:38:58</t>
  </si>
  <si>
    <t>2fDVXy8puFVuQ7e4JKykcx3eKtXfZDBcwp5okAGjpump</t>
  </si>
  <si>
    <t>-10.60%</t>
  </si>
  <si>
    <t>08.10.2024 22:53:40</t>
  </si>
  <si>
    <t xml:space="preserve">        443K           400K            67K</t>
  </si>
  <si>
    <t>8WQWc8DDPXJRcYn6Y7PDtiJuaXunjsDY963Yb7Ns44HX</t>
  </si>
  <si>
    <t>BINGUS</t>
  </si>
  <si>
    <t>08.10.2024 22:37:01</t>
  </si>
  <si>
    <t>AQuuQ4xktyzGBFnbKHnYsXHxsKVQetAoiPeCEG97NUJw</t>
  </si>
  <si>
    <t>8.72%</t>
  </si>
  <si>
    <t>08.10.2024 22:30:24</t>
  </si>
  <si>
    <t xml:space="preserve">        287K            91K             6K</t>
  </si>
  <si>
    <t>AK1ZuRHkb4aBZGDwyNWwb5KaJsCvXpiZUDQkUEsqpump</t>
  </si>
  <si>
    <t>-64.12%</t>
  </si>
  <si>
    <t>08.10.2024 22:30:14</t>
  </si>
  <si>
    <t xml:space="preserve">          3M           262K            11K</t>
  </si>
  <si>
    <t>SHOKO-CHAN</t>
  </si>
  <si>
    <t>0.001280</t>
  </si>
  <si>
    <t>24.65%</t>
  </si>
  <si>
    <t>08.10.2024 21:57:55</t>
  </si>
  <si>
    <t xml:space="preserve">        182K           116K             4K</t>
  </si>
  <si>
    <t>9x22m7wJtHxcWMzQWe5x5K8sT4AiVNzsJLjqYHdupump</t>
  </si>
  <si>
    <t>❤️</t>
  </si>
  <si>
    <t>56.29%</t>
  </si>
  <si>
    <t>08.10.2024 21:45:38</t>
  </si>
  <si>
    <t xml:space="preserve">         47K            74K           243K</t>
  </si>
  <si>
    <t>whheYm7JzA2DsAofFKvXtNdJ8HhQDxa72fa52pdHaoB</t>
  </si>
  <si>
    <t>ROTHIS</t>
  </si>
  <si>
    <t>-3.61%</t>
  </si>
  <si>
    <t>08.10.2024 21:38:01</t>
  </si>
  <si>
    <t>5U8HSXdRNH2ZqLwHvctKDFiNt72S2yGxxFuNvzhApump</t>
  </si>
  <si>
    <t>NO INFO</t>
  </si>
  <si>
    <t>71.90%</t>
  </si>
  <si>
    <t>08.10.2024 20:46:11</t>
  </si>
  <si>
    <t>7fiNQ2ePjm67U4Lpxq5Gd1d1y3HXGyAGC1PQ4D5Gpump</t>
  </si>
  <si>
    <t>-1.63%</t>
  </si>
  <si>
    <t>08.10.2024 20:21:13</t>
  </si>
  <si>
    <t xml:space="preserve">         68K           191K             7K</t>
  </si>
  <si>
    <t>HJnrVW8XfjAYkpKb5RjvUHufZ6WPRFWb89DtrL1epump</t>
  </si>
  <si>
    <t>08.10.2024 18:58:36</t>
  </si>
  <si>
    <t xml:space="preserve">         51K            46K             4K</t>
  </si>
  <si>
    <t>4.34%</t>
  </si>
  <si>
    <t>08.10.2024 05:46:05</t>
  </si>
  <si>
    <t>07.10.2024 22:20:40</t>
  </si>
  <si>
    <t>DkLuYCBYu9MErS99ZTZpKJAWhGEWUa5j3WFetuR4pump</t>
  </si>
  <si>
    <t>-2.62%</t>
  </si>
  <si>
    <t>07.10.2024 19:53:44</t>
  </si>
  <si>
    <t xml:space="preserve">         18K            18K            10K</t>
  </si>
  <si>
    <t>Slurp</t>
  </si>
  <si>
    <t>-34.66%</t>
  </si>
  <si>
    <t>07.10.2024 17:32:14</t>
  </si>
  <si>
    <t xml:space="preserve">         65K            44K             7K</t>
  </si>
  <si>
    <t>5CJumoFSKr4M6MvTyFyW4VQogNVyxDgKsfRuksoepump</t>
  </si>
  <si>
    <t>-18.92%</t>
  </si>
  <si>
    <t>07.10.2024 11:48:02</t>
  </si>
  <si>
    <t>BKLCeQUYB8kt5wbxXYTE6z1SGwRFeGsKsWXYhW6qKofq</t>
  </si>
  <si>
    <t>Maa</t>
  </si>
  <si>
    <t>-0.906 SOL</t>
  </si>
  <si>
    <t>-94.81%</t>
  </si>
  <si>
    <t>07.10.2024 11:34:55</t>
  </si>
  <si>
    <t xml:space="preserve">         91K             4K             4K</t>
  </si>
  <si>
    <t>BHiVUHns5sR4JE9tYXagBLEeSZ9sEVsJ5Qmpyterpump</t>
  </si>
  <si>
    <t>ZAZU</t>
  </si>
  <si>
    <t>50.42%</t>
  </si>
  <si>
    <t>07.10.2024 04:18:46</t>
  </si>
  <si>
    <t>A4afoCKXxmmYQXjSPryU3HjssEdystpY9JRSjJ5fCx8a</t>
  </si>
  <si>
    <t>Lerry</t>
  </si>
  <si>
    <t>0.708 SOL</t>
  </si>
  <si>
    <t>06.10.2024 16:08:17</t>
  </si>
  <si>
    <t>6J1eFhkqZBGuRiy6dLH3VMjPykz24PjuUcnYufKGpump</t>
  </si>
  <si>
    <t>TOMINYA</t>
  </si>
  <si>
    <t>-79.49%</t>
  </si>
  <si>
    <t>06.10.2024 13:55:18</t>
  </si>
  <si>
    <t>3SLoQyQnXS9e4zhpGpPTDTkTrV1ZkdoPmNQaY5q2WikK</t>
  </si>
  <si>
    <t>Zizi</t>
  </si>
  <si>
    <t>15.97%</t>
  </si>
  <si>
    <t>06.10.2024 13:34:53</t>
  </si>
  <si>
    <t>3WhW7w8EqAsJtgs4TqJ1zf2EfZjATbgpaJzkhJs1pump</t>
  </si>
  <si>
    <t>MOCHA</t>
  </si>
  <si>
    <t>1.187 SOL</t>
  </si>
  <si>
    <t>129.42%</t>
  </si>
  <si>
    <t>06.10.2024 12:23:46</t>
  </si>
  <si>
    <t>4yWP55x5o5ktZq8ibUEvDjrTkXk3ntUbqiwM6MsUpump</t>
  </si>
  <si>
    <t>0.437 SOL</t>
  </si>
  <si>
    <t>0.367 SOL</t>
  </si>
  <si>
    <t>84.07%</t>
  </si>
  <si>
    <t>06.10.2024 12:10:07</t>
  </si>
  <si>
    <t>2PHLKEKdy1xJ6yj5PDLpgyd5SNKetZTc6UJNi3Swpump</t>
  </si>
  <si>
    <t>PHANTY</t>
  </si>
  <si>
    <t>-77.09%</t>
  </si>
  <si>
    <t>06.10.2024 09:24:28</t>
  </si>
  <si>
    <t xml:space="preserve">         60K            14K             3K</t>
  </si>
  <si>
    <t>6mKTaG71bioYwFZ4XR1DA8sH8iwLSTcHTZ5dr2xHpump</t>
  </si>
  <si>
    <t>Tom</t>
  </si>
  <si>
    <t>-5.15%</t>
  </si>
  <si>
    <t>06.10.2024 09:20:03</t>
  </si>
  <si>
    <t>Ei7heWNtnEP5qUdZDAWjEBdo1xcgJP82kXaQ2p3ypump</t>
  </si>
  <si>
    <t>cap</t>
  </si>
  <si>
    <t>06.10.2024 08:41:45</t>
  </si>
  <si>
    <t xml:space="preserve">         95K            81K             4K</t>
  </si>
  <si>
    <t>CkhR7kosetTQCBVbw6jim1SNoFiMiBh4VD5NY2Jopump</t>
  </si>
  <si>
    <t>sib</t>
  </si>
  <si>
    <t>06.10.2024 07:50:18</t>
  </si>
  <si>
    <t xml:space="preserve">         81K            32K             3K</t>
  </si>
  <si>
    <t>EYFiZKBxyxPg741N2r7Vx7GiqyrXuL1M76CkQH1Apump</t>
  </si>
  <si>
    <t>r/len</t>
  </si>
  <si>
    <t>06.10.2024 06:07:01</t>
  </si>
  <si>
    <t xml:space="preserve">         37K            16K             3K</t>
  </si>
  <si>
    <t>JBnyMJs97EgauPSdLydkiRhT1wp8DtrBeAbMoetRpump</t>
  </si>
  <si>
    <t>05.10.2024 16:33:46</t>
  </si>
  <si>
    <t>Cxb59MtRJBGXHFpPiaTyQicUPXPdqLLi5YY2NwHLpump</t>
  </si>
  <si>
    <t>0.687 SOL</t>
  </si>
  <si>
    <t>134.59%</t>
  </si>
  <si>
    <t>05.10.2024 16:05:55</t>
  </si>
  <si>
    <t>Fq86s5oH1hNEgfHXRJ3AZSmHsEubAncmoUMbya8xpump</t>
  </si>
  <si>
    <t>HALFINSIDE</t>
  </si>
  <si>
    <t>118.68%</t>
  </si>
  <si>
    <t>05.10.2024 15:48:20</t>
  </si>
  <si>
    <t>2oD9NucNG4jZv5BQne4LCpodUZM5d9HKGCm73h98pump</t>
  </si>
  <si>
    <t>Lam</t>
  </si>
  <si>
    <t>30.42%</t>
  </si>
  <si>
    <t>05.10.2024 15:29:49</t>
  </si>
  <si>
    <t>9R2bSEecxrSMT5TXrvSxqgB1WyXPopPW3cLtx48fpump</t>
  </si>
  <si>
    <t>FBL</t>
  </si>
  <si>
    <t>0.021040</t>
  </si>
  <si>
    <t>170.87%</t>
  </si>
  <si>
    <t>05.10.2024 15:26:51</t>
  </si>
  <si>
    <t xml:space="preserve">         44K             7K             4K</t>
  </si>
  <si>
    <t>BvjkVW3zVRNaeqmx9d6FKeppZaTorJjJe2qeBip5pump</t>
  </si>
  <si>
    <t>BTC E-CASH</t>
  </si>
  <si>
    <t>22.89%</t>
  </si>
  <si>
    <t>05.10.2024 12:17:45</t>
  </si>
  <si>
    <t>5Zpkgz3AvfU99YBMrJWMuW65WfpZLjsgpCUYvJ5Apump</t>
  </si>
  <si>
    <t>TIGRA</t>
  </si>
  <si>
    <t>-12.28%</t>
  </si>
  <si>
    <t>05.10.2024 12:14:40</t>
  </si>
  <si>
    <t xml:space="preserve">         79K            32K             5K</t>
  </si>
  <si>
    <t>orfCBLySfLwztKAFzeoWsxwx4kgGezkHMwZizN5pump</t>
  </si>
  <si>
    <t>Legend</t>
  </si>
  <si>
    <t>-61.11%</t>
  </si>
  <si>
    <t>05.10.2024 11:53:33</t>
  </si>
  <si>
    <t xml:space="preserve">        142K            56K             6K</t>
  </si>
  <si>
    <t>5az1xKbBam41E5fT2tfjVVsJ8bFaM4h4F9z4BvupAJ7p</t>
  </si>
  <si>
    <t>-3.76%</t>
  </si>
  <si>
    <t>05.10.2024 11:10:49</t>
  </si>
  <si>
    <t>Ed9HaFd7snQZnjkQT22fvTdkjgtsCsYbkhdy5y6Upump</t>
  </si>
  <si>
    <t>NOTSATOSHI</t>
  </si>
  <si>
    <t>0.80%</t>
  </si>
  <si>
    <t>05.10.2024 10:59:58</t>
  </si>
  <si>
    <t xml:space="preserve">         54K            56K             4K</t>
  </si>
  <si>
    <t>35X3Z5PYKYXvXpfjrepqPYTQFAun3aAcoX7bjTBMpump</t>
  </si>
  <si>
    <t>BITRING</t>
  </si>
  <si>
    <t>05.10.2024 07:57:10</t>
  </si>
  <si>
    <t>FWPEwcCQE3bFiYGJFrn1FB9u1A2Kzpjm2FsBycghpump</t>
  </si>
  <si>
    <t>TITCOIN</t>
  </si>
  <si>
    <t>-15.43%</t>
  </si>
  <si>
    <t>05.10.2024 07:46:54</t>
  </si>
  <si>
    <t>86B9mLxwp1K3JNcyJ61Dc8JGMpjxY2WUEoouc8Acpump</t>
  </si>
  <si>
    <t>SAWTOSHI</t>
  </si>
  <si>
    <t>0.005030</t>
  </si>
  <si>
    <t>150.74%</t>
  </si>
  <si>
    <t>05.10.2024 07:18:53</t>
  </si>
  <si>
    <t>3q5Hc7YocEr21BRsrJXLYyxgYKP9hV49ECXMH4HKpump</t>
  </si>
  <si>
    <t>2.35%</t>
  </si>
  <si>
    <t>05.10.2024 06:17:32</t>
  </si>
  <si>
    <t xml:space="preserve">         65K            67K             6K</t>
  </si>
  <si>
    <t>Szabo</t>
  </si>
  <si>
    <t>05.10.2024 06:13:15</t>
  </si>
  <si>
    <t>D54uSZggociBDR3Lzsr5dArL3b2YQsWvuF59J4ukpump</t>
  </si>
  <si>
    <t>-21.70%</t>
  </si>
  <si>
    <t>05.10.2024 05:22:56</t>
  </si>
  <si>
    <t xml:space="preserve">         44K            35K             3K</t>
  </si>
  <si>
    <t>7zrz3AgKDNQ6TxsfTSFU26NKjoRhFFHbPdkqhbhFpump</t>
  </si>
  <si>
    <t>Mocha</t>
  </si>
  <si>
    <t>27.98%</t>
  </si>
  <si>
    <t>05.10.2024 05:20:05</t>
  </si>
  <si>
    <t xml:space="preserve">         19K            40K             6K</t>
  </si>
  <si>
    <t>7bC8NmDnACyCtKBwqjjSGis4rdjRMwvRaawsu9nYpump</t>
  </si>
  <si>
    <t>handsome</t>
  </si>
  <si>
    <t>05.10.2024 03:35:34</t>
  </si>
  <si>
    <t xml:space="preserve">         16K            18K             3K</t>
  </si>
  <si>
    <t>4yPLBn7zumxeW3kBMaQBipRud9S4nonA3NuXCig1pump</t>
  </si>
  <si>
    <t>SMO</t>
  </si>
  <si>
    <t>-32.43%</t>
  </si>
  <si>
    <t>05.10.2024 03:25:18</t>
  </si>
  <si>
    <t>FfYhzJ7j3rrs4m4i1wKy5Bz5aYW8mKEGq2rxChU3pump</t>
  </si>
  <si>
    <t>MC</t>
  </si>
  <si>
    <t>70.30%</t>
  </si>
  <si>
    <t>04.10.2024 13:48:36</t>
  </si>
  <si>
    <t xml:space="preserve">         19K            32K             3K</t>
  </si>
  <si>
    <t>EzvyGfA936nMt3MdLzzRFwWzBkGaHDRmz3edwcnnpump</t>
  </si>
  <si>
    <t>┴∀Ɔ</t>
  </si>
  <si>
    <t>-8.49%</t>
  </si>
  <si>
    <t>04.10.2024 09:58:02</t>
  </si>
  <si>
    <t>EMxWiJi6AboUDiJwiYnMPhxnbtrS52AVKKzV9VDpump</t>
  </si>
  <si>
    <t>20.63%</t>
  </si>
  <si>
    <t>04.10.2024 07:51:21</t>
  </si>
  <si>
    <t xml:space="preserve">         10M            12M             5M</t>
  </si>
  <si>
    <t>Yukie</t>
  </si>
  <si>
    <t>-1.205 SOL</t>
  </si>
  <si>
    <t>2,165,933</t>
  </si>
  <si>
    <t>04.10.2024 04:32:56</t>
  </si>
  <si>
    <t xml:space="preserve">         97K            97K           111K</t>
  </si>
  <si>
    <t>EjTePVtuosSxn1bPbdk97WRZL7uVx6NYKDma6iMvpump</t>
  </si>
  <si>
    <t>D1QSf63deurkfuJKuwiR1BzGjuwpYW43iZEyFmef94dq</t>
  </si>
  <si>
    <t>85.13 SOL</t>
  </si>
  <si>
    <t>52%</t>
  </si>
  <si>
    <t>74%</t>
  </si>
  <si>
    <t>46.26 SOL</t>
  </si>
  <si>
    <t>3 (12%)</t>
  </si>
  <si>
    <t>32.0%</t>
  </si>
  <si>
    <t>44.0%</t>
  </si>
  <si>
    <t>30.1 SOL</t>
  </si>
  <si>
    <t>14.3 SOL</t>
  </si>
  <si>
    <t>232.07%</t>
  </si>
  <si>
    <t>29.10.2024 17:16:47</t>
  </si>
  <si>
    <t xml:space="preserve">         18K            58K             3K</t>
  </si>
  <si>
    <t>frosty</t>
  </si>
  <si>
    <t>5.752 SOL</t>
  </si>
  <si>
    <t>4.217 SOL</t>
  </si>
  <si>
    <t>274.73%</t>
  </si>
  <si>
    <t>25.10.2024 19:37:35</t>
  </si>
  <si>
    <t xml:space="preserve">         11K            37K             5K</t>
  </si>
  <si>
    <t>5tF7tji18CnGksZyf9DoEioPidnEooy77qp4XrBnpump</t>
  </si>
  <si>
    <t>0.880 SOL</t>
  </si>
  <si>
    <t>-12.20%</t>
  </si>
  <si>
    <t>25.10.2024 15:52:22</t>
  </si>
  <si>
    <t xml:space="preserve">         90K            79K            11K</t>
  </si>
  <si>
    <t xml:space="preserve">Siku </t>
  </si>
  <si>
    <t>-5.00%</t>
  </si>
  <si>
    <t>25.10.2024 15:50:31</t>
  </si>
  <si>
    <t>DdHhsfXQnxRyUVcE7iHC2vkZJ5dgKdM5tiNfS2Kspump</t>
  </si>
  <si>
    <t>25.10.2024 15:27:52</t>
  </si>
  <si>
    <t xml:space="preserve">        155K           165K            19K</t>
  </si>
  <si>
    <t>GOPON</t>
  </si>
  <si>
    <t>0.010050</t>
  </si>
  <si>
    <t>6.160 SOL</t>
  </si>
  <si>
    <t>8.288 SOL</t>
  </si>
  <si>
    <t>34.32%</t>
  </si>
  <si>
    <t>25.10.2024 15:13:40</t>
  </si>
  <si>
    <t xml:space="preserve">         46K            88K             5K</t>
  </si>
  <si>
    <t>6PysD18BJ9q5usURbYH7oUEkR8V77rzFWeND86s1pump</t>
  </si>
  <si>
    <t>DIVING</t>
  </si>
  <si>
    <t>1.699 SOL</t>
  </si>
  <si>
    <t>25.10.2024 14:21:08</t>
  </si>
  <si>
    <t>5kYWsRZh62DpMeukfqgNjsHw6CHutJwHM5DB8w3Lpump</t>
  </si>
  <si>
    <t>5.994 SOL</t>
  </si>
  <si>
    <t>19.79%</t>
  </si>
  <si>
    <t>25.10.2024 03:21:18</t>
  </si>
  <si>
    <t xml:space="preserve">        186K           249K           272K</t>
  </si>
  <si>
    <t>1.307 SOL</t>
  </si>
  <si>
    <t>-1.366 SOL</t>
  </si>
  <si>
    <t>-51.10%</t>
  </si>
  <si>
    <t>25.10.2024 03:09:50</t>
  </si>
  <si>
    <t xml:space="preserve">         28K            16K             5K</t>
  </si>
  <si>
    <t>9.599 SOL</t>
  </si>
  <si>
    <t>7.594 SOL</t>
  </si>
  <si>
    <t>378.76%</t>
  </si>
  <si>
    <t>25.10.2024 02:19:28</t>
  </si>
  <si>
    <t xml:space="preserve">        153K           705K            12K</t>
  </si>
  <si>
    <t>sahil</t>
  </si>
  <si>
    <t>0.936 SOL</t>
  </si>
  <si>
    <t>-0.161 SOL</t>
  </si>
  <si>
    <t>-17.16%</t>
  </si>
  <si>
    <t>25.10.2024 01:14:36</t>
  </si>
  <si>
    <t>7K1Dy82QXNFRqbDSd9mVzeL1CWJPzDPv9ud2xNn5pump</t>
  </si>
  <si>
    <t>P89-AMWAI</t>
  </si>
  <si>
    <t>2.418 SOL</t>
  </si>
  <si>
    <t>-0.840 SOL</t>
  </si>
  <si>
    <t>-25.77%</t>
  </si>
  <si>
    <t>25.10.2024 01:14:02</t>
  </si>
  <si>
    <t>J25ZEyuSo8voj5UYpQChFzXNdr4WQGjmkACxEVGupump</t>
  </si>
  <si>
    <t>crypical</t>
  </si>
  <si>
    <t>5.180 SOL</t>
  </si>
  <si>
    <t>14.05%</t>
  </si>
  <si>
    <t>25.10.2024 00:47:24</t>
  </si>
  <si>
    <t xml:space="preserve">         63K            72K             4K</t>
  </si>
  <si>
    <t>82QWeqVodzMVLktpqp4QXt6ELb9cDQN4nuYYhoRjpump</t>
  </si>
  <si>
    <t>AIPOD</t>
  </si>
  <si>
    <t>-9.44%</t>
  </si>
  <si>
    <t>25.10.2024 00:22:50</t>
  </si>
  <si>
    <t xml:space="preserve">        137K           123K             4K</t>
  </si>
  <si>
    <t>29SccALSuFKxeTgFodaWML74w2sMPKmiLBu69fjppump</t>
  </si>
  <si>
    <t>GUIdog</t>
  </si>
  <si>
    <t>-24.80%</t>
  </si>
  <si>
    <t>25.10.2024 00:11:44</t>
  </si>
  <si>
    <t>6KYakmUV3Y6i21efMFA4QUi7HBbsGuLcr3xddswtpump</t>
  </si>
  <si>
    <t>6.765 SOL</t>
  </si>
  <si>
    <t>0.761 SOL</t>
  </si>
  <si>
    <t>12.68%</t>
  </si>
  <si>
    <t>24.10.2024 19:37:13</t>
  </si>
  <si>
    <t xml:space="preserve">        183K           239K            35K</t>
  </si>
  <si>
    <t>24.10.2024 18:53:02</t>
  </si>
  <si>
    <t xml:space="preserve">        897K           897K            19K</t>
  </si>
  <si>
    <t>$PAINT</t>
  </si>
  <si>
    <t>-1.029 SOL</t>
  </si>
  <si>
    <t>-25.69%</t>
  </si>
  <si>
    <t>24.10.2024 18:40:39</t>
  </si>
  <si>
    <t xml:space="preserve">         98K            72K             4K</t>
  </si>
  <si>
    <t>Gsi9EcnD5BhSBHAVhp4MhXTKJ8U1SKfvH259dKTqpump</t>
  </si>
  <si>
    <t>1.716 SOL</t>
  </si>
  <si>
    <t>-0.431 SOL</t>
  </si>
  <si>
    <t>23.10.2024 03:14:17</t>
  </si>
  <si>
    <t>738eph46YacWfPBkZqeHBoBB2ifhYWCSvQ4E9L6Epump</t>
  </si>
  <si>
    <t>NEVERLOSE</t>
  </si>
  <si>
    <t>23.10.2024 03:03:40</t>
  </si>
  <si>
    <t xml:space="preserve">         21K            18K             5K</t>
  </si>
  <si>
    <t>8pc4DnHQuomXvmJGCeySxigPWCo1Ki8n9aCu9A9Xpump</t>
  </si>
  <si>
    <t>2.044 SOL</t>
  </si>
  <si>
    <t>2.847 SOL</t>
  </si>
  <si>
    <t>23.10.2024 02:39:11</t>
  </si>
  <si>
    <t xml:space="preserve">         25K           114K             4K</t>
  </si>
  <si>
    <t>FWBtweets</t>
  </si>
  <si>
    <t>36.65%</t>
  </si>
  <si>
    <t>23.10.2024 02:24:20</t>
  </si>
  <si>
    <t>rLoJ1L4cSBM3Lh5fxf6mXaTwLEMxkdyrMvuWvRWpump</t>
  </si>
  <si>
    <t>32.658 SOL</t>
  </si>
  <si>
    <t>30.150 SOL</t>
  </si>
  <si>
    <t>1202.11%</t>
  </si>
  <si>
    <t>23.10.2024 02:02:22</t>
  </si>
  <si>
    <t xml:space="preserve">         23K             2M            18K</t>
  </si>
  <si>
    <t>0.781 SOL</t>
  </si>
  <si>
    <t>-15.46%</t>
  </si>
  <si>
    <t>23.10.2024 01:07:08</t>
  </si>
  <si>
    <t>6kS9QSCh5pkg1pPj6jd1K4x5ujU55wV6QL7y9t9Fpump</t>
  </si>
  <si>
    <t>CURTIS</t>
  </si>
  <si>
    <t>4.959 SOL</t>
  </si>
  <si>
    <t>5.280 SOL</t>
  </si>
  <si>
    <t>6.38%</t>
  </si>
  <si>
    <t>23.10.2024 01:02:06</t>
  </si>
  <si>
    <t xml:space="preserve">         32K            35K             3K</t>
  </si>
  <si>
    <t>7GXVALHLS8YD7ajHUHru4TyXTukMqd7zDku1V23ypump</t>
  </si>
  <si>
    <t>7794TDb3fZJQKUs57TmFj2LcsWMu1AQX8zf2rSNFB6Gd</t>
  </si>
  <si>
    <t>12.92 SOL</t>
  </si>
  <si>
    <t>121%</t>
  </si>
  <si>
    <t>54.62 SOL</t>
  </si>
  <si>
    <t>7.09%</t>
  </si>
  <si>
    <t>0.46 SOL</t>
  </si>
  <si>
    <t>9.4%</t>
  </si>
  <si>
    <t>41.2 SOL</t>
  </si>
  <si>
    <t>-2.9 SOL</t>
  </si>
  <si>
    <t>230.0K</t>
  </si>
  <si>
    <t>COZI</t>
  </si>
  <si>
    <t>12,676,063</t>
  </si>
  <si>
    <t>30.10.2024 20:59:40</t>
  </si>
  <si>
    <t xml:space="preserve">          7K             5K             6K</t>
  </si>
  <si>
    <t>6hFjkjquUUbULbRV7uYNL9SDxWmPzuzebyicCP8ppump</t>
  </si>
  <si>
    <t>35.52%</t>
  </si>
  <si>
    <t>30.10.2024 17:16:36</t>
  </si>
  <si>
    <t xml:space="preserve">        681K           604K            64K</t>
  </si>
  <si>
    <t>0.028630</t>
  </si>
  <si>
    <t>4.583 SOL</t>
  </si>
  <si>
    <t>13.771 SOL</t>
  </si>
  <si>
    <t>9.160 SOL</t>
  </si>
  <si>
    <t>198.62%</t>
  </si>
  <si>
    <t>29.10.2024 22:32:04</t>
  </si>
  <si>
    <t xml:space="preserve">         11K            53K             5K</t>
  </si>
  <si>
    <t>CatDay</t>
  </si>
  <si>
    <t>-5.95%</t>
  </si>
  <si>
    <t>29.10.2024 22:15:14</t>
  </si>
  <si>
    <t>FmLppuARC7cAF1A8STg3doJxbvzUgCzCBULL4o1jpump</t>
  </si>
  <si>
    <t>29.10.2024 20:31:42</t>
  </si>
  <si>
    <t xml:space="preserve">        144K           133K            14K</t>
  </si>
  <si>
    <t>SKİTO</t>
  </si>
  <si>
    <t>-12.39%</t>
  </si>
  <si>
    <t>29.10.2024 18:34:12</t>
  </si>
  <si>
    <t xml:space="preserve">          2M             1M             7K</t>
  </si>
  <si>
    <t>rDGNQh7d1Fb4SHqVdpSiENyNsvdQEVdggnqy1HZpump</t>
  </si>
  <si>
    <t>29.10.2024 01:54:01</t>
  </si>
  <si>
    <t xml:space="preserve">        211K           181K            10K</t>
  </si>
  <si>
    <t>BTCWIZ</t>
  </si>
  <si>
    <t>0.698 SOL</t>
  </si>
  <si>
    <t>29.10.2024 01:51:09</t>
  </si>
  <si>
    <t xml:space="preserve">        546K           769K           381K</t>
  </si>
  <si>
    <t>GiSC3EA7C2kZwESb53cJybcmeRRExM4gqzV5UTz9pump</t>
  </si>
  <si>
    <t>TRYME</t>
  </si>
  <si>
    <t>74.57%</t>
  </si>
  <si>
    <t>28.10.2024 20:58:08</t>
  </si>
  <si>
    <t xml:space="preserve">        219K           388K             4K</t>
  </si>
  <si>
    <t>tryQjsPTaCLFHztMVmfrW11x5i5LzwHCDceriHVCxYw</t>
  </si>
  <si>
    <t>84.52%</t>
  </si>
  <si>
    <t>28.10.2024 20:15:56</t>
  </si>
  <si>
    <t xml:space="preserve">        361K           679K            64K</t>
  </si>
  <si>
    <t>11.98%</t>
  </si>
  <si>
    <t>27.10.2024 17:15:26</t>
  </si>
  <si>
    <t xml:space="preserve">        400K           458K           449K</t>
  </si>
  <si>
    <t>REUBEN</t>
  </si>
  <si>
    <t>0.020040</t>
  </si>
  <si>
    <t>-22.48%</t>
  </si>
  <si>
    <t>26.10.2024 20:00:07</t>
  </si>
  <si>
    <t xml:space="preserve">        146K           115K             9K</t>
  </si>
  <si>
    <t>J3TdiHoqmf8YERR615BFaFDm6tPCLS47VdtPQEA2pump</t>
  </si>
  <si>
    <t>13.47%</t>
  </si>
  <si>
    <t>26.10.2024 19:21:28</t>
  </si>
  <si>
    <t xml:space="preserve">        241K           279K            57K</t>
  </si>
  <si>
    <t>4KbbSacSGPBxs1JH7YH8dUERh1NQNJQytJUCnt5mxHyo</t>
  </si>
  <si>
    <t>0.008590</t>
  </si>
  <si>
    <t>26.10.2024 18:47:43</t>
  </si>
  <si>
    <t>9VVzNh1ZBV92nnkoGdt7Er8j8689J8DWHkUjTR3Wpump</t>
  </si>
  <si>
    <t>26.10.2024 01:51:21</t>
  </si>
  <si>
    <t xml:space="preserve">        409K           343K           823K</t>
  </si>
  <si>
    <t>26.10.2024 01:01:48</t>
  </si>
  <si>
    <t xml:space="preserve">        817K             1M           332K</t>
  </si>
  <si>
    <t>YUMEKO</t>
  </si>
  <si>
    <t>-1.889 SOL</t>
  </si>
  <si>
    <t>-47.52%</t>
  </si>
  <si>
    <t>25.10.2024 15:47:42</t>
  </si>
  <si>
    <t xml:space="preserve">        147K            79K             4K</t>
  </si>
  <si>
    <t>3mZhaLTQH7iYEoKxKYkiHJQA2iQL74uyvkF5PSNEpump</t>
  </si>
  <si>
    <t>62.27%</t>
  </si>
  <si>
    <t>24.10.2024 17:12:47</t>
  </si>
  <si>
    <t xml:space="preserve">        256K           198K             5K</t>
  </si>
  <si>
    <t>68.93%</t>
  </si>
  <si>
    <t>24.10.2024 00:51:44</t>
  </si>
  <si>
    <t xml:space="preserve">        316K           490K            23K</t>
  </si>
  <si>
    <t>23.10.2024 20:27:07</t>
  </si>
  <si>
    <t xml:space="preserve">        504K           434K            25K</t>
  </si>
  <si>
    <t>4.863 SOL</t>
  </si>
  <si>
    <t>-5.057 SOL</t>
  </si>
  <si>
    <t>23.10.2024 18:57:42</t>
  </si>
  <si>
    <t xml:space="preserve">          9M             5M            35K</t>
  </si>
  <si>
    <t>BARRY</t>
  </si>
  <si>
    <t>0.37%</t>
  </si>
  <si>
    <t>22.10.2024 22:52:13</t>
  </si>
  <si>
    <t>CPebkBHRy1GUuLVkVp5H2Nuy5o5Gkup5rauM6g1Bpump</t>
  </si>
  <si>
    <t>0.033640</t>
  </si>
  <si>
    <t>5.618 SOL</t>
  </si>
  <si>
    <t>46.880 SOL</t>
  </si>
  <si>
    <t>41.228 SOL</t>
  </si>
  <si>
    <t>729.46%</t>
  </si>
  <si>
    <t>22.10.2024 21:57:18</t>
  </si>
  <si>
    <t xml:space="preserve">         30K           176K             5K</t>
  </si>
  <si>
    <t>39GvGUQpNGf9Hm9rJvAxTTJmLpr5FL2PK6o7fPX7pump</t>
  </si>
  <si>
    <t>MEIZHU</t>
  </si>
  <si>
    <t>0.005430</t>
  </si>
  <si>
    <t>37.30%</t>
  </si>
  <si>
    <t>22.10.2024 17:14:23</t>
  </si>
  <si>
    <t xml:space="preserve">          7K            11K             6K</t>
  </si>
  <si>
    <t>2S5UySFN9VKZptYBx9PR9VkkhJybTJeDLM9TULzBpump</t>
  </si>
  <si>
    <t>22.10.2024 00:24:33</t>
  </si>
  <si>
    <t xml:space="preserve">        367K           346K            30K</t>
  </si>
  <si>
    <t>DOGEY</t>
  </si>
  <si>
    <t>-10.50%</t>
  </si>
  <si>
    <t>21.10.2024 23:39:30</t>
  </si>
  <si>
    <t xml:space="preserve">        420K           383K             5K</t>
  </si>
  <si>
    <t>rRj71UGE6RDHpS3hiPij7yGgipzGtGj1XWVjkv9pump</t>
  </si>
  <si>
    <t>87.30%</t>
  </si>
  <si>
    <t>21.10.2024 21:51:10</t>
  </si>
  <si>
    <t xml:space="preserve">        901K             2M             4M</t>
  </si>
  <si>
    <t>69.00%</t>
  </si>
  <si>
    <t>21.10.2024 15:39:32</t>
  </si>
  <si>
    <t xml:space="preserve">        174K           300K             4K</t>
  </si>
  <si>
    <t>EsMJ78uXg6Aj4rBKgHN5L9Xcxah4FNyGjr3uLQb3pump</t>
  </si>
  <si>
    <t>DOGBF</t>
  </si>
  <si>
    <t>0.013600</t>
  </si>
  <si>
    <t>-5.12%</t>
  </si>
  <si>
    <t>20.10.2024 22:19:51</t>
  </si>
  <si>
    <t>DotVA9HhgQD4vhuAG3hjDJdrnwuuaJFYMkEFzgZypump</t>
  </si>
  <si>
    <t>2.21%</t>
  </si>
  <si>
    <t>17.10.2024 21:38:30</t>
  </si>
  <si>
    <t xml:space="preserve">         91K            95K            12K</t>
  </si>
  <si>
    <t>SHEEP</t>
  </si>
  <si>
    <t>0.073730</t>
  </si>
  <si>
    <t>2.545 SOL</t>
  </si>
  <si>
    <t>7.836 SOL</t>
  </si>
  <si>
    <t>5.217 SOL</t>
  </si>
  <si>
    <t>199.19%</t>
  </si>
  <si>
    <t>17.10.2024 21:27:00</t>
  </si>
  <si>
    <t xml:space="preserve">          1M           368K            13K</t>
  </si>
  <si>
    <t>vZz4CG7njSwnVHCh8neWPY6tSxXHXvAwL5U2J2Epump</t>
  </si>
  <si>
    <t>JOHNSON</t>
  </si>
  <si>
    <t>3.267 SOL</t>
  </si>
  <si>
    <t>6.885 SOL</t>
  </si>
  <si>
    <t>3.608 SOL</t>
  </si>
  <si>
    <t>110.09%</t>
  </si>
  <si>
    <t>15.10.2024 20:00:23</t>
  </si>
  <si>
    <t xml:space="preserve">        209K           439K             5K</t>
  </si>
  <si>
    <t>GMm2tVqBF5w9DLFVPT2D8sNjJUdU96h1wsNJxn5upump</t>
  </si>
  <si>
    <t>BuaCKVPQXAhbG7n9NxZ9Kq76nhwyirZCy3pbk453E9sx</t>
  </si>
  <si>
    <t>10.56 SOL</t>
  </si>
  <si>
    <t>135.58%</t>
  </si>
  <si>
    <t>10.4 SOL</t>
  </si>
  <si>
    <t>0.967 SOL</t>
  </si>
  <si>
    <t>71.72%</t>
  </si>
  <si>
    <t>30.10.2024 16:41:49</t>
  </si>
  <si>
    <t>-0.831 SOL</t>
  </si>
  <si>
    <t>-67.19%</t>
  </si>
  <si>
    <t xml:space="preserve">         37K             7K             5K</t>
  </si>
  <si>
    <t>3.247 SOL</t>
  </si>
  <si>
    <t>2.244 SOL</t>
  </si>
  <si>
    <t>223.66%</t>
  </si>
  <si>
    <t>30.10.2024 12:47:54</t>
  </si>
  <si>
    <t>-62.66%</t>
  </si>
  <si>
    <t>54.65%</t>
  </si>
  <si>
    <t>29.10.2024 14:48:17</t>
  </si>
  <si>
    <t xml:space="preserve">         16K            30K             4K</t>
  </si>
  <si>
    <t>3.476 SOL</t>
  </si>
  <si>
    <t>275.55%</t>
  </si>
  <si>
    <t>29.10.2024 13:00:28</t>
  </si>
  <si>
    <t xml:space="preserve">         11K            36K             4K</t>
  </si>
  <si>
    <t>0.762 SOL</t>
  </si>
  <si>
    <t>4.105 SOL</t>
  </si>
  <si>
    <t>3.104 SOL</t>
  </si>
  <si>
    <t>309.89%</t>
  </si>
  <si>
    <t>29.10.2024 04:29:16</t>
  </si>
  <si>
    <t xml:space="preserve">         20K           116K             4K</t>
  </si>
  <si>
    <t>0.270040</t>
  </si>
  <si>
    <t>3.720 SOL</t>
  </si>
  <si>
    <t>2.478 SOL</t>
  </si>
  <si>
    <t>199.45%</t>
  </si>
  <si>
    <t>27.10.2024 14:25:55</t>
  </si>
  <si>
    <t xml:space="preserve">         28K           133K             4K</t>
  </si>
  <si>
    <t>5mcVquZq8V6pHWxLRww8zv3YSmh2DqWTAURjtcDJmECd</t>
  </si>
  <si>
    <t>81.32 SOL</t>
  </si>
  <si>
    <t>113.52 SOL</t>
  </si>
  <si>
    <t>-13.48%</t>
  </si>
  <si>
    <t>28%</t>
  </si>
  <si>
    <t>44.79 SOL</t>
  </si>
  <si>
    <t>228</t>
  </si>
  <si>
    <t>3.9 SOL</t>
  </si>
  <si>
    <t>38.0 SOL</t>
  </si>
  <si>
    <t>71.5 SOL</t>
  </si>
  <si>
    <t>16.5 SOL</t>
  </si>
  <si>
    <t>57.553 SOL</t>
  </si>
  <si>
    <t>120.237 SOL</t>
  </si>
  <si>
    <t>62.684 SOL</t>
  </si>
  <si>
    <t>108.92%</t>
  </si>
  <si>
    <t>30.10.2024 14:19:59</t>
  </si>
  <si>
    <t xml:space="preserve">          1M            15K           437K</t>
  </si>
  <si>
    <t>POPCAT2</t>
  </si>
  <si>
    <t>2.008 SOL</t>
  </si>
  <si>
    <t>4.033 SOL</t>
  </si>
  <si>
    <t>100.82%</t>
  </si>
  <si>
    <t>30.10.2024 00:40:16</t>
  </si>
  <si>
    <t>6UTw3LkUu35WMaY1WyBK53qY9f6Nf3o8ax9T9njBpump</t>
  </si>
  <si>
    <t>-2.010 SOL</t>
  </si>
  <si>
    <t>-67.67%</t>
  </si>
  <si>
    <t>29.10.2024 23:17:20</t>
  </si>
  <si>
    <t xml:space="preserve">        676K           239K             8K</t>
  </si>
  <si>
    <t>DIVINE</t>
  </si>
  <si>
    <t>5.014 SOL</t>
  </si>
  <si>
    <t>3.386 SOL</t>
  </si>
  <si>
    <t>-1.628 SOL</t>
  </si>
  <si>
    <t>-32.47%</t>
  </si>
  <si>
    <t>29.10.2024 12:35:39</t>
  </si>
  <si>
    <t>CcgeCnqfvqcMdBHGyYoDqcRe2NPPq347v7bDqxRApump</t>
  </si>
  <si>
    <t>37.07%</t>
  </si>
  <si>
    <t>29.10.2024 11:57:02</t>
  </si>
  <si>
    <t>-65.11%</t>
  </si>
  <si>
    <t>29.10.2024 02:04:21</t>
  </si>
  <si>
    <t xml:space="preserve">         69K            25K             6K</t>
  </si>
  <si>
    <t>6.751 SOL</t>
  </si>
  <si>
    <t>167.92%</t>
  </si>
  <si>
    <t>29.10.2024 01:28:03</t>
  </si>
  <si>
    <t xml:space="preserve">         14K            54K             5K</t>
  </si>
  <si>
    <t>BitMint</t>
  </si>
  <si>
    <t>2.119 SOL</t>
  </si>
  <si>
    <t>28.10.2024 23:13:25</t>
  </si>
  <si>
    <t>3UA1FKAxY9zkH8dbrxnRW7hyyStR6dw8i9hykpfcpump</t>
  </si>
  <si>
    <t>-1.914 SOL</t>
  </si>
  <si>
    <t>-47.62%</t>
  </si>
  <si>
    <t>28.10.2024 23:08:35</t>
  </si>
  <si>
    <t>5YqaiPg9ihQtmuk9T2wDGWadsuzPLnmqLotvBEgrpump</t>
  </si>
  <si>
    <t>TRUMPET</t>
  </si>
  <si>
    <t>5.988 SOL</t>
  </si>
  <si>
    <t>3.020 SOL</t>
  </si>
  <si>
    <t>-2.969 SOL</t>
  </si>
  <si>
    <t>-49.58%</t>
  </si>
  <si>
    <t>28.10.2024 01:22:05</t>
  </si>
  <si>
    <t>FGrzeF43gopcfZHDTswLEo29XjbBvFD8axJFho3spump</t>
  </si>
  <si>
    <t>0.015000</t>
  </si>
  <si>
    <t>66.380 SOL</t>
  </si>
  <si>
    <t>82.038 SOL</t>
  </si>
  <si>
    <t>15.642 SOL</t>
  </si>
  <si>
    <t>23.56%</t>
  </si>
  <si>
    <t>24.10.2024 15:21:08</t>
  </si>
  <si>
    <t xml:space="preserve">        767K            92K             6K</t>
  </si>
  <si>
    <t>55,399,551</t>
  </si>
  <si>
    <t>23.10.2024 21:10:59</t>
  </si>
  <si>
    <t>BDzC29R4jPSK8zUnkTKvebuzxaw6L6NBkRiMe79upump</t>
  </si>
  <si>
    <t>-56.14%</t>
  </si>
  <si>
    <t>23.10.2024 20:29:48</t>
  </si>
  <si>
    <t xml:space="preserve">         35K            16K             7K</t>
  </si>
  <si>
    <t>7dkTdfNjiGDd1QAvwhTJGTFoWZRsPGn23YSaiRK7pump</t>
  </si>
  <si>
    <t>43.027 SOL</t>
  </si>
  <si>
    <t>38.022 SOL</t>
  </si>
  <si>
    <t>759.68%</t>
  </si>
  <si>
    <t>16.10.2024 08:32:41</t>
  </si>
  <si>
    <t xml:space="preserve">          6K            56K             6K</t>
  </si>
  <si>
    <t>9nLALZMiL8qkZxW4ZCHiGWxnoHorL7pJYa2TkNptpump</t>
  </si>
  <si>
    <t>6WPK59QrXbeVEjnu8Mt5b4itQ6vSTPm7326i3CcZbTsD</t>
  </si>
  <si>
    <t>70.91 SOL</t>
  </si>
  <si>
    <t>72.32 SOL</t>
  </si>
  <si>
    <t>28.40%</t>
  </si>
  <si>
    <t>0.03 SOL</t>
  </si>
  <si>
    <t>118</t>
  </si>
  <si>
    <t>23.3%</t>
  </si>
  <si>
    <t>58.8 SOL</t>
  </si>
  <si>
    <t>11.8 SOL</t>
  </si>
  <si>
    <t>-3.9 SOL</t>
  </si>
  <si>
    <t>0.023040</t>
  </si>
  <si>
    <t>4.332 SOL</t>
  </si>
  <si>
    <t>20.547 SOL</t>
  </si>
  <si>
    <t>16.192 SOL</t>
  </si>
  <si>
    <t>371.77%</t>
  </si>
  <si>
    <t>30.10.2024 21:02:49</t>
  </si>
  <si>
    <t xml:space="preserve">          9K            19K             7K</t>
  </si>
  <si>
    <t>0.014030</t>
  </si>
  <si>
    <t>3.507 SOL</t>
  </si>
  <si>
    <t>3.973 SOL</t>
  </si>
  <si>
    <t>0.451 SOL</t>
  </si>
  <si>
    <t>12.82%</t>
  </si>
  <si>
    <t>29.10.2024 20:04:10</t>
  </si>
  <si>
    <t>DUCKHEAD</t>
  </si>
  <si>
    <t>0.026050</t>
  </si>
  <si>
    <t>7.692 SOL</t>
  </si>
  <si>
    <t>12.773 SOL</t>
  </si>
  <si>
    <t>65.49%</t>
  </si>
  <si>
    <t>29.10.2024 11:24:42</t>
  </si>
  <si>
    <t>8udpTqbwD9JrFM9idC311xKPGtuFGzti65hZvXrmpump</t>
  </si>
  <si>
    <t>29.10.2024 10:18:08</t>
  </si>
  <si>
    <t>9.086 SOL</t>
  </si>
  <si>
    <t>10.561 SOL</t>
  </si>
  <si>
    <t>1.460 SOL</t>
  </si>
  <si>
    <t>29.10.2024 09:56:24</t>
  </si>
  <si>
    <t>3.675 SOL</t>
  </si>
  <si>
    <t>10.116 SOL</t>
  </si>
  <si>
    <t>6.434 SOL</t>
  </si>
  <si>
    <t>174.75%</t>
  </si>
  <si>
    <t>28.10.2024 19:46:56</t>
  </si>
  <si>
    <t>0.013030</t>
  </si>
  <si>
    <t>2.251 SOL</t>
  </si>
  <si>
    <t>3.181 SOL</t>
  </si>
  <si>
    <t>40.48%</t>
  </si>
  <si>
    <t>28.10.2024 18:53:52</t>
  </si>
  <si>
    <t>Gypsies</t>
  </si>
  <si>
    <t>0.013010</t>
  </si>
  <si>
    <t>-67.95%</t>
  </si>
  <si>
    <t>28.10.2024 17:07:20</t>
  </si>
  <si>
    <t>5TAY8Nqf7R2qaVEJxQ8d6RcyCnB4D6vb4B8zwxhWpump</t>
  </si>
  <si>
    <t>7.550 SOL</t>
  </si>
  <si>
    <t>113.86%</t>
  </si>
  <si>
    <t>28.10.2024 15:47:35</t>
  </si>
  <si>
    <t>0.012030</t>
  </si>
  <si>
    <t>2.696 SOL</t>
  </si>
  <si>
    <t>59.88%</t>
  </si>
  <si>
    <t>28.10.2024 12:23:58</t>
  </si>
  <si>
    <t xml:space="preserve">         17K            21K             5K</t>
  </si>
  <si>
    <t>7.808 SOL</t>
  </si>
  <si>
    <t>26.89%</t>
  </si>
  <si>
    <t>28.10.2024 07:19:15</t>
  </si>
  <si>
    <t>15.143 SOL</t>
  </si>
  <si>
    <t>10.571 SOL</t>
  </si>
  <si>
    <t>231.20%</t>
  </si>
  <si>
    <t>27.10.2024 16:18:44</t>
  </si>
  <si>
    <t xml:space="preserve">         23K            72K             4K</t>
  </si>
  <si>
    <t>0.027060</t>
  </si>
  <si>
    <t>7.029 SOL</t>
  </si>
  <si>
    <t>12.209 SOL</t>
  </si>
  <si>
    <t>5.153 SOL</t>
  </si>
  <si>
    <t>73.03%</t>
  </si>
  <si>
    <t>27.10.2024 13:15:21</t>
  </si>
  <si>
    <t xml:space="preserve">         32K            67K            11K</t>
  </si>
  <si>
    <t>0.027050</t>
  </si>
  <si>
    <t>4.426 SOL</t>
  </si>
  <si>
    <t>166.31%</t>
  </si>
  <si>
    <t>26.10.2024 23:29:31</t>
  </si>
  <si>
    <t xml:space="preserve">         47K            30K             9K</t>
  </si>
  <si>
    <t>1.501 SOL</t>
  </si>
  <si>
    <t>1.870 SOL</t>
  </si>
  <si>
    <t>23.26%</t>
  </si>
  <si>
    <t>26.10.2024 23:08:15</t>
  </si>
  <si>
    <t xml:space="preserve">         16K            21K             6K</t>
  </si>
  <si>
    <t>-72.68%</t>
  </si>
  <si>
    <t>26.10.2024 22:27:04</t>
  </si>
  <si>
    <t>14.721 SOL</t>
  </si>
  <si>
    <t>10.434 SOL</t>
  </si>
  <si>
    <t>243.35%</t>
  </si>
  <si>
    <t>26.10.2024 22:09:40</t>
  </si>
  <si>
    <t xml:space="preserve">         12K            32K             4K</t>
  </si>
  <si>
    <t>TAPE</t>
  </si>
  <si>
    <t>1.323 SOL</t>
  </si>
  <si>
    <t>1.135 SOL</t>
  </si>
  <si>
    <t>-15.27%</t>
  </si>
  <si>
    <t>26.10.2024 17:38:24</t>
  </si>
  <si>
    <t>5r9KdJogvSa9bEbNYo4BoCQjH8CaHcovJizWNaePpump</t>
  </si>
  <si>
    <t>0.075030</t>
  </si>
  <si>
    <t>-0.729 SOL</t>
  </si>
  <si>
    <t>-39.83%</t>
  </si>
  <si>
    <t>25.10.2024 20:06:11</t>
  </si>
  <si>
    <t xml:space="preserve">         33K           100K             7K</t>
  </si>
  <si>
    <t>TECG</t>
  </si>
  <si>
    <t>-0.572 SOL</t>
  </si>
  <si>
    <t>-37.32%</t>
  </si>
  <si>
    <t>25.10.2024 19:52:55</t>
  </si>
  <si>
    <t>DMa7xzih6zKfygc9ZDreLbuX1mBzBbU5PqGnS94Apump</t>
  </si>
  <si>
    <t>25.10.2024 19:35:45</t>
  </si>
  <si>
    <t>2.116 SOL</t>
  </si>
  <si>
    <t>-0.545 SOL</t>
  </si>
  <si>
    <t>-24.81%</t>
  </si>
  <si>
    <t>25.10.2024 18:42:02</t>
  </si>
  <si>
    <t>3.085 SOL</t>
  </si>
  <si>
    <t>1.926 SOL</t>
  </si>
  <si>
    <t>-1.200 SOL</t>
  </si>
  <si>
    <t>-38.39%</t>
  </si>
  <si>
    <t>24.10.2024 20:37:48</t>
  </si>
  <si>
    <t>3.110 SOL</t>
  </si>
  <si>
    <t>4.118 SOL</t>
  </si>
  <si>
    <t>29.91%</t>
  </si>
  <si>
    <t>24.10.2024 19:39:14</t>
  </si>
  <si>
    <t>0.653 SOL</t>
  </si>
  <si>
    <t>24.10.2024 18:54:21</t>
  </si>
  <si>
    <t>9.625 SOL</t>
  </si>
  <si>
    <t>5.345 SOL</t>
  </si>
  <si>
    <t>124.87%</t>
  </si>
  <si>
    <t>24.10.2024 18:36:29</t>
  </si>
  <si>
    <t xml:space="preserve">         16K            33K             5K</t>
  </si>
  <si>
    <t>MOODUCK</t>
  </si>
  <si>
    <t>193.12%</t>
  </si>
  <si>
    <t>24.10.2024 18:05:41</t>
  </si>
  <si>
    <t xml:space="preserve">         11K            33K             4K</t>
  </si>
  <si>
    <t>4zMDiJ5WHxL2x1s5keydSVTjy9fNDPMNBjXuMQGtpump</t>
  </si>
  <si>
    <t>McLOVIN</t>
  </si>
  <si>
    <t>51.05%</t>
  </si>
  <si>
    <t>23.10.2024 21:48:13</t>
  </si>
  <si>
    <t>BWyK1MMw1iH1KkZuK6P58q5Qv2X8EW2e8ZZ5B6sUpump</t>
  </si>
  <si>
    <t>AIGLEB</t>
  </si>
  <si>
    <t>338.62%</t>
  </si>
  <si>
    <t>23.10.2024 21:26:35</t>
  </si>
  <si>
    <t xml:space="preserve">          5K            37K             5K</t>
  </si>
  <si>
    <t>5HWd48xqYGLvjNDpaXz5eTe8VAgd8o1FW9KFt19ipump</t>
  </si>
  <si>
    <t>PEPEROLY</t>
  </si>
  <si>
    <t>-27.60%</t>
  </si>
  <si>
    <t>23.10.2024 21:09:37</t>
  </si>
  <si>
    <t>WANjTKdNN1LDcHixuvNdVSmLUJknFMeeFgaUBZopump</t>
  </si>
  <si>
    <t>2q6vC6eFpAxTSWcGYn1MDumGZgko8E2n419MsGMy2Gx9</t>
  </si>
  <si>
    <t>4.27 SOL</t>
  </si>
  <si>
    <t>90%</t>
  </si>
  <si>
    <t>4.31 SOL</t>
  </si>
  <si>
    <t>87.29%</t>
  </si>
  <si>
    <t>0.51 SOL</t>
  </si>
  <si>
    <t>45.0K</t>
  </si>
  <si>
    <t>68,548</t>
  </si>
  <si>
    <t>30.10.2024 12:10:13</t>
  </si>
  <si>
    <t>0.004050</t>
  </si>
  <si>
    <t>2.507 SOL</t>
  </si>
  <si>
    <t>29.10.2024 23:49:18</t>
  </si>
  <si>
    <t xml:space="preserve">          9K            30K             5K</t>
  </si>
  <si>
    <t>44,926</t>
  </si>
  <si>
    <t>27.10.2024 15:32:11</t>
  </si>
  <si>
    <t>1.611 SOL</t>
  </si>
  <si>
    <t>114.41%</t>
  </si>
  <si>
    <t>26.10.2024 20:05:25</t>
  </si>
  <si>
    <t xml:space="preserve">         45K            96K             9K</t>
  </si>
  <si>
    <t>0.655 SOL</t>
  </si>
  <si>
    <t>1.627 SOL</t>
  </si>
  <si>
    <t>246.64%</t>
  </si>
  <si>
    <t>25.10.2024 16:09:00</t>
  </si>
  <si>
    <t xml:space="preserve">         33K           100K             4K</t>
  </si>
  <si>
    <t>ALTMAN</t>
  </si>
  <si>
    <t>-99.09%</t>
  </si>
  <si>
    <t>25.10.2024 06:18:47</t>
  </si>
  <si>
    <t xml:space="preserve">        272K             2K             1K</t>
  </si>
  <si>
    <t>7Jr6VwRo8RytFr27U4Sdm1wJFhZ4LRdWrkpnFipTVraQ</t>
  </si>
  <si>
    <t>0.005720</t>
  </si>
  <si>
    <t>2.687 SOL</t>
  </si>
  <si>
    <t>267.85%</t>
  </si>
  <si>
    <t>23.10.2024 00:38:56</t>
  </si>
  <si>
    <t xml:space="preserve">         26K            93K             5K</t>
  </si>
  <si>
    <t>639xVN39LfwXdaEN696qXU4hmvbUg9Jkmt4LffHZ4Lt2</t>
  </si>
  <si>
    <t>38.60 SOL</t>
  </si>
  <si>
    <t>-13%</t>
  </si>
  <si>
    <t>-5.25 SOL</t>
  </si>
  <si>
    <t>-85.13%</t>
  </si>
  <si>
    <t>13.11 SOL</t>
  </si>
  <si>
    <t>52.6%</t>
  </si>
  <si>
    <t>17.9 SOL</t>
  </si>
  <si>
    <t>-24.5 SOL</t>
  </si>
  <si>
    <t>323.0K</t>
  </si>
  <si>
    <t>suki</t>
  </si>
  <si>
    <t>-2.030 SOL</t>
  </si>
  <si>
    <t>6,133,891</t>
  </si>
  <si>
    <t>30.10.2024 13:32:25</t>
  </si>
  <si>
    <t xml:space="preserve">         58K            58K            13K</t>
  </si>
  <si>
    <t>BND1QbGtEqcGZUxHxr9RY7Ja18h16oXYEU79vn8apump</t>
  </si>
  <si>
    <t>RP</t>
  </si>
  <si>
    <t>-1.990 SOL</t>
  </si>
  <si>
    <t>154,071</t>
  </si>
  <si>
    <t>29.10.2024 13:31:09</t>
  </si>
  <si>
    <t xml:space="preserve">          2M             2M            49K</t>
  </si>
  <si>
    <t>86FMngwijeQhTGfSZqj1rNkKVsmS7uXJ3y13qqDupump</t>
  </si>
  <si>
    <t>-2.978 SOL</t>
  </si>
  <si>
    <t>3,468,599</t>
  </si>
  <si>
    <t>29.10.2024 09:56:39</t>
  </si>
  <si>
    <t xml:space="preserve">        151K           151K             9K</t>
  </si>
  <si>
    <t>1,029,570</t>
  </si>
  <si>
    <t>28.10.2024 15:01:29</t>
  </si>
  <si>
    <t xml:space="preserve">        844K           844K            14K</t>
  </si>
  <si>
    <t>1.109 SOL</t>
  </si>
  <si>
    <t>-0.887 SOL</t>
  </si>
  <si>
    <t>23.10.2024 21:35:42</t>
  </si>
  <si>
    <t xml:space="preserve">         11M            11M            17M</t>
  </si>
  <si>
    <t>wTerminal</t>
  </si>
  <si>
    <t>-1.030 SOL</t>
  </si>
  <si>
    <t>4,699,460</t>
  </si>
  <si>
    <t>23.10.2024 12:51:51</t>
  </si>
  <si>
    <t>5j39aAySBanAMQf67LP6Q4Ef898U9ThEofHV2aSopump</t>
  </si>
  <si>
    <t>Substrate</t>
  </si>
  <si>
    <t>-1.988 SOL</t>
  </si>
  <si>
    <t>2,512,267</t>
  </si>
  <si>
    <t>23.10.2024 12:48:40</t>
  </si>
  <si>
    <t xml:space="preserve">        139K           139K             7K</t>
  </si>
  <si>
    <t>DkvQonT66du7SxdAvAKUzJekNHuR1pwdhdv4V9R5pump</t>
  </si>
  <si>
    <t>THE</t>
  </si>
  <si>
    <t>340,657</t>
  </si>
  <si>
    <t>23.10.2024 12:33:57</t>
  </si>
  <si>
    <t xml:space="preserve">        918K           918K            41K</t>
  </si>
  <si>
    <t>EPtGK4deG13EmxhkrM3uQFay5txx3hRT4ipQpKsfpump</t>
  </si>
  <si>
    <t>0v3rsat</t>
  </si>
  <si>
    <t>-1.708 SOL</t>
  </si>
  <si>
    <t>-85.24%</t>
  </si>
  <si>
    <t>22.10.2024 22:14:47</t>
  </si>
  <si>
    <t xml:space="preserve">         72K             5K             4K</t>
  </si>
  <si>
    <t>Ds7x8bNC1DZkNQRS2xtXCcfcAHU4qkWSFzA5MJFjpump</t>
  </si>
  <si>
    <t>6.83%</t>
  </si>
  <si>
    <t>22.10.2024 02:37:19</t>
  </si>
  <si>
    <t xml:space="preserve">         77K            86K             8K</t>
  </si>
  <si>
    <t>RSS</t>
  </si>
  <si>
    <t>3.462 SOL</t>
  </si>
  <si>
    <t>1.921 SOL</t>
  </si>
  <si>
    <t>124.66%</t>
  </si>
  <si>
    <t>21.10.2024 02:26:24</t>
  </si>
  <si>
    <t xml:space="preserve">         90K           258K            35K</t>
  </si>
  <si>
    <t>59VfmRtycwEmfLvjZKybjRZMvhUkcbBVzt8zKqGDJ3Dn</t>
  </si>
  <si>
    <t>AITHEISM</t>
  </si>
  <si>
    <t>21.10.2024 02:26:08</t>
  </si>
  <si>
    <t xml:space="preserve">         59K           114K            30K</t>
  </si>
  <si>
    <t>2e4JVEPfPbpQoj5W5jjsfjmRMX6seZyA41HkDouKpump</t>
  </si>
  <si>
    <t>20.961 SOL</t>
  </si>
  <si>
    <t>17.925 SOL</t>
  </si>
  <si>
    <t>21.10.2024 02:00:03</t>
  </si>
  <si>
    <t xml:space="preserve">        416K             3M             3M</t>
  </si>
  <si>
    <t>SIGMAXIMUS</t>
  </si>
  <si>
    <t>-0.884 SOL</t>
  </si>
  <si>
    <t>21.10.2024 00:52:52</t>
  </si>
  <si>
    <t>9oZpjJ6k1nYeo4N5nHb3NEADZmydwsjyNBKBVXoWpump</t>
  </si>
  <si>
    <t>0.68%</t>
  </si>
  <si>
    <t>20.10.2024 23:44:11</t>
  </si>
  <si>
    <t xml:space="preserve">        534K           534K           150K</t>
  </si>
  <si>
    <t>BDaNXFW8NST4yXps7TZuizRsj194AeH9tnzZfUQtVuiy</t>
  </si>
  <si>
    <t>3.134 SOL</t>
  </si>
  <si>
    <t>4.33%</t>
  </si>
  <si>
    <t>20.10.2024 01:03:02</t>
  </si>
  <si>
    <t xml:space="preserve">         30M            24M            35M</t>
  </si>
  <si>
    <t>Goon</t>
  </si>
  <si>
    <t>5.77%</t>
  </si>
  <si>
    <t>19.10.2024 14:08:15</t>
  </si>
  <si>
    <t xml:space="preserve">        230K           230K            39K</t>
  </si>
  <si>
    <t>CduQHdRkxgSN1JicYYp28BV4RQkbymVGDodjaw4epump</t>
  </si>
  <si>
    <t>-0.01%</t>
  </si>
  <si>
    <t>16.10.2024 14:01:58</t>
  </si>
  <si>
    <t>200,398</t>
  </si>
  <si>
    <t>16.10.2024 07:39:31</t>
  </si>
  <si>
    <t xml:space="preserve">          4M             4M           198K</t>
  </si>
  <si>
    <t>Rockets %</t>
  </si>
  <si>
    <t>Total Fees</t>
  </si>
  <si>
    <t>Created days ago</t>
  </si>
  <si>
    <t>AVG Buy (SOL)</t>
  </si>
  <si>
    <t>1.2069 SOL</t>
  </si>
  <si>
    <t>0.4526 SOL</t>
  </si>
  <si>
    <t>0.1304 SOL</t>
  </si>
  <si>
    <t>4.2541 SOL</t>
  </si>
  <si>
    <t>0.3264 SOL</t>
  </si>
  <si>
    <t>0.0313 SOL</t>
  </si>
  <si>
    <t>2.5906 SOL</t>
  </si>
  <si>
    <t>0.0299 SOL</t>
  </si>
  <si>
    <t>17.7952 SOL</t>
  </si>
  <si>
    <t>0.3147 SOL</t>
  </si>
  <si>
    <t>0.0029 SOL</t>
  </si>
  <si>
    <t>0.0470 SOL</t>
  </si>
  <si>
    <t>0.9887 SOL</t>
  </si>
  <si>
    <t>1.6501 SOL</t>
  </si>
  <si>
    <t>0.0053 SOL</t>
  </si>
  <si>
    <t>0.6428 SOL</t>
  </si>
  <si>
    <t>4.3222 SOL</t>
  </si>
  <si>
    <t>0.8570 SOL</t>
  </si>
  <si>
    <t>0.7764 SOL</t>
  </si>
  <si>
    <t>7.8015 SOL</t>
  </si>
  <si>
    <t>17.3870 SOL</t>
  </si>
  <si>
    <t>0.0078 SOL</t>
  </si>
  <si>
    <t>0.1795 SOL</t>
  </si>
  <si>
    <t>0.4582 SOL</t>
  </si>
  <si>
    <t>0.4116 SOL</t>
  </si>
  <si>
    <t>0.0221 SOL</t>
  </si>
  <si>
    <t>0.1069 SOL</t>
  </si>
  <si>
    <t>0.5612 SOL</t>
  </si>
  <si>
    <t>1.3296 SOL</t>
  </si>
  <si>
    <t>1.4150 SOL</t>
  </si>
  <si>
    <t>0.2933 SOL</t>
  </si>
  <si>
    <t>6.5831 SOL</t>
  </si>
  <si>
    <t>0.0167 SOL</t>
  </si>
  <si>
    <t>0.2407 SOL</t>
  </si>
  <si>
    <t>0.2117 SOL</t>
  </si>
  <si>
    <t>2.4585 SOL</t>
  </si>
  <si>
    <t>0.0186 SOL</t>
  </si>
  <si>
    <t>0.5144 SOL</t>
  </si>
  <si>
    <t>0.0182 SOL</t>
  </si>
  <si>
    <t>0.0670 SOL</t>
  </si>
  <si>
    <t>0.4002 SOL</t>
  </si>
  <si>
    <t>3.4771 SOL</t>
  </si>
  <si>
    <t>0.0894 SOL</t>
  </si>
  <si>
    <t>0.0004 SOL</t>
  </si>
  <si>
    <t>0.0173 SOL</t>
  </si>
  <si>
    <t>0.0035 SOL</t>
  </si>
  <si>
    <t>0.0135 SOL</t>
  </si>
  <si>
    <t>1.2371 SOL</t>
  </si>
  <si>
    <t>0.5235 SOL</t>
  </si>
  <si>
    <t>0.0180 SOL</t>
  </si>
  <si>
    <t>0.3082 SOL</t>
  </si>
  <si>
    <t>0.1628 SOL</t>
  </si>
  <si>
    <t>0.4746 SOL</t>
  </si>
  <si>
    <t>2.3406 SOL</t>
  </si>
  <si>
    <t>0.0102 SOL</t>
  </si>
  <si>
    <t>6.6320 SOL</t>
  </si>
  <si>
    <t>0.2813 SOL</t>
  </si>
  <si>
    <t>0.0098 SOL</t>
  </si>
  <si>
    <t>1.4506 SOL</t>
  </si>
  <si>
    <t>1.8234 SOL</t>
  </si>
  <si>
    <t>0.5949 SOL</t>
  </si>
  <si>
    <t>0.9930 SOL</t>
  </si>
  <si>
    <t>0.1676 SOL</t>
  </si>
  <si>
    <t>0.2964 SOL</t>
  </si>
  <si>
    <t>1.6406 SOL</t>
  </si>
  <si>
    <t>1.8407 SOL</t>
  </si>
  <si>
    <t>0.1967 SOL</t>
  </si>
  <si>
    <t>1.4406 SOL</t>
  </si>
  <si>
    <t>0.2168 SOL</t>
  </si>
  <si>
    <t>1.7907 SOL</t>
  </si>
  <si>
    <t>3.0602 SOL</t>
  </si>
  <si>
    <t>1.7407 SOL</t>
  </si>
  <si>
    <t>1.7107 SOL</t>
  </si>
  <si>
    <t>0.0096 SOL</t>
  </si>
  <si>
    <t>0.0669 SOL</t>
  </si>
  <si>
    <t>1.7307 SOL</t>
  </si>
  <si>
    <t>0.8223 SOL</t>
  </si>
  <si>
    <t>1.5206 SOL</t>
  </si>
  <si>
    <t>0.0477 SOL</t>
  </si>
  <si>
    <t>0.1922 SOL</t>
  </si>
  <si>
    <t>1.2198 SOL</t>
  </si>
  <si>
    <t>0.0807 SOL</t>
  </si>
  <si>
    <t>0.2045 SOL</t>
  </si>
  <si>
    <t>2.9402 SOL</t>
  </si>
  <si>
    <t>1.8707 SOL</t>
  </si>
  <si>
    <t>1.8007 SOL</t>
  </si>
  <si>
    <t>1.8307 SOL</t>
  </si>
  <si>
    <t>0.0134 SOL</t>
  </si>
  <si>
    <t>1.6006 SOL</t>
  </si>
  <si>
    <t>1.9201 SOL</t>
  </si>
  <si>
    <t>0.0083 SOL</t>
  </si>
  <si>
    <t>1.2706 SOL</t>
  </si>
  <si>
    <t>2.0803 SOL</t>
  </si>
  <si>
    <t>0.0039 SOL</t>
  </si>
  <si>
    <t>0.0158 SOL</t>
  </si>
  <si>
    <t>0.0080 SOL</t>
  </si>
  <si>
    <t>2.0286 SOL</t>
  </si>
  <si>
    <t>0.0925 SOL</t>
  </si>
  <si>
    <t>0.4528 SOL</t>
  </si>
  <si>
    <t>1.9101 SOL</t>
  </si>
  <si>
    <t>0.0203 SOL</t>
  </si>
  <si>
    <t>0.7837 SOL</t>
  </si>
  <si>
    <t>0.0190 SOL</t>
  </si>
  <si>
    <t>0.3902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</si>
</sst>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9393"/>
        <bgColor rgb="FFFF9393"/>
      </patternFill>
    </fill>
    <fill>
      <patternFill patternType="solid">
        <fgColor rgb="FFFCD5B4"/>
        <bgColor rgb="FFFCD5B4"/>
      </patternFill>
    </fill>
    <fill>
      <patternFill patternType="solid">
        <fgColor rgb="FF00FF00"/>
        <bgColor rgb="FF00FF00"/>
      </patternFill>
    </fill>
    <fill>
      <patternFill patternType="solid">
        <fgColor rgb="FF90EE90"/>
        <bgColor rgb="FF90EE90"/>
      </patternFill>
    </fill>
    <fill>
      <patternFill patternType="solid">
        <fgColor rgb="FF98FB98"/>
        <bgColor rgb="FF98FB98"/>
      </patternFill>
    </fill>
    <fill>
      <patternFill patternType="solid">
        <fgColor rgb="FFFFFFE0"/>
        <bgColor rgb="FFFFFFE0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C00000"/>
        <bgColor rgb="FFC00000"/>
      </patternFill>
    </fill>
    <fill>
      <patternFill patternType="solid">
        <fgColor rgb="FFFFEB9C"/>
        <bgColor rgb="FFFFEB9C"/>
      </patternFill>
    </fill>
    <fill>
      <patternFill patternType="solid">
        <fgColor rgb="FFFFFF99"/>
        <bgColor rgb="FFFFFF99"/>
      </patternFill>
    </fill>
    <fill>
      <patternFill patternType="solid">
        <fgColor rgb="FF00FA71"/>
        <bgColor rgb="FF00FA71"/>
      </patternFill>
    </fill>
    <fill>
      <patternFill patternType="solid">
        <fgColor rgb="FFA3EDC6"/>
        <bgColor rgb="FFA3EDC6"/>
      </patternFill>
    </fill>
    <fill>
      <patternFill patternType="solid">
        <fgColor rgb="FFFFFFFF"/>
        <bgColor indexed="64"/>
      </patternFill>
    </fill>
    <fill>
      <patternFill patternType="solid">
        <fgColor rgb="FFA3EDC6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0" fontId="2" fillId="7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8" borderId="0" xfId="1" applyFont="1" applyFill="1" applyAlignment="1">
      <alignment horizontal="center" vertical="center"/>
    </xf>
    <xf numFmtId="0" fontId="2" fillId="9" borderId="0" xfId="1" applyFont="1" applyFill="1" applyAlignment="1">
      <alignment horizontal="left" vertical="center"/>
    </xf>
    <xf numFmtId="0" fontId="1" fillId="10" borderId="0" xfId="1" applyFill="1" applyAlignment="1">
      <alignment horizontal="left" vertical="center"/>
    </xf>
    <xf numFmtId="0" fontId="1" fillId="10" borderId="0" xfId="1" applyFill="1" applyAlignment="1">
      <alignment horizontal="right" vertical="center"/>
    </xf>
    <xf numFmtId="0" fontId="1" fillId="11" borderId="0" xfId="1" applyFill="1" applyAlignment="1">
      <alignment horizontal="right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right" vertical="center"/>
    </xf>
    <xf numFmtId="0" fontId="1" fillId="12" borderId="0" xfId="1" applyFill="1" applyAlignment="1">
      <alignment horizontal="right" vertical="center"/>
    </xf>
    <xf numFmtId="0" fontId="1" fillId="13" borderId="0" xfId="1" applyFill="1" applyAlignment="1">
      <alignment horizontal="right" vertical="center"/>
    </xf>
    <xf numFmtId="0" fontId="1" fillId="2" borderId="0" xfId="1" applyFill="1" applyAlignment="1">
      <alignment horizontal="right" vertical="center"/>
    </xf>
    <xf numFmtId="0" fontId="1" fillId="14" borderId="0" xfId="1" applyFill="1" applyAlignment="1">
      <alignment horizontal="right" vertical="center"/>
    </xf>
    <xf numFmtId="0" fontId="1" fillId="15" borderId="0" xfId="1" applyFill="1" applyAlignment="1">
      <alignment horizontal="right" vertical="center"/>
    </xf>
    <xf numFmtId="0" fontId="1" fillId="15" borderId="0" xfId="1" applyFill="1" applyAlignment="1">
      <alignment horizontal="center" vertical="center"/>
    </xf>
    <xf numFmtId="0" fontId="3" fillId="16" borderId="0" xfId="0" applyFont="1" applyFill="1"/>
    <xf numFmtId="0" fontId="4" fillId="16" borderId="0" xfId="0" applyFont="1" applyFill="1"/>
    <xf numFmtId="9" fontId="4" fillId="16" borderId="0" xfId="0" applyNumberFormat="1" applyFont="1" applyFill="1"/>
    <xf numFmtId="9" fontId="4" fillId="17" borderId="0" xfId="0" applyNumberFormat="1" applyFont="1" applyFill="1"/>
    <xf numFmtId="0" fontId="4" fillId="17" borderId="0" xfId="0" applyFont="1" applyFill="1"/>
    <xf numFmtId="0" fontId="4" fillId="18" borderId="0" xfId="0" applyFont="1" applyFill="1"/>
    <xf numFmtId="9" fontId="4" fillId="18" borderId="0" xfId="0" applyNumberFormat="1" applyFont="1" applyFill="1"/>
    <xf numFmtId="0" fontId="4" fillId="19" borderId="0" xfId="0" applyFont="1" applyFill="1"/>
  </cellXfs>
  <cellStyles count="2">
    <cellStyle name="Обычный" xfId="0" builtinId="0"/>
    <cellStyle name="Обычный 2" xfId="1" xr:uid="{17A3D760-E317-45AE-9723-F4B13C287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D6CE-340D-44CB-AB8E-185BFA2C775C}">
  <dimension ref="A1:R105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32115</v>
      </c>
      <c r="N1" t="s">
        <v>11</v>
      </c>
      <c r="O1" t="s">
        <v>12</v>
      </c>
      <c r="P1" t="s">
        <v>32116</v>
      </c>
      <c r="Q1" t="s">
        <v>32117</v>
      </c>
      <c r="R1" t="s">
        <v>32118</v>
      </c>
    </row>
    <row r="2" spans="1:18" x14ac:dyDescent="0.25">
      <c r="A2" s="24" t="s">
        <v>13</v>
      </c>
      <c r="B2" s="25" t="s">
        <v>14</v>
      </c>
      <c r="C2" s="26">
        <v>0.17</v>
      </c>
      <c r="D2" s="27">
        <v>0.34</v>
      </c>
      <c r="E2" s="28" t="s">
        <v>17</v>
      </c>
      <c r="F2" s="25" t="s">
        <v>18</v>
      </c>
      <c r="G2" s="25" t="s">
        <v>18</v>
      </c>
      <c r="H2" s="25">
        <v>230</v>
      </c>
      <c r="I2" s="29">
        <v>49</v>
      </c>
      <c r="J2" s="25" t="s">
        <v>19</v>
      </c>
      <c r="K2" s="25" t="s">
        <v>20</v>
      </c>
      <c r="L2" s="30">
        <v>-1</v>
      </c>
      <c r="M2" s="26">
        <v>0.1</v>
      </c>
      <c r="N2" s="25">
        <v>30</v>
      </c>
      <c r="O2" s="25">
        <v>459</v>
      </c>
      <c r="P2" s="25" t="s">
        <v>32119</v>
      </c>
      <c r="Q2" s="25">
        <v>138</v>
      </c>
      <c r="R2" s="25">
        <v>1.1000000000000001</v>
      </c>
    </row>
    <row r="3" spans="1:18" x14ac:dyDescent="0.25">
      <c r="A3" s="24" t="s">
        <v>1560</v>
      </c>
      <c r="B3" s="25" t="s">
        <v>1561</v>
      </c>
      <c r="C3" s="26">
        <v>0.43</v>
      </c>
      <c r="D3" s="27">
        <v>0.89</v>
      </c>
      <c r="E3" s="28" t="s">
        <v>1564</v>
      </c>
      <c r="F3" s="29" t="s">
        <v>1565</v>
      </c>
      <c r="G3" s="25" t="s">
        <v>18</v>
      </c>
      <c r="H3" s="25">
        <v>23</v>
      </c>
      <c r="I3" s="25">
        <v>0</v>
      </c>
      <c r="J3" s="25" t="s">
        <v>132</v>
      </c>
      <c r="K3" s="25" t="s">
        <v>1566</v>
      </c>
      <c r="L3" s="30">
        <v>-0.04</v>
      </c>
      <c r="M3" s="26">
        <v>0.17</v>
      </c>
      <c r="N3" s="25">
        <v>16</v>
      </c>
      <c r="O3" s="25">
        <v>21</v>
      </c>
      <c r="P3" s="25" t="s">
        <v>32120</v>
      </c>
      <c r="Q3" s="25">
        <v>1</v>
      </c>
      <c r="R3" s="25">
        <v>2.8</v>
      </c>
    </row>
    <row r="4" spans="1:18" x14ac:dyDescent="0.25">
      <c r="A4" s="24" t="s">
        <v>1768</v>
      </c>
      <c r="B4" s="25" t="s">
        <v>1769</v>
      </c>
      <c r="C4" s="26">
        <v>0.62</v>
      </c>
      <c r="D4" s="27">
        <v>0.75</v>
      </c>
      <c r="E4" s="28" t="s">
        <v>1772</v>
      </c>
      <c r="F4" s="29" t="s">
        <v>1773</v>
      </c>
      <c r="G4" s="25" t="s">
        <v>18</v>
      </c>
      <c r="H4" s="25">
        <v>26</v>
      </c>
      <c r="I4" s="25">
        <v>0</v>
      </c>
      <c r="J4" s="25" t="s">
        <v>150</v>
      </c>
      <c r="K4" s="25" t="s">
        <v>1448</v>
      </c>
      <c r="L4" s="27">
        <v>0.08</v>
      </c>
      <c r="M4" s="26">
        <v>0.19</v>
      </c>
      <c r="N4" s="25">
        <v>17</v>
      </c>
      <c r="O4" s="25">
        <v>7</v>
      </c>
      <c r="P4" s="25" t="s">
        <v>32121</v>
      </c>
      <c r="Q4" s="25">
        <v>6</v>
      </c>
      <c r="R4" s="25">
        <v>1.3</v>
      </c>
    </row>
    <row r="5" spans="1:18" x14ac:dyDescent="0.25">
      <c r="A5" s="24" t="s">
        <v>1996</v>
      </c>
      <c r="B5" s="25" t="s">
        <v>1997</v>
      </c>
      <c r="C5" s="26">
        <v>0.57999999999999996</v>
      </c>
      <c r="D5" s="27">
        <v>0.76</v>
      </c>
      <c r="E5" s="28" t="s">
        <v>2000</v>
      </c>
      <c r="F5" s="29" t="s">
        <v>2001</v>
      </c>
      <c r="G5" s="25" t="s">
        <v>2002</v>
      </c>
      <c r="H5" s="25">
        <v>298</v>
      </c>
      <c r="I5" s="25">
        <v>1</v>
      </c>
      <c r="J5" s="25" t="s">
        <v>690</v>
      </c>
      <c r="K5" s="25" t="s">
        <v>1434</v>
      </c>
      <c r="L5" s="27">
        <v>7.0000000000000007E-2</v>
      </c>
      <c r="M5" s="26">
        <v>0.09</v>
      </c>
      <c r="N5" s="25">
        <v>241</v>
      </c>
      <c r="O5" s="25">
        <v>66</v>
      </c>
      <c r="P5" s="25" t="s">
        <v>32122</v>
      </c>
      <c r="Q5" s="25">
        <v>15</v>
      </c>
      <c r="R5" s="25">
        <v>1.3</v>
      </c>
    </row>
    <row r="6" spans="1:18" x14ac:dyDescent="0.25">
      <c r="A6" s="24" t="s">
        <v>4114</v>
      </c>
      <c r="B6" s="25" t="s">
        <v>4115</v>
      </c>
      <c r="C6" s="26">
        <v>0.43</v>
      </c>
      <c r="D6" s="27">
        <v>1.1499999999999999</v>
      </c>
      <c r="E6" s="28" t="s">
        <v>4117</v>
      </c>
      <c r="F6" s="29" t="s">
        <v>4118</v>
      </c>
      <c r="G6" s="25" t="s">
        <v>18</v>
      </c>
      <c r="H6" s="25">
        <v>21</v>
      </c>
      <c r="I6" s="25">
        <v>0</v>
      </c>
      <c r="J6" s="25" t="s">
        <v>4119</v>
      </c>
      <c r="K6" s="25" t="s">
        <v>1856</v>
      </c>
      <c r="L6" s="30">
        <v>-0.1</v>
      </c>
      <c r="M6" s="26">
        <v>0.14000000000000001</v>
      </c>
      <c r="N6" s="25">
        <v>20</v>
      </c>
      <c r="O6" s="25">
        <v>10</v>
      </c>
      <c r="P6" s="25" t="s">
        <v>32123</v>
      </c>
      <c r="Q6" s="25">
        <v>5</v>
      </c>
      <c r="R6" s="25">
        <v>1</v>
      </c>
    </row>
    <row r="7" spans="1:18" x14ac:dyDescent="0.25">
      <c r="A7" s="24" t="s">
        <v>4262</v>
      </c>
      <c r="B7" s="25" t="s">
        <v>4263</v>
      </c>
      <c r="C7" s="26">
        <v>0.33</v>
      </c>
      <c r="D7" s="27">
        <v>0.32</v>
      </c>
      <c r="E7" s="28" t="s">
        <v>4266</v>
      </c>
      <c r="F7" s="25" t="s">
        <v>18</v>
      </c>
      <c r="G7" s="25" t="s">
        <v>18</v>
      </c>
      <c r="H7" s="25">
        <v>9</v>
      </c>
      <c r="I7" s="25">
        <v>0</v>
      </c>
      <c r="J7" s="25" t="s">
        <v>4267</v>
      </c>
      <c r="K7" s="25" t="s">
        <v>4268</v>
      </c>
      <c r="L7" s="30">
        <v>-0.8</v>
      </c>
      <c r="M7" s="26">
        <v>0.22</v>
      </c>
      <c r="N7" s="25">
        <v>9</v>
      </c>
      <c r="O7" s="25">
        <v>10</v>
      </c>
      <c r="P7" s="25" t="s">
        <v>32124</v>
      </c>
      <c r="Q7" s="25">
        <v>0</v>
      </c>
      <c r="R7" s="25">
        <v>2</v>
      </c>
    </row>
    <row r="8" spans="1:18" x14ac:dyDescent="0.25">
      <c r="A8" s="24" t="s">
        <v>4352</v>
      </c>
      <c r="B8" s="25" t="s">
        <v>4353</v>
      </c>
      <c r="C8" s="26">
        <v>0.17</v>
      </c>
      <c r="D8" s="30">
        <v>-0.53</v>
      </c>
      <c r="E8" s="29" t="s">
        <v>4355</v>
      </c>
      <c r="F8" s="25" t="s">
        <v>18</v>
      </c>
      <c r="G8" s="25" t="s">
        <v>18</v>
      </c>
      <c r="H8" s="25">
        <v>54</v>
      </c>
      <c r="I8" s="29">
        <v>6</v>
      </c>
      <c r="J8" s="25" t="s">
        <v>4356</v>
      </c>
      <c r="K8" s="25" t="s">
        <v>132</v>
      </c>
      <c r="L8" s="30">
        <v>-1</v>
      </c>
      <c r="M8" s="26">
        <v>0.02</v>
      </c>
      <c r="N8" s="25">
        <v>3</v>
      </c>
      <c r="O8" s="25">
        <v>13</v>
      </c>
      <c r="P8" s="25" t="s">
        <v>32125</v>
      </c>
      <c r="Q8" s="25">
        <v>113</v>
      </c>
      <c r="R8" s="25">
        <v>1.4</v>
      </c>
    </row>
    <row r="9" spans="1:18" x14ac:dyDescent="0.25">
      <c r="A9" s="24" t="s">
        <v>4712</v>
      </c>
      <c r="B9" s="25" t="s">
        <v>4713</v>
      </c>
      <c r="C9" s="26">
        <v>0.27</v>
      </c>
      <c r="D9" s="27">
        <v>0.35</v>
      </c>
      <c r="E9" s="28" t="s">
        <v>4716</v>
      </c>
      <c r="F9" s="25" t="s">
        <v>4717</v>
      </c>
      <c r="G9" s="25" t="s">
        <v>18</v>
      </c>
      <c r="H9" s="25">
        <v>299</v>
      </c>
      <c r="I9" s="29">
        <v>77</v>
      </c>
      <c r="J9" s="25" t="s">
        <v>4718</v>
      </c>
      <c r="K9" s="25" t="s">
        <v>4719</v>
      </c>
      <c r="L9" s="30">
        <v>-0.68</v>
      </c>
      <c r="M9" s="26">
        <v>0.1</v>
      </c>
      <c r="N9" s="25">
        <v>57</v>
      </c>
      <c r="O9" s="25">
        <v>53</v>
      </c>
      <c r="P9" s="25" t="s">
        <v>32126</v>
      </c>
      <c r="Q9" s="25">
        <v>33</v>
      </c>
      <c r="R9" s="25">
        <v>1.1000000000000001</v>
      </c>
    </row>
    <row r="10" spans="1:18" x14ac:dyDescent="0.25">
      <c r="A10" s="24" t="s">
        <v>6307</v>
      </c>
      <c r="B10" s="25" t="s">
        <v>6308</v>
      </c>
      <c r="C10" s="26">
        <v>0.49</v>
      </c>
      <c r="D10" s="27">
        <v>0.72</v>
      </c>
      <c r="E10" s="28" t="s">
        <v>6311</v>
      </c>
      <c r="F10" s="29" t="s">
        <v>6312</v>
      </c>
      <c r="G10" s="25" t="s">
        <v>18</v>
      </c>
      <c r="H10" s="25">
        <v>161</v>
      </c>
      <c r="I10" s="25">
        <v>0</v>
      </c>
      <c r="J10" s="25" t="s">
        <v>6313</v>
      </c>
      <c r="K10" s="25" t="s">
        <v>1566</v>
      </c>
      <c r="L10" s="30">
        <v>-0.03</v>
      </c>
      <c r="M10" s="26">
        <v>0.14000000000000001</v>
      </c>
      <c r="N10" s="25">
        <v>66</v>
      </c>
      <c r="O10" s="25">
        <v>146</v>
      </c>
      <c r="P10" s="25" t="s">
        <v>32127</v>
      </c>
      <c r="Q10" s="25">
        <v>80</v>
      </c>
      <c r="R10" s="25">
        <v>2.1</v>
      </c>
    </row>
    <row r="11" spans="1:18" x14ac:dyDescent="0.25">
      <c r="A11" s="24" t="s">
        <v>7490</v>
      </c>
      <c r="B11" s="25" t="s">
        <v>7491</v>
      </c>
      <c r="C11" s="26">
        <v>0.41</v>
      </c>
      <c r="D11" s="27">
        <v>0.64</v>
      </c>
      <c r="E11" s="28" t="s">
        <v>7494</v>
      </c>
      <c r="F11" s="29" t="s">
        <v>7495</v>
      </c>
      <c r="G11" s="25" t="s">
        <v>18</v>
      </c>
      <c r="H11" s="25">
        <v>121</v>
      </c>
      <c r="I11" s="25">
        <v>0</v>
      </c>
      <c r="J11" s="25" t="s">
        <v>4558</v>
      </c>
      <c r="K11" s="25" t="s">
        <v>1957</v>
      </c>
      <c r="L11" s="30">
        <v>-0.03</v>
      </c>
      <c r="M11" s="26">
        <v>0.12</v>
      </c>
      <c r="N11" s="25">
        <v>90</v>
      </c>
      <c r="O11" s="25">
        <v>212</v>
      </c>
      <c r="P11" s="25" t="s">
        <v>32128</v>
      </c>
      <c r="Q11" s="25">
        <v>13</v>
      </c>
      <c r="R11" s="25">
        <v>1.7</v>
      </c>
    </row>
    <row r="12" spans="1:18" x14ac:dyDescent="0.25">
      <c r="A12" s="24" t="s">
        <v>8316</v>
      </c>
      <c r="B12" s="25" t="s">
        <v>8317</v>
      </c>
      <c r="C12" s="26">
        <v>0.79</v>
      </c>
      <c r="D12" s="27">
        <v>0.61</v>
      </c>
      <c r="E12" s="28" t="s">
        <v>8320</v>
      </c>
      <c r="F12" s="29" t="s">
        <v>8321</v>
      </c>
      <c r="G12" s="25" t="s">
        <v>18</v>
      </c>
      <c r="H12" s="25">
        <v>19</v>
      </c>
      <c r="I12" s="25">
        <v>0</v>
      </c>
      <c r="J12" s="25" t="s">
        <v>414</v>
      </c>
      <c r="K12" s="25" t="s">
        <v>1434</v>
      </c>
      <c r="L12" s="27">
        <v>0.21</v>
      </c>
      <c r="M12" s="26">
        <v>0.16</v>
      </c>
      <c r="N12" s="25">
        <v>18</v>
      </c>
      <c r="O12" s="25">
        <v>7</v>
      </c>
      <c r="P12" s="25" t="s">
        <v>32129</v>
      </c>
      <c r="Q12" s="25">
        <v>2</v>
      </c>
      <c r="R12" s="25">
        <v>1.2</v>
      </c>
    </row>
    <row r="13" spans="1:18" x14ac:dyDescent="0.25">
      <c r="A13" s="24" t="s">
        <v>8450</v>
      </c>
      <c r="B13" s="25" t="s">
        <v>8451</v>
      </c>
      <c r="C13" s="26">
        <v>0.47</v>
      </c>
      <c r="D13" s="27">
        <v>0.65</v>
      </c>
      <c r="E13" s="28" t="s">
        <v>8454</v>
      </c>
      <c r="F13" s="25" t="s">
        <v>8455</v>
      </c>
      <c r="G13" s="25" t="s">
        <v>8455</v>
      </c>
      <c r="H13" s="25">
        <v>19</v>
      </c>
      <c r="I13" s="25">
        <v>0</v>
      </c>
      <c r="J13" s="25" t="s">
        <v>132</v>
      </c>
      <c r="K13" s="25" t="s">
        <v>3171</v>
      </c>
      <c r="L13" s="30">
        <v>-0.03</v>
      </c>
      <c r="M13" s="26">
        <v>0.11</v>
      </c>
      <c r="N13" s="25">
        <v>11</v>
      </c>
      <c r="O13" s="25">
        <v>9</v>
      </c>
      <c r="P13" s="25" t="s">
        <v>32130</v>
      </c>
      <c r="Q13" s="25">
        <v>2</v>
      </c>
      <c r="R13" s="25">
        <v>1.5</v>
      </c>
    </row>
    <row r="14" spans="1:18" x14ac:dyDescent="0.25">
      <c r="A14" s="24" t="s">
        <v>8587</v>
      </c>
      <c r="B14" s="25" t="s">
        <v>8588</v>
      </c>
      <c r="C14" s="26">
        <v>0.69</v>
      </c>
      <c r="D14" s="27">
        <v>0.76</v>
      </c>
      <c r="E14" s="28" t="s">
        <v>8590</v>
      </c>
      <c r="F14" s="29" t="s">
        <v>8591</v>
      </c>
      <c r="G14" s="25" t="s">
        <v>18</v>
      </c>
      <c r="H14" s="25">
        <v>133</v>
      </c>
      <c r="I14" s="25">
        <v>0</v>
      </c>
      <c r="J14" s="25" t="s">
        <v>4550</v>
      </c>
      <c r="K14" s="25" t="s">
        <v>3158</v>
      </c>
      <c r="L14" s="27">
        <v>0.32</v>
      </c>
      <c r="M14" s="26">
        <v>0.3</v>
      </c>
      <c r="N14" s="25">
        <v>123</v>
      </c>
      <c r="O14" s="25">
        <v>75</v>
      </c>
      <c r="P14" s="25" t="s">
        <v>32131</v>
      </c>
      <c r="Q14" s="25">
        <v>12</v>
      </c>
      <c r="R14" s="25">
        <v>1</v>
      </c>
    </row>
    <row r="15" spans="1:18" x14ac:dyDescent="0.25">
      <c r="A15" s="24" t="s">
        <v>9483</v>
      </c>
      <c r="B15" s="25" t="s">
        <v>9484</v>
      </c>
      <c r="C15" s="26">
        <v>0.64</v>
      </c>
      <c r="D15" s="27">
        <v>0.65</v>
      </c>
      <c r="E15" s="28" t="s">
        <v>9485</v>
      </c>
      <c r="F15" s="25" t="s">
        <v>8455</v>
      </c>
      <c r="G15" s="25" t="s">
        <v>18</v>
      </c>
      <c r="H15" s="25">
        <v>22</v>
      </c>
      <c r="I15" s="25">
        <v>0</v>
      </c>
      <c r="J15" s="25" t="s">
        <v>699</v>
      </c>
      <c r="K15" s="25" t="s">
        <v>1932</v>
      </c>
      <c r="L15" s="27">
        <v>0.09</v>
      </c>
      <c r="M15" s="26">
        <v>0.09</v>
      </c>
      <c r="N15" s="25">
        <v>3</v>
      </c>
      <c r="O15" s="25">
        <v>33</v>
      </c>
      <c r="P15" s="25" t="s">
        <v>32132</v>
      </c>
      <c r="Q15" s="25">
        <v>3</v>
      </c>
      <c r="R15" s="25">
        <v>2.7</v>
      </c>
    </row>
    <row r="16" spans="1:18" x14ac:dyDescent="0.25">
      <c r="A16" s="24" t="s">
        <v>9636</v>
      </c>
      <c r="B16" s="25" t="s">
        <v>9637</v>
      </c>
      <c r="C16" s="26">
        <v>0.5</v>
      </c>
      <c r="D16" s="27">
        <v>0.76</v>
      </c>
      <c r="E16" s="28" t="s">
        <v>9639</v>
      </c>
      <c r="F16" s="25" t="s">
        <v>9640</v>
      </c>
      <c r="G16" s="25" t="s">
        <v>18</v>
      </c>
      <c r="H16" s="25">
        <v>6</v>
      </c>
      <c r="I16" s="25">
        <v>0</v>
      </c>
      <c r="J16" s="25" t="s">
        <v>132</v>
      </c>
      <c r="K16" s="25" t="s">
        <v>1526</v>
      </c>
      <c r="L16" s="27">
        <v>0.49</v>
      </c>
      <c r="M16" s="26">
        <v>0.33</v>
      </c>
      <c r="N16" s="25">
        <v>4</v>
      </c>
      <c r="O16" s="25">
        <v>3</v>
      </c>
      <c r="P16" s="25" t="s">
        <v>32133</v>
      </c>
      <c r="Q16" s="25">
        <v>3</v>
      </c>
      <c r="R16" s="25">
        <v>1</v>
      </c>
    </row>
    <row r="17" spans="1:18" x14ac:dyDescent="0.25">
      <c r="A17" s="24" t="s">
        <v>9688</v>
      </c>
      <c r="B17" s="25" t="s">
        <v>9689</v>
      </c>
      <c r="C17" s="26">
        <v>0.16</v>
      </c>
      <c r="D17" s="30">
        <v>-0.26</v>
      </c>
      <c r="E17" s="29" t="s">
        <v>9691</v>
      </c>
      <c r="F17" s="25" t="s">
        <v>18</v>
      </c>
      <c r="G17" s="25" t="s">
        <v>18</v>
      </c>
      <c r="H17" s="25">
        <v>289</v>
      </c>
      <c r="I17" s="29">
        <v>83</v>
      </c>
      <c r="J17" s="25" t="s">
        <v>9692</v>
      </c>
      <c r="K17" s="25" t="s">
        <v>9693</v>
      </c>
      <c r="L17" s="30">
        <v>-1</v>
      </c>
      <c r="M17" s="26">
        <v>0.11</v>
      </c>
      <c r="N17" s="25">
        <v>0</v>
      </c>
      <c r="O17" s="25">
        <v>140</v>
      </c>
      <c r="P17" s="25" t="s">
        <v>32134</v>
      </c>
      <c r="Q17" s="25">
        <v>122</v>
      </c>
      <c r="R17" s="25">
        <v>1</v>
      </c>
    </row>
    <row r="18" spans="1:18" x14ac:dyDescent="0.25">
      <c r="A18" s="24" t="s">
        <v>11182</v>
      </c>
      <c r="B18" s="25" t="s">
        <v>11183</v>
      </c>
      <c r="C18" s="26">
        <v>0.28999999999999998</v>
      </c>
      <c r="D18" s="30">
        <v>-0.16</v>
      </c>
      <c r="E18" s="29" t="s">
        <v>11186</v>
      </c>
      <c r="F18" s="25" t="s">
        <v>11187</v>
      </c>
      <c r="G18" s="25" t="s">
        <v>18</v>
      </c>
      <c r="H18" s="25">
        <v>237</v>
      </c>
      <c r="I18" s="29">
        <v>65</v>
      </c>
      <c r="J18" s="25" t="s">
        <v>11188</v>
      </c>
      <c r="K18" s="25" t="s">
        <v>4268</v>
      </c>
      <c r="L18" s="30">
        <v>-1</v>
      </c>
      <c r="M18" s="26">
        <v>0.09</v>
      </c>
      <c r="N18" s="25">
        <v>87</v>
      </c>
      <c r="O18" s="25">
        <v>138</v>
      </c>
      <c r="P18" s="25" t="s">
        <v>32135</v>
      </c>
      <c r="Q18" s="25">
        <v>236</v>
      </c>
      <c r="R18" s="25">
        <v>1.2</v>
      </c>
    </row>
    <row r="19" spans="1:18" x14ac:dyDescent="0.25">
      <c r="A19" s="24" t="s">
        <v>12306</v>
      </c>
      <c r="B19" s="25" t="s">
        <v>12307</v>
      </c>
      <c r="C19" s="26">
        <v>0.43</v>
      </c>
      <c r="D19" s="27">
        <v>1.04</v>
      </c>
      <c r="E19" s="28" t="s">
        <v>12309</v>
      </c>
      <c r="F19" s="29" t="s">
        <v>12310</v>
      </c>
      <c r="G19" s="25" t="s">
        <v>12311</v>
      </c>
      <c r="H19" s="25">
        <v>297</v>
      </c>
      <c r="I19" s="25">
        <v>1</v>
      </c>
      <c r="J19" s="25" t="s">
        <v>12312</v>
      </c>
      <c r="K19" s="25" t="s">
        <v>3171</v>
      </c>
      <c r="L19" s="30">
        <v>-0.03</v>
      </c>
      <c r="M19" s="26">
        <v>0.06</v>
      </c>
      <c r="N19" s="25">
        <v>151</v>
      </c>
      <c r="O19" s="25">
        <v>317</v>
      </c>
      <c r="P19" s="25" t="s">
        <v>32136</v>
      </c>
      <c r="Q19" s="25">
        <v>85</v>
      </c>
      <c r="R19" s="25">
        <v>1.3</v>
      </c>
    </row>
    <row r="20" spans="1:18" x14ac:dyDescent="0.25">
      <c r="A20" s="24" t="s">
        <v>13975</v>
      </c>
      <c r="B20" s="25" t="s">
        <v>13976</v>
      </c>
      <c r="C20" s="26">
        <v>0.44</v>
      </c>
      <c r="D20" s="27">
        <v>0.6</v>
      </c>
      <c r="E20" s="28" t="s">
        <v>13978</v>
      </c>
      <c r="F20" s="25" t="s">
        <v>13979</v>
      </c>
      <c r="G20" s="25" t="s">
        <v>18</v>
      </c>
      <c r="H20" s="25">
        <v>34</v>
      </c>
      <c r="I20" s="25">
        <v>0</v>
      </c>
      <c r="J20" s="25" t="s">
        <v>690</v>
      </c>
      <c r="K20" s="25" t="s">
        <v>2403</v>
      </c>
      <c r="L20" s="30">
        <v>-0.03</v>
      </c>
      <c r="M20" s="26">
        <v>0.15</v>
      </c>
      <c r="N20" s="25">
        <v>33</v>
      </c>
      <c r="O20" s="25">
        <v>20</v>
      </c>
      <c r="P20" s="25" t="s">
        <v>32137</v>
      </c>
      <c r="Q20" s="25">
        <v>11</v>
      </c>
      <c r="R20" s="25">
        <v>1.2</v>
      </c>
    </row>
    <row r="21" spans="1:18" x14ac:dyDescent="0.25">
      <c r="A21" s="24" t="s">
        <v>14158</v>
      </c>
      <c r="B21" s="25" t="s">
        <v>14159</v>
      </c>
      <c r="C21" s="26">
        <v>0.49</v>
      </c>
      <c r="D21" s="27">
        <v>0.7</v>
      </c>
      <c r="E21" s="28" t="s">
        <v>14161</v>
      </c>
      <c r="F21" s="29" t="s">
        <v>14162</v>
      </c>
      <c r="G21" s="25" t="s">
        <v>18</v>
      </c>
      <c r="H21" s="25">
        <v>89</v>
      </c>
      <c r="I21" s="25">
        <v>1</v>
      </c>
      <c r="J21" s="25" t="s">
        <v>479</v>
      </c>
      <c r="K21" s="25" t="s">
        <v>1849</v>
      </c>
      <c r="L21" s="30">
        <v>0</v>
      </c>
      <c r="M21" s="26">
        <v>0.09</v>
      </c>
      <c r="N21" s="25">
        <v>80</v>
      </c>
      <c r="O21" s="25">
        <v>60</v>
      </c>
      <c r="P21" s="25" t="s">
        <v>32138</v>
      </c>
      <c r="Q21" s="25">
        <v>7</v>
      </c>
      <c r="R21" s="25">
        <v>1.2</v>
      </c>
    </row>
    <row r="22" spans="1:18" x14ac:dyDescent="0.25">
      <c r="A22" s="24" t="s">
        <v>14691</v>
      </c>
      <c r="B22" s="25" t="s">
        <v>14692</v>
      </c>
      <c r="C22" s="26">
        <v>0.42</v>
      </c>
      <c r="D22" s="27">
        <v>0.47</v>
      </c>
      <c r="E22" s="28" t="s">
        <v>14694</v>
      </c>
      <c r="F22" s="25" t="s">
        <v>14695</v>
      </c>
      <c r="G22" s="25" t="s">
        <v>18</v>
      </c>
      <c r="H22" s="25">
        <v>149</v>
      </c>
      <c r="I22" s="29">
        <v>15</v>
      </c>
      <c r="J22" s="25" t="s">
        <v>14696</v>
      </c>
      <c r="K22" s="25" t="s">
        <v>3180</v>
      </c>
      <c r="L22" s="30">
        <v>-0.08</v>
      </c>
      <c r="M22" s="26">
        <v>0.13</v>
      </c>
      <c r="N22" s="25">
        <v>77</v>
      </c>
      <c r="O22" s="25">
        <v>90</v>
      </c>
      <c r="P22" s="25" t="s">
        <v>32139</v>
      </c>
      <c r="Q22" s="25">
        <v>211</v>
      </c>
      <c r="R22" s="25">
        <v>1.5</v>
      </c>
    </row>
    <row r="23" spans="1:18" x14ac:dyDescent="0.25">
      <c r="A23" s="24" t="s">
        <v>15555</v>
      </c>
      <c r="B23" s="25" t="s">
        <v>15556</v>
      </c>
      <c r="C23" s="26">
        <v>0.62</v>
      </c>
      <c r="D23" s="27">
        <v>0.93</v>
      </c>
      <c r="E23" s="28" t="s">
        <v>15558</v>
      </c>
      <c r="F23" s="25" t="s">
        <v>18</v>
      </c>
      <c r="G23" s="25" t="s">
        <v>18</v>
      </c>
      <c r="H23" s="25">
        <v>13</v>
      </c>
      <c r="I23" s="25">
        <v>0</v>
      </c>
      <c r="J23" s="25" t="s">
        <v>479</v>
      </c>
      <c r="K23" s="25" t="s">
        <v>1932</v>
      </c>
      <c r="L23" s="27">
        <v>0.13</v>
      </c>
      <c r="M23" s="26">
        <v>0.23</v>
      </c>
      <c r="N23" s="25">
        <v>11</v>
      </c>
      <c r="O23" s="25">
        <v>11</v>
      </c>
      <c r="P23" s="25" t="s">
        <v>32140</v>
      </c>
      <c r="Q23" s="25">
        <v>7</v>
      </c>
      <c r="R23" s="25">
        <v>1.3</v>
      </c>
    </row>
    <row r="24" spans="1:18" x14ac:dyDescent="0.25">
      <c r="A24" s="24" t="s">
        <v>15645</v>
      </c>
      <c r="B24" s="25" t="s">
        <v>15646</v>
      </c>
      <c r="C24" s="26">
        <v>0.18</v>
      </c>
      <c r="D24" s="30">
        <v>-0.21</v>
      </c>
      <c r="E24" s="29" t="s">
        <v>15649</v>
      </c>
      <c r="F24" s="25" t="s">
        <v>15650</v>
      </c>
      <c r="G24" s="25" t="s">
        <v>18</v>
      </c>
      <c r="H24" s="25">
        <v>111</v>
      </c>
      <c r="I24" s="29">
        <v>31</v>
      </c>
      <c r="J24" s="25" t="s">
        <v>538</v>
      </c>
      <c r="K24" s="25" t="s">
        <v>15651</v>
      </c>
      <c r="L24" s="30">
        <v>-1</v>
      </c>
      <c r="M24" s="26">
        <v>0.06</v>
      </c>
      <c r="N24" s="25">
        <v>14</v>
      </c>
      <c r="O24" s="25">
        <v>277</v>
      </c>
      <c r="P24" s="25" t="s">
        <v>32141</v>
      </c>
      <c r="Q24" s="25">
        <v>10</v>
      </c>
      <c r="R24" s="25">
        <v>1.2</v>
      </c>
    </row>
    <row r="25" spans="1:18" x14ac:dyDescent="0.25">
      <c r="A25" s="24" t="s">
        <v>16069</v>
      </c>
      <c r="B25" s="25" t="s">
        <v>16070</v>
      </c>
      <c r="C25" s="26">
        <v>0.15</v>
      </c>
      <c r="D25" s="27">
        <v>0.03</v>
      </c>
      <c r="E25" s="28" t="s">
        <v>16071</v>
      </c>
      <c r="F25" s="25" t="s">
        <v>16072</v>
      </c>
      <c r="G25" s="25" t="s">
        <v>18</v>
      </c>
      <c r="H25" s="25">
        <v>93</v>
      </c>
      <c r="I25" s="29">
        <v>15</v>
      </c>
      <c r="J25" s="25" t="s">
        <v>16073</v>
      </c>
      <c r="K25" s="25" t="s">
        <v>20</v>
      </c>
      <c r="L25" s="30">
        <v>-1</v>
      </c>
      <c r="M25" s="26">
        <v>0.05</v>
      </c>
      <c r="N25" s="25">
        <v>54</v>
      </c>
      <c r="O25" s="25">
        <v>86</v>
      </c>
      <c r="P25" s="25" t="s">
        <v>32142</v>
      </c>
      <c r="Q25" s="25">
        <v>286</v>
      </c>
      <c r="R25" s="25">
        <v>1.9</v>
      </c>
    </row>
    <row r="26" spans="1:18" x14ac:dyDescent="0.25">
      <c r="A26" s="24" t="s">
        <v>16588</v>
      </c>
      <c r="B26" s="25" t="s">
        <v>16589</v>
      </c>
      <c r="C26" s="26">
        <v>0.25</v>
      </c>
      <c r="D26" s="30">
        <v>-0.01</v>
      </c>
      <c r="E26" s="29" t="s">
        <v>16592</v>
      </c>
      <c r="F26" s="25" t="s">
        <v>18</v>
      </c>
      <c r="G26" s="25" t="s">
        <v>11187</v>
      </c>
      <c r="H26" s="25">
        <v>269</v>
      </c>
      <c r="I26" s="29">
        <v>77</v>
      </c>
      <c r="J26" s="25" t="s">
        <v>16593</v>
      </c>
      <c r="K26" s="25" t="s">
        <v>4268</v>
      </c>
      <c r="L26" s="30">
        <v>-1</v>
      </c>
      <c r="M26" s="26">
        <v>0.1</v>
      </c>
      <c r="N26" s="25">
        <v>0</v>
      </c>
      <c r="O26" s="25">
        <v>92</v>
      </c>
      <c r="P26" s="25" t="s">
        <v>32143</v>
      </c>
      <c r="Q26" s="25">
        <v>36</v>
      </c>
      <c r="R26" s="25">
        <v>1.1000000000000001</v>
      </c>
    </row>
    <row r="27" spans="1:18" x14ac:dyDescent="0.25">
      <c r="A27" s="24" t="s">
        <v>17846</v>
      </c>
      <c r="B27" s="25" t="s">
        <v>17847</v>
      </c>
      <c r="C27" s="26">
        <v>0.42</v>
      </c>
      <c r="D27" s="27">
        <v>1.1000000000000001</v>
      </c>
      <c r="E27" s="28" t="s">
        <v>17849</v>
      </c>
      <c r="F27" s="25" t="s">
        <v>18</v>
      </c>
      <c r="G27" s="25" t="s">
        <v>18</v>
      </c>
      <c r="H27" s="25">
        <v>24</v>
      </c>
      <c r="I27" s="25">
        <v>0</v>
      </c>
      <c r="J27" s="25" t="s">
        <v>414</v>
      </c>
      <c r="K27" s="25" t="s">
        <v>1705</v>
      </c>
      <c r="L27" s="30">
        <v>-0.37</v>
      </c>
      <c r="M27" s="26">
        <v>0.25</v>
      </c>
      <c r="N27" s="25">
        <v>16</v>
      </c>
      <c r="O27" s="25">
        <v>22</v>
      </c>
      <c r="P27" s="25" t="s">
        <v>32144</v>
      </c>
      <c r="Q27" s="25">
        <v>4</v>
      </c>
      <c r="R27" s="25">
        <v>1</v>
      </c>
    </row>
    <row r="28" spans="1:18" x14ac:dyDescent="0.25">
      <c r="A28" s="24" t="s">
        <v>17984</v>
      </c>
      <c r="B28" s="25" t="s">
        <v>17985</v>
      </c>
      <c r="C28" s="26">
        <v>0.43</v>
      </c>
      <c r="D28" s="27">
        <v>0.56999999999999995</v>
      </c>
      <c r="E28" s="28" t="s">
        <v>17987</v>
      </c>
      <c r="F28" s="25" t="s">
        <v>17988</v>
      </c>
      <c r="G28" s="25" t="s">
        <v>18</v>
      </c>
      <c r="H28" s="25">
        <v>23</v>
      </c>
      <c r="I28" s="25">
        <v>0</v>
      </c>
      <c r="J28" s="25" t="s">
        <v>699</v>
      </c>
      <c r="K28" s="25" t="s">
        <v>5501</v>
      </c>
      <c r="L28" s="30">
        <v>-0.06</v>
      </c>
      <c r="M28" s="26">
        <v>0.22</v>
      </c>
      <c r="N28" s="25">
        <v>15</v>
      </c>
      <c r="O28" s="25">
        <v>5</v>
      </c>
      <c r="P28" s="25" t="s">
        <v>32145</v>
      </c>
      <c r="Q28" s="25">
        <v>4</v>
      </c>
      <c r="R28" s="25">
        <v>1.3</v>
      </c>
    </row>
    <row r="29" spans="1:18" x14ac:dyDescent="0.25">
      <c r="A29" s="24" t="s">
        <v>18110</v>
      </c>
      <c r="B29" s="25" t="s">
        <v>18111</v>
      </c>
      <c r="C29" s="26">
        <v>0.18</v>
      </c>
      <c r="D29" s="30">
        <v>-0.04</v>
      </c>
      <c r="E29" s="29" t="s">
        <v>18113</v>
      </c>
      <c r="F29" s="25" t="s">
        <v>18</v>
      </c>
      <c r="G29" s="25" t="s">
        <v>18114</v>
      </c>
      <c r="H29" s="25">
        <v>187</v>
      </c>
      <c r="I29" s="29">
        <v>47</v>
      </c>
      <c r="J29" s="25" t="s">
        <v>18115</v>
      </c>
      <c r="K29" s="25" t="s">
        <v>18116</v>
      </c>
      <c r="L29" s="30">
        <v>-1</v>
      </c>
      <c r="M29" s="26">
        <v>0.1</v>
      </c>
      <c r="N29" s="25">
        <v>10</v>
      </c>
      <c r="O29" s="25">
        <v>134</v>
      </c>
      <c r="P29" s="25" t="s">
        <v>32146</v>
      </c>
      <c r="Q29" s="25">
        <v>22</v>
      </c>
      <c r="R29" s="25">
        <v>2</v>
      </c>
    </row>
    <row r="30" spans="1:18" x14ac:dyDescent="0.25">
      <c r="A30" s="24" t="s">
        <v>18964</v>
      </c>
      <c r="B30" s="25" t="s">
        <v>18965</v>
      </c>
      <c r="C30" s="26">
        <v>0.44</v>
      </c>
      <c r="D30" s="27">
        <v>0</v>
      </c>
      <c r="E30" s="29" t="s">
        <v>18966</v>
      </c>
      <c r="F30" s="25" t="s">
        <v>18967</v>
      </c>
      <c r="G30" s="25" t="s">
        <v>18</v>
      </c>
      <c r="H30" s="25">
        <v>121</v>
      </c>
      <c r="I30" s="25">
        <v>0</v>
      </c>
      <c r="J30" s="25" t="s">
        <v>4503</v>
      </c>
      <c r="K30" s="25" t="s">
        <v>602</v>
      </c>
      <c r="L30" s="30">
        <v>-0.04</v>
      </c>
      <c r="M30" s="26">
        <v>0.04</v>
      </c>
      <c r="N30" s="25">
        <v>39</v>
      </c>
      <c r="O30" s="25">
        <v>292</v>
      </c>
      <c r="P30" s="25" t="s">
        <v>32147</v>
      </c>
      <c r="Q30" s="25">
        <v>15</v>
      </c>
      <c r="R30" s="25">
        <v>1.3</v>
      </c>
    </row>
    <row r="31" spans="1:18" x14ac:dyDescent="0.25">
      <c r="A31" s="24" t="s">
        <v>19649</v>
      </c>
      <c r="B31" s="25" t="s">
        <v>19650</v>
      </c>
      <c r="C31" s="26">
        <v>0.41</v>
      </c>
      <c r="D31" s="27">
        <v>0.63</v>
      </c>
      <c r="E31" s="28" t="s">
        <v>19652</v>
      </c>
      <c r="F31" s="25" t="s">
        <v>19653</v>
      </c>
      <c r="G31" s="25" t="s">
        <v>18</v>
      </c>
      <c r="H31" s="25">
        <v>74</v>
      </c>
      <c r="I31" s="25">
        <v>0</v>
      </c>
      <c r="J31" s="25" t="s">
        <v>4503</v>
      </c>
      <c r="K31" s="25" t="s">
        <v>3180</v>
      </c>
      <c r="L31" s="30">
        <v>-0.08</v>
      </c>
      <c r="M31" s="26">
        <v>7.0000000000000007E-2</v>
      </c>
      <c r="N31" s="25">
        <v>30</v>
      </c>
      <c r="O31" s="25">
        <v>60</v>
      </c>
      <c r="P31" s="25" t="s">
        <v>32148</v>
      </c>
      <c r="Q31" s="25">
        <v>15</v>
      </c>
      <c r="R31" s="25">
        <v>1.4</v>
      </c>
    </row>
    <row r="32" spans="1:18" x14ac:dyDescent="0.25">
      <c r="A32" s="24" t="s">
        <v>20026</v>
      </c>
      <c r="B32" s="25" t="s">
        <v>20027</v>
      </c>
      <c r="C32" s="26">
        <v>0.39</v>
      </c>
      <c r="D32" s="30">
        <v>-0.09</v>
      </c>
      <c r="E32" s="29" t="s">
        <v>20029</v>
      </c>
      <c r="F32" s="25" t="s">
        <v>18</v>
      </c>
      <c r="G32" s="25" t="s">
        <v>18</v>
      </c>
      <c r="H32" s="25">
        <v>33</v>
      </c>
      <c r="I32" s="29">
        <v>7</v>
      </c>
      <c r="J32" s="25" t="s">
        <v>414</v>
      </c>
      <c r="K32" s="25" t="s">
        <v>253</v>
      </c>
      <c r="L32" s="30">
        <v>-1</v>
      </c>
      <c r="M32" s="26">
        <v>0.21</v>
      </c>
      <c r="N32" s="25">
        <v>0</v>
      </c>
      <c r="O32" s="25">
        <v>10</v>
      </c>
      <c r="P32" s="25" t="s">
        <v>32149</v>
      </c>
      <c r="Q32" s="25">
        <v>2</v>
      </c>
      <c r="R32" s="25">
        <v>1.3</v>
      </c>
    </row>
    <row r="33" spans="1:18" x14ac:dyDescent="0.25">
      <c r="A33" s="24" t="s">
        <v>20132</v>
      </c>
      <c r="B33" s="25" t="s">
        <v>20133</v>
      </c>
      <c r="C33" s="26">
        <v>0.38</v>
      </c>
      <c r="D33" s="27">
        <v>0.87</v>
      </c>
      <c r="E33" s="28" t="s">
        <v>20136</v>
      </c>
      <c r="F33" s="29" t="s">
        <v>20137</v>
      </c>
      <c r="G33" s="25" t="s">
        <v>18</v>
      </c>
      <c r="H33" s="25">
        <v>45</v>
      </c>
      <c r="I33" s="25">
        <v>0</v>
      </c>
      <c r="J33" s="25" t="s">
        <v>4550</v>
      </c>
      <c r="K33" s="25" t="s">
        <v>3324</v>
      </c>
      <c r="L33" s="30">
        <v>-0.03</v>
      </c>
      <c r="M33" s="26">
        <v>7.0000000000000007E-2</v>
      </c>
      <c r="N33" s="25">
        <v>13</v>
      </c>
      <c r="O33" s="25">
        <v>29</v>
      </c>
      <c r="P33" s="25" t="s">
        <v>32150</v>
      </c>
      <c r="Q33" s="25">
        <v>13</v>
      </c>
      <c r="R33" s="25">
        <v>1.7</v>
      </c>
    </row>
    <row r="34" spans="1:18" x14ac:dyDescent="0.25">
      <c r="A34" s="24" t="s">
        <v>20373</v>
      </c>
      <c r="B34" s="25" t="s">
        <v>20374</v>
      </c>
      <c r="C34" s="26">
        <v>0.38</v>
      </c>
      <c r="D34" s="27">
        <v>1.85</v>
      </c>
      <c r="E34" s="28" t="s">
        <v>20376</v>
      </c>
      <c r="F34" s="25" t="s">
        <v>20377</v>
      </c>
      <c r="G34" s="25" t="s">
        <v>18</v>
      </c>
      <c r="H34" s="25">
        <v>13</v>
      </c>
      <c r="I34" s="25">
        <v>0</v>
      </c>
      <c r="J34" s="25" t="s">
        <v>4437</v>
      </c>
      <c r="K34" s="25" t="s">
        <v>20378</v>
      </c>
      <c r="L34" s="30">
        <v>-0.47</v>
      </c>
      <c r="M34" s="26">
        <v>0.31</v>
      </c>
      <c r="N34" s="25">
        <v>6</v>
      </c>
      <c r="O34" s="25">
        <v>23</v>
      </c>
      <c r="P34" s="25" t="s">
        <v>32151</v>
      </c>
      <c r="Q34" s="25">
        <v>24</v>
      </c>
      <c r="R34" s="25">
        <v>1.9</v>
      </c>
    </row>
    <row r="35" spans="1:18" x14ac:dyDescent="0.25">
      <c r="A35" s="24" t="s">
        <v>20464</v>
      </c>
      <c r="B35" s="25" t="s">
        <v>20465</v>
      </c>
      <c r="C35" s="26">
        <v>0.47</v>
      </c>
      <c r="D35" s="27">
        <v>1.58</v>
      </c>
      <c r="E35" s="28" t="s">
        <v>20467</v>
      </c>
      <c r="F35" s="25" t="s">
        <v>20468</v>
      </c>
      <c r="G35" s="25" t="s">
        <v>18</v>
      </c>
      <c r="H35" s="25">
        <v>17</v>
      </c>
      <c r="I35" s="25">
        <v>0</v>
      </c>
      <c r="J35" s="25" t="s">
        <v>699</v>
      </c>
      <c r="K35" s="25" t="s">
        <v>1932</v>
      </c>
      <c r="L35" s="30">
        <v>-0.06</v>
      </c>
      <c r="M35" s="26">
        <v>0.06</v>
      </c>
      <c r="N35" s="25">
        <v>0</v>
      </c>
      <c r="O35" s="25">
        <v>3</v>
      </c>
      <c r="P35" s="25" t="s">
        <v>32152</v>
      </c>
      <c r="Q35" s="25">
        <v>3</v>
      </c>
      <c r="R35" s="25">
        <v>1.4</v>
      </c>
    </row>
    <row r="36" spans="1:18" x14ac:dyDescent="0.25">
      <c r="A36" s="24" t="s">
        <v>20564</v>
      </c>
      <c r="B36" s="25" t="s">
        <v>11183</v>
      </c>
      <c r="C36" s="26">
        <v>0.36</v>
      </c>
      <c r="D36" s="27">
        <v>0</v>
      </c>
      <c r="E36" s="28" t="s">
        <v>14163</v>
      </c>
      <c r="F36" s="25" t="s">
        <v>18</v>
      </c>
      <c r="G36" s="25" t="s">
        <v>18</v>
      </c>
      <c r="H36" s="25">
        <v>33</v>
      </c>
      <c r="I36" s="29">
        <v>7</v>
      </c>
      <c r="J36" s="25" t="s">
        <v>20566</v>
      </c>
      <c r="K36" s="25" t="s">
        <v>20567</v>
      </c>
      <c r="L36" s="30">
        <v>-0.4</v>
      </c>
      <c r="M36" s="26">
        <v>0.12</v>
      </c>
      <c r="N36" s="25">
        <v>3</v>
      </c>
      <c r="O36" s="25">
        <v>23</v>
      </c>
      <c r="P36" s="25" t="s">
        <v>32153</v>
      </c>
      <c r="Q36" s="25">
        <v>34</v>
      </c>
      <c r="R36" s="25">
        <v>1</v>
      </c>
    </row>
    <row r="37" spans="1:18" x14ac:dyDescent="0.25">
      <c r="A37" s="24" t="s">
        <v>20721</v>
      </c>
      <c r="B37" s="25" t="s">
        <v>20722</v>
      </c>
      <c r="C37" s="26">
        <v>0.53</v>
      </c>
      <c r="D37" s="27">
        <v>0.49</v>
      </c>
      <c r="E37" s="28" t="s">
        <v>20723</v>
      </c>
      <c r="F37" s="29" t="s">
        <v>20724</v>
      </c>
      <c r="G37" s="25" t="s">
        <v>18</v>
      </c>
      <c r="H37" s="25">
        <v>80</v>
      </c>
      <c r="I37" s="25">
        <v>0</v>
      </c>
      <c r="J37" s="25" t="s">
        <v>699</v>
      </c>
      <c r="K37" s="25" t="s">
        <v>2955</v>
      </c>
      <c r="L37" s="27">
        <v>0.03</v>
      </c>
      <c r="M37" s="26">
        <v>0.11</v>
      </c>
      <c r="N37" s="25">
        <v>80</v>
      </c>
      <c r="O37" s="25">
        <v>59</v>
      </c>
      <c r="P37" s="25" t="s">
        <v>32154</v>
      </c>
      <c r="Q37" s="25">
        <v>3</v>
      </c>
      <c r="R37" s="25">
        <v>1</v>
      </c>
    </row>
    <row r="38" spans="1:18" x14ac:dyDescent="0.25">
      <c r="A38" s="24" t="s">
        <v>21187</v>
      </c>
      <c r="B38" s="25" t="s">
        <v>21188</v>
      </c>
      <c r="C38" s="26">
        <v>0.4</v>
      </c>
      <c r="D38" s="27">
        <v>1.22</v>
      </c>
      <c r="E38" s="28" t="s">
        <v>21190</v>
      </c>
      <c r="F38" s="25" t="s">
        <v>21191</v>
      </c>
      <c r="G38" s="25" t="s">
        <v>18</v>
      </c>
      <c r="H38" s="25">
        <v>15</v>
      </c>
      <c r="I38" s="25">
        <v>0</v>
      </c>
      <c r="J38" s="25" t="s">
        <v>4437</v>
      </c>
      <c r="K38" s="25" t="s">
        <v>20378</v>
      </c>
      <c r="L38" s="30">
        <v>-0.25</v>
      </c>
      <c r="M38" s="26">
        <v>0.27</v>
      </c>
      <c r="N38" s="25">
        <v>7</v>
      </c>
      <c r="O38" s="25">
        <v>15</v>
      </c>
      <c r="P38" s="25" t="s">
        <v>32155</v>
      </c>
      <c r="Q38" s="25">
        <v>24</v>
      </c>
      <c r="R38" s="25">
        <v>1.8</v>
      </c>
    </row>
    <row r="39" spans="1:18" x14ac:dyDescent="0.25">
      <c r="A39" s="24" t="s">
        <v>21265</v>
      </c>
      <c r="B39" s="25" t="s">
        <v>21266</v>
      </c>
      <c r="C39" s="26">
        <v>0.75</v>
      </c>
      <c r="D39" s="27">
        <v>1.49</v>
      </c>
      <c r="E39" s="28" t="s">
        <v>21268</v>
      </c>
      <c r="F39" s="25" t="s">
        <v>21269</v>
      </c>
      <c r="G39" s="25" t="s">
        <v>18</v>
      </c>
      <c r="H39" s="25">
        <v>28</v>
      </c>
      <c r="I39" s="25">
        <v>0</v>
      </c>
      <c r="J39" s="25" t="s">
        <v>699</v>
      </c>
      <c r="K39" s="25" t="s">
        <v>1566</v>
      </c>
      <c r="L39" s="27">
        <v>0.3</v>
      </c>
      <c r="M39" s="26">
        <v>0.21</v>
      </c>
      <c r="N39" s="25">
        <v>25</v>
      </c>
      <c r="O39" s="25">
        <v>14</v>
      </c>
      <c r="P39" s="25" t="s">
        <v>32156</v>
      </c>
      <c r="Q39" s="25">
        <v>4</v>
      </c>
      <c r="R39" s="25">
        <v>1.3</v>
      </c>
    </row>
    <row r="40" spans="1:18" x14ac:dyDescent="0.25">
      <c r="A40" s="24" t="s">
        <v>21425</v>
      </c>
      <c r="B40" s="25" t="s">
        <v>21426</v>
      </c>
      <c r="C40" s="26">
        <v>0.36</v>
      </c>
      <c r="D40" s="27">
        <v>1.29</v>
      </c>
      <c r="E40" s="28" t="s">
        <v>21428</v>
      </c>
      <c r="F40" s="25" t="s">
        <v>21191</v>
      </c>
      <c r="G40" s="25" t="s">
        <v>18</v>
      </c>
      <c r="H40" s="25">
        <v>14</v>
      </c>
      <c r="I40" s="25">
        <v>0</v>
      </c>
      <c r="J40" s="25" t="s">
        <v>4437</v>
      </c>
      <c r="K40" s="25" t="s">
        <v>21429</v>
      </c>
      <c r="L40" s="30">
        <v>-0.5</v>
      </c>
      <c r="M40" s="26">
        <v>0.28999999999999998</v>
      </c>
      <c r="N40" s="25">
        <v>7</v>
      </c>
      <c r="O40" s="25">
        <v>20</v>
      </c>
      <c r="P40" s="25" t="s">
        <v>32157</v>
      </c>
      <c r="Q40" s="25">
        <v>24</v>
      </c>
      <c r="R40" s="25">
        <v>1.9</v>
      </c>
    </row>
    <row r="41" spans="1:18" x14ac:dyDescent="0.25">
      <c r="A41" s="24" t="s">
        <v>21489</v>
      </c>
      <c r="B41" s="25" t="s">
        <v>21490</v>
      </c>
      <c r="C41" s="26">
        <v>0.27</v>
      </c>
      <c r="D41" s="30">
        <v>-0.61</v>
      </c>
      <c r="E41" s="29" t="s">
        <v>21492</v>
      </c>
      <c r="F41" s="25" t="s">
        <v>18</v>
      </c>
      <c r="G41" s="25" t="s">
        <v>21493</v>
      </c>
      <c r="H41" s="25">
        <v>15</v>
      </c>
      <c r="I41" s="25">
        <v>2</v>
      </c>
      <c r="J41" s="25" t="s">
        <v>538</v>
      </c>
      <c r="K41" s="25" t="s">
        <v>699</v>
      </c>
      <c r="L41" s="30">
        <v>-1</v>
      </c>
      <c r="M41" s="26">
        <v>7.0000000000000007E-2</v>
      </c>
      <c r="N41" s="25">
        <v>0</v>
      </c>
      <c r="O41" s="25">
        <v>30</v>
      </c>
      <c r="P41" s="25" t="s">
        <v>32158</v>
      </c>
      <c r="Q41" s="25">
        <v>320</v>
      </c>
      <c r="R41" s="25">
        <v>2.5</v>
      </c>
    </row>
    <row r="42" spans="1:18" x14ac:dyDescent="0.25">
      <c r="A42" s="24" t="s">
        <v>21595</v>
      </c>
      <c r="B42" s="25" t="s">
        <v>21596</v>
      </c>
      <c r="C42" s="26">
        <v>0.67</v>
      </c>
      <c r="D42" s="27">
        <v>2.41</v>
      </c>
      <c r="E42" s="28" t="s">
        <v>21599</v>
      </c>
      <c r="F42" s="25" t="s">
        <v>18</v>
      </c>
      <c r="G42" s="25" t="s">
        <v>18</v>
      </c>
      <c r="H42" s="25">
        <v>9</v>
      </c>
      <c r="I42" s="25">
        <v>0</v>
      </c>
      <c r="J42" s="25" t="s">
        <v>21600</v>
      </c>
      <c r="K42" s="25" t="s">
        <v>2617</v>
      </c>
      <c r="L42" s="27">
        <v>0.85</v>
      </c>
      <c r="M42" s="26">
        <v>0.44</v>
      </c>
      <c r="N42" s="25">
        <v>7</v>
      </c>
      <c r="O42" s="25">
        <v>6</v>
      </c>
      <c r="P42" s="25" t="s">
        <v>32159</v>
      </c>
      <c r="Q42" s="25">
        <v>29</v>
      </c>
      <c r="R42" s="25">
        <v>1.1000000000000001</v>
      </c>
    </row>
    <row r="43" spans="1:18" x14ac:dyDescent="0.25">
      <c r="A43" s="24" t="s">
        <v>21656</v>
      </c>
      <c r="B43" s="25" t="s">
        <v>21657</v>
      </c>
      <c r="C43" s="26">
        <v>0.4</v>
      </c>
      <c r="D43" s="27">
        <v>0.47</v>
      </c>
      <c r="E43" s="28" t="s">
        <v>21658</v>
      </c>
      <c r="F43" s="25" t="s">
        <v>21659</v>
      </c>
      <c r="G43" s="25" t="s">
        <v>18</v>
      </c>
      <c r="H43" s="25">
        <v>53</v>
      </c>
      <c r="I43" s="25">
        <v>0</v>
      </c>
      <c r="J43" s="25" t="s">
        <v>4413</v>
      </c>
      <c r="K43" s="25" t="s">
        <v>2047</v>
      </c>
      <c r="L43" s="30">
        <v>-0.05</v>
      </c>
      <c r="M43" s="26">
        <v>0.09</v>
      </c>
      <c r="N43" s="25">
        <v>44</v>
      </c>
      <c r="O43" s="25">
        <v>92</v>
      </c>
      <c r="P43" s="25" t="s">
        <v>32160</v>
      </c>
      <c r="Q43" s="25">
        <v>8</v>
      </c>
      <c r="R43" s="25">
        <v>1.2</v>
      </c>
    </row>
    <row r="44" spans="1:18" x14ac:dyDescent="0.25">
      <c r="A44" s="24" t="s">
        <v>21962</v>
      </c>
      <c r="B44" s="25" t="s">
        <v>21963</v>
      </c>
      <c r="C44" s="26">
        <v>0.12</v>
      </c>
      <c r="D44" s="30">
        <v>-0.42</v>
      </c>
      <c r="E44" s="29" t="s">
        <v>21965</v>
      </c>
      <c r="F44" s="25" t="s">
        <v>18</v>
      </c>
      <c r="G44" s="25" t="s">
        <v>18</v>
      </c>
      <c r="H44" s="25">
        <v>58</v>
      </c>
      <c r="I44" s="29">
        <v>6</v>
      </c>
      <c r="J44" s="25" t="s">
        <v>414</v>
      </c>
      <c r="K44" s="25" t="s">
        <v>788</v>
      </c>
      <c r="L44" s="30">
        <v>-1</v>
      </c>
      <c r="M44" s="26">
        <v>0.03</v>
      </c>
      <c r="N44" s="25">
        <v>32</v>
      </c>
      <c r="O44" s="25">
        <v>86</v>
      </c>
      <c r="P44" s="25" t="s">
        <v>32161</v>
      </c>
      <c r="Q44" s="25">
        <v>5</v>
      </c>
      <c r="R44" s="25">
        <v>1</v>
      </c>
    </row>
    <row r="45" spans="1:18" x14ac:dyDescent="0.25">
      <c r="A45" s="24" t="s">
        <v>22208</v>
      </c>
      <c r="B45" s="25" t="s">
        <v>22209</v>
      </c>
      <c r="C45" s="26">
        <v>0</v>
      </c>
      <c r="D45" s="30">
        <v>-1</v>
      </c>
      <c r="E45" s="29" t="s">
        <v>22211</v>
      </c>
      <c r="F45" s="25" t="s">
        <v>18</v>
      </c>
      <c r="G45" s="25" t="s">
        <v>18</v>
      </c>
      <c r="H45" s="25">
        <v>1</v>
      </c>
      <c r="I45" s="25">
        <v>0</v>
      </c>
      <c r="J45" s="25" t="s">
        <v>101</v>
      </c>
      <c r="K45" s="25" t="s">
        <v>22212</v>
      </c>
      <c r="L45" s="30">
        <v>-1</v>
      </c>
      <c r="M45" s="26">
        <v>0</v>
      </c>
      <c r="N45" s="25">
        <v>0</v>
      </c>
      <c r="O45" s="25">
        <v>48</v>
      </c>
      <c r="P45" s="25" t="s">
        <v>32162</v>
      </c>
      <c r="Q45" s="25">
        <v>227</v>
      </c>
      <c r="R45" s="25">
        <v>1</v>
      </c>
    </row>
    <row r="46" spans="1:18" x14ac:dyDescent="0.25">
      <c r="A46" s="24" t="s">
        <v>22220</v>
      </c>
      <c r="B46" s="25" t="s">
        <v>22221</v>
      </c>
      <c r="C46" s="26">
        <v>0.31</v>
      </c>
      <c r="D46" s="27">
        <v>0.79</v>
      </c>
      <c r="E46" s="28" t="s">
        <v>22222</v>
      </c>
      <c r="F46" s="25" t="s">
        <v>20377</v>
      </c>
      <c r="G46" s="25" t="s">
        <v>18</v>
      </c>
      <c r="H46" s="25">
        <v>13</v>
      </c>
      <c r="I46" s="25">
        <v>0</v>
      </c>
      <c r="J46" s="25" t="s">
        <v>4437</v>
      </c>
      <c r="K46" s="25" t="s">
        <v>20378</v>
      </c>
      <c r="L46" s="30">
        <v>-0.72</v>
      </c>
      <c r="M46" s="26">
        <v>0.23</v>
      </c>
      <c r="N46" s="25">
        <v>6</v>
      </c>
      <c r="O46" s="25">
        <v>22</v>
      </c>
      <c r="P46" s="25" t="s">
        <v>32163</v>
      </c>
      <c r="Q46" s="25">
        <v>24</v>
      </c>
      <c r="R46" s="25">
        <v>1.9</v>
      </c>
    </row>
    <row r="47" spans="1:18" x14ac:dyDescent="0.25">
      <c r="A47" s="24" t="s">
        <v>22276</v>
      </c>
      <c r="B47" s="25" t="s">
        <v>22277</v>
      </c>
      <c r="C47" s="26">
        <v>0.13</v>
      </c>
      <c r="D47" s="30">
        <v>-7.0000000000000007E-2</v>
      </c>
      <c r="E47" s="29" t="s">
        <v>22279</v>
      </c>
      <c r="F47" s="25" t="s">
        <v>18</v>
      </c>
      <c r="G47" s="25" t="s">
        <v>18</v>
      </c>
      <c r="H47" s="25">
        <v>8</v>
      </c>
      <c r="I47" s="25">
        <v>3</v>
      </c>
      <c r="J47" s="25" t="s">
        <v>4550</v>
      </c>
      <c r="K47" s="25" t="s">
        <v>414</v>
      </c>
      <c r="L47" s="30">
        <v>-1</v>
      </c>
      <c r="M47" s="26">
        <v>0.12</v>
      </c>
      <c r="N47" s="25">
        <v>2</v>
      </c>
      <c r="O47" s="25">
        <v>82</v>
      </c>
      <c r="P47" s="25" t="s">
        <v>32164</v>
      </c>
      <c r="Q47" s="25">
        <v>87</v>
      </c>
      <c r="R47" s="25">
        <v>3.5</v>
      </c>
    </row>
    <row r="48" spans="1:18" x14ac:dyDescent="0.25">
      <c r="A48" s="24" t="s">
        <v>22328</v>
      </c>
      <c r="B48" s="25" t="s">
        <v>22329</v>
      </c>
      <c r="C48" s="26">
        <v>0.5</v>
      </c>
      <c r="D48" s="27">
        <v>1.58</v>
      </c>
      <c r="E48" s="28" t="s">
        <v>22330</v>
      </c>
      <c r="F48" s="25" t="s">
        <v>20377</v>
      </c>
      <c r="G48" s="25" t="s">
        <v>18</v>
      </c>
      <c r="H48" s="25">
        <v>12</v>
      </c>
      <c r="I48" s="25">
        <v>0</v>
      </c>
      <c r="J48" s="25" t="s">
        <v>4437</v>
      </c>
      <c r="K48" s="25" t="s">
        <v>22331</v>
      </c>
      <c r="L48" s="27">
        <v>0.03</v>
      </c>
      <c r="M48" s="26">
        <v>0.25</v>
      </c>
      <c r="N48" s="25">
        <v>3</v>
      </c>
      <c r="O48" s="25">
        <v>15</v>
      </c>
      <c r="P48" s="25" t="s">
        <v>32165</v>
      </c>
      <c r="Q48" s="25">
        <v>24</v>
      </c>
      <c r="R48" s="25">
        <v>1.8</v>
      </c>
    </row>
    <row r="49" spans="1:18" x14ac:dyDescent="0.25">
      <c r="A49" s="24" t="s">
        <v>22378</v>
      </c>
      <c r="B49" s="25" t="s">
        <v>22379</v>
      </c>
      <c r="C49" s="26">
        <v>0.48</v>
      </c>
      <c r="D49" s="27">
        <v>0.01</v>
      </c>
      <c r="E49" s="28" t="s">
        <v>22380</v>
      </c>
      <c r="F49" s="25" t="s">
        <v>22381</v>
      </c>
      <c r="G49" s="25" t="s">
        <v>18</v>
      </c>
      <c r="H49" s="25">
        <v>66</v>
      </c>
      <c r="I49" s="25">
        <v>4</v>
      </c>
      <c r="J49" s="25" t="s">
        <v>22382</v>
      </c>
      <c r="K49" s="25" t="s">
        <v>3180</v>
      </c>
      <c r="L49" s="30">
        <v>-0.02</v>
      </c>
      <c r="M49" s="26">
        <v>0.05</v>
      </c>
      <c r="N49" s="25">
        <v>17</v>
      </c>
      <c r="O49" s="25">
        <v>59</v>
      </c>
      <c r="P49" s="25" t="s">
        <v>32166</v>
      </c>
      <c r="Q49" s="25">
        <v>236</v>
      </c>
      <c r="R49" s="25">
        <v>1.4</v>
      </c>
    </row>
    <row r="50" spans="1:18" x14ac:dyDescent="0.25">
      <c r="A50" s="24" t="s">
        <v>22689</v>
      </c>
      <c r="B50" s="25" t="s">
        <v>22690</v>
      </c>
      <c r="C50" s="26">
        <v>0.43</v>
      </c>
      <c r="D50" s="27">
        <v>0.28999999999999998</v>
      </c>
      <c r="E50" s="28" t="s">
        <v>22691</v>
      </c>
      <c r="F50" s="25" t="s">
        <v>18</v>
      </c>
      <c r="G50" s="25" t="s">
        <v>18</v>
      </c>
      <c r="H50" s="25">
        <v>87</v>
      </c>
      <c r="I50" s="29">
        <v>14</v>
      </c>
      <c r="J50" s="25" t="s">
        <v>18115</v>
      </c>
      <c r="K50" s="25" t="s">
        <v>3269</v>
      </c>
      <c r="L50" s="30">
        <v>-0.31</v>
      </c>
      <c r="M50" s="26">
        <v>0.21</v>
      </c>
      <c r="N50" s="25">
        <v>32</v>
      </c>
      <c r="O50" s="25">
        <v>214</v>
      </c>
      <c r="P50" s="25" t="s">
        <v>32167</v>
      </c>
      <c r="Q50" s="25">
        <v>23</v>
      </c>
      <c r="R50" s="25">
        <v>1.1000000000000001</v>
      </c>
    </row>
    <row r="51" spans="1:18" x14ac:dyDescent="0.25">
      <c r="A51" s="24" t="s">
        <v>23071</v>
      </c>
      <c r="B51" s="25" t="s">
        <v>23072</v>
      </c>
      <c r="C51" s="26">
        <v>0.31</v>
      </c>
      <c r="D51" s="27">
        <v>1.37</v>
      </c>
      <c r="E51" s="28" t="s">
        <v>23074</v>
      </c>
      <c r="F51" s="25" t="s">
        <v>20377</v>
      </c>
      <c r="G51" s="25" t="s">
        <v>18</v>
      </c>
      <c r="H51" s="25">
        <v>13</v>
      </c>
      <c r="I51" s="25">
        <v>0</v>
      </c>
      <c r="J51" s="25" t="s">
        <v>4437</v>
      </c>
      <c r="K51" s="25" t="s">
        <v>20378</v>
      </c>
      <c r="L51" s="30">
        <v>-0.35</v>
      </c>
      <c r="M51" s="26">
        <v>0.15</v>
      </c>
      <c r="N51" s="25">
        <v>4</v>
      </c>
      <c r="O51" s="25">
        <v>23</v>
      </c>
      <c r="P51" s="25" t="s">
        <v>32168</v>
      </c>
      <c r="Q51" s="25">
        <v>24</v>
      </c>
      <c r="R51" s="25">
        <v>1.8</v>
      </c>
    </row>
    <row r="52" spans="1:18" x14ac:dyDescent="0.25">
      <c r="A52" s="24" t="s">
        <v>23128</v>
      </c>
      <c r="B52" s="25" t="s">
        <v>23129</v>
      </c>
      <c r="C52" s="26">
        <v>0.5</v>
      </c>
      <c r="D52" s="27">
        <v>2.15</v>
      </c>
      <c r="E52" s="28" t="s">
        <v>23131</v>
      </c>
      <c r="F52" s="29" t="s">
        <v>23132</v>
      </c>
      <c r="G52" s="25" t="s">
        <v>18</v>
      </c>
      <c r="H52" s="25">
        <v>6</v>
      </c>
      <c r="I52" s="25">
        <v>0</v>
      </c>
      <c r="J52" s="25" t="s">
        <v>4420</v>
      </c>
      <c r="K52" s="25" t="s">
        <v>4268</v>
      </c>
      <c r="L52" s="27">
        <v>0.3</v>
      </c>
      <c r="M52" s="26">
        <v>0.33</v>
      </c>
      <c r="N52" s="25">
        <v>4</v>
      </c>
      <c r="O52" s="25">
        <v>10</v>
      </c>
      <c r="P52" s="25" t="s">
        <v>32169</v>
      </c>
      <c r="Q52" s="25">
        <v>28</v>
      </c>
      <c r="R52" s="25">
        <v>1.2</v>
      </c>
    </row>
    <row r="53" spans="1:18" x14ac:dyDescent="0.25">
      <c r="A53" s="24" t="s">
        <v>23168</v>
      </c>
      <c r="B53" s="25" t="s">
        <v>23169</v>
      </c>
      <c r="C53" s="26">
        <v>0.49</v>
      </c>
      <c r="D53" s="27">
        <v>0.75</v>
      </c>
      <c r="E53" s="28" t="s">
        <v>23170</v>
      </c>
      <c r="F53" s="29" t="s">
        <v>23171</v>
      </c>
      <c r="G53" s="25" t="s">
        <v>18</v>
      </c>
      <c r="H53" s="25">
        <v>77</v>
      </c>
      <c r="I53" s="25">
        <v>0</v>
      </c>
      <c r="J53" s="25" t="s">
        <v>4429</v>
      </c>
      <c r="K53" s="25" t="s">
        <v>7601</v>
      </c>
      <c r="L53" s="30">
        <v>-0.01</v>
      </c>
      <c r="M53" s="26">
        <v>0.03</v>
      </c>
      <c r="N53" s="25">
        <v>70</v>
      </c>
      <c r="O53" s="25">
        <v>17</v>
      </c>
      <c r="P53" s="25" t="s">
        <v>32170</v>
      </c>
      <c r="Q53" s="25">
        <v>24</v>
      </c>
      <c r="R53" s="25">
        <v>1.1000000000000001</v>
      </c>
    </row>
    <row r="54" spans="1:18" x14ac:dyDescent="0.25">
      <c r="A54" s="24" t="s">
        <v>23488</v>
      </c>
      <c r="B54" s="25" t="s">
        <v>23489</v>
      </c>
      <c r="C54" s="26">
        <v>0.42</v>
      </c>
      <c r="D54" s="27">
        <v>0.24</v>
      </c>
      <c r="E54" s="28" t="s">
        <v>23490</v>
      </c>
      <c r="F54" s="25" t="s">
        <v>18</v>
      </c>
      <c r="G54" s="25" t="s">
        <v>18</v>
      </c>
      <c r="H54" s="25">
        <v>62</v>
      </c>
      <c r="I54" s="29">
        <v>7</v>
      </c>
      <c r="J54" s="25" t="s">
        <v>13641</v>
      </c>
      <c r="K54" s="25" t="s">
        <v>23491</v>
      </c>
      <c r="L54" s="30">
        <v>-0.17</v>
      </c>
      <c r="M54" s="26">
        <v>0.24</v>
      </c>
      <c r="N54" s="25">
        <v>23</v>
      </c>
      <c r="O54" s="25">
        <v>170</v>
      </c>
      <c r="P54" s="25" t="s">
        <v>32171</v>
      </c>
      <c r="Q54" s="25">
        <v>19</v>
      </c>
      <c r="R54" s="25">
        <v>1.1000000000000001</v>
      </c>
    </row>
    <row r="55" spans="1:18" x14ac:dyDescent="0.25">
      <c r="A55" s="24" t="s">
        <v>23728</v>
      </c>
      <c r="B55" s="25" t="s">
        <v>23729</v>
      </c>
      <c r="C55" s="26">
        <v>0.16</v>
      </c>
      <c r="D55" s="30">
        <v>-0.48</v>
      </c>
      <c r="E55" s="29" t="s">
        <v>23731</v>
      </c>
      <c r="F55" s="25" t="s">
        <v>18</v>
      </c>
      <c r="G55" s="25" t="s">
        <v>18</v>
      </c>
      <c r="H55" s="25">
        <v>67</v>
      </c>
      <c r="I55" s="29">
        <v>41</v>
      </c>
      <c r="J55" s="25" t="s">
        <v>16073</v>
      </c>
      <c r="K55" s="25" t="s">
        <v>20</v>
      </c>
      <c r="L55" s="30">
        <v>-1</v>
      </c>
      <c r="M55" s="26">
        <v>0.04</v>
      </c>
      <c r="N55" s="25">
        <v>4</v>
      </c>
      <c r="O55" s="25">
        <v>21</v>
      </c>
      <c r="P55" s="25" t="s">
        <v>32172</v>
      </c>
      <c r="Q55" s="25">
        <v>100</v>
      </c>
      <c r="R55" s="25">
        <v>1.3</v>
      </c>
    </row>
    <row r="56" spans="1:18" x14ac:dyDescent="0.25">
      <c r="A56" s="24" t="s">
        <v>24030</v>
      </c>
      <c r="B56" s="25" t="s">
        <v>24031</v>
      </c>
      <c r="C56" s="26">
        <v>0.67</v>
      </c>
      <c r="D56" s="27">
        <v>1.82</v>
      </c>
      <c r="E56" s="28" t="s">
        <v>24033</v>
      </c>
      <c r="F56" s="29" t="s">
        <v>23132</v>
      </c>
      <c r="G56" s="25" t="s">
        <v>18</v>
      </c>
      <c r="H56" s="25">
        <v>6</v>
      </c>
      <c r="I56" s="25">
        <v>0</v>
      </c>
      <c r="J56" s="25" t="s">
        <v>356</v>
      </c>
      <c r="K56" s="25" t="s">
        <v>602</v>
      </c>
      <c r="L56" s="27">
        <v>0.17</v>
      </c>
      <c r="M56" s="26">
        <v>0.17</v>
      </c>
      <c r="N56" s="25">
        <v>2</v>
      </c>
      <c r="O56" s="25">
        <v>19</v>
      </c>
      <c r="P56" s="25" t="s">
        <v>32173</v>
      </c>
      <c r="Q56" s="25">
        <v>5</v>
      </c>
      <c r="R56" s="25">
        <v>1.7</v>
      </c>
    </row>
    <row r="57" spans="1:18" x14ac:dyDescent="0.25">
      <c r="A57" s="24" t="s">
        <v>24071</v>
      </c>
      <c r="B57" s="25" t="s">
        <v>24072</v>
      </c>
      <c r="C57" s="26">
        <v>0.53</v>
      </c>
      <c r="D57" s="27">
        <v>0.49</v>
      </c>
      <c r="E57" s="28" t="s">
        <v>24073</v>
      </c>
      <c r="F57" s="29" t="s">
        <v>24074</v>
      </c>
      <c r="G57" s="25" t="s">
        <v>18</v>
      </c>
      <c r="H57" s="25">
        <v>49</v>
      </c>
      <c r="I57" s="25">
        <v>0</v>
      </c>
      <c r="J57" s="25" t="s">
        <v>4550</v>
      </c>
      <c r="K57" s="25" t="s">
        <v>1827</v>
      </c>
      <c r="L57" s="27">
        <v>0.02</v>
      </c>
      <c r="M57" s="26">
        <v>0.08</v>
      </c>
      <c r="N57" s="25">
        <v>12</v>
      </c>
      <c r="O57" s="25">
        <v>33</v>
      </c>
      <c r="P57" s="25" t="s">
        <v>32174</v>
      </c>
      <c r="Q57" s="25">
        <v>13</v>
      </c>
      <c r="R57" s="25">
        <v>1.6</v>
      </c>
    </row>
    <row r="58" spans="1:18" x14ac:dyDescent="0.25">
      <c r="A58" s="24" t="s">
        <v>24235</v>
      </c>
      <c r="B58" s="25" t="s">
        <v>24236</v>
      </c>
      <c r="C58" s="26">
        <v>0.5</v>
      </c>
      <c r="D58" s="27">
        <v>0.39</v>
      </c>
      <c r="E58" s="28" t="s">
        <v>24237</v>
      </c>
      <c r="F58" s="25" t="s">
        <v>24238</v>
      </c>
      <c r="G58" s="25" t="s">
        <v>18</v>
      </c>
      <c r="H58" s="25">
        <v>16</v>
      </c>
      <c r="I58" s="25">
        <v>1</v>
      </c>
      <c r="J58" s="25" t="s">
        <v>479</v>
      </c>
      <c r="K58" s="25" t="s">
        <v>1566</v>
      </c>
      <c r="L58" s="27">
        <v>0.01</v>
      </c>
      <c r="M58" s="26">
        <v>0.25</v>
      </c>
      <c r="N58" s="25">
        <v>5</v>
      </c>
      <c r="O58" s="25">
        <v>7</v>
      </c>
      <c r="P58" s="25" t="s">
        <v>32175</v>
      </c>
      <c r="Q58" s="25">
        <v>8</v>
      </c>
      <c r="R58" s="25">
        <v>1.4</v>
      </c>
    </row>
    <row r="59" spans="1:18" x14ac:dyDescent="0.25">
      <c r="A59" s="24" t="s">
        <v>24329</v>
      </c>
      <c r="B59" s="25" t="s">
        <v>24330</v>
      </c>
      <c r="C59" s="26">
        <v>0.38</v>
      </c>
      <c r="D59" s="30">
        <v>-0.01</v>
      </c>
      <c r="E59" s="29" t="s">
        <v>24331</v>
      </c>
      <c r="F59" s="25" t="s">
        <v>18</v>
      </c>
      <c r="G59" s="25" t="s">
        <v>24332</v>
      </c>
      <c r="H59" s="25">
        <v>16</v>
      </c>
      <c r="I59" s="25">
        <v>1</v>
      </c>
      <c r="J59" s="25" t="s">
        <v>24333</v>
      </c>
      <c r="K59" s="25" t="s">
        <v>24334</v>
      </c>
      <c r="L59" s="30">
        <v>-1</v>
      </c>
      <c r="M59" s="26">
        <v>0.25</v>
      </c>
      <c r="N59" s="25">
        <v>5</v>
      </c>
      <c r="O59" s="25">
        <v>8</v>
      </c>
      <c r="P59" s="25" t="s">
        <v>32176</v>
      </c>
      <c r="Q59" s="25">
        <v>67</v>
      </c>
      <c r="R59" s="25">
        <v>2.4</v>
      </c>
    </row>
    <row r="60" spans="1:18" x14ac:dyDescent="0.25">
      <c r="A60" s="24" t="s">
        <v>24417</v>
      </c>
      <c r="B60" s="25" t="s">
        <v>24418</v>
      </c>
      <c r="C60" s="26">
        <v>0.65</v>
      </c>
      <c r="D60" s="27">
        <v>0.79</v>
      </c>
      <c r="E60" s="28" t="s">
        <v>24419</v>
      </c>
      <c r="F60" s="29" t="s">
        <v>24420</v>
      </c>
      <c r="G60" s="25" t="s">
        <v>18</v>
      </c>
      <c r="H60" s="25">
        <v>40</v>
      </c>
      <c r="I60" s="25">
        <v>1</v>
      </c>
      <c r="J60" s="25" t="s">
        <v>150</v>
      </c>
      <c r="K60" s="25" t="s">
        <v>1434</v>
      </c>
      <c r="L60" s="27">
        <v>0.23</v>
      </c>
      <c r="M60" s="26">
        <v>0.38</v>
      </c>
      <c r="N60" s="25">
        <v>40</v>
      </c>
      <c r="O60" s="25">
        <v>22</v>
      </c>
      <c r="P60" s="25" t="s">
        <v>32177</v>
      </c>
      <c r="Q60" s="25">
        <v>8</v>
      </c>
      <c r="R60" s="25">
        <v>1.1000000000000001</v>
      </c>
    </row>
    <row r="61" spans="1:18" x14ac:dyDescent="0.25">
      <c r="A61" s="24" t="s">
        <v>24622</v>
      </c>
      <c r="B61" s="25" t="s">
        <v>24623</v>
      </c>
      <c r="C61" s="26">
        <v>0.53</v>
      </c>
      <c r="D61" s="27">
        <v>0.63</v>
      </c>
      <c r="E61" s="28" t="s">
        <v>24624</v>
      </c>
      <c r="F61" s="29" t="s">
        <v>24625</v>
      </c>
      <c r="G61" s="25" t="s">
        <v>18</v>
      </c>
      <c r="H61" s="25">
        <v>59</v>
      </c>
      <c r="I61" s="25">
        <v>0</v>
      </c>
      <c r="J61" s="25" t="s">
        <v>24626</v>
      </c>
      <c r="K61" s="25" t="s">
        <v>1448</v>
      </c>
      <c r="L61" s="27">
        <v>0.03</v>
      </c>
      <c r="M61" s="26">
        <v>0.28999999999999998</v>
      </c>
      <c r="N61" s="25">
        <v>59</v>
      </c>
      <c r="O61" s="25">
        <v>48</v>
      </c>
      <c r="P61" s="25" t="s">
        <v>32178</v>
      </c>
      <c r="Q61" s="25">
        <v>35</v>
      </c>
      <c r="R61" s="25">
        <v>1</v>
      </c>
    </row>
    <row r="62" spans="1:18" x14ac:dyDescent="0.25">
      <c r="A62" s="24" t="s">
        <v>24894</v>
      </c>
      <c r="B62" s="25" t="s">
        <v>24895</v>
      </c>
      <c r="C62" s="26">
        <v>0.27</v>
      </c>
      <c r="D62" s="27">
        <v>0.73</v>
      </c>
      <c r="E62" s="28" t="s">
        <v>24897</v>
      </c>
      <c r="F62" s="25" t="s">
        <v>16072</v>
      </c>
      <c r="G62" s="25" t="s">
        <v>16072</v>
      </c>
      <c r="H62" s="25">
        <v>107</v>
      </c>
      <c r="I62" s="29">
        <v>15</v>
      </c>
      <c r="J62" s="25" t="s">
        <v>14696</v>
      </c>
      <c r="K62" s="25" t="s">
        <v>1526</v>
      </c>
      <c r="L62" s="30">
        <v>-0.64</v>
      </c>
      <c r="M62" s="26">
        <v>7.0000000000000007E-2</v>
      </c>
      <c r="N62" s="25">
        <v>53</v>
      </c>
      <c r="O62" s="25">
        <v>40</v>
      </c>
      <c r="P62" s="25" t="s">
        <v>32179</v>
      </c>
      <c r="Q62" s="25">
        <v>145</v>
      </c>
      <c r="R62" s="25">
        <v>1</v>
      </c>
    </row>
    <row r="63" spans="1:18" x14ac:dyDescent="0.25">
      <c r="A63" s="24" t="s">
        <v>25326</v>
      </c>
      <c r="B63" s="25" t="s">
        <v>25327</v>
      </c>
      <c r="C63" s="26">
        <v>0.18</v>
      </c>
      <c r="D63" s="30">
        <v>-0.32</v>
      </c>
      <c r="E63" s="29" t="s">
        <v>25329</v>
      </c>
      <c r="F63" s="25" t="s">
        <v>18</v>
      </c>
      <c r="G63" s="25" t="s">
        <v>11187</v>
      </c>
      <c r="H63" s="25">
        <v>237</v>
      </c>
      <c r="I63" s="29">
        <v>97</v>
      </c>
      <c r="J63" s="25" t="s">
        <v>25330</v>
      </c>
      <c r="K63" s="25" t="s">
        <v>414</v>
      </c>
      <c r="L63" s="30">
        <v>-1</v>
      </c>
      <c r="M63" s="26">
        <v>0.11</v>
      </c>
      <c r="N63" s="25">
        <v>7</v>
      </c>
      <c r="O63" s="25">
        <v>499</v>
      </c>
      <c r="P63" s="25" t="s">
        <v>32180</v>
      </c>
      <c r="Q63" s="25">
        <v>75</v>
      </c>
      <c r="R63" s="25">
        <v>1.2</v>
      </c>
    </row>
    <row r="64" spans="1:18" x14ac:dyDescent="0.25">
      <c r="A64" s="24" t="s">
        <v>26286</v>
      </c>
      <c r="B64" s="25" t="s">
        <v>26287</v>
      </c>
      <c r="C64" s="26">
        <v>0.15</v>
      </c>
      <c r="D64" s="27">
        <v>0.28999999999999998</v>
      </c>
      <c r="E64" s="28" t="s">
        <v>26288</v>
      </c>
      <c r="F64" s="25" t="s">
        <v>26289</v>
      </c>
      <c r="G64" s="25" t="s">
        <v>18</v>
      </c>
      <c r="H64" s="25">
        <v>117</v>
      </c>
      <c r="I64" s="29">
        <v>29</v>
      </c>
      <c r="J64" s="25" t="s">
        <v>2145</v>
      </c>
      <c r="K64" s="25" t="s">
        <v>5501</v>
      </c>
      <c r="L64" s="30">
        <v>-1</v>
      </c>
      <c r="M64" s="26">
        <v>0.08</v>
      </c>
      <c r="N64" s="25">
        <v>42</v>
      </c>
      <c r="O64" s="25">
        <v>71</v>
      </c>
      <c r="P64" s="25" t="s">
        <v>32181</v>
      </c>
      <c r="Q64" s="25">
        <v>7</v>
      </c>
      <c r="R64" s="25">
        <v>1.2</v>
      </c>
    </row>
    <row r="65" spans="1:18" x14ac:dyDescent="0.25">
      <c r="A65" s="24" t="s">
        <v>26706</v>
      </c>
      <c r="B65" s="25" t="s">
        <v>26707</v>
      </c>
      <c r="C65" s="26">
        <v>0.3</v>
      </c>
      <c r="D65" s="27">
        <v>0.91</v>
      </c>
      <c r="E65" s="28" t="s">
        <v>26709</v>
      </c>
      <c r="F65" s="25" t="s">
        <v>26710</v>
      </c>
      <c r="G65" s="25" t="s">
        <v>18</v>
      </c>
      <c r="H65" s="25">
        <v>56</v>
      </c>
      <c r="I65" s="25">
        <v>1</v>
      </c>
      <c r="J65" s="25" t="s">
        <v>2145</v>
      </c>
      <c r="K65" s="25" t="s">
        <v>1526</v>
      </c>
      <c r="L65" s="30">
        <v>-0.24</v>
      </c>
      <c r="M65" s="26">
        <v>0.09</v>
      </c>
      <c r="N65" s="25">
        <v>21</v>
      </c>
      <c r="O65" s="25">
        <v>75</v>
      </c>
      <c r="P65" s="25" t="s">
        <v>32182</v>
      </c>
      <c r="Q65" s="25">
        <v>6</v>
      </c>
      <c r="R65" s="25">
        <v>1.5</v>
      </c>
    </row>
    <row r="66" spans="1:18" x14ac:dyDescent="0.25">
      <c r="A66" s="24" t="s">
        <v>26980</v>
      </c>
      <c r="B66" s="25" t="s">
        <v>26981</v>
      </c>
      <c r="C66" s="26">
        <v>0.5</v>
      </c>
      <c r="D66" s="27">
        <v>1.1100000000000001</v>
      </c>
      <c r="E66" s="28" t="s">
        <v>26983</v>
      </c>
      <c r="F66" s="25" t="s">
        <v>18</v>
      </c>
      <c r="G66" s="25" t="s">
        <v>18</v>
      </c>
      <c r="H66" s="25">
        <v>8</v>
      </c>
      <c r="I66" s="25">
        <v>0</v>
      </c>
      <c r="J66" s="25" t="s">
        <v>132</v>
      </c>
      <c r="K66" s="25" t="s">
        <v>3180</v>
      </c>
      <c r="L66" s="30">
        <v>-0.03</v>
      </c>
      <c r="M66" s="26">
        <v>0.12</v>
      </c>
      <c r="N66" s="25">
        <v>8</v>
      </c>
      <c r="O66" s="25">
        <v>0</v>
      </c>
      <c r="P66" s="25" t="s">
        <v>32183</v>
      </c>
      <c r="Q66" s="25">
        <v>1</v>
      </c>
      <c r="R66" s="25">
        <v>1.1000000000000001</v>
      </c>
    </row>
    <row r="67" spans="1:18" x14ac:dyDescent="0.25">
      <c r="A67" s="24" t="s">
        <v>27026</v>
      </c>
      <c r="B67" s="25" t="s">
        <v>27027</v>
      </c>
      <c r="C67" s="26">
        <v>0.78</v>
      </c>
      <c r="D67" s="27">
        <v>1.66</v>
      </c>
      <c r="E67" s="28" t="s">
        <v>27030</v>
      </c>
      <c r="F67" s="25" t="s">
        <v>18</v>
      </c>
      <c r="G67" s="25" t="s">
        <v>18</v>
      </c>
      <c r="H67" s="25">
        <v>9</v>
      </c>
      <c r="I67" s="25">
        <v>0</v>
      </c>
      <c r="J67" s="25" t="s">
        <v>132</v>
      </c>
      <c r="K67" s="25" t="s">
        <v>3180</v>
      </c>
      <c r="L67" s="27">
        <v>0.4</v>
      </c>
      <c r="M67" s="26">
        <v>0.44</v>
      </c>
      <c r="N67" s="25">
        <v>9</v>
      </c>
      <c r="O67" s="25">
        <v>3</v>
      </c>
      <c r="P67" s="25" t="s">
        <v>32184</v>
      </c>
      <c r="Q67" s="25">
        <v>1</v>
      </c>
      <c r="R67" s="25">
        <v>1.1000000000000001</v>
      </c>
    </row>
    <row r="68" spans="1:18" x14ac:dyDescent="0.25">
      <c r="A68" s="24" t="s">
        <v>27057</v>
      </c>
      <c r="B68" s="25" t="s">
        <v>27058</v>
      </c>
      <c r="C68" s="26">
        <v>0.38</v>
      </c>
      <c r="D68" s="27">
        <v>0.5</v>
      </c>
      <c r="E68" s="28" t="s">
        <v>27059</v>
      </c>
      <c r="F68" s="25" t="s">
        <v>18</v>
      </c>
      <c r="G68" s="25" t="s">
        <v>18</v>
      </c>
      <c r="H68" s="25">
        <v>55</v>
      </c>
      <c r="I68" s="25">
        <v>3</v>
      </c>
      <c r="J68" s="25" t="s">
        <v>699</v>
      </c>
      <c r="K68" s="25" t="s">
        <v>4268</v>
      </c>
      <c r="L68" s="30">
        <v>-0.23</v>
      </c>
      <c r="M68" s="26">
        <v>0.18</v>
      </c>
      <c r="N68" s="25">
        <v>55</v>
      </c>
      <c r="O68" s="25">
        <v>27</v>
      </c>
      <c r="P68" s="25" t="s">
        <v>32185</v>
      </c>
      <c r="Q68" s="25">
        <v>3</v>
      </c>
      <c r="R68" s="25">
        <v>1.1000000000000001</v>
      </c>
    </row>
    <row r="69" spans="1:18" x14ac:dyDescent="0.25">
      <c r="A69" s="24" t="s">
        <v>27300</v>
      </c>
      <c r="B69" s="25" t="s">
        <v>27301</v>
      </c>
      <c r="C69" s="26">
        <v>0.8</v>
      </c>
      <c r="D69" s="27">
        <v>1.97</v>
      </c>
      <c r="E69" s="28" t="s">
        <v>27303</v>
      </c>
      <c r="F69" s="25" t="s">
        <v>18</v>
      </c>
      <c r="G69" s="25" t="s">
        <v>18</v>
      </c>
      <c r="H69" s="25">
        <v>5</v>
      </c>
      <c r="I69" s="25">
        <v>0</v>
      </c>
      <c r="J69" s="25" t="s">
        <v>27304</v>
      </c>
      <c r="K69" s="25" t="s">
        <v>3180</v>
      </c>
      <c r="L69" s="27">
        <v>0.72</v>
      </c>
      <c r="M69" s="26">
        <v>0.4</v>
      </c>
      <c r="N69" s="25">
        <v>5</v>
      </c>
      <c r="O69" s="25">
        <v>2</v>
      </c>
      <c r="P69" s="25" t="s">
        <v>32186</v>
      </c>
      <c r="Q69" s="25">
        <v>1</v>
      </c>
      <c r="R69" s="25">
        <v>1.2</v>
      </c>
    </row>
    <row r="70" spans="1:18" x14ac:dyDescent="0.25">
      <c r="A70" s="24" t="s">
        <v>27319</v>
      </c>
      <c r="B70" s="25" t="s">
        <v>27320</v>
      </c>
      <c r="C70" s="26">
        <v>0.67</v>
      </c>
      <c r="D70" s="27">
        <v>0.81</v>
      </c>
      <c r="E70" s="28" t="s">
        <v>27322</v>
      </c>
      <c r="F70" s="25" t="s">
        <v>27323</v>
      </c>
      <c r="G70" s="25" t="s">
        <v>18</v>
      </c>
      <c r="H70" s="25">
        <v>30</v>
      </c>
      <c r="I70" s="25">
        <v>0</v>
      </c>
      <c r="J70" s="25" t="s">
        <v>4558</v>
      </c>
      <c r="K70" s="25" t="s">
        <v>2047</v>
      </c>
      <c r="L70" s="27">
        <v>0.08</v>
      </c>
      <c r="M70" s="26">
        <v>7.0000000000000007E-2</v>
      </c>
      <c r="N70" s="25">
        <v>18</v>
      </c>
      <c r="O70" s="25">
        <v>84</v>
      </c>
      <c r="P70" s="25" t="s">
        <v>32187</v>
      </c>
      <c r="Q70" s="25">
        <v>-1</v>
      </c>
      <c r="R70" s="25">
        <v>1.2</v>
      </c>
    </row>
    <row r="71" spans="1:18" x14ac:dyDescent="0.25">
      <c r="A71" s="24" t="s">
        <v>27462</v>
      </c>
      <c r="B71" s="25" t="s">
        <v>27463</v>
      </c>
      <c r="C71" s="26">
        <v>0.56000000000000005</v>
      </c>
      <c r="D71" s="27">
        <v>1.28</v>
      </c>
      <c r="E71" s="28" t="s">
        <v>27466</v>
      </c>
      <c r="F71" s="25" t="s">
        <v>18</v>
      </c>
      <c r="G71" s="25" t="s">
        <v>18</v>
      </c>
      <c r="H71" s="25">
        <v>9</v>
      </c>
      <c r="I71" s="25">
        <v>0</v>
      </c>
      <c r="J71" s="25" t="s">
        <v>132</v>
      </c>
      <c r="K71" s="25" t="s">
        <v>3180</v>
      </c>
      <c r="L71" s="27">
        <v>0.28999999999999998</v>
      </c>
      <c r="M71" s="26">
        <v>0.33</v>
      </c>
      <c r="N71" s="25">
        <v>9</v>
      </c>
      <c r="O71" s="25">
        <v>0</v>
      </c>
      <c r="P71" s="25" t="s">
        <v>32188</v>
      </c>
      <c r="Q71" s="25">
        <v>1</v>
      </c>
      <c r="R71" s="25">
        <v>1.1000000000000001</v>
      </c>
    </row>
    <row r="72" spans="1:18" x14ac:dyDescent="0.25">
      <c r="A72" s="24" t="s">
        <v>27491</v>
      </c>
      <c r="B72" s="25" t="s">
        <v>27492</v>
      </c>
      <c r="C72" s="26">
        <v>0.83</v>
      </c>
      <c r="D72" s="27">
        <v>1.38</v>
      </c>
      <c r="E72" s="28" t="s">
        <v>27494</v>
      </c>
      <c r="F72" s="25" t="s">
        <v>20377</v>
      </c>
      <c r="G72" s="25" t="s">
        <v>18</v>
      </c>
      <c r="H72" s="25">
        <v>12</v>
      </c>
      <c r="I72" s="25">
        <v>0</v>
      </c>
      <c r="J72" s="25" t="s">
        <v>699</v>
      </c>
      <c r="K72" s="25" t="s">
        <v>1957</v>
      </c>
      <c r="L72" s="27">
        <v>0.67</v>
      </c>
      <c r="M72" s="26">
        <v>0.42</v>
      </c>
      <c r="N72" s="25">
        <v>11</v>
      </c>
      <c r="O72" s="25">
        <v>7</v>
      </c>
      <c r="P72" s="25" t="s">
        <v>32189</v>
      </c>
      <c r="Q72" s="25">
        <v>3</v>
      </c>
      <c r="R72" s="25">
        <v>1</v>
      </c>
    </row>
    <row r="73" spans="1:18" x14ac:dyDescent="0.25">
      <c r="A73" s="24" t="s">
        <v>27555</v>
      </c>
      <c r="B73" s="25" t="s">
        <v>27556</v>
      </c>
      <c r="C73" s="26">
        <v>0.67</v>
      </c>
      <c r="D73" s="27">
        <v>1.42</v>
      </c>
      <c r="E73" s="28" t="s">
        <v>27558</v>
      </c>
      <c r="F73" s="25" t="s">
        <v>18</v>
      </c>
      <c r="G73" s="25" t="s">
        <v>18</v>
      </c>
      <c r="H73" s="25">
        <v>9</v>
      </c>
      <c r="I73" s="25">
        <v>0</v>
      </c>
      <c r="J73" s="25" t="s">
        <v>132</v>
      </c>
      <c r="K73" s="25" t="s">
        <v>3180</v>
      </c>
      <c r="L73" s="27">
        <v>0.66</v>
      </c>
      <c r="M73" s="26">
        <v>0.22</v>
      </c>
      <c r="N73" s="25">
        <v>9</v>
      </c>
      <c r="O73" s="25">
        <v>0</v>
      </c>
      <c r="P73" s="25" t="s">
        <v>32190</v>
      </c>
      <c r="Q73" s="25">
        <v>1</v>
      </c>
      <c r="R73" s="25">
        <v>1.1000000000000001</v>
      </c>
    </row>
    <row r="74" spans="1:18" x14ac:dyDescent="0.25">
      <c r="A74" s="24" t="s">
        <v>27581</v>
      </c>
      <c r="B74" s="25" t="s">
        <v>27582</v>
      </c>
      <c r="C74" s="26">
        <v>0.63</v>
      </c>
      <c r="D74" s="27">
        <v>1.57</v>
      </c>
      <c r="E74" s="28" t="s">
        <v>27584</v>
      </c>
      <c r="F74" s="25" t="s">
        <v>18</v>
      </c>
      <c r="G74" s="25" t="s">
        <v>18</v>
      </c>
      <c r="H74" s="25">
        <v>8</v>
      </c>
      <c r="I74" s="25">
        <v>0</v>
      </c>
      <c r="J74" s="25" t="s">
        <v>132</v>
      </c>
      <c r="K74" s="25" t="s">
        <v>3180</v>
      </c>
      <c r="L74" s="27">
        <v>0.5</v>
      </c>
      <c r="M74" s="26">
        <v>0.38</v>
      </c>
      <c r="N74" s="25">
        <v>8</v>
      </c>
      <c r="O74" s="25">
        <v>2</v>
      </c>
      <c r="P74" s="25" t="s">
        <v>32191</v>
      </c>
      <c r="Q74" s="25">
        <v>1</v>
      </c>
      <c r="R74" s="25">
        <v>1.1000000000000001</v>
      </c>
    </row>
    <row r="75" spans="1:18" x14ac:dyDescent="0.25">
      <c r="A75" s="24" t="s">
        <v>27610</v>
      </c>
      <c r="B75" s="25" t="s">
        <v>27611</v>
      </c>
      <c r="C75" s="26">
        <v>0.14000000000000001</v>
      </c>
      <c r="D75" s="27">
        <v>7.0000000000000007E-2</v>
      </c>
      <c r="E75" s="28" t="s">
        <v>27612</v>
      </c>
      <c r="F75" s="25" t="s">
        <v>18</v>
      </c>
      <c r="G75" s="25" t="s">
        <v>18</v>
      </c>
      <c r="H75" s="25">
        <v>14</v>
      </c>
      <c r="I75" s="25">
        <v>0</v>
      </c>
      <c r="J75" s="25" t="s">
        <v>2145</v>
      </c>
      <c r="K75" s="25" t="s">
        <v>414</v>
      </c>
      <c r="L75" s="30">
        <v>-1</v>
      </c>
      <c r="M75" s="26">
        <v>7.0000000000000007E-2</v>
      </c>
      <c r="N75" s="25">
        <v>7</v>
      </c>
      <c r="O75" s="25">
        <v>7</v>
      </c>
      <c r="P75" s="25" t="s">
        <v>32192</v>
      </c>
      <c r="Q75" s="25">
        <v>163</v>
      </c>
      <c r="R75" s="25">
        <v>1.6</v>
      </c>
    </row>
    <row r="76" spans="1:18" x14ac:dyDescent="0.25">
      <c r="A76" s="24" t="s">
        <v>27697</v>
      </c>
      <c r="B76" s="25" t="s">
        <v>27698</v>
      </c>
      <c r="C76" s="26">
        <v>0.2</v>
      </c>
      <c r="D76" s="30">
        <v>-0.53</v>
      </c>
      <c r="E76" s="29" t="s">
        <v>27700</v>
      </c>
      <c r="F76" s="25" t="s">
        <v>21191</v>
      </c>
      <c r="G76" s="25" t="s">
        <v>18</v>
      </c>
      <c r="H76" s="25">
        <v>15</v>
      </c>
      <c r="I76" s="25">
        <v>3</v>
      </c>
      <c r="J76" s="25" t="s">
        <v>4413</v>
      </c>
      <c r="K76" s="25" t="s">
        <v>3171</v>
      </c>
      <c r="L76" s="30">
        <v>-0.85</v>
      </c>
      <c r="M76" s="26">
        <v>0.13</v>
      </c>
      <c r="N76" s="25">
        <v>7</v>
      </c>
      <c r="O76" s="25">
        <v>12</v>
      </c>
      <c r="P76" s="25" t="s">
        <v>32193</v>
      </c>
      <c r="Q76" s="25">
        <v>8</v>
      </c>
      <c r="R76" s="25">
        <v>1.1000000000000001</v>
      </c>
    </row>
    <row r="77" spans="1:18" x14ac:dyDescent="0.25">
      <c r="A77" s="24" t="s">
        <v>27756</v>
      </c>
      <c r="B77" s="25" t="s">
        <v>27757</v>
      </c>
      <c r="C77" s="26">
        <v>0.63</v>
      </c>
      <c r="D77" s="27">
        <v>1.46</v>
      </c>
      <c r="E77" s="28" t="s">
        <v>27759</v>
      </c>
      <c r="F77" s="25" t="s">
        <v>18</v>
      </c>
      <c r="G77" s="25" t="s">
        <v>18</v>
      </c>
      <c r="H77" s="25">
        <v>8</v>
      </c>
      <c r="I77" s="25">
        <v>0</v>
      </c>
      <c r="J77" s="25" t="s">
        <v>132</v>
      </c>
      <c r="K77" s="25" t="s">
        <v>3180</v>
      </c>
      <c r="L77" s="27">
        <v>0.56000000000000005</v>
      </c>
      <c r="M77" s="26">
        <v>0.25</v>
      </c>
      <c r="N77" s="25">
        <v>8</v>
      </c>
      <c r="O77" s="25">
        <v>2</v>
      </c>
      <c r="P77" s="25" t="s">
        <v>32194</v>
      </c>
      <c r="Q77" s="25">
        <v>-1</v>
      </c>
      <c r="R77" s="25">
        <v>1.1000000000000001</v>
      </c>
    </row>
    <row r="78" spans="1:18" x14ac:dyDescent="0.25">
      <c r="A78" s="24" t="s">
        <v>27777</v>
      </c>
      <c r="B78" s="25" t="s">
        <v>27778</v>
      </c>
      <c r="C78" s="26">
        <v>0.68</v>
      </c>
      <c r="D78" s="27">
        <v>0.67</v>
      </c>
      <c r="E78" s="28" t="s">
        <v>27780</v>
      </c>
      <c r="F78" s="29" t="s">
        <v>27781</v>
      </c>
      <c r="G78" s="25" t="s">
        <v>21269</v>
      </c>
      <c r="H78" s="25">
        <v>28</v>
      </c>
      <c r="I78" s="25">
        <v>1</v>
      </c>
      <c r="J78" s="25" t="s">
        <v>538</v>
      </c>
      <c r="K78" s="25" t="s">
        <v>1434</v>
      </c>
      <c r="L78" s="27">
        <v>0.2</v>
      </c>
      <c r="M78" s="26">
        <v>0.36</v>
      </c>
      <c r="N78" s="25">
        <v>22</v>
      </c>
      <c r="O78" s="25">
        <v>28</v>
      </c>
      <c r="P78" s="25" t="s">
        <v>32195</v>
      </c>
      <c r="Q78" s="25">
        <v>12</v>
      </c>
      <c r="R78" s="25">
        <v>1.4</v>
      </c>
    </row>
    <row r="79" spans="1:18" x14ac:dyDescent="0.25">
      <c r="A79" s="24" t="s">
        <v>27953</v>
      </c>
      <c r="B79" s="25" t="s">
        <v>27954</v>
      </c>
      <c r="C79" s="26">
        <v>0.56999999999999995</v>
      </c>
      <c r="D79" s="27">
        <v>1.52</v>
      </c>
      <c r="E79" s="28" t="s">
        <v>27956</v>
      </c>
      <c r="F79" s="25" t="s">
        <v>18</v>
      </c>
      <c r="G79" s="25" t="s">
        <v>18</v>
      </c>
      <c r="H79" s="25">
        <v>7</v>
      </c>
      <c r="I79" s="25">
        <v>0</v>
      </c>
      <c r="J79" s="25" t="s">
        <v>27957</v>
      </c>
      <c r="K79" s="25" t="s">
        <v>2047</v>
      </c>
      <c r="L79" s="27">
        <v>0.31</v>
      </c>
      <c r="M79" s="26">
        <v>0.28999999999999998</v>
      </c>
      <c r="N79" s="25">
        <v>7</v>
      </c>
      <c r="O79" s="25">
        <v>4</v>
      </c>
      <c r="P79" s="25" t="s">
        <v>32196</v>
      </c>
      <c r="Q79" s="25">
        <v>1</v>
      </c>
      <c r="R79" s="25">
        <v>1.1000000000000001</v>
      </c>
    </row>
    <row r="80" spans="1:18" x14ac:dyDescent="0.25">
      <c r="A80" s="24" t="s">
        <v>27974</v>
      </c>
      <c r="B80" s="25" t="s">
        <v>27975</v>
      </c>
      <c r="C80" s="26">
        <v>0.2</v>
      </c>
      <c r="D80" s="30">
        <v>-0.25</v>
      </c>
      <c r="E80" s="29" t="s">
        <v>27977</v>
      </c>
      <c r="F80" s="25" t="s">
        <v>18</v>
      </c>
      <c r="G80" s="29" t="s">
        <v>27978</v>
      </c>
      <c r="H80" s="25">
        <v>25</v>
      </c>
      <c r="I80" s="25">
        <v>1</v>
      </c>
      <c r="J80" s="25" t="s">
        <v>27979</v>
      </c>
      <c r="K80" s="25" t="s">
        <v>132</v>
      </c>
      <c r="L80" s="30">
        <v>-0.57999999999999996</v>
      </c>
      <c r="M80" s="26">
        <v>0.12</v>
      </c>
      <c r="N80" s="25">
        <v>0</v>
      </c>
      <c r="O80" s="25">
        <v>30</v>
      </c>
      <c r="P80" s="25" t="s">
        <v>32197</v>
      </c>
      <c r="Q80" s="25">
        <v>146</v>
      </c>
      <c r="R80" s="25">
        <v>2.4</v>
      </c>
    </row>
    <row r="81" spans="1:18" x14ac:dyDescent="0.25">
      <c r="A81" s="24" t="s">
        <v>28095</v>
      </c>
      <c r="B81" s="25" t="s">
        <v>28096</v>
      </c>
      <c r="C81" s="26">
        <v>0.1</v>
      </c>
      <c r="D81" s="27">
        <v>0.4</v>
      </c>
      <c r="E81" s="28" t="s">
        <v>28097</v>
      </c>
      <c r="F81" s="25" t="s">
        <v>18</v>
      </c>
      <c r="G81" s="25" t="s">
        <v>18</v>
      </c>
      <c r="H81" s="25">
        <v>132</v>
      </c>
      <c r="I81" s="29">
        <v>30</v>
      </c>
      <c r="J81" s="25" t="s">
        <v>690</v>
      </c>
      <c r="K81" s="25" t="s">
        <v>4268</v>
      </c>
      <c r="L81" s="30">
        <v>-1</v>
      </c>
      <c r="M81" s="26">
        <v>0.08</v>
      </c>
      <c r="N81" s="25">
        <v>38</v>
      </c>
      <c r="O81" s="25">
        <v>127</v>
      </c>
      <c r="P81" s="25" t="s">
        <v>32198</v>
      </c>
      <c r="Q81" s="25">
        <v>11</v>
      </c>
      <c r="R81" s="25">
        <v>1.5</v>
      </c>
    </row>
    <row r="82" spans="1:18" x14ac:dyDescent="0.25">
      <c r="A82" s="24" t="s">
        <v>28468</v>
      </c>
      <c r="B82" s="25" t="s">
        <v>28469</v>
      </c>
      <c r="C82" s="26">
        <v>0.18</v>
      </c>
      <c r="D82" s="27">
        <v>0.06</v>
      </c>
      <c r="E82" s="28" t="s">
        <v>28470</v>
      </c>
      <c r="F82" s="25" t="s">
        <v>28471</v>
      </c>
      <c r="G82" s="25" t="s">
        <v>18</v>
      </c>
      <c r="H82" s="25">
        <v>94</v>
      </c>
      <c r="I82" s="29">
        <v>14</v>
      </c>
      <c r="J82" s="25" t="s">
        <v>690</v>
      </c>
      <c r="K82" s="25" t="s">
        <v>20</v>
      </c>
      <c r="L82" s="30">
        <v>-1</v>
      </c>
      <c r="M82" s="26">
        <v>0.05</v>
      </c>
      <c r="N82" s="25">
        <v>18</v>
      </c>
      <c r="O82" s="25">
        <v>29</v>
      </c>
      <c r="P82" s="25" t="s">
        <v>32199</v>
      </c>
      <c r="Q82" s="25">
        <v>11</v>
      </c>
      <c r="R82" s="25">
        <v>1.6</v>
      </c>
    </row>
    <row r="83" spans="1:18" x14ac:dyDescent="0.25">
      <c r="A83" s="24" t="s">
        <v>28914</v>
      </c>
      <c r="B83" s="25" t="s">
        <v>28915</v>
      </c>
      <c r="C83" s="26">
        <v>0.27</v>
      </c>
      <c r="D83" s="27">
        <v>0.82</v>
      </c>
      <c r="E83" s="28" t="s">
        <v>28917</v>
      </c>
      <c r="F83" s="25" t="s">
        <v>18</v>
      </c>
      <c r="G83" s="25" t="s">
        <v>28918</v>
      </c>
      <c r="H83" s="25">
        <v>77</v>
      </c>
      <c r="I83" s="29">
        <v>9</v>
      </c>
      <c r="J83" s="25" t="s">
        <v>4420</v>
      </c>
      <c r="K83" s="25" t="s">
        <v>20</v>
      </c>
      <c r="L83" s="30">
        <v>-0.68</v>
      </c>
      <c r="M83" s="26">
        <v>0.21</v>
      </c>
      <c r="N83" s="25">
        <v>29</v>
      </c>
      <c r="O83" s="25">
        <v>104</v>
      </c>
      <c r="P83" s="25" t="s">
        <v>32200</v>
      </c>
      <c r="Q83" s="25">
        <v>1232</v>
      </c>
      <c r="R83" s="25">
        <v>1.2</v>
      </c>
    </row>
    <row r="84" spans="1:18" x14ac:dyDescent="0.25">
      <c r="A84" s="24" t="s">
        <v>29266</v>
      </c>
      <c r="B84" s="25" t="s">
        <v>29267</v>
      </c>
      <c r="C84" s="26">
        <v>0.5</v>
      </c>
      <c r="D84" s="27">
        <v>1.24</v>
      </c>
      <c r="E84" s="28" t="s">
        <v>29269</v>
      </c>
      <c r="F84" s="25" t="s">
        <v>17988</v>
      </c>
      <c r="G84" s="25" t="s">
        <v>18</v>
      </c>
      <c r="H84" s="25">
        <v>24</v>
      </c>
      <c r="I84" s="25">
        <v>0</v>
      </c>
      <c r="J84" s="25" t="s">
        <v>479</v>
      </c>
      <c r="K84" s="25" t="s">
        <v>788</v>
      </c>
      <c r="L84" s="30">
        <v>-0.04</v>
      </c>
      <c r="M84" s="26">
        <v>0.25</v>
      </c>
      <c r="N84" s="25">
        <v>16</v>
      </c>
      <c r="O84" s="25">
        <v>17</v>
      </c>
      <c r="P84" s="25" t="s">
        <v>32201</v>
      </c>
      <c r="Q84" s="25">
        <v>9</v>
      </c>
      <c r="R84" s="25">
        <v>1.1000000000000001</v>
      </c>
    </row>
    <row r="85" spans="1:18" x14ac:dyDescent="0.25">
      <c r="A85" s="24" t="s">
        <v>29376</v>
      </c>
      <c r="B85" s="25" t="s">
        <v>29377</v>
      </c>
      <c r="C85" s="26">
        <v>0.73</v>
      </c>
      <c r="D85" s="27">
        <v>1.52</v>
      </c>
      <c r="E85" s="28" t="s">
        <v>29378</v>
      </c>
      <c r="F85" s="25" t="s">
        <v>29379</v>
      </c>
      <c r="G85" s="25" t="s">
        <v>18</v>
      </c>
      <c r="H85" s="25">
        <v>11</v>
      </c>
      <c r="I85" s="25">
        <v>0</v>
      </c>
      <c r="J85" s="25" t="s">
        <v>699</v>
      </c>
      <c r="K85" s="25" t="s">
        <v>1957</v>
      </c>
      <c r="L85" s="27">
        <v>0.62</v>
      </c>
      <c r="M85" s="26">
        <v>0.36</v>
      </c>
      <c r="N85" s="25">
        <v>10</v>
      </c>
      <c r="O85" s="25">
        <v>14</v>
      </c>
      <c r="P85" s="25" t="s">
        <v>32202</v>
      </c>
      <c r="Q85" s="25">
        <v>3</v>
      </c>
      <c r="R85" s="25">
        <v>1</v>
      </c>
    </row>
    <row r="86" spans="1:18" x14ac:dyDescent="0.25">
      <c r="A86" s="24" t="s">
        <v>29420</v>
      </c>
      <c r="B86" s="25" t="s">
        <v>29421</v>
      </c>
      <c r="C86" s="26">
        <v>0.78</v>
      </c>
      <c r="D86" s="27">
        <v>1.25</v>
      </c>
      <c r="E86" s="28" t="s">
        <v>29423</v>
      </c>
      <c r="F86" s="25" t="s">
        <v>18</v>
      </c>
      <c r="G86" s="25" t="s">
        <v>18</v>
      </c>
      <c r="H86" s="25">
        <v>9</v>
      </c>
      <c r="I86" s="25">
        <v>0</v>
      </c>
      <c r="J86" s="25" t="s">
        <v>132</v>
      </c>
      <c r="K86" s="25" t="s">
        <v>3180</v>
      </c>
      <c r="L86" s="27">
        <v>0.51</v>
      </c>
      <c r="M86" s="26">
        <v>0.22</v>
      </c>
      <c r="N86" s="25">
        <v>9</v>
      </c>
      <c r="O86" s="25">
        <v>1</v>
      </c>
      <c r="P86" s="25" t="s">
        <v>32203</v>
      </c>
      <c r="Q86" s="25">
        <v>1</v>
      </c>
      <c r="R86" s="25">
        <v>1.2</v>
      </c>
    </row>
    <row r="87" spans="1:18" x14ac:dyDescent="0.25">
      <c r="A87" s="24" t="s">
        <v>29445</v>
      </c>
      <c r="B87" s="25" t="s">
        <v>29446</v>
      </c>
      <c r="C87" s="26">
        <v>0.78</v>
      </c>
      <c r="D87" s="27">
        <v>1.5</v>
      </c>
      <c r="E87" s="28" t="s">
        <v>29448</v>
      </c>
      <c r="F87" s="25" t="s">
        <v>18</v>
      </c>
      <c r="G87" s="25" t="s">
        <v>18</v>
      </c>
      <c r="H87" s="25">
        <v>9</v>
      </c>
      <c r="I87" s="25">
        <v>0</v>
      </c>
      <c r="J87" s="25" t="s">
        <v>132</v>
      </c>
      <c r="K87" s="25" t="s">
        <v>3180</v>
      </c>
      <c r="L87" s="27">
        <v>0.35</v>
      </c>
      <c r="M87" s="26">
        <v>0.33</v>
      </c>
      <c r="N87" s="25">
        <v>9</v>
      </c>
      <c r="O87" s="25">
        <v>0</v>
      </c>
      <c r="P87" s="25" t="s">
        <v>32204</v>
      </c>
      <c r="Q87" s="25">
        <v>1</v>
      </c>
      <c r="R87" s="25">
        <v>1.1000000000000001</v>
      </c>
    </row>
    <row r="88" spans="1:18" x14ac:dyDescent="0.25">
      <c r="A88" s="24" t="s">
        <v>29467</v>
      </c>
      <c r="B88" s="25" t="s">
        <v>29468</v>
      </c>
      <c r="C88" s="26">
        <v>0.63</v>
      </c>
      <c r="D88" s="27">
        <v>1.63</v>
      </c>
      <c r="E88" s="28" t="s">
        <v>29470</v>
      </c>
      <c r="F88" s="25" t="s">
        <v>18</v>
      </c>
      <c r="G88" s="25" t="s">
        <v>18</v>
      </c>
      <c r="H88" s="25">
        <v>8</v>
      </c>
      <c r="I88" s="25">
        <v>0</v>
      </c>
      <c r="J88" s="25" t="s">
        <v>132</v>
      </c>
      <c r="K88" s="25" t="s">
        <v>3180</v>
      </c>
      <c r="L88" s="27">
        <v>0.97</v>
      </c>
      <c r="M88" s="26">
        <v>0.5</v>
      </c>
      <c r="N88" s="25">
        <v>8</v>
      </c>
      <c r="O88" s="25">
        <v>0</v>
      </c>
      <c r="P88" s="25" t="s">
        <v>32205</v>
      </c>
      <c r="Q88" s="25">
        <v>1</v>
      </c>
      <c r="R88" s="25">
        <v>1.1000000000000001</v>
      </c>
    </row>
    <row r="89" spans="1:18" x14ac:dyDescent="0.25">
      <c r="A89" s="24" t="s">
        <v>29489</v>
      </c>
      <c r="B89" s="31" t="s">
        <v>29490</v>
      </c>
      <c r="C89" s="26">
        <v>0.6</v>
      </c>
      <c r="D89" s="27">
        <v>2.72</v>
      </c>
      <c r="E89" s="28" t="s">
        <v>29492</v>
      </c>
      <c r="F89" s="25" t="s">
        <v>18</v>
      </c>
      <c r="G89" s="29" t="s">
        <v>29493</v>
      </c>
      <c r="H89" s="25">
        <v>15</v>
      </c>
      <c r="I89" s="25">
        <v>0</v>
      </c>
      <c r="J89" s="25" t="s">
        <v>11188</v>
      </c>
      <c r="K89" s="25" t="s">
        <v>4268</v>
      </c>
      <c r="L89" s="27">
        <v>0.02</v>
      </c>
      <c r="M89" s="26">
        <v>0.4</v>
      </c>
      <c r="N89" s="25">
        <v>13</v>
      </c>
      <c r="O89" s="25">
        <v>16</v>
      </c>
      <c r="P89" s="25" t="s">
        <v>32206</v>
      </c>
      <c r="Q89" s="25">
        <v>237</v>
      </c>
      <c r="R89" s="25">
        <v>1.7</v>
      </c>
    </row>
    <row r="90" spans="1:18" x14ac:dyDescent="0.25">
      <c r="A90" s="24" t="s">
        <v>29581</v>
      </c>
      <c r="B90" s="25" t="s">
        <v>29582</v>
      </c>
      <c r="C90" s="26">
        <v>0.63</v>
      </c>
      <c r="D90" s="27">
        <v>1.34</v>
      </c>
      <c r="E90" s="28" t="s">
        <v>21657</v>
      </c>
      <c r="F90" s="25" t="s">
        <v>18</v>
      </c>
      <c r="G90" s="25" t="s">
        <v>18</v>
      </c>
      <c r="H90" s="25">
        <v>8</v>
      </c>
      <c r="I90" s="25">
        <v>0</v>
      </c>
      <c r="J90" s="25" t="s">
        <v>132</v>
      </c>
      <c r="K90" s="25" t="s">
        <v>3180</v>
      </c>
      <c r="L90" s="27">
        <v>0.4</v>
      </c>
      <c r="M90" s="26">
        <v>0.25</v>
      </c>
      <c r="N90" s="25">
        <v>8</v>
      </c>
      <c r="O90" s="25">
        <v>2</v>
      </c>
      <c r="P90" s="25" t="s">
        <v>32207</v>
      </c>
      <c r="Q90" s="25">
        <v>1</v>
      </c>
      <c r="R90" s="25">
        <v>1.1000000000000001</v>
      </c>
    </row>
    <row r="91" spans="1:18" x14ac:dyDescent="0.25">
      <c r="A91" s="24" t="s">
        <v>29599</v>
      </c>
      <c r="B91" s="25" t="s">
        <v>29600</v>
      </c>
      <c r="C91" s="26">
        <v>0.56000000000000005</v>
      </c>
      <c r="D91" s="27">
        <v>0.86</v>
      </c>
      <c r="E91" s="28" t="s">
        <v>29602</v>
      </c>
      <c r="F91" s="25" t="s">
        <v>18</v>
      </c>
      <c r="G91" s="25" t="s">
        <v>18</v>
      </c>
      <c r="H91" s="25">
        <v>9</v>
      </c>
      <c r="I91" s="25">
        <v>0</v>
      </c>
      <c r="J91" s="25" t="s">
        <v>699</v>
      </c>
      <c r="K91" s="25" t="s">
        <v>1566</v>
      </c>
      <c r="L91" s="27">
        <v>0.18</v>
      </c>
      <c r="M91" s="26">
        <v>0.33</v>
      </c>
      <c r="N91" s="25">
        <v>9</v>
      </c>
      <c r="O91" s="25">
        <v>2</v>
      </c>
      <c r="P91" s="25" t="s">
        <v>32208</v>
      </c>
      <c r="Q91" s="25">
        <v>3</v>
      </c>
      <c r="R91" s="25">
        <v>1</v>
      </c>
    </row>
    <row r="92" spans="1:18" x14ac:dyDescent="0.25">
      <c r="A92" s="24" t="s">
        <v>29637</v>
      </c>
      <c r="B92" s="25" t="s">
        <v>29638</v>
      </c>
      <c r="C92" s="26">
        <v>0.71</v>
      </c>
      <c r="D92" s="27">
        <v>0.81</v>
      </c>
      <c r="E92" s="28" t="s">
        <v>29640</v>
      </c>
      <c r="F92" s="25" t="s">
        <v>18</v>
      </c>
      <c r="G92" s="25" t="s">
        <v>18</v>
      </c>
      <c r="H92" s="25">
        <v>7</v>
      </c>
      <c r="I92" s="25">
        <v>0</v>
      </c>
      <c r="J92" s="25" t="s">
        <v>150</v>
      </c>
      <c r="K92" s="25" t="s">
        <v>23491</v>
      </c>
      <c r="L92" s="27">
        <v>0.69</v>
      </c>
      <c r="M92" s="26">
        <v>0.28999999999999998</v>
      </c>
      <c r="N92" s="25">
        <v>1</v>
      </c>
      <c r="O92" s="25">
        <v>12</v>
      </c>
      <c r="P92" s="25" t="s">
        <v>32209</v>
      </c>
      <c r="Q92" s="25">
        <v>7</v>
      </c>
      <c r="R92" s="25">
        <v>1.7</v>
      </c>
    </row>
    <row r="93" spans="1:18" x14ac:dyDescent="0.25">
      <c r="A93" s="24" t="s">
        <v>29675</v>
      </c>
      <c r="B93" s="25" t="s">
        <v>29676</v>
      </c>
      <c r="C93" s="26">
        <v>0.45</v>
      </c>
      <c r="D93" s="27">
        <v>0.56999999999999995</v>
      </c>
      <c r="E93" s="28" t="s">
        <v>29677</v>
      </c>
      <c r="F93" s="25" t="s">
        <v>29678</v>
      </c>
      <c r="G93" s="25" t="s">
        <v>18</v>
      </c>
      <c r="H93" s="25">
        <v>33</v>
      </c>
      <c r="I93" s="25">
        <v>0</v>
      </c>
      <c r="J93" s="25" t="s">
        <v>2145</v>
      </c>
      <c r="K93" s="25" t="s">
        <v>788</v>
      </c>
      <c r="L93" s="30">
        <v>-0.13</v>
      </c>
      <c r="M93" s="26">
        <v>0.15</v>
      </c>
      <c r="N93" s="25">
        <v>24</v>
      </c>
      <c r="O93" s="25">
        <v>34</v>
      </c>
      <c r="P93" s="25" t="s">
        <v>32210</v>
      </c>
      <c r="Q93" s="25">
        <v>6</v>
      </c>
      <c r="R93" s="25">
        <v>1.7</v>
      </c>
    </row>
    <row r="94" spans="1:18" x14ac:dyDescent="0.25">
      <c r="A94" s="24" t="s">
        <v>29814</v>
      </c>
      <c r="B94" s="25" t="s">
        <v>20722</v>
      </c>
      <c r="C94" s="26">
        <v>0.75</v>
      </c>
      <c r="D94" s="27">
        <v>0.53</v>
      </c>
      <c r="E94" s="28" t="s">
        <v>29815</v>
      </c>
      <c r="F94" s="29" t="s">
        <v>29816</v>
      </c>
      <c r="G94" s="25" t="s">
        <v>18</v>
      </c>
      <c r="H94" s="25">
        <v>28</v>
      </c>
      <c r="I94" s="25">
        <v>0</v>
      </c>
      <c r="J94" s="25" t="s">
        <v>690</v>
      </c>
      <c r="K94" s="25" t="s">
        <v>2993</v>
      </c>
      <c r="L94" s="27">
        <v>0.33</v>
      </c>
      <c r="M94" s="26">
        <v>7.0000000000000007E-2</v>
      </c>
      <c r="N94" s="25">
        <v>14</v>
      </c>
      <c r="O94" s="25">
        <v>31</v>
      </c>
      <c r="P94" s="25" t="s">
        <v>32211</v>
      </c>
      <c r="Q94" s="25">
        <v>11</v>
      </c>
      <c r="R94" s="25">
        <v>1</v>
      </c>
    </row>
    <row r="95" spans="1:18" x14ac:dyDescent="0.25">
      <c r="A95" s="24" t="s">
        <v>29970</v>
      </c>
      <c r="B95" s="25" t="s">
        <v>29971</v>
      </c>
      <c r="C95" s="26">
        <v>0.8</v>
      </c>
      <c r="D95" s="27">
        <v>1.47</v>
      </c>
      <c r="E95" s="28" t="s">
        <v>29973</v>
      </c>
      <c r="F95" s="25" t="s">
        <v>29974</v>
      </c>
      <c r="G95" s="25" t="s">
        <v>18</v>
      </c>
      <c r="H95" s="25">
        <v>5</v>
      </c>
      <c r="I95" s="25">
        <v>0</v>
      </c>
      <c r="J95" s="25" t="s">
        <v>240</v>
      </c>
      <c r="K95" s="25" t="s">
        <v>2047</v>
      </c>
      <c r="L95" s="27">
        <v>0.73</v>
      </c>
      <c r="M95" s="26">
        <v>0.4</v>
      </c>
      <c r="N95" s="25">
        <v>3</v>
      </c>
      <c r="O95" s="25">
        <v>31</v>
      </c>
      <c r="P95" s="25" t="s">
        <v>32212</v>
      </c>
      <c r="Q95" s="25">
        <v>172</v>
      </c>
      <c r="R95" s="25">
        <v>1.2</v>
      </c>
    </row>
    <row r="96" spans="1:18" x14ac:dyDescent="0.25">
      <c r="A96" s="24" t="s">
        <v>30010</v>
      </c>
      <c r="B96" s="25" t="s">
        <v>30011</v>
      </c>
      <c r="C96" s="26">
        <v>0.04</v>
      </c>
      <c r="D96" s="30">
        <v>-0.56000000000000005</v>
      </c>
      <c r="E96" s="29" t="s">
        <v>30013</v>
      </c>
      <c r="F96" s="25" t="s">
        <v>18</v>
      </c>
      <c r="G96" s="25" t="s">
        <v>18</v>
      </c>
      <c r="H96" s="25">
        <v>162</v>
      </c>
      <c r="I96" s="29">
        <v>39</v>
      </c>
      <c r="J96" s="25" t="s">
        <v>4558</v>
      </c>
      <c r="K96" s="25" t="s">
        <v>8295</v>
      </c>
      <c r="L96" s="30">
        <v>-1</v>
      </c>
      <c r="M96" s="26">
        <v>0.03</v>
      </c>
      <c r="N96" s="25">
        <v>27</v>
      </c>
      <c r="O96" s="25">
        <v>69</v>
      </c>
      <c r="P96" s="25" t="s">
        <v>32213</v>
      </c>
      <c r="Q96" s="25">
        <v>14</v>
      </c>
      <c r="R96" s="25">
        <v>1.4</v>
      </c>
    </row>
    <row r="97" spans="1:18" x14ac:dyDescent="0.25">
      <c r="A97" s="24" t="s">
        <v>30650</v>
      </c>
      <c r="B97" s="25" t="s">
        <v>22384</v>
      </c>
      <c r="C97" s="26">
        <v>0.5</v>
      </c>
      <c r="D97" s="27">
        <v>0.63</v>
      </c>
      <c r="E97" s="28" t="s">
        <v>30651</v>
      </c>
      <c r="F97" s="25" t="s">
        <v>18</v>
      </c>
      <c r="G97" s="25" t="s">
        <v>18</v>
      </c>
      <c r="H97" s="25">
        <v>20</v>
      </c>
      <c r="I97" s="25">
        <v>1</v>
      </c>
      <c r="J97" s="25" t="s">
        <v>17032</v>
      </c>
      <c r="K97" s="25" t="s">
        <v>132</v>
      </c>
      <c r="L97" s="27">
        <v>0.04</v>
      </c>
      <c r="M97" s="26">
        <v>0.15</v>
      </c>
      <c r="N97" s="25">
        <v>3</v>
      </c>
      <c r="O97" s="25">
        <v>15</v>
      </c>
      <c r="P97" s="25" t="s">
        <v>32214</v>
      </c>
      <c r="Q97" s="25">
        <v>21</v>
      </c>
      <c r="R97" s="25">
        <v>1.4</v>
      </c>
    </row>
    <row r="98" spans="1:18" x14ac:dyDescent="0.25">
      <c r="A98" s="24" t="s">
        <v>30728</v>
      </c>
      <c r="B98" s="25" t="s">
        <v>30729</v>
      </c>
      <c r="C98" s="26">
        <v>0.43</v>
      </c>
      <c r="D98" s="27">
        <v>0.92</v>
      </c>
      <c r="E98" s="28" t="s">
        <v>30731</v>
      </c>
      <c r="F98" s="25" t="s">
        <v>30732</v>
      </c>
      <c r="G98" s="25" t="s">
        <v>18</v>
      </c>
      <c r="H98" s="25">
        <v>176</v>
      </c>
      <c r="I98" s="25">
        <v>1</v>
      </c>
      <c r="J98" s="25" t="s">
        <v>30733</v>
      </c>
      <c r="K98" s="25" t="s">
        <v>2047</v>
      </c>
      <c r="L98" s="30">
        <v>-0.04</v>
      </c>
      <c r="M98" s="26">
        <v>0.11</v>
      </c>
      <c r="N98" s="25">
        <v>95</v>
      </c>
      <c r="O98" s="25">
        <v>416</v>
      </c>
      <c r="P98" s="25" t="s">
        <v>32215</v>
      </c>
      <c r="Q98" s="25">
        <v>26</v>
      </c>
      <c r="R98" s="25">
        <v>1.4</v>
      </c>
    </row>
    <row r="99" spans="1:18" x14ac:dyDescent="0.25">
      <c r="A99" s="24" t="s">
        <v>31455</v>
      </c>
      <c r="B99" s="25" t="s">
        <v>31456</v>
      </c>
      <c r="C99" s="26">
        <v>0.52</v>
      </c>
      <c r="D99" s="27">
        <v>0.74</v>
      </c>
      <c r="E99" s="28" t="s">
        <v>31459</v>
      </c>
      <c r="F99" s="25" t="s">
        <v>31460</v>
      </c>
      <c r="G99" s="25" t="s">
        <v>18</v>
      </c>
      <c r="H99" s="25">
        <v>25</v>
      </c>
      <c r="I99" s="25">
        <v>0</v>
      </c>
      <c r="J99" s="25" t="s">
        <v>2145</v>
      </c>
      <c r="K99" s="25" t="s">
        <v>3180</v>
      </c>
      <c r="L99" s="27">
        <v>0.01</v>
      </c>
      <c r="M99" s="26">
        <v>0.16</v>
      </c>
      <c r="N99" s="25">
        <v>16</v>
      </c>
      <c r="O99" s="25">
        <v>12</v>
      </c>
      <c r="P99" s="25" t="s">
        <v>32216</v>
      </c>
      <c r="Q99" s="25">
        <v>7</v>
      </c>
      <c r="R99" s="25">
        <v>1.8</v>
      </c>
    </row>
    <row r="100" spans="1:18" x14ac:dyDescent="0.25">
      <c r="A100" s="24" t="s">
        <v>31583</v>
      </c>
      <c r="B100" s="25" t="s">
        <v>31584</v>
      </c>
      <c r="C100" s="26">
        <v>0.56000000000000005</v>
      </c>
      <c r="D100" s="27">
        <v>1.21</v>
      </c>
      <c r="E100" s="28" t="s">
        <v>31586</v>
      </c>
      <c r="F100" s="25" t="s">
        <v>29678</v>
      </c>
      <c r="G100" s="25" t="s">
        <v>18</v>
      </c>
      <c r="H100" s="25">
        <v>32</v>
      </c>
      <c r="I100" s="25">
        <v>0</v>
      </c>
      <c r="J100" s="25" t="s">
        <v>4503</v>
      </c>
      <c r="K100" s="25" t="s">
        <v>1957</v>
      </c>
      <c r="L100" s="27">
        <v>7.0000000000000007E-2</v>
      </c>
      <c r="M100" s="26">
        <v>0.12</v>
      </c>
      <c r="N100" s="25">
        <v>8</v>
      </c>
      <c r="O100" s="25">
        <v>15</v>
      </c>
      <c r="P100" s="25" t="s">
        <v>32217</v>
      </c>
      <c r="Q100" s="25">
        <v>15</v>
      </c>
      <c r="R100" s="25">
        <v>1.4</v>
      </c>
    </row>
    <row r="101" spans="1:18" x14ac:dyDescent="0.25">
      <c r="A101" s="24" t="s">
        <v>31729</v>
      </c>
      <c r="B101" s="25" t="s">
        <v>28096</v>
      </c>
      <c r="C101" s="26">
        <v>0.75</v>
      </c>
      <c r="D101" s="27">
        <v>1.25</v>
      </c>
      <c r="E101" s="28" t="s">
        <v>31730</v>
      </c>
      <c r="F101" s="25" t="s">
        <v>18</v>
      </c>
      <c r="G101" s="25" t="s">
        <v>18</v>
      </c>
      <c r="H101" s="25">
        <v>8</v>
      </c>
      <c r="I101" s="25">
        <v>0</v>
      </c>
      <c r="J101" s="25" t="s">
        <v>699</v>
      </c>
      <c r="K101" s="25" t="s">
        <v>1566</v>
      </c>
      <c r="L101" s="27">
        <v>1.36</v>
      </c>
      <c r="M101" s="26">
        <v>0.5</v>
      </c>
      <c r="N101" s="25">
        <v>8</v>
      </c>
      <c r="O101" s="25">
        <v>7</v>
      </c>
      <c r="P101" s="25" t="s">
        <v>32218</v>
      </c>
      <c r="Q101" s="25">
        <v>3</v>
      </c>
      <c r="R101" s="25">
        <v>1</v>
      </c>
    </row>
    <row r="102" spans="1:18" x14ac:dyDescent="0.25">
      <c r="A102" s="24" t="s">
        <v>31763</v>
      </c>
      <c r="B102" s="25" t="s">
        <v>31764</v>
      </c>
      <c r="C102" s="26">
        <v>0.5</v>
      </c>
      <c r="D102" s="27">
        <v>0.7</v>
      </c>
      <c r="E102" s="28" t="s">
        <v>31765</v>
      </c>
      <c r="F102" s="25" t="s">
        <v>21191</v>
      </c>
      <c r="G102" s="25" t="s">
        <v>18</v>
      </c>
      <c r="H102" s="25">
        <v>14</v>
      </c>
      <c r="I102" s="25">
        <v>0</v>
      </c>
      <c r="J102" s="25" t="s">
        <v>17039</v>
      </c>
      <c r="K102" s="25" t="s">
        <v>2695</v>
      </c>
      <c r="L102" s="30">
        <v>-0.13</v>
      </c>
      <c r="M102" s="26">
        <v>0.28999999999999998</v>
      </c>
      <c r="N102" s="25">
        <v>12</v>
      </c>
      <c r="O102" s="25">
        <v>20</v>
      </c>
      <c r="P102" s="25" t="s">
        <v>32219</v>
      </c>
      <c r="Q102" s="25">
        <v>228</v>
      </c>
      <c r="R102" s="25">
        <v>3.9</v>
      </c>
    </row>
    <row r="103" spans="1:18" x14ac:dyDescent="0.25">
      <c r="A103" s="24" t="s">
        <v>31841</v>
      </c>
      <c r="B103" s="25" t="s">
        <v>31842</v>
      </c>
      <c r="C103" s="26">
        <v>0.67</v>
      </c>
      <c r="D103" s="27">
        <v>0.86</v>
      </c>
      <c r="E103" s="28" t="s">
        <v>31843</v>
      </c>
      <c r="F103" s="25" t="s">
        <v>29678</v>
      </c>
      <c r="G103" s="25" t="s">
        <v>18</v>
      </c>
      <c r="H103" s="25">
        <v>30</v>
      </c>
      <c r="I103" s="25">
        <v>0</v>
      </c>
      <c r="J103" s="25" t="s">
        <v>479</v>
      </c>
      <c r="K103" s="25" t="s">
        <v>1566</v>
      </c>
      <c r="L103" s="27">
        <v>0.28000000000000003</v>
      </c>
      <c r="M103" s="26">
        <v>0.3</v>
      </c>
      <c r="N103" s="25">
        <v>30</v>
      </c>
      <c r="O103" s="25">
        <v>13</v>
      </c>
      <c r="P103" s="25" t="s">
        <v>32220</v>
      </c>
      <c r="Q103" s="25">
        <v>118</v>
      </c>
      <c r="R103" s="25">
        <v>1.8</v>
      </c>
    </row>
    <row r="104" spans="1:18" x14ac:dyDescent="0.25">
      <c r="A104" s="24" t="s">
        <v>31986</v>
      </c>
      <c r="B104" s="25" t="s">
        <v>31987</v>
      </c>
      <c r="C104" s="26">
        <v>0.56999999999999995</v>
      </c>
      <c r="D104" s="27">
        <v>0.9</v>
      </c>
      <c r="E104" s="28" t="s">
        <v>31989</v>
      </c>
      <c r="F104" s="25" t="s">
        <v>18</v>
      </c>
      <c r="G104" s="25" t="s">
        <v>18</v>
      </c>
      <c r="H104" s="25">
        <v>7</v>
      </c>
      <c r="I104" s="25">
        <v>1</v>
      </c>
      <c r="J104" s="25" t="s">
        <v>479</v>
      </c>
      <c r="K104" s="25" t="s">
        <v>23491</v>
      </c>
      <c r="L104" s="27">
        <v>0.87</v>
      </c>
      <c r="M104" s="26">
        <v>0.43</v>
      </c>
      <c r="N104" s="25">
        <v>3</v>
      </c>
      <c r="O104" s="25">
        <v>8</v>
      </c>
      <c r="P104" s="25" t="s">
        <v>32221</v>
      </c>
      <c r="Q104" s="25">
        <v>12</v>
      </c>
      <c r="R104" s="25">
        <v>1.4</v>
      </c>
    </row>
    <row r="105" spans="1:18" x14ac:dyDescent="0.25">
      <c r="A105" s="24" t="s">
        <v>32020</v>
      </c>
      <c r="B105" s="25" t="s">
        <v>32021</v>
      </c>
      <c r="C105" s="26">
        <v>0.37</v>
      </c>
      <c r="D105" s="30">
        <v>-0.13</v>
      </c>
      <c r="E105" s="29" t="s">
        <v>32023</v>
      </c>
      <c r="F105" s="25" t="s">
        <v>18</v>
      </c>
      <c r="G105" s="25" t="s">
        <v>18</v>
      </c>
      <c r="H105" s="25">
        <v>19</v>
      </c>
      <c r="I105" s="25">
        <v>4</v>
      </c>
      <c r="J105" s="25" t="s">
        <v>17039</v>
      </c>
      <c r="K105" s="25" t="s">
        <v>27304</v>
      </c>
      <c r="L105" s="30">
        <v>-0.85</v>
      </c>
      <c r="M105" s="26">
        <v>0.11</v>
      </c>
      <c r="N105" s="25">
        <v>4</v>
      </c>
      <c r="O105" s="25">
        <v>17</v>
      </c>
      <c r="P105" s="25" t="s">
        <v>32222</v>
      </c>
      <c r="Q105" s="25">
        <v>15</v>
      </c>
      <c r="R105" s="25">
        <v>1.2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F249-5AC6-4924-BD85-BDFE6AE9919C}">
  <dimension ref="A1:P180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HYPERLINK("https://gmgn.ai/sol/address/6ryJGyrRDAcWLAmASkMVUWSX7D51pw4A3wvuYYNhQ5D8", "GMGN")</f>
        <v>GMGN</v>
      </c>
    </row>
    <row r="2" spans="1:14" x14ac:dyDescent="0.25">
      <c r="A2" s="3" t="s">
        <v>6307</v>
      </c>
      <c r="B2" s="3" t="s">
        <v>6308</v>
      </c>
      <c r="C2" s="3" t="s">
        <v>6309</v>
      </c>
      <c r="D2" s="3" t="s">
        <v>6310</v>
      </c>
      <c r="E2" s="3" t="s">
        <v>6311</v>
      </c>
      <c r="F2" s="3" t="s">
        <v>6312</v>
      </c>
      <c r="G2" s="3" t="s">
        <v>18</v>
      </c>
      <c r="H2" s="3">
        <v>161</v>
      </c>
      <c r="I2" s="3">
        <v>0</v>
      </c>
      <c r="J2" s="3" t="s">
        <v>6313</v>
      </c>
      <c r="K2" s="3" t="s">
        <v>1566</v>
      </c>
      <c r="L2" s="3">
        <v>66</v>
      </c>
      <c r="M2" s="3">
        <v>146</v>
      </c>
      <c r="N2" s="3" t="str">
        <f>HYPERLINK("https://solscan.io/account/6ryJGyrRDAcWLAmASkMVUWSX7D51pw4A3wvuYYNhQ5D8", "Solscan")</f>
        <v>Solscan</v>
      </c>
    </row>
    <row r="3" spans="1:14" x14ac:dyDescent="0.25">
      <c r="A3" s="1" t="s">
        <v>21</v>
      </c>
      <c r="B3" s="4" t="s">
        <v>6314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HYPERLINK("https://birdeye.so/profile/6ryJGyrRDAcWLAmASkMVUWSX7D51pw4A3wvuYYNhQ5D8", "Birdeye")</f>
        <v>Birdeye</v>
      </c>
    </row>
    <row r="4" spans="1:14" x14ac:dyDescent="0.25">
      <c r="A4" s="1" t="s">
        <v>25</v>
      </c>
      <c r="B4" s="3" t="s">
        <v>4121</v>
      </c>
      <c r="C4" s="3"/>
      <c r="D4" s="3" t="s">
        <v>1568</v>
      </c>
      <c r="E4" s="3" t="s">
        <v>6315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6316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4278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6</v>
      </c>
      <c r="C10" s="1">
        <v>17</v>
      </c>
      <c r="D10" s="1">
        <v>18</v>
      </c>
      <c r="E10" s="1">
        <v>38</v>
      </c>
      <c r="F10" s="1">
        <v>46</v>
      </c>
      <c r="G10" s="1">
        <v>36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6317</v>
      </c>
      <c r="C11" s="1" t="s">
        <v>6318</v>
      </c>
      <c r="D11" s="1" t="s">
        <v>6319</v>
      </c>
      <c r="E11" s="1" t="s">
        <v>6320</v>
      </c>
      <c r="F11" s="1" t="s">
        <v>4125</v>
      </c>
      <c r="G11" s="1" t="s">
        <v>6321</v>
      </c>
      <c r="H11" s="3"/>
      <c r="I11" s="3" t="s">
        <v>50</v>
      </c>
      <c r="J11" s="3" t="s">
        <v>6322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6323</v>
      </c>
      <c r="C12" s="1" t="s">
        <v>6324</v>
      </c>
      <c r="D12" s="1" t="s">
        <v>6325</v>
      </c>
      <c r="E12" s="1" t="s">
        <v>6326</v>
      </c>
      <c r="F12" s="1" t="s">
        <v>6327</v>
      </c>
      <c r="G12" s="1" t="s">
        <v>6328</v>
      </c>
      <c r="H12" s="3"/>
      <c r="I12" s="3" t="s">
        <v>59</v>
      </c>
      <c r="J12" s="3" t="s">
        <v>6329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6330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2023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6331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6332</v>
      </c>
      <c r="B20" s="14">
        <v>84584999</v>
      </c>
      <c r="C20" s="14">
        <v>84584999</v>
      </c>
      <c r="D20" s="14" t="s">
        <v>6333</v>
      </c>
      <c r="E20" s="14" t="s">
        <v>6334</v>
      </c>
      <c r="F20" s="14" t="s">
        <v>6335</v>
      </c>
      <c r="G20" s="15" t="s">
        <v>6336</v>
      </c>
      <c r="H20" s="15" t="s">
        <v>6337</v>
      </c>
      <c r="I20" s="14" t="s">
        <v>88</v>
      </c>
      <c r="J20" s="14">
        <v>2</v>
      </c>
      <c r="K20" s="14">
        <v>1</v>
      </c>
      <c r="L20" s="14" t="s">
        <v>6338</v>
      </c>
      <c r="M20" s="19" t="s">
        <v>1856</v>
      </c>
      <c r="N20" s="14" t="s">
        <v>2069</v>
      </c>
      <c r="O20" s="14" t="s">
        <v>6339</v>
      </c>
      <c r="P20" s="14" t="str">
        <f>HYPERLINK("https://photon-sol.tinyastro.io/en/lp/H2f5eXf7YSxmFYyCGmSk4ofTMtJGfyhSps5GhTemrGWm?handle=676050794bc1b1657a56b", "View")</f>
        <v>View</v>
      </c>
    </row>
    <row r="21" spans="1:16" x14ac:dyDescent="0.25">
      <c r="A21" s="16" t="s">
        <v>93</v>
      </c>
      <c r="B21" s="17">
        <v>23920803</v>
      </c>
      <c r="C21" s="17">
        <v>23920803</v>
      </c>
      <c r="D21" s="17" t="s">
        <v>6340</v>
      </c>
      <c r="E21" s="17" t="s">
        <v>6341</v>
      </c>
      <c r="F21" s="17" t="s">
        <v>6342</v>
      </c>
      <c r="G21" s="21" t="s">
        <v>6343</v>
      </c>
      <c r="H21" s="21" t="s">
        <v>6344</v>
      </c>
      <c r="I21" s="17" t="s">
        <v>88</v>
      </c>
      <c r="J21" s="17">
        <v>6</v>
      </c>
      <c r="K21" s="17">
        <v>17</v>
      </c>
      <c r="L21" s="17" t="s">
        <v>6345</v>
      </c>
      <c r="M21" s="17" t="s">
        <v>117</v>
      </c>
      <c r="N21" s="17" t="s">
        <v>6346</v>
      </c>
      <c r="O21" s="17" t="s">
        <v>103</v>
      </c>
      <c r="P21" s="17" t="str">
        <f>HYPERLINK("https://dexscreener.com/solana/BbQbAoML7FJTyk45N9hXdp883NzB8WvHFCesEeAppump", "View")</f>
        <v>View</v>
      </c>
    </row>
    <row r="22" spans="1:16" x14ac:dyDescent="0.25">
      <c r="A22" s="13" t="s">
        <v>6347</v>
      </c>
      <c r="B22" s="14">
        <v>23066270</v>
      </c>
      <c r="C22" s="14">
        <v>23066270</v>
      </c>
      <c r="D22" s="14" t="s">
        <v>6333</v>
      </c>
      <c r="E22" s="14" t="s">
        <v>6334</v>
      </c>
      <c r="F22" s="14" t="s">
        <v>6348</v>
      </c>
      <c r="G22" s="20" t="s">
        <v>6349</v>
      </c>
      <c r="H22" s="20" t="s">
        <v>6350</v>
      </c>
      <c r="I22" s="14" t="s">
        <v>88</v>
      </c>
      <c r="J22" s="14">
        <v>2</v>
      </c>
      <c r="K22" s="14">
        <v>1</v>
      </c>
      <c r="L22" s="14" t="s">
        <v>6351</v>
      </c>
      <c r="M22" s="19" t="s">
        <v>2993</v>
      </c>
      <c r="N22" s="14" t="s">
        <v>6352</v>
      </c>
      <c r="O22" s="14" t="s">
        <v>6353</v>
      </c>
      <c r="P22" s="14" t="str">
        <f>HYPERLINK("https://photon-sol.tinyastro.io/en/lp/8YiB8B43EwDeSx5Jp91VQjgBU4mfCgVvyNahadtzpump?handle=676050794bc1b1657a56b", "View")</f>
        <v>View</v>
      </c>
    </row>
    <row r="23" spans="1:16" x14ac:dyDescent="0.25">
      <c r="A23" s="16" t="s">
        <v>6354</v>
      </c>
      <c r="B23" s="17">
        <v>28293280</v>
      </c>
      <c r="C23" s="17">
        <v>28293280</v>
      </c>
      <c r="D23" s="17" t="s">
        <v>6355</v>
      </c>
      <c r="E23" s="17" t="s">
        <v>6356</v>
      </c>
      <c r="F23" s="17" t="s">
        <v>6357</v>
      </c>
      <c r="G23" s="20" t="s">
        <v>6358</v>
      </c>
      <c r="H23" s="20" t="s">
        <v>6314</v>
      </c>
      <c r="I23" s="17" t="s">
        <v>88</v>
      </c>
      <c r="J23" s="17">
        <v>1</v>
      </c>
      <c r="K23" s="17">
        <v>2</v>
      </c>
      <c r="L23" s="17" t="s">
        <v>6359</v>
      </c>
      <c r="M23" s="19" t="s">
        <v>1721</v>
      </c>
      <c r="N23" s="17" t="s">
        <v>6360</v>
      </c>
      <c r="O23" s="17" t="s">
        <v>6361</v>
      </c>
      <c r="P23" s="17" t="str">
        <f>HYPERLINK("https://photon-sol.tinyastro.io/en/lp/GZzHeuJ9Ap3gzSGZ1uES5eQ2LXPYP9dKxkneytyrpump?handle=676050794bc1b1657a56b", "View")</f>
        <v>View</v>
      </c>
    </row>
    <row r="24" spans="1:16" x14ac:dyDescent="0.25">
      <c r="A24" s="13" t="s">
        <v>6362</v>
      </c>
      <c r="B24" s="14">
        <v>29065328</v>
      </c>
      <c r="C24" s="14">
        <v>29065328</v>
      </c>
      <c r="D24" s="14" t="s">
        <v>6363</v>
      </c>
      <c r="E24" s="14" t="s">
        <v>6364</v>
      </c>
      <c r="F24" s="14" t="s">
        <v>6365</v>
      </c>
      <c r="G24" s="15" t="s">
        <v>6366</v>
      </c>
      <c r="H24" s="15" t="s">
        <v>6367</v>
      </c>
      <c r="I24" s="14" t="s">
        <v>88</v>
      </c>
      <c r="J24" s="14">
        <v>3</v>
      </c>
      <c r="K24" s="14">
        <v>1</v>
      </c>
      <c r="L24" s="14" t="s">
        <v>6368</v>
      </c>
      <c r="M24" s="14" t="s">
        <v>1448</v>
      </c>
      <c r="N24" s="14" t="s">
        <v>6369</v>
      </c>
      <c r="O24" s="14" t="s">
        <v>6370</v>
      </c>
      <c r="P24" s="14" t="str">
        <f>HYPERLINK("https://photon-sol.tinyastro.io/en/lp/BfB7d1jd5ptf5QZWUX5eKPKd1iRmsofF3sjbYBC6pump?handle=676050794bc1b1657a56b", "View")</f>
        <v>View</v>
      </c>
    </row>
    <row r="25" spans="1:16" x14ac:dyDescent="0.25">
      <c r="A25" s="16" t="s">
        <v>6371</v>
      </c>
      <c r="B25" s="17">
        <v>27718160</v>
      </c>
      <c r="C25" s="17">
        <v>27718160</v>
      </c>
      <c r="D25" s="17" t="s">
        <v>6372</v>
      </c>
      <c r="E25" s="17" t="s">
        <v>6373</v>
      </c>
      <c r="F25" s="17" t="s">
        <v>6374</v>
      </c>
      <c r="G25" s="21" t="s">
        <v>6375</v>
      </c>
      <c r="H25" s="21" t="s">
        <v>6376</v>
      </c>
      <c r="I25" s="17" t="s">
        <v>88</v>
      </c>
      <c r="J25" s="17">
        <v>1</v>
      </c>
      <c r="K25" s="17">
        <v>3</v>
      </c>
      <c r="L25" s="17" t="s">
        <v>6377</v>
      </c>
      <c r="M25" s="17" t="s">
        <v>788</v>
      </c>
      <c r="N25" s="17" t="s">
        <v>6378</v>
      </c>
      <c r="O25" s="17" t="s">
        <v>6379</v>
      </c>
      <c r="P25" s="17" t="str">
        <f>HYPERLINK("https://photon-sol.tinyastro.io/en/lp/2qYuPd799Uz6QHGCDbRdsuM8Gb37d9HgY6HRHGV9pump?handle=676050794bc1b1657a56b", "View")</f>
        <v>View</v>
      </c>
    </row>
    <row r="26" spans="1:16" x14ac:dyDescent="0.25">
      <c r="A26" s="13" t="s">
        <v>6380</v>
      </c>
      <c r="B26" s="14">
        <v>36845747</v>
      </c>
      <c r="C26" s="14">
        <v>36845747</v>
      </c>
      <c r="D26" s="14" t="s">
        <v>4424</v>
      </c>
      <c r="E26" s="14" t="s">
        <v>6381</v>
      </c>
      <c r="F26" s="14" t="s">
        <v>6382</v>
      </c>
      <c r="G26" s="22" t="s">
        <v>6383</v>
      </c>
      <c r="H26" s="22" t="s">
        <v>6384</v>
      </c>
      <c r="I26" s="14" t="s">
        <v>88</v>
      </c>
      <c r="J26" s="14">
        <v>1</v>
      </c>
      <c r="K26" s="14">
        <v>2</v>
      </c>
      <c r="L26" s="14" t="s">
        <v>6385</v>
      </c>
      <c r="M26" s="19" t="s">
        <v>1849</v>
      </c>
      <c r="N26" s="14" t="s">
        <v>1966</v>
      </c>
      <c r="O26" s="14" t="s">
        <v>6386</v>
      </c>
      <c r="P26" s="14" t="str">
        <f>HYPERLINK("https://photon-sol.tinyastro.io/en/lp/G4CciyZZmWefP79DkWmqWUqZ5SxDwGt6BpNRBX4Wpump?handle=676050794bc1b1657a56b", "View")</f>
        <v>View</v>
      </c>
    </row>
    <row r="27" spans="1:16" x14ac:dyDescent="0.25">
      <c r="A27" s="16" t="s">
        <v>104</v>
      </c>
      <c r="B27" s="17">
        <v>61584397</v>
      </c>
      <c r="C27" s="17">
        <v>61584397</v>
      </c>
      <c r="D27" s="17" t="s">
        <v>6387</v>
      </c>
      <c r="E27" s="17" t="s">
        <v>6388</v>
      </c>
      <c r="F27" s="17" t="s">
        <v>6389</v>
      </c>
      <c r="G27" s="20" t="s">
        <v>6390</v>
      </c>
      <c r="H27" s="20" t="s">
        <v>6391</v>
      </c>
      <c r="I27" s="17" t="s">
        <v>88</v>
      </c>
      <c r="J27" s="17">
        <v>4</v>
      </c>
      <c r="K27" s="17">
        <v>3</v>
      </c>
      <c r="L27" s="17" t="s">
        <v>6392</v>
      </c>
      <c r="M27" s="17" t="s">
        <v>6393</v>
      </c>
      <c r="N27" s="17" t="s">
        <v>6394</v>
      </c>
      <c r="O27" s="17" t="s">
        <v>110</v>
      </c>
      <c r="P27" s="17" t="str">
        <f>HYPERLINK("https://dexscreener.com/solana/8zuLGDdCMELwGjD9b3gtyqfCKwj5hbNUnCCw66eBpump", "View")</f>
        <v>View</v>
      </c>
    </row>
    <row r="28" spans="1:16" x14ac:dyDescent="0.25">
      <c r="A28" s="13" t="s">
        <v>3589</v>
      </c>
      <c r="B28" s="14">
        <v>41036717</v>
      </c>
      <c r="C28" s="14">
        <v>41036717</v>
      </c>
      <c r="D28" s="14" t="s">
        <v>6395</v>
      </c>
      <c r="E28" s="14" t="s">
        <v>6396</v>
      </c>
      <c r="F28" s="14" t="s">
        <v>6397</v>
      </c>
      <c r="G28" s="22" t="s">
        <v>6398</v>
      </c>
      <c r="H28" s="22" t="s">
        <v>6399</v>
      </c>
      <c r="I28" s="14" t="s">
        <v>88</v>
      </c>
      <c r="J28" s="14">
        <v>2</v>
      </c>
      <c r="K28" s="14">
        <v>1</v>
      </c>
      <c r="L28" s="14" t="s">
        <v>6400</v>
      </c>
      <c r="M28" s="14" t="s">
        <v>1448</v>
      </c>
      <c r="N28" s="14" t="s">
        <v>2278</v>
      </c>
      <c r="O28" s="14" t="s">
        <v>6401</v>
      </c>
      <c r="P28" s="14" t="str">
        <f>HYPERLINK("https://photon-sol.tinyastro.io/en/lp/D3wdKFpXZ4HP4Uu1T5VifoqwRZhNkR9yLmuogwQnpump?handle=676050794bc1b1657a56b", "View")</f>
        <v>View</v>
      </c>
    </row>
    <row r="29" spans="1:16" x14ac:dyDescent="0.25">
      <c r="A29" s="16" t="s">
        <v>189</v>
      </c>
      <c r="B29" s="17">
        <v>23776241</v>
      </c>
      <c r="C29" s="17">
        <v>23776241</v>
      </c>
      <c r="D29" s="17" t="s">
        <v>6402</v>
      </c>
      <c r="E29" s="17" t="s">
        <v>6403</v>
      </c>
      <c r="F29" s="17" t="s">
        <v>6404</v>
      </c>
      <c r="G29" s="20" t="s">
        <v>6405</v>
      </c>
      <c r="H29" s="20" t="s">
        <v>1375</v>
      </c>
      <c r="I29" s="17" t="s">
        <v>88</v>
      </c>
      <c r="J29" s="17">
        <v>2</v>
      </c>
      <c r="K29" s="17">
        <v>1</v>
      </c>
      <c r="L29" s="17" t="s">
        <v>6406</v>
      </c>
      <c r="M29" s="19" t="s">
        <v>2379</v>
      </c>
      <c r="N29" s="17" t="s">
        <v>6407</v>
      </c>
      <c r="O29" s="17" t="s">
        <v>193</v>
      </c>
      <c r="P29" s="17" t="str">
        <f>HYPERLINK("https://dexscreener.com/solana/HnYqXefRFM2U5aUpSWEdxRG6DsPFM6gGZUUWFXgSpump", "View")</f>
        <v>View</v>
      </c>
    </row>
    <row r="30" spans="1:16" x14ac:dyDescent="0.25">
      <c r="A30" s="13" t="s">
        <v>6408</v>
      </c>
      <c r="B30" s="14">
        <v>13714881</v>
      </c>
      <c r="C30" s="14">
        <v>13714881</v>
      </c>
      <c r="D30" s="14" t="s">
        <v>6409</v>
      </c>
      <c r="E30" s="14" t="s">
        <v>1804</v>
      </c>
      <c r="F30" s="14" t="s">
        <v>6410</v>
      </c>
      <c r="G30" s="20" t="s">
        <v>6411</v>
      </c>
      <c r="H30" s="20" t="s">
        <v>6412</v>
      </c>
      <c r="I30" s="14" t="s">
        <v>88</v>
      </c>
      <c r="J30" s="14">
        <v>1</v>
      </c>
      <c r="K30" s="14">
        <v>1</v>
      </c>
      <c r="L30" s="14" t="s">
        <v>6413</v>
      </c>
      <c r="M30" s="19" t="s">
        <v>1849</v>
      </c>
      <c r="N30" s="14" t="s">
        <v>6414</v>
      </c>
      <c r="O30" s="14" t="s">
        <v>6415</v>
      </c>
      <c r="P30" s="14" t="str">
        <f>HYPERLINK("https://dexscreener.com/solana/6DEeyuTLVyw241SU555iQjCotKVY8Vzd4bhGa7w5pump", "View")</f>
        <v>View</v>
      </c>
    </row>
    <row r="31" spans="1:16" x14ac:dyDescent="0.25">
      <c r="A31" s="16" t="s">
        <v>6416</v>
      </c>
      <c r="B31" s="17">
        <v>19588184</v>
      </c>
      <c r="C31" s="17">
        <v>19588184</v>
      </c>
      <c r="D31" s="17" t="s">
        <v>6409</v>
      </c>
      <c r="E31" s="17" t="s">
        <v>1804</v>
      </c>
      <c r="F31" s="17" t="s">
        <v>6417</v>
      </c>
      <c r="G31" s="22" t="s">
        <v>6418</v>
      </c>
      <c r="H31" s="22" t="s">
        <v>6419</v>
      </c>
      <c r="I31" s="17" t="s">
        <v>88</v>
      </c>
      <c r="J31" s="17">
        <v>1</v>
      </c>
      <c r="K31" s="17">
        <v>1</v>
      </c>
      <c r="L31" s="17" t="s">
        <v>6420</v>
      </c>
      <c r="M31" s="19" t="s">
        <v>2525</v>
      </c>
      <c r="N31" s="17" t="s">
        <v>6421</v>
      </c>
      <c r="O31" s="17" t="s">
        <v>6422</v>
      </c>
      <c r="P31" s="17" t="str">
        <f>HYPERLINK("https://dexscreener.com/solana/3XbtXJTwrApeEy9kthjpwBaR158ydaGgHnyEE1bipump", "View")</f>
        <v>View</v>
      </c>
    </row>
    <row r="32" spans="1:16" x14ac:dyDescent="0.25">
      <c r="A32" s="13" t="s">
        <v>6423</v>
      </c>
      <c r="B32" s="14">
        <v>34932606</v>
      </c>
      <c r="C32" s="14">
        <v>34932606</v>
      </c>
      <c r="D32" s="14" t="s">
        <v>6424</v>
      </c>
      <c r="E32" s="14" t="s">
        <v>6425</v>
      </c>
      <c r="F32" s="14" t="s">
        <v>6426</v>
      </c>
      <c r="G32" s="15" t="s">
        <v>6427</v>
      </c>
      <c r="H32" s="15" t="s">
        <v>6428</v>
      </c>
      <c r="I32" s="14" t="s">
        <v>88</v>
      </c>
      <c r="J32" s="14">
        <v>3</v>
      </c>
      <c r="K32" s="14">
        <v>1</v>
      </c>
      <c r="L32" s="14" t="s">
        <v>6429</v>
      </c>
      <c r="M32" s="14" t="s">
        <v>1566</v>
      </c>
      <c r="N32" s="14" t="s">
        <v>6430</v>
      </c>
      <c r="O32" s="14" t="s">
        <v>6431</v>
      </c>
      <c r="P32" s="14" t="str">
        <f>HYPERLINK("https://dexscreener.com/solana/9Q3no5oBzJW37TgcBP22F6SVZCtsc3G3RHELSbbgpump", "View")</f>
        <v>View</v>
      </c>
    </row>
    <row r="33" spans="1:16" x14ac:dyDescent="0.25">
      <c r="A33" s="16" t="s">
        <v>6432</v>
      </c>
      <c r="B33" s="17">
        <v>22905071</v>
      </c>
      <c r="C33" s="17">
        <v>22905071</v>
      </c>
      <c r="D33" s="17" t="s">
        <v>6433</v>
      </c>
      <c r="E33" s="17" t="s">
        <v>6434</v>
      </c>
      <c r="F33" s="17" t="s">
        <v>6435</v>
      </c>
      <c r="G33" s="20" t="s">
        <v>6436</v>
      </c>
      <c r="H33" s="20" t="s">
        <v>6437</v>
      </c>
      <c r="I33" s="17" t="s">
        <v>88</v>
      </c>
      <c r="J33" s="17">
        <v>1</v>
      </c>
      <c r="K33" s="17">
        <v>1</v>
      </c>
      <c r="L33" s="17" t="s">
        <v>6438</v>
      </c>
      <c r="M33" s="17" t="s">
        <v>1610</v>
      </c>
      <c r="N33" s="17" t="s">
        <v>4747</v>
      </c>
      <c r="O33" s="17" t="s">
        <v>6439</v>
      </c>
      <c r="P33" s="17" t="str">
        <f>HYPERLINK("https://photon-sol.tinyastro.io/en/lp/8WxmZnV1aqNbNBjWvpjhZwmFp4teNzs94A9RUNKSpump?handle=676050794bc1b1657a56b", "View")</f>
        <v>View</v>
      </c>
    </row>
    <row r="34" spans="1:16" x14ac:dyDescent="0.25">
      <c r="A34" s="13" t="s">
        <v>6440</v>
      </c>
      <c r="B34" s="14">
        <v>70056007</v>
      </c>
      <c r="C34" s="14">
        <v>70056007</v>
      </c>
      <c r="D34" s="14" t="s">
        <v>6441</v>
      </c>
      <c r="E34" s="14" t="s">
        <v>6442</v>
      </c>
      <c r="F34" s="14" t="s">
        <v>6443</v>
      </c>
      <c r="G34" s="20" t="s">
        <v>6444</v>
      </c>
      <c r="H34" s="20" t="s">
        <v>6445</v>
      </c>
      <c r="I34" s="14" t="s">
        <v>88</v>
      </c>
      <c r="J34" s="14">
        <v>3</v>
      </c>
      <c r="K34" s="14">
        <v>2</v>
      </c>
      <c r="L34" s="14" t="s">
        <v>6446</v>
      </c>
      <c r="M34" s="14" t="s">
        <v>3171</v>
      </c>
      <c r="N34" s="14" t="s">
        <v>6447</v>
      </c>
      <c r="O34" s="14" t="s">
        <v>6448</v>
      </c>
      <c r="P34" s="14" t="str">
        <f>HYPERLINK("https://photon-sol.tinyastro.io/en/lp/HB9XUyKQRyM7pwBGZd3s63nfHPjgsa3a3ziQrX6iCYQ4?handle=676050794bc1b1657a56b", "View")</f>
        <v>View</v>
      </c>
    </row>
    <row r="35" spans="1:16" x14ac:dyDescent="0.25">
      <c r="A35" s="16" t="s">
        <v>6449</v>
      </c>
      <c r="B35" s="17">
        <v>14904359</v>
      </c>
      <c r="C35" s="17">
        <v>14904359</v>
      </c>
      <c r="D35" s="17" t="s">
        <v>6450</v>
      </c>
      <c r="E35" s="17" t="s">
        <v>6451</v>
      </c>
      <c r="F35" s="17" t="s">
        <v>6452</v>
      </c>
      <c r="G35" s="22" t="s">
        <v>6453</v>
      </c>
      <c r="H35" s="22" t="s">
        <v>6454</v>
      </c>
      <c r="I35" s="17" t="s">
        <v>88</v>
      </c>
      <c r="J35" s="17">
        <v>4</v>
      </c>
      <c r="K35" s="17">
        <v>5</v>
      </c>
      <c r="L35" s="17" t="s">
        <v>6455</v>
      </c>
      <c r="M35" s="17" t="s">
        <v>1434</v>
      </c>
      <c r="N35" s="17" t="s">
        <v>6456</v>
      </c>
      <c r="O35" s="17" t="s">
        <v>6457</v>
      </c>
      <c r="P35" s="17" t="str">
        <f>HYPERLINK("https://dexscreener.com/solana/6qocE7eQhug7pE7CggAvdNJJMtkHjKaVYRSND7Bwpump", "View")</f>
        <v>View</v>
      </c>
    </row>
    <row r="36" spans="1:16" x14ac:dyDescent="0.25">
      <c r="A36" s="13" t="s">
        <v>6458</v>
      </c>
      <c r="B36" s="14">
        <v>46230257</v>
      </c>
      <c r="C36" s="14">
        <v>46230257</v>
      </c>
      <c r="D36" s="14" t="s">
        <v>6459</v>
      </c>
      <c r="E36" s="14" t="s">
        <v>6460</v>
      </c>
      <c r="F36" s="14" t="s">
        <v>6461</v>
      </c>
      <c r="G36" s="20" t="s">
        <v>6462</v>
      </c>
      <c r="H36" s="20" t="s">
        <v>6463</v>
      </c>
      <c r="I36" s="14" t="s">
        <v>88</v>
      </c>
      <c r="J36" s="14">
        <v>1</v>
      </c>
      <c r="K36" s="14">
        <v>1</v>
      </c>
      <c r="L36" s="14" t="s">
        <v>6464</v>
      </c>
      <c r="M36" s="19" t="s">
        <v>1760</v>
      </c>
      <c r="N36" s="14" t="s">
        <v>5302</v>
      </c>
      <c r="O36" s="14" t="s">
        <v>6465</v>
      </c>
      <c r="P36" s="14" t="str">
        <f>HYPERLINK("https://photon-sol.tinyastro.io/en/lp/BMA8W1PhZx91mxsopF6sVzPQk6UerGWFhvCssfbVpump?handle=676050794bc1b1657a56b", "View")</f>
        <v>View</v>
      </c>
    </row>
    <row r="37" spans="1:16" x14ac:dyDescent="0.25">
      <c r="A37" s="16" t="s">
        <v>312</v>
      </c>
      <c r="B37" s="17">
        <v>25169553</v>
      </c>
      <c r="C37" s="17">
        <v>25169553</v>
      </c>
      <c r="D37" s="17" t="s">
        <v>6466</v>
      </c>
      <c r="E37" s="17" t="s">
        <v>6467</v>
      </c>
      <c r="F37" s="17" t="s">
        <v>6468</v>
      </c>
      <c r="G37" s="21" t="s">
        <v>6469</v>
      </c>
      <c r="H37" s="21" t="s">
        <v>6470</v>
      </c>
      <c r="I37" s="17" t="s">
        <v>88</v>
      </c>
      <c r="J37" s="17">
        <v>1</v>
      </c>
      <c r="K37" s="17">
        <v>6</v>
      </c>
      <c r="L37" s="17" t="s">
        <v>6471</v>
      </c>
      <c r="M37" s="17" t="s">
        <v>3171</v>
      </c>
      <c r="N37" s="17" t="s">
        <v>6472</v>
      </c>
      <c r="O37" s="17" t="s">
        <v>319</v>
      </c>
      <c r="P37" s="17" t="str">
        <f>HYPERLINK("https://dexscreener.com/solana/GPF3b1vrWJfpaNNAXqTDLLnSRHTMG6auWonK3LAWpump", "View")</f>
        <v>View</v>
      </c>
    </row>
    <row r="38" spans="1:16" x14ac:dyDescent="0.25">
      <c r="A38" s="13" t="s">
        <v>6473</v>
      </c>
      <c r="B38" s="14">
        <v>13905291</v>
      </c>
      <c r="C38" s="14">
        <v>13905291</v>
      </c>
      <c r="D38" s="14" t="s">
        <v>6474</v>
      </c>
      <c r="E38" s="14" t="s">
        <v>6475</v>
      </c>
      <c r="F38" s="14" t="s">
        <v>6476</v>
      </c>
      <c r="G38" s="20" t="s">
        <v>6477</v>
      </c>
      <c r="H38" s="20" t="s">
        <v>6478</v>
      </c>
      <c r="I38" s="14" t="s">
        <v>88</v>
      </c>
      <c r="J38" s="14">
        <v>3</v>
      </c>
      <c r="K38" s="14">
        <v>1</v>
      </c>
      <c r="L38" s="14" t="s">
        <v>6479</v>
      </c>
      <c r="M38" s="14" t="s">
        <v>1642</v>
      </c>
      <c r="N38" s="14" t="s">
        <v>6480</v>
      </c>
      <c r="O38" s="14" t="s">
        <v>6481</v>
      </c>
      <c r="P38" s="14" t="str">
        <f>HYPERLINK("https://dexscreener.com/solana/9FyvApf4t4BXhtT35LqHCeX2oewR1tcP2cNBbqkhpump", "View")</f>
        <v>View</v>
      </c>
    </row>
    <row r="39" spans="1:16" x14ac:dyDescent="0.25">
      <c r="A39" s="16" t="s">
        <v>6482</v>
      </c>
      <c r="B39" s="17">
        <v>84159781</v>
      </c>
      <c r="C39" s="17">
        <v>84159781</v>
      </c>
      <c r="D39" s="17" t="s">
        <v>6483</v>
      </c>
      <c r="E39" s="17" t="s">
        <v>6484</v>
      </c>
      <c r="F39" s="17" t="s">
        <v>6485</v>
      </c>
      <c r="G39" s="20" t="s">
        <v>6486</v>
      </c>
      <c r="H39" s="20" t="s">
        <v>6487</v>
      </c>
      <c r="I39" s="17" t="s">
        <v>88</v>
      </c>
      <c r="J39" s="17">
        <v>2</v>
      </c>
      <c r="K39" s="17">
        <v>2</v>
      </c>
      <c r="L39" s="17" t="s">
        <v>6488</v>
      </c>
      <c r="M39" s="17" t="s">
        <v>745</v>
      </c>
      <c r="N39" s="17" t="s">
        <v>6489</v>
      </c>
      <c r="O39" s="17" t="s">
        <v>6490</v>
      </c>
      <c r="P39" s="17" t="str">
        <f>HYPERLINK("https://photon-sol.tinyastro.io/en/lp/9gheHBoCSkWS6BLo8vUCqfSekaVHWAB4rM1DazCypump?handle=676050794bc1b1657a56b", "View")</f>
        <v>View</v>
      </c>
    </row>
    <row r="40" spans="1:16" x14ac:dyDescent="0.25">
      <c r="A40" s="13" t="s">
        <v>5030</v>
      </c>
      <c r="B40" s="14">
        <v>2031822</v>
      </c>
      <c r="C40" s="14">
        <v>2031822</v>
      </c>
      <c r="D40" s="14" t="s">
        <v>6491</v>
      </c>
      <c r="E40" s="14" t="s">
        <v>6492</v>
      </c>
      <c r="F40" s="14" t="s">
        <v>6493</v>
      </c>
      <c r="G40" s="21" t="s">
        <v>6494</v>
      </c>
      <c r="H40" s="21" t="s">
        <v>6495</v>
      </c>
      <c r="I40" s="14" t="s">
        <v>88</v>
      </c>
      <c r="J40" s="14">
        <v>5</v>
      </c>
      <c r="K40" s="14">
        <v>1</v>
      </c>
      <c r="L40" s="14" t="s">
        <v>6496</v>
      </c>
      <c r="M40" s="19" t="s">
        <v>1856</v>
      </c>
      <c r="N40" s="14" t="s">
        <v>6497</v>
      </c>
      <c r="O40" s="14" t="s">
        <v>6498</v>
      </c>
      <c r="P40" s="14" t="str">
        <f>HYPERLINK("https://dexscreener.com/solana/4J5HoZWoKcbo2JQxEEVCKRBfUQtEroY1QdRrKtZFpump", "View")</f>
        <v>View</v>
      </c>
    </row>
    <row r="41" spans="1:16" x14ac:dyDescent="0.25">
      <c r="A41" s="16" t="s">
        <v>6499</v>
      </c>
      <c r="B41" s="17">
        <v>11617423</v>
      </c>
      <c r="C41" s="17">
        <v>11617423</v>
      </c>
      <c r="D41" s="17" t="s">
        <v>6500</v>
      </c>
      <c r="E41" s="17" t="s">
        <v>6403</v>
      </c>
      <c r="F41" s="17" t="s">
        <v>6501</v>
      </c>
      <c r="G41" s="22" t="s">
        <v>6502</v>
      </c>
      <c r="H41" s="22" t="s">
        <v>6503</v>
      </c>
      <c r="I41" s="17" t="s">
        <v>88</v>
      </c>
      <c r="J41" s="17">
        <v>2</v>
      </c>
      <c r="K41" s="17">
        <v>3</v>
      </c>
      <c r="L41" s="17" t="s">
        <v>6504</v>
      </c>
      <c r="M41" s="17" t="s">
        <v>602</v>
      </c>
      <c r="N41" s="17" t="s">
        <v>6505</v>
      </c>
      <c r="O41" s="17" t="s">
        <v>6506</v>
      </c>
      <c r="P41" s="17" t="str">
        <f>HYPERLINK("https://dexscreener.com/solana/9ZxqCYUSrUqznG5hGyywodRxvm4YTmYNRvdt5X97pump", "View")</f>
        <v>View</v>
      </c>
    </row>
    <row r="42" spans="1:16" x14ac:dyDescent="0.25">
      <c r="A42" s="13" t="s">
        <v>6507</v>
      </c>
      <c r="B42" s="14">
        <v>18885022</v>
      </c>
      <c r="C42" s="14">
        <v>18885022</v>
      </c>
      <c r="D42" s="14" t="s">
        <v>6508</v>
      </c>
      <c r="E42" s="14" t="s">
        <v>6509</v>
      </c>
      <c r="F42" s="14" t="s">
        <v>6510</v>
      </c>
      <c r="G42" s="21" t="s">
        <v>6511</v>
      </c>
      <c r="H42" s="21" t="s">
        <v>6512</v>
      </c>
      <c r="I42" s="14" t="s">
        <v>88</v>
      </c>
      <c r="J42" s="14">
        <v>1</v>
      </c>
      <c r="K42" s="14">
        <v>1</v>
      </c>
      <c r="L42" s="14" t="s">
        <v>6513</v>
      </c>
      <c r="M42" s="14" t="s">
        <v>788</v>
      </c>
      <c r="N42" s="14" t="s">
        <v>6514</v>
      </c>
      <c r="O42" s="14" t="s">
        <v>6515</v>
      </c>
      <c r="P42" s="14" t="str">
        <f>HYPERLINK("https://photon-sol.tinyastro.io/en/lp/7SbeiewVUEuVcJzGuFQuYpLUSjUyD7m9Sdez7NJdpump?handle=676050794bc1b1657a56b", "View")</f>
        <v>View</v>
      </c>
    </row>
    <row r="43" spans="1:16" x14ac:dyDescent="0.25">
      <c r="A43" s="16" t="s">
        <v>6516</v>
      </c>
      <c r="B43" s="17">
        <v>20158079</v>
      </c>
      <c r="C43" s="17">
        <v>20158079</v>
      </c>
      <c r="D43" s="17" t="s">
        <v>6517</v>
      </c>
      <c r="E43" s="17" t="s">
        <v>6460</v>
      </c>
      <c r="F43" s="17" t="s">
        <v>6518</v>
      </c>
      <c r="G43" s="21" t="s">
        <v>6519</v>
      </c>
      <c r="H43" s="21" t="s">
        <v>6520</v>
      </c>
      <c r="I43" s="17" t="s">
        <v>88</v>
      </c>
      <c r="J43" s="17">
        <v>1</v>
      </c>
      <c r="K43" s="17">
        <v>2</v>
      </c>
      <c r="L43" s="17" t="s">
        <v>6521</v>
      </c>
      <c r="M43" s="17" t="s">
        <v>602</v>
      </c>
      <c r="N43" s="17" t="s">
        <v>6522</v>
      </c>
      <c r="O43" s="17" t="s">
        <v>6523</v>
      </c>
      <c r="P43" s="17" t="str">
        <f>HYPERLINK("https://photon-sol.tinyastro.io/en/lp/7aaqdaNk2xsF143Xa3qrPsDN6Y7WgX2fzCZxwxj1pump?handle=676050794bc1b1657a56b", "View")</f>
        <v>View</v>
      </c>
    </row>
    <row r="44" spans="1:16" x14ac:dyDescent="0.25">
      <c r="A44" s="13" t="s">
        <v>6524</v>
      </c>
      <c r="B44" s="14">
        <v>17394752</v>
      </c>
      <c r="C44" s="14">
        <v>17394752</v>
      </c>
      <c r="D44" s="14" t="s">
        <v>6459</v>
      </c>
      <c r="E44" s="14" t="s">
        <v>6460</v>
      </c>
      <c r="F44" s="14" t="s">
        <v>6525</v>
      </c>
      <c r="G44" s="20" t="s">
        <v>6526</v>
      </c>
      <c r="H44" s="20" t="s">
        <v>6527</v>
      </c>
      <c r="I44" s="14" t="s">
        <v>88</v>
      </c>
      <c r="J44" s="14">
        <v>1</v>
      </c>
      <c r="K44" s="14">
        <v>1</v>
      </c>
      <c r="L44" s="14" t="s">
        <v>6528</v>
      </c>
      <c r="M44" s="19" t="s">
        <v>2239</v>
      </c>
      <c r="N44" s="14" t="s">
        <v>2217</v>
      </c>
      <c r="O44" s="14" t="s">
        <v>6529</v>
      </c>
      <c r="P44" s="14" t="str">
        <f>HYPERLINK("https://photon-sol.tinyastro.io/en/lp/8Rq1NyTZeyP6uaTpJxMgt5US9EZgV2HEbyFYsnUMpump?handle=676050794bc1b1657a56b", "View")</f>
        <v>View</v>
      </c>
    </row>
    <row r="45" spans="1:16" x14ac:dyDescent="0.25">
      <c r="A45" s="16" t="s">
        <v>6530</v>
      </c>
      <c r="B45" s="17">
        <v>61729680</v>
      </c>
      <c r="C45" s="17">
        <v>61729680</v>
      </c>
      <c r="D45" s="17" t="s">
        <v>6508</v>
      </c>
      <c r="E45" s="17" t="s">
        <v>6531</v>
      </c>
      <c r="F45" s="17" t="s">
        <v>6532</v>
      </c>
      <c r="G45" s="22" t="s">
        <v>6533</v>
      </c>
      <c r="H45" s="22" t="s">
        <v>6534</v>
      </c>
      <c r="I45" s="17" t="s">
        <v>88</v>
      </c>
      <c r="J45" s="17">
        <v>1</v>
      </c>
      <c r="K45" s="17">
        <v>1</v>
      </c>
      <c r="L45" s="17" t="s">
        <v>6535</v>
      </c>
      <c r="M45" s="19" t="s">
        <v>2315</v>
      </c>
      <c r="N45" s="17" t="s">
        <v>6536</v>
      </c>
      <c r="O45" s="17" t="s">
        <v>6537</v>
      </c>
      <c r="P45" s="17" t="str">
        <f>HYPERLINK("https://photon-sol.tinyastro.io/en/lp/63ueWVRMBawnYwthAk8emSSu3xaie24cXw5Lh8eKpump?handle=676050794bc1b1657a56b", "View")</f>
        <v>View</v>
      </c>
    </row>
    <row r="46" spans="1:16" x14ac:dyDescent="0.25">
      <c r="A46" s="13" t="s">
        <v>6538</v>
      </c>
      <c r="B46" s="14">
        <v>27944066</v>
      </c>
      <c r="C46" s="14">
        <v>27944066</v>
      </c>
      <c r="D46" s="14" t="s">
        <v>6483</v>
      </c>
      <c r="E46" s="14" t="s">
        <v>6539</v>
      </c>
      <c r="F46" s="14" t="s">
        <v>6540</v>
      </c>
      <c r="G46" s="22" t="s">
        <v>6541</v>
      </c>
      <c r="H46" s="22" t="s">
        <v>6542</v>
      </c>
      <c r="I46" s="14" t="s">
        <v>88</v>
      </c>
      <c r="J46" s="14">
        <v>2</v>
      </c>
      <c r="K46" s="14">
        <v>2</v>
      </c>
      <c r="L46" s="14" t="s">
        <v>6543</v>
      </c>
      <c r="M46" s="14" t="s">
        <v>1957</v>
      </c>
      <c r="N46" s="14" t="s">
        <v>6544</v>
      </c>
      <c r="O46" s="14" t="s">
        <v>6545</v>
      </c>
      <c r="P46" s="14" t="str">
        <f>HYPERLINK("https://photon-sol.tinyastro.io/en/lp/5mpkZuXwNxig6orRdqghFcuUKbFpnCA2XvTqLLk8pump?handle=676050794bc1b1657a56b", "View")</f>
        <v>View</v>
      </c>
    </row>
    <row r="47" spans="1:16" x14ac:dyDescent="0.25">
      <c r="A47" s="16" t="s">
        <v>6546</v>
      </c>
      <c r="B47" s="17">
        <v>33346095</v>
      </c>
      <c r="C47" s="17">
        <v>33346095</v>
      </c>
      <c r="D47" s="17" t="s">
        <v>6459</v>
      </c>
      <c r="E47" s="17" t="s">
        <v>6460</v>
      </c>
      <c r="F47" s="17" t="s">
        <v>6547</v>
      </c>
      <c r="G47" s="20" t="s">
        <v>6548</v>
      </c>
      <c r="H47" s="20" t="s">
        <v>6549</v>
      </c>
      <c r="I47" s="17" t="s">
        <v>88</v>
      </c>
      <c r="J47" s="17">
        <v>1</v>
      </c>
      <c r="K47" s="17">
        <v>1</v>
      </c>
      <c r="L47" s="17" t="s">
        <v>6550</v>
      </c>
      <c r="M47" s="19" t="s">
        <v>3324</v>
      </c>
      <c r="N47" s="17" t="s">
        <v>3969</v>
      </c>
      <c r="O47" s="17" t="s">
        <v>6551</v>
      </c>
      <c r="P47" s="17" t="str">
        <f>HYPERLINK("https://photon-sol.tinyastro.io/en/lp/kg25jpW5N5UKVQAFHCrGJCZyZ5ttDvwXhmEp6C3pump?handle=676050794bc1b1657a56b", "View")</f>
        <v>View</v>
      </c>
    </row>
    <row r="48" spans="1:16" x14ac:dyDescent="0.25">
      <c r="A48" s="13" t="s">
        <v>6552</v>
      </c>
      <c r="B48" s="14">
        <v>44124819</v>
      </c>
      <c r="C48" s="14">
        <v>44124819</v>
      </c>
      <c r="D48" s="14" t="s">
        <v>6553</v>
      </c>
      <c r="E48" s="14" t="s">
        <v>6531</v>
      </c>
      <c r="F48" s="14" t="s">
        <v>6554</v>
      </c>
      <c r="G48" s="21" t="s">
        <v>6555</v>
      </c>
      <c r="H48" s="21" t="s">
        <v>6556</v>
      </c>
      <c r="I48" s="14" t="s">
        <v>88</v>
      </c>
      <c r="J48" s="14">
        <v>1</v>
      </c>
      <c r="K48" s="14">
        <v>2</v>
      </c>
      <c r="L48" s="14" t="s">
        <v>6557</v>
      </c>
      <c r="M48" s="14" t="s">
        <v>602</v>
      </c>
      <c r="N48" s="14" t="s">
        <v>1461</v>
      </c>
      <c r="O48" s="14" t="s">
        <v>6558</v>
      </c>
      <c r="P48" s="14" t="str">
        <f>HYPERLINK("https://photon-sol.tinyastro.io/en/lp/6uydwYx7yZg41o9yZL2F1nfTryaHuY1wufHGpcscpump?handle=676050794bc1b1657a56b", "View")</f>
        <v>View</v>
      </c>
    </row>
    <row r="49" spans="1:16" x14ac:dyDescent="0.25">
      <c r="A49" s="16" t="s">
        <v>6559</v>
      </c>
      <c r="B49" s="17">
        <v>37630586</v>
      </c>
      <c r="C49" s="17">
        <v>37630586</v>
      </c>
      <c r="D49" s="17" t="s">
        <v>6508</v>
      </c>
      <c r="E49" s="17" t="s">
        <v>6509</v>
      </c>
      <c r="F49" s="17" t="s">
        <v>6560</v>
      </c>
      <c r="G49" s="21" t="s">
        <v>6561</v>
      </c>
      <c r="H49" s="21" t="s">
        <v>6562</v>
      </c>
      <c r="I49" s="17" t="s">
        <v>88</v>
      </c>
      <c r="J49" s="17">
        <v>1</v>
      </c>
      <c r="K49" s="17">
        <v>1</v>
      </c>
      <c r="L49" s="17" t="s">
        <v>6563</v>
      </c>
      <c r="M49" s="19" t="s">
        <v>2812</v>
      </c>
      <c r="N49" s="17" t="s">
        <v>3527</v>
      </c>
      <c r="O49" s="17" t="s">
        <v>6564</v>
      </c>
      <c r="P49" s="17" t="str">
        <f>HYPERLINK("https://photon-sol.tinyastro.io/en/lp/7hDZRGJY8S1gG35JK9nNBr1ZxcVx8vHWV2tKWaAHpump?handle=676050794bc1b1657a56b", "View")</f>
        <v>View</v>
      </c>
    </row>
    <row r="50" spans="1:16" x14ac:dyDescent="0.25">
      <c r="A50" s="13" t="s">
        <v>6565</v>
      </c>
      <c r="B50" s="14">
        <v>96384211</v>
      </c>
      <c r="C50" s="14">
        <v>96384211</v>
      </c>
      <c r="D50" s="14" t="s">
        <v>6566</v>
      </c>
      <c r="E50" s="14" t="s">
        <v>6567</v>
      </c>
      <c r="F50" s="14" t="s">
        <v>6568</v>
      </c>
      <c r="G50" s="22" t="s">
        <v>6569</v>
      </c>
      <c r="H50" s="22" t="s">
        <v>6570</v>
      </c>
      <c r="I50" s="14" t="s">
        <v>88</v>
      </c>
      <c r="J50" s="14">
        <v>3</v>
      </c>
      <c r="K50" s="14">
        <v>3</v>
      </c>
      <c r="L50" s="14" t="s">
        <v>6571</v>
      </c>
      <c r="M50" s="14" t="s">
        <v>160</v>
      </c>
      <c r="N50" s="14" t="s">
        <v>6572</v>
      </c>
      <c r="O50" s="14" t="s">
        <v>6573</v>
      </c>
      <c r="P50" s="14" t="str">
        <f>HYPERLINK("https://photon-sol.tinyastro.io/en/lp/G9yF7M7y65xt8ELvQe9EVnV196YYVGmwW18sUWrTpump?handle=676050794bc1b1657a56b", "View")</f>
        <v>View</v>
      </c>
    </row>
    <row r="51" spans="1:16" x14ac:dyDescent="0.25">
      <c r="A51" s="16" t="s">
        <v>6574</v>
      </c>
      <c r="B51" s="17">
        <v>33452657</v>
      </c>
      <c r="C51" s="17">
        <v>33452657</v>
      </c>
      <c r="D51" s="17" t="s">
        <v>6508</v>
      </c>
      <c r="E51" s="17" t="s">
        <v>6575</v>
      </c>
      <c r="F51" s="17" t="s">
        <v>6576</v>
      </c>
      <c r="G51" s="20" t="s">
        <v>4707</v>
      </c>
      <c r="H51" s="20" t="s">
        <v>6577</v>
      </c>
      <c r="I51" s="17" t="s">
        <v>88</v>
      </c>
      <c r="J51" s="17">
        <v>1</v>
      </c>
      <c r="K51" s="17">
        <v>1</v>
      </c>
      <c r="L51" s="17" t="s">
        <v>6578</v>
      </c>
      <c r="M51" s="17" t="s">
        <v>117</v>
      </c>
      <c r="N51" s="17" t="s">
        <v>507</v>
      </c>
      <c r="O51" s="17" t="s">
        <v>6579</v>
      </c>
      <c r="P51" s="17" t="str">
        <f>HYPERLINK("https://photon-sol.tinyastro.io/en/lp/2gHNTegyWr9WBoGbcyLJYDmgPap8rnnK7DS7dgC76qQp?handle=676050794bc1b1657a56b", "View")</f>
        <v>View</v>
      </c>
    </row>
    <row r="52" spans="1:16" x14ac:dyDescent="0.25">
      <c r="A52" s="13" t="s">
        <v>6580</v>
      </c>
      <c r="B52" s="14">
        <v>49812837</v>
      </c>
      <c r="C52" s="14">
        <v>49812837</v>
      </c>
      <c r="D52" s="14" t="s">
        <v>6508</v>
      </c>
      <c r="E52" s="14" t="s">
        <v>6581</v>
      </c>
      <c r="F52" s="14" t="s">
        <v>6582</v>
      </c>
      <c r="G52" s="20" t="s">
        <v>6583</v>
      </c>
      <c r="H52" s="20" t="s">
        <v>6584</v>
      </c>
      <c r="I52" s="14" t="s">
        <v>88</v>
      </c>
      <c r="J52" s="14">
        <v>1</v>
      </c>
      <c r="K52" s="14">
        <v>1</v>
      </c>
      <c r="L52" s="14" t="s">
        <v>6585</v>
      </c>
      <c r="M52" s="14" t="s">
        <v>117</v>
      </c>
      <c r="N52" s="14" t="s">
        <v>4634</v>
      </c>
      <c r="O52" s="14" t="s">
        <v>6586</v>
      </c>
      <c r="P52" s="14" t="str">
        <f>HYPERLINK("https://dexscreener.com/solana/8X27VsdKTmx24TyGrmFT86fa7ewKM9BSyXmRQEu1CnAN", "View")</f>
        <v>View</v>
      </c>
    </row>
    <row r="53" spans="1:16" x14ac:dyDescent="0.25">
      <c r="A53" s="16" t="s">
        <v>6587</v>
      </c>
      <c r="B53" s="17">
        <v>22818972</v>
      </c>
      <c r="C53" s="17">
        <v>22818972</v>
      </c>
      <c r="D53" s="17" t="s">
        <v>6588</v>
      </c>
      <c r="E53" s="17" t="s">
        <v>6589</v>
      </c>
      <c r="F53" s="17" t="s">
        <v>6590</v>
      </c>
      <c r="G53" s="21" t="s">
        <v>6591</v>
      </c>
      <c r="H53" s="21" t="s">
        <v>6592</v>
      </c>
      <c r="I53" s="17" t="s">
        <v>88</v>
      </c>
      <c r="J53" s="17">
        <v>3</v>
      </c>
      <c r="K53" s="17">
        <v>12</v>
      </c>
      <c r="L53" s="17" t="s">
        <v>6593</v>
      </c>
      <c r="M53" s="17" t="s">
        <v>179</v>
      </c>
      <c r="N53" s="17" t="s">
        <v>6594</v>
      </c>
      <c r="O53" s="17" t="s">
        <v>6595</v>
      </c>
      <c r="P53" s="17" t="str">
        <f>HYPERLINK("https://dexscreener.com/solana/Fof1DyVSYiQGCnT3uTbmq8kQMPdwL35x1bD82NaTs9mM", "View")</f>
        <v>View</v>
      </c>
    </row>
    <row r="54" spans="1:16" x14ac:dyDescent="0.25">
      <c r="A54" s="13" t="s">
        <v>6596</v>
      </c>
      <c r="B54" s="14">
        <v>35345191</v>
      </c>
      <c r="C54" s="14">
        <v>35345191</v>
      </c>
      <c r="D54" s="14" t="s">
        <v>6459</v>
      </c>
      <c r="E54" s="14" t="s">
        <v>6597</v>
      </c>
      <c r="F54" s="14" t="s">
        <v>6598</v>
      </c>
      <c r="G54" s="22" t="s">
        <v>6599</v>
      </c>
      <c r="H54" s="22" t="s">
        <v>6600</v>
      </c>
      <c r="I54" s="14" t="s">
        <v>88</v>
      </c>
      <c r="J54" s="14">
        <v>1</v>
      </c>
      <c r="K54" s="14">
        <v>1</v>
      </c>
      <c r="L54" s="14" t="s">
        <v>6601</v>
      </c>
      <c r="M54" s="14" t="s">
        <v>1705</v>
      </c>
      <c r="N54" s="14" t="s">
        <v>6602</v>
      </c>
      <c r="O54" s="14" t="s">
        <v>6603</v>
      </c>
      <c r="P54" s="14" t="str">
        <f>HYPERLINK("https://photon-sol.tinyastro.io/en/lp/FJXC6Y5HVkNQjHzRbUDiXMEmdXZe7mP7snS5yJmUpump?handle=676050794bc1b1657a56b", "View")</f>
        <v>View</v>
      </c>
    </row>
    <row r="55" spans="1:16" x14ac:dyDescent="0.25">
      <c r="A55" s="16" t="s">
        <v>6604</v>
      </c>
      <c r="B55" s="17">
        <v>21777556</v>
      </c>
      <c r="C55" s="17">
        <v>21777556</v>
      </c>
      <c r="D55" s="17" t="s">
        <v>6605</v>
      </c>
      <c r="E55" s="17" t="s">
        <v>6606</v>
      </c>
      <c r="F55" s="17" t="s">
        <v>6607</v>
      </c>
      <c r="G55" s="15" t="s">
        <v>6608</v>
      </c>
      <c r="H55" s="15" t="s">
        <v>6609</v>
      </c>
      <c r="I55" s="17" t="s">
        <v>88</v>
      </c>
      <c r="J55" s="17">
        <v>2</v>
      </c>
      <c r="K55" s="17">
        <v>1</v>
      </c>
      <c r="L55" s="17" t="s">
        <v>6610</v>
      </c>
      <c r="M55" s="19" t="s">
        <v>2525</v>
      </c>
      <c r="N55" s="17" t="s">
        <v>6611</v>
      </c>
      <c r="O55" s="17" t="s">
        <v>6612</v>
      </c>
      <c r="P55" s="17" t="str">
        <f>HYPERLINK("https://photon-sol.tinyastro.io/en/lp/tz94YhkdgQ3MW4PY688wYrVxWmAhUuBUgGHZM6Wpump?handle=676050794bc1b1657a56b", "View")</f>
        <v>View</v>
      </c>
    </row>
    <row r="56" spans="1:16" x14ac:dyDescent="0.25">
      <c r="A56" s="13" t="s">
        <v>6613</v>
      </c>
      <c r="B56" s="14">
        <v>40413444</v>
      </c>
      <c r="C56" s="14">
        <v>40413444</v>
      </c>
      <c r="D56" s="14" t="s">
        <v>6459</v>
      </c>
      <c r="E56" s="14" t="s">
        <v>6614</v>
      </c>
      <c r="F56" s="14" t="s">
        <v>6615</v>
      </c>
      <c r="G56" s="20" t="s">
        <v>6616</v>
      </c>
      <c r="H56" s="20" t="s">
        <v>6617</v>
      </c>
      <c r="I56" s="14" t="s">
        <v>88</v>
      </c>
      <c r="J56" s="14">
        <v>1</v>
      </c>
      <c r="K56" s="14">
        <v>1</v>
      </c>
      <c r="L56" s="14" t="s">
        <v>6618</v>
      </c>
      <c r="M56" s="14" t="s">
        <v>3180</v>
      </c>
      <c r="N56" s="14" t="s">
        <v>4877</v>
      </c>
      <c r="O56" s="14" t="s">
        <v>6619</v>
      </c>
      <c r="P56" s="14" t="str">
        <f>HYPERLINK("https://photon-sol.tinyastro.io/en/lp/GFZL1DpV3HxDxZ6YehsoC9ETnjGyUCQA5PrtpsGqpump?handle=676050794bc1b1657a56b", "View")</f>
        <v>View</v>
      </c>
    </row>
    <row r="57" spans="1:16" x14ac:dyDescent="0.25">
      <c r="A57" s="16" t="s">
        <v>6620</v>
      </c>
      <c r="B57" s="17">
        <v>90299153</v>
      </c>
      <c r="C57" s="17">
        <v>90299153</v>
      </c>
      <c r="D57" s="17" t="s">
        <v>6621</v>
      </c>
      <c r="E57" s="17" t="s">
        <v>6475</v>
      </c>
      <c r="F57" s="17" t="s">
        <v>6622</v>
      </c>
      <c r="G57" s="21" t="s">
        <v>6623</v>
      </c>
      <c r="H57" s="21" t="s">
        <v>6624</v>
      </c>
      <c r="I57" s="17" t="s">
        <v>88</v>
      </c>
      <c r="J57" s="17">
        <v>2</v>
      </c>
      <c r="K57" s="17">
        <v>2</v>
      </c>
      <c r="L57" s="17" t="s">
        <v>6625</v>
      </c>
      <c r="M57" s="17" t="s">
        <v>1434</v>
      </c>
      <c r="N57" s="17" t="s">
        <v>6626</v>
      </c>
      <c r="O57" s="17" t="s">
        <v>6627</v>
      </c>
      <c r="P57" s="17" t="str">
        <f>HYPERLINK("https://dexscreener.com/solana/9wBdGejMb6UJeXDdTSfvRhhECCCNi74vmzLFQixjpump", "View")</f>
        <v>View</v>
      </c>
    </row>
    <row r="58" spans="1:16" x14ac:dyDescent="0.25">
      <c r="A58" s="13" t="s">
        <v>5075</v>
      </c>
      <c r="B58" s="14">
        <v>19552494</v>
      </c>
      <c r="C58" s="14">
        <v>19552494</v>
      </c>
      <c r="D58" s="14" t="s">
        <v>6628</v>
      </c>
      <c r="E58" s="14" t="s">
        <v>6629</v>
      </c>
      <c r="F58" s="14" t="s">
        <v>6630</v>
      </c>
      <c r="G58" s="15" t="s">
        <v>6631</v>
      </c>
      <c r="H58" s="15" t="s">
        <v>6632</v>
      </c>
      <c r="I58" s="14" t="s">
        <v>88</v>
      </c>
      <c r="J58" s="14">
        <v>2</v>
      </c>
      <c r="K58" s="14">
        <v>1</v>
      </c>
      <c r="L58" s="14" t="s">
        <v>6633</v>
      </c>
      <c r="M58" s="19" t="s">
        <v>2805</v>
      </c>
      <c r="N58" s="14" t="s">
        <v>6634</v>
      </c>
      <c r="O58" s="14" t="s">
        <v>6635</v>
      </c>
      <c r="P58" s="14" t="str">
        <f>HYPERLINK("https://photon-sol.tinyastro.io/en/lp/B4bK8zsktFQQ8t2XSf1DA9obn2chFPE7HAvvvdqKpump?handle=676050794bc1b1657a56b", "View")</f>
        <v>View</v>
      </c>
    </row>
    <row r="59" spans="1:16" x14ac:dyDescent="0.25">
      <c r="A59" s="16" t="s">
        <v>266</v>
      </c>
      <c r="B59" s="17">
        <v>26899126</v>
      </c>
      <c r="C59" s="17">
        <v>26899126</v>
      </c>
      <c r="D59" s="17" t="s">
        <v>6636</v>
      </c>
      <c r="E59" s="17" t="s">
        <v>6589</v>
      </c>
      <c r="F59" s="17" t="s">
        <v>6637</v>
      </c>
      <c r="G59" s="15" t="s">
        <v>6638</v>
      </c>
      <c r="H59" s="15" t="s">
        <v>6639</v>
      </c>
      <c r="I59" s="17" t="s">
        <v>88</v>
      </c>
      <c r="J59" s="17">
        <v>4</v>
      </c>
      <c r="K59" s="17">
        <v>1</v>
      </c>
      <c r="L59" s="17" t="s">
        <v>6640</v>
      </c>
      <c r="M59" s="17" t="s">
        <v>117</v>
      </c>
      <c r="N59" s="17" t="s">
        <v>6641</v>
      </c>
      <c r="O59" s="17" t="s">
        <v>270</v>
      </c>
      <c r="P59" s="17" t="str">
        <f>HYPERLINK("https://dexscreener.com/solana/E1vpyG4Yy7FV4Y1aGvGkRV5PH38JrEZv2QUm8PEdpump", "View")</f>
        <v>View</v>
      </c>
    </row>
    <row r="60" spans="1:16" x14ac:dyDescent="0.25">
      <c r="A60" s="13" t="s">
        <v>6642</v>
      </c>
      <c r="B60" s="14">
        <v>7869379</v>
      </c>
      <c r="C60" s="14">
        <v>7869379</v>
      </c>
      <c r="D60" s="14" t="s">
        <v>6553</v>
      </c>
      <c r="E60" s="14" t="s">
        <v>6467</v>
      </c>
      <c r="F60" s="14" t="s">
        <v>6643</v>
      </c>
      <c r="G60" s="21" t="s">
        <v>6644</v>
      </c>
      <c r="H60" s="21" t="s">
        <v>6645</v>
      </c>
      <c r="I60" s="14" t="s">
        <v>88</v>
      </c>
      <c r="J60" s="14">
        <v>1</v>
      </c>
      <c r="K60" s="14">
        <v>2</v>
      </c>
      <c r="L60" s="14" t="s">
        <v>6646</v>
      </c>
      <c r="M60" s="14" t="s">
        <v>1448</v>
      </c>
      <c r="N60" s="14" t="s">
        <v>6647</v>
      </c>
      <c r="O60" s="14" t="s">
        <v>6648</v>
      </c>
      <c r="P60" s="14" t="str">
        <f>HYPERLINK("https://dexscreener.com/solana/3jUJuQz8cFweejpxAHCyWwSGAF8BDhr9bDvNhmPLpump", "View")</f>
        <v>View</v>
      </c>
    </row>
    <row r="61" spans="1:16" x14ac:dyDescent="0.25">
      <c r="A61" s="16" t="s">
        <v>6649</v>
      </c>
      <c r="B61" s="17">
        <v>51981241</v>
      </c>
      <c r="C61" s="17">
        <v>51981241</v>
      </c>
      <c r="D61" s="17" t="s">
        <v>6474</v>
      </c>
      <c r="E61" s="17" t="s">
        <v>6650</v>
      </c>
      <c r="F61" s="17" t="s">
        <v>3037</v>
      </c>
      <c r="G61" s="20" t="s">
        <v>6651</v>
      </c>
      <c r="H61" s="20" t="s">
        <v>6652</v>
      </c>
      <c r="I61" s="17" t="s">
        <v>88</v>
      </c>
      <c r="J61" s="17">
        <v>3</v>
      </c>
      <c r="K61" s="17">
        <v>1</v>
      </c>
      <c r="L61" s="17" t="s">
        <v>6653</v>
      </c>
      <c r="M61" s="17" t="s">
        <v>3180</v>
      </c>
      <c r="N61" s="17" t="s">
        <v>6654</v>
      </c>
      <c r="O61" s="17" t="s">
        <v>6655</v>
      </c>
      <c r="P61" s="17" t="str">
        <f>HYPERLINK("https://dexscreener.com/solana/D77rLo6Npg23ZzjN1g7d2En1a9A61CAaxTDwiZeHpump", "View")</f>
        <v>View</v>
      </c>
    </row>
    <row r="62" spans="1:16" x14ac:dyDescent="0.25">
      <c r="A62" s="13" t="s">
        <v>6656</v>
      </c>
      <c r="B62" s="14">
        <v>18779984</v>
      </c>
      <c r="C62" s="14">
        <v>18779984</v>
      </c>
      <c r="D62" s="14" t="s">
        <v>6508</v>
      </c>
      <c r="E62" s="14" t="s">
        <v>1804</v>
      </c>
      <c r="F62" s="14" t="s">
        <v>6657</v>
      </c>
      <c r="G62" s="22" t="s">
        <v>3308</v>
      </c>
      <c r="H62" s="22" t="s">
        <v>6658</v>
      </c>
      <c r="I62" s="14" t="s">
        <v>88</v>
      </c>
      <c r="J62" s="14">
        <v>1</v>
      </c>
      <c r="K62" s="14">
        <v>1</v>
      </c>
      <c r="L62" s="14" t="s">
        <v>6659</v>
      </c>
      <c r="M62" s="14" t="s">
        <v>1932</v>
      </c>
      <c r="N62" s="14" t="s">
        <v>6660</v>
      </c>
      <c r="O62" s="14" t="s">
        <v>6661</v>
      </c>
      <c r="P62" s="14" t="str">
        <f>HYPERLINK("https://dexscreener.com/solana/8hzBoKRvpHQEfMfUqzzPQyxtcBtekEmgoC5Q61pUpump", "View")</f>
        <v>View</v>
      </c>
    </row>
    <row r="63" spans="1:16" x14ac:dyDescent="0.25">
      <c r="A63" s="16" t="s">
        <v>6662</v>
      </c>
      <c r="B63" s="17">
        <v>23762239</v>
      </c>
      <c r="C63" s="17">
        <v>23762239</v>
      </c>
      <c r="D63" s="17" t="s">
        <v>6663</v>
      </c>
      <c r="E63" s="17" t="s">
        <v>6403</v>
      </c>
      <c r="F63" s="17" t="s">
        <v>6664</v>
      </c>
      <c r="G63" s="15" t="s">
        <v>6665</v>
      </c>
      <c r="H63" s="15" t="s">
        <v>6666</v>
      </c>
      <c r="I63" s="17" t="s">
        <v>88</v>
      </c>
      <c r="J63" s="17">
        <v>2</v>
      </c>
      <c r="K63" s="17">
        <v>1</v>
      </c>
      <c r="L63" s="17" t="s">
        <v>6667</v>
      </c>
      <c r="M63" s="19" t="s">
        <v>2479</v>
      </c>
      <c r="N63" s="17" t="s">
        <v>6668</v>
      </c>
      <c r="O63" s="17" t="s">
        <v>6669</v>
      </c>
      <c r="P63" s="17" t="str">
        <f>HYPERLINK("https://dexscreener.com/solana/AmCxWKcuoDckZmrDjn4psvXakWoTu7mCgLYfhNimpump", "View")</f>
        <v>View</v>
      </c>
    </row>
    <row r="64" spans="1:16" x14ac:dyDescent="0.25">
      <c r="A64" s="13" t="s">
        <v>6670</v>
      </c>
      <c r="B64" s="14">
        <v>25906389</v>
      </c>
      <c r="C64" s="14">
        <v>25906389</v>
      </c>
      <c r="D64" s="14" t="s">
        <v>6508</v>
      </c>
      <c r="E64" s="14" t="s">
        <v>6581</v>
      </c>
      <c r="F64" s="14" t="s">
        <v>6671</v>
      </c>
      <c r="G64" s="21" t="s">
        <v>6672</v>
      </c>
      <c r="H64" s="21" t="s">
        <v>6673</v>
      </c>
      <c r="I64" s="14" t="s">
        <v>88</v>
      </c>
      <c r="J64" s="14">
        <v>1</v>
      </c>
      <c r="K64" s="14">
        <v>1</v>
      </c>
      <c r="L64" s="14" t="s">
        <v>6674</v>
      </c>
      <c r="M64" s="14" t="s">
        <v>680</v>
      </c>
      <c r="N64" s="14" t="s">
        <v>6675</v>
      </c>
      <c r="O64" s="14" t="s">
        <v>6676</v>
      </c>
      <c r="P64" s="14" t="str">
        <f>HYPERLINK("https://dexscreener.com/solana/5htRq8A33EaivheAGtuBTWwM6UA18NR9JL3MjkfLpump", "View")</f>
        <v>View</v>
      </c>
    </row>
    <row r="65" spans="1:16" x14ac:dyDescent="0.25">
      <c r="A65" s="16" t="s">
        <v>3028</v>
      </c>
      <c r="B65" s="17">
        <v>35796102</v>
      </c>
      <c r="C65" s="17">
        <v>35796102</v>
      </c>
      <c r="D65" s="17" t="s">
        <v>6508</v>
      </c>
      <c r="E65" s="17" t="s">
        <v>6677</v>
      </c>
      <c r="F65" s="17" t="s">
        <v>6678</v>
      </c>
      <c r="G65" s="22" t="s">
        <v>6679</v>
      </c>
      <c r="H65" s="22" t="s">
        <v>6680</v>
      </c>
      <c r="I65" s="17" t="s">
        <v>88</v>
      </c>
      <c r="J65" s="17">
        <v>1</v>
      </c>
      <c r="K65" s="17">
        <v>1</v>
      </c>
      <c r="L65" s="17" t="s">
        <v>6681</v>
      </c>
      <c r="M65" s="19" t="s">
        <v>3069</v>
      </c>
      <c r="N65" s="17" t="s">
        <v>6682</v>
      </c>
      <c r="O65" s="17" t="s">
        <v>6683</v>
      </c>
      <c r="P65" s="17" t="str">
        <f>HYPERLINK("https://photon-sol.tinyastro.io/en/lp/2aWFmQ2QfErGobU8RWbr9Bw6evjN5vGXbWo17J1wpump?handle=676050794bc1b1657a56b", "View")</f>
        <v>View</v>
      </c>
    </row>
    <row r="66" spans="1:16" x14ac:dyDescent="0.25">
      <c r="A66" s="13" t="s">
        <v>3044</v>
      </c>
      <c r="B66" s="14">
        <v>10641716</v>
      </c>
      <c r="C66" s="14">
        <v>10641716</v>
      </c>
      <c r="D66" s="14" t="s">
        <v>6684</v>
      </c>
      <c r="E66" s="14" t="s">
        <v>6685</v>
      </c>
      <c r="F66" s="14" t="s">
        <v>6686</v>
      </c>
      <c r="G66" s="21" t="s">
        <v>6687</v>
      </c>
      <c r="H66" s="21" t="s">
        <v>6688</v>
      </c>
      <c r="I66" s="14" t="s">
        <v>88</v>
      </c>
      <c r="J66" s="14">
        <v>2</v>
      </c>
      <c r="K66" s="14">
        <v>7</v>
      </c>
      <c r="L66" s="14" t="s">
        <v>6689</v>
      </c>
      <c r="M66" s="14" t="s">
        <v>1705</v>
      </c>
      <c r="N66" s="14" t="s">
        <v>6690</v>
      </c>
      <c r="O66" s="14" t="s">
        <v>3051</v>
      </c>
      <c r="P66" s="14" t="str">
        <f>HYPERLINK("https://dexscreener.com/solana/CN7t4Xxw2RSzEXpyYaG54fi5gKpdd9NTEw61biUW767y", "View")</f>
        <v>View</v>
      </c>
    </row>
    <row r="67" spans="1:16" x14ac:dyDescent="0.25">
      <c r="A67" s="16" t="s">
        <v>3052</v>
      </c>
      <c r="B67" s="17">
        <v>16660061</v>
      </c>
      <c r="C67" s="17">
        <v>16660061</v>
      </c>
      <c r="D67" s="17" t="s">
        <v>6663</v>
      </c>
      <c r="E67" s="17" t="s">
        <v>6691</v>
      </c>
      <c r="F67" s="17" t="s">
        <v>6692</v>
      </c>
      <c r="G67" s="15" t="s">
        <v>6693</v>
      </c>
      <c r="H67" s="15" t="s">
        <v>6694</v>
      </c>
      <c r="I67" s="17" t="s">
        <v>88</v>
      </c>
      <c r="J67" s="17">
        <v>2</v>
      </c>
      <c r="K67" s="17">
        <v>1</v>
      </c>
      <c r="L67" s="17" t="s">
        <v>6695</v>
      </c>
      <c r="M67" s="17" t="s">
        <v>1448</v>
      </c>
      <c r="N67" s="17" t="s">
        <v>6696</v>
      </c>
      <c r="O67" s="17" t="s">
        <v>3058</v>
      </c>
      <c r="P67" s="17" t="str">
        <f>HYPERLINK("https://photon-sol.tinyastro.io/en/lp/Ce1j33dgs1fnuQ9PN5VrvG8Urp1R8rTrXr2y7nQipump?handle=676050794bc1b1657a56b", "View")</f>
        <v>View</v>
      </c>
    </row>
    <row r="68" spans="1:16" x14ac:dyDescent="0.25">
      <c r="A68" s="13" t="s">
        <v>514</v>
      </c>
      <c r="B68" s="14">
        <v>13754518</v>
      </c>
      <c r="C68" s="14">
        <v>13754518</v>
      </c>
      <c r="D68" s="14" t="s">
        <v>6500</v>
      </c>
      <c r="E68" s="14" t="s">
        <v>6403</v>
      </c>
      <c r="F68" s="14" t="s">
        <v>6697</v>
      </c>
      <c r="G68" s="21" t="s">
        <v>6698</v>
      </c>
      <c r="H68" s="21" t="s">
        <v>6699</v>
      </c>
      <c r="I68" s="14" t="s">
        <v>88</v>
      </c>
      <c r="J68" s="14">
        <v>2</v>
      </c>
      <c r="K68" s="14">
        <v>3</v>
      </c>
      <c r="L68" s="14" t="s">
        <v>6700</v>
      </c>
      <c r="M68" s="14" t="s">
        <v>1809</v>
      </c>
      <c r="N68" s="14" t="s">
        <v>6701</v>
      </c>
      <c r="O68" s="14" t="s">
        <v>518</v>
      </c>
      <c r="P68" s="14" t="str">
        <f>HYPERLINK("https://dexscreener.com/solana/DU5g5d5SXRF2VvSw7qAtQTxY7KcYrLnLDCWNUFjHpump", "View")</f>
        <v>View</v>
      </c>
    </row>
    <row r="69" spans="1:16" x14ac:dyDescent="0.25">
      <c r="A69" s="16" t="s">
        <v>6702</v>
      </c>
      <c r="B69" s="17">
        <v>54985058</v>
      </c>
      <c r="C69" s="17">
        <v>30475035</v>
      </c>
      <c r="D69" s="17" t="s">
        <v>6703</v>
      </c>
      <c r="E69" s="17" t="s">
        <v>6704</v>
      </c>
      <c r="F69" s="17" t="s">
        <v>6705</v>
      </c>
      <c r="G69" s="21" t="s">
        <v>6706</v>
      </c>
      <c r="H69" s="21" t="s">
        <v>6707</v>
      </c>
      <c r="I69" s="17" t="s">
        <v>88</v>
      </c>
      <c r="J69" s="17">
        <v>3</v>
      </c>
      <c r="K69" s="17">
        <v>7</v>
      </c>
      <c r="L69" s="17" t="s">
        <v>6708</v>
      </c>
      <c r="M69" s="17" t="s">
        <v>117</v>
      </c>
      <c r="N69" s="17" t="s">
        <v>6709</v>
      </c>
      <c r="O69" s="17" t="s">
        <v>6710</v>
      </c>
      <c r="P69" s="17" t="str">
        <f>HYPERLINK("https://dexscreener.com/solana/Hx2u67DY8EgtZppfCYQyWz68Syp8xJsRX1nDAMRbpump", "View")</f>
        <v>View</v>
      </c>
    </row>
    <row r="70" spans="1:16" x14ac:dyDescent="0.25">
      <c r="A70" s="13" t="s">
        <v>6711</v>
      </c>
      <c r="B70" s="14">
        <v>1868620</v>
      </c>
      <c r="C70" s="14">
        <v>1868620</v>
      </c>
      <c r="D70" s="14" t="s">
        <v>6459</v>
      </c>
      <c r="E70" s="14" t="s">
        <v>6403</v>
      </c>
      <c r="F70" s="14" t="s">
        <v>6712</v>
      </c>
      <c r="G70" s="21" t="s">
        <v>6713</v>
      </c>
      <c r="H70" s="21" t="s">
        <v>6714</v>
      </c>
      <c r="I70" s="14" t="s">
        <v>88</v>
      </c>
      <c r="J70" s="14">
        <v>1</v>
      </c>
      <c r="K70" s="14">
        <v>1</v>
      </c>
      <c r="L70" s="14" t="s">
        <v>6715</v>
      </c>
      <c r="M70" s="19" t="s">
        <v>2525</v>
      </c>
      <c r="N70" s="14" t="s">
        <v>6716</v>
      </c>
      <c r="O70" s="14" t="s">
        <v>6717</v>
      </c>
      <c r="P70" s="14" t="str">
        <f>HYPERLINK("https://dexscreener.com/solana/321tt4d8ZCGAdUB9PdB2cMtEL3uaJV4MaCzY2pTQpump", "View")</f>
        <v>View</v>
      </c>
    </row>
    <row r="71" spans="1:16" x14ac:dyDescent="0.25">
      <c r="A71" s="16" t="s">
        <v>6718</v>
      </c>
      <c r="B71" s="17">
        <v>19331140</v>
      </c>
      <c r="C71" s="17">
        <v>19331140</v>
      </c>
      <c r="D71" s="17" t="s">
        <v>6474</v>
      </c>
      <c r="E71" s="17" t="s">
        <v>6719</v>
      </c>
      <c r="F71" s="17" t="s">
        <v>6720</v>
      </c>
      <c r="G71" s="20" t="s">
        <v>6721</v>
      </c>
      <c r="H71" s="20" t="s">
        <v>6722</v>
      </c>
      <c r="I71" s="17" t="s">
        <v>88</v>
      </c>
      <c r="J71" s="17">
        <v>3</v>
      </c>
      <c r="K71" s="17">
        <v>1</v>
      </c>
      <c r="L71" s="17" t="s">
        <v>6723</v>
      </c>
      <c r="M71" s="17" t="s">
        <v>2047</v>
      </c>
      <c r="N71" s="17" t="s">
        <v>6724</v>
      </c>
      <c r="O71" s="17" t="s">
        <v>6725</v>
      </c>
      <c r="P71" s="17" t="str">
        <f>HYPERLINK("https://dexscreener.com/solana/PLg1yQLLtEXWiffVmwMUmtzeFRpvTuXF1Rh5ERopump", "View")</f>
        <v>View</v>
      </c>
    </row>
    <row r="72" spans="1:16" x14ac:dyDescent="0.25">
      <c r="A72" s="13" t="s">
        <v>6726</v>
      </c>
      <c r="B72" s="14">
        <v>264226351</v>
      </c>
      <c r="C72" s="14">
        <v>264226351</v>
      </c>
      <c r="D72" s="14" t="s">
        <v>6508</v>
      </c>
      <c r="E72" s="14" t="s">
        <v>6677</v>
      </c>
      <c r="F72" s="14" t="s">
        <v>6727</v>
      </c>
      <c r="G72" s="20" t="s">
        <v>6728</v>
      </c>
      <c r="H72" s="20" t="s">
        <v>6729</v>
      </c>
      <c r="I72" s="14" t="s">
        <v>88</v>
      </c>
      <c r="J72" s="14">
        <v>1</v>
      </c>
      <c r="K72" s="14">
        <v>1</v>
      </c>
      <c r="L72" s="14" t="s">
        <v>6730</v>
      </c>
      <c r="M72" s="19" t="s">
        <v>1940</v>
      </c>
      <c r="N72" s="14" t="s">
        <v>1011</v>
      </c>
      <c r="O72" s="14" t="s">
        <v>6731</v>
      </c>
      <c r="P72" s="14" t="str">
        <f>HYPERLINK("https://dexscreener.com/solana/CKJy727ufuVQVm9bPkyjMGBVsrrvSAdQX3DwCEmboQbM", "View")</f>
        <v>View</v>
      </c>
    </row>
    <row r="73" spans="1:16" x14ac:dyDescent="0.25">
      <c r="A73" s="16" t="s">
        <v>6732</v>
      </c>
      <c r="B73" s="17">
        <v>21751440</v>
      </c>
      <c r="C73" s="17">
        <v>21751440</v>
      </c>
      <c r="D73" s="17" t="s">
        <v>6663</v>
      </c>
      <c r="E73" s="17" t="s">
        <v>6691</v>
      </c>
      <c r="F73" s="17" t="s">
        <v>6733</v>
      </c>
      <c r="G73" s="20" t="s">
        <v>4563</v>
      </c>
      <c r="H73" s="20" t="s">
        <v>6734</v>
      </c>
      <c r="I73" s="17" t="s">
        <v>88</v>
      </c>
      <c r="J73" s="17">
        <v>2</v>
      </c>
      <c r="K73" s="17">
        <v>1</v>
      </c>
      <c r="L73" s="17" t="s">
        <v>6735</v>
      </c>
      <c r="M73" s="17" t="s">
        <v>602</v>
      </c>
      <c r="N73" s="17" t="s">
        <v>6736</v>
      </c>
      <c r="O73" s="17" t="s">
        <v>6737</v>
      </c>
      <c r="P73" s="17" t="str">
        <f>HYPERLINK("https://photon-sol.tinyastro.io/en/lp/DVsEuAZrPWwuBZHMe71QpFQ6bbbUMjNWs8RASwXFpump?handle=676050794bc1b1657a56b", "View")</f>
        <v>View</v>
      </c>
    </row>
    <row r="74" spans="1:16" x14ac:dyDescent="0.25">
      <c r="A74" s="13" t="s">
        <v>6738</v>
      </c>
      <c r="B74" s="14">
        <v>43401541</v>
      </c>
      <c r="C74" s="14">
        <v>43401541</v>
      </c>
      <c r="D74" s="14" t="s">
        <v>6739</v>
      </c>
      <c r="E74" s="14" t="s">
        <v>6492</v>
      </c>
      <c r="F74" s="14" t="s">
        <v>6740</v>
      </c>
      <c r="G74" s="20" t="s">
        <v>6741</v>
      </c>
      <c r="H74" s="20" t="s">
        <v>6742</v>
      </c>
      <c r="I74" s="14" t="s">
        <v>88</v>
      </c>
      <c r="J74" s="14">
        <v>7</v>
      </c>
      <c r="K74" s="14">
        <v>4</v>
      </c>
      <c r="L74" s="14" t="s">
        <v>6743</v>
      </c>
      <c r="M74" s="14" t="s">
        <v>2113</v>
      </c>
      <c r="N74" s="14" t="s">
        <v>6744</v>
      </c>
      <c r="O74" s="14" t="s">
        <v>6745</v>
      </c>
      <c r="P74" s="14" t="str">
        <f>HYPERLINK("https://dexscreener.com/solana/HEDfSqcMpEWbTGYpiLcmqM7SFJ9iSbjCn96n4xFfpump", "View")</f>
        <v>View</v>
      </c>
    </row>
    <row r="75" spans="1:16" x14ac:dyDescent="0.25">
      <c r="A75" s="16" t="s">
        <v>6746</v>
      </c>
      <c r="B75" s="17">
        <v>34546287</v>
      </c>
      <c r="C75" s="17">
        <v>34546287</v>
      </c>
      <c r="D75" s="17" t="s">
        <v>6508</v>
      </c>
      <c r="E75" s="17" t="s">
        <v>6509</v>
      </c>
      <c r="F75" s="17" t="s">
        <v>3837</v>
      </c>
      <c r="G75" s="20" t="s">
        <v>6747</v>
      </c>
      <c r="H75" s="20" t="s">
        <v>6748</v>
      </c>
      <c r="I75" s="17" t="s">
        <v>88</v>
      </c>
      <c r="J75" s="17">
        <v>1</v>
      </c>
      <c r="K75" s="17">
        <v>1</v>
      </c>
      <c r="L75" s="17" t="s">
        <v>6749</v>
      </c>
      <c r="M75" s="19" t="s">
        <v>2593</v>
      </c>
      <c r="N75" s="17" t="s">
        <v>2763</v>
      </c>
      <c r="O75" s="17" t="s">
        <v>6750</v>
      </c>
      <c r="P75" s="17" t="str">
        <f>HYPERLINK("https://photon-sol.tinyastro.io/en/lp/BrorNnhWcT3bVGivTBNzAebG7ZybSLxYXG9aj3JPpump?handle=676050794bc1b1657a56b", "View")</f>
        <v>View</v>
      </c>
    </row>
    <row r="76" spans="1:16" x14ac:dyDescent="0.25">
      <c r="A76" s="13" t="s">
        <v>6751</v>
      </c>
      <c r="B76" s="14">
        <v>18783372</v>
      </c>
      <c r="C76" s="14">
        <v>18783372</v>
      </c>
      <c r="D76" s="14" t="s">
        <v>6508</v>
      </c>
      <c r="E76" s="14" t="s">
        <v>6509</v>
      </c>
      <c r="F76" s="14" t="s">
        <v>6752</v>
      </c>
      <c r="G76" s="15" t="s">
        <v>6753</v>
      </c>
      <c r="H76" s="15" t="s">
        <v>6754</v>
      </c>
      <c r="I76" s="14" t="s">
        <v>88</v>
      </c>
      <c r="J76" s="14">
        <v>1</v>
      </c>
      <c r="K76" s="14">
        <v>1</v>
      </c>
      <c r="L76" s="14" t="s">
        <v>6755</v>
      </c>
      <c r="M76" s="14" t="s">
        <v>1434</v>
      </c>
      <c r="N76" s="14" t="s">
        <v>6756</v>
      </c>
      <c r="O76" s="14" t="s">
        <v>6757</v>
      </c>
      <c r="P76" s="14" t="str">
        <f>HYPERLINK("https://photon-sol.tinyastro.io/en/lp/DuFbV54dxdyWZxC2tSiL8T9ScnZW3tojaFptcm5Apump?handle=676050794bc1b1657a56b", "View")</f>
        <v>View</v>
      </c>
    </row>
    <row r="77" spans="1:16" x14ac:dyDescent="0.25">
      <c r="A77" s="16" t="s">
        <v>6758</v>
      </c>
      <c r="B77" s="17">
        <v>34105323</v>
      </c>
      <c r="C77" s="17">
        <v>34105323</v>
      </c>
      <c r="D77" s="17" t="s">
        <v>6759</v>
      </c>
      <c r="E77" s="17" t="s">
        <v>6760</v>
      </c>
      <c r="F77" s="17" t="s">
        <v>6761</v>
      </c>
      <c r="G77" s="15" t="s">
        <v>6762</v>
      </c>
      <c r="H77" s="15" t="s">
        <v>6763</v>
      </c>
      <c r="I77" s="17" t="s">
        <v>88</v>
      </c>
      <c r="J77" s="17">
        <v>5</v>
      </c>
      <c r="K77" s="17">
        <v>1</v>
      </c>
      <c r="L77" s="17" t="s">
        <v>6764</v>
      </c>
      <c r="M77" s="17" t="s">
        <v>179</v>
      </c>
      <c r="N77" s="17" t="s">
        <v>6765</v>
      </c>
      <c r="O77" s="17" t="s">
        <v>6766</v>
      </c>
      <c r="P77" s="17" t="str">
        <f>HYPERLINK("https://photon-sol.tinyastro.io/en/lp/865rmR4TFRhV6hPX9kq3MfxhYwFoRzuS5SKWWJuGgSUf?handle=676050794bc1b1657a56b", "View")</f>
        <v>View</v>
      </c>
    </row>
    <row r="78" spans="1:16" x14ac:dyDescent="0.25">
      <c r="A78" s="13" t="s">
        <v>6767</v>
      </c>
      <c r="B78" s="14">
        <v>16166028</v>
      </c>
      <c r="C78" s="14">
        <v>16166028</v>
      </c>
      <c r="D78" s="14" t="s">
        <v>6508</v>
      </c>
      <c r="E78" s="14" t="s">
        <v>6531</v>
      </c>
      <c r="F78" s="14" t="s">
        <v>6768</v>
      </c>
      <c r="G78" s="15" t="s">
        <v>6769</v>
      </c>
      <c r="H78" s="15" t="s">
        <v>6770</v>
      </c>
      <c r="I78" s="14" t="s">
        <v>88</v>
      </c>
      <c r="J78" s="14">
        <v>1</v>
      </c>
      <c r="K78" s="14">
        <v>1</v>
      </c>
      <c r="L78" s="14" t="s">
        <v>6771</v>
      </c>
      <c r="M78" s="14" t="s">
        <v>1526</v>
      </c>
      <c r="N78" s="14" t="s">
        <v>4974</v>
      </c>
      <c r="O78" s="14" t="s">
        <v>6772</v>
      </c>
      <c r="P78" s="14" t="str">
        <f>HYPERLINK("https://photon-sol.tinyastro.io/en/lp/C9NCtMHHUkEjWbP4VYHJVUfps9HKWfR16SVsXqvQpump?handle=676050794bc1b1657a56b", "View")</f>
        <v>View</v>
      </c>
    </row>
    <row r="79" spans="1:16" x14ac:dyDescent="0.25">
      <c r="A79" s="16" t="s">
        <v>6773</v>
      </c>
      <c r="B79" s="17">
        <v>59037469</v>
      </c>
      <c r="C79" s="17">
        <v>59037469</v>
      </c>
      <c r="D79" s="17" t="s">
        <v>6508</v>
      </c>
      <c r="E79" s="17" t="s">
        <v>6509</v>
      </c>
      <c r="F79" s="17" t="s">
        <v>6774</v>
      </c>
      <c r="G79" s="22" t="s">
        <v>3859</v>
      </c>
      <c r="H79" s="22" t="s">
        <v>6775</v>
      </c>
      <c r="I79" s="17" t="s">
        <v>88</v>
      </c>
      <c r="J79" s="17">
        <v>1</v>
      </c>
      <c r="K79" s="17">
        <v>1</v>
      </c>
      <c r="L79" s="17" t="s">
        <v>6776</v>
      </c>
      <c r="M79" s="17" t="s">
        <v>1434</v>
      </c>
      <c r="N79" s="17" t="s">
        <v>3296</v>
      </c>
      <c r="O79" s="17" t="s">
        <v>6777</v>
      </c>
      <c r="P79" s="17" t="str">
        <f>HYPERLINK("https://photon-sol.tinyastro.io/en/lp/Gqn8q3wHe7QWbuuBzYqmYjbxTH9f3iAyxdmD1sCWpump?handle=676050794bc1b1657a56b", "View")</f>
        <v>View</v>
      </c>
    </row>
    <row r="80" spans="1:16" x14ac:dyDescent="0.25">
      <c r="A80" s="13" t="s">
        <v>1859</v>
      </c>
      <c r="B80" s="14">
        <v>67594548</v>
      </c>
      <c r="C80" s="14">
        <v>67594548</v>
      </c>
      <c r="D80" s="14" t="s">
        <v>6508</v>
      </c>
      <c r="E80" s="14" t="s">
        <v>6509</v>
      </c>
      <c r="F80" s="14" t="s">
        <v>6778</v>
      </c>
      <c r="G80" s="22" t="s">
        <v>4687</v>
      </c>
      <c r="H80" s="22" t="s">
        <v>6779</v>
      </c>
      <c r="I80" s="14" t="s">
        <v>88</v>
      </c>
      <c r="J80" s="14">
        <v>1</v>
      </c>
      <c r="K80" s="14">
        <v>1</v>
      </c>
      <c r="L80" s="14" t="s">
        <v>6780</v>
      </c>
      <c r="M80" s="19" t="s">
        <v>6781</v>
      </c>
      <c r="N80" s="14" t="s">
        <v>1980</v>
      </c>
      <c r="O80" s="14" t="s">
        <v>6782</v>
      </c>
      <c r="P80" s="14" t="str">
        <f>HYPERLINK("https://photon-sol.tinyastro.io/en/lp/9GTy6MHt6LePMb62BKwuM3uPGu2L8GBF3Aatutbapump?handle=676050794bc1b1657a56b", "View")</f>
        <v>View</v>
      </c>
    </row>
    <row r="81" spans="1:16" x14ac:dyDescent="0.25">
      <c r="A81" s="16" t="s">
        <v>588</v>
      </c>
      <c r="B81" s="17">
        <v>9523839</v>
      </c>
      <c r="C81" s="17">
        <v>9523839</v>
      </c>
      <c r="D81" s="17" t="s">
        <v>6508</v>
      </c>
      <c r="E81" s="17" t="s">
        <v>1804</v>
      </c>
      <c r="F81" s="17" t="s">
        <v>6783</v>
      </c>
      <c r="G81" s="21" t="s">
        <v>6784</v>
      </c>
      <c r="H81" s="21" t="s">
        <v>6785</v>
      </c>
      <c r="I81" s="17" t="s">
        <v>88</v>
      </c>
      <c r="J81" s="17">
        <v>1</v>
      </c>
      <c r="K81" s="17">
        <v>1</v>
      </c>
      <c r="L81" s="17" t="s">
        <v>6786</v>
      </c>
      <c r="M81" s="17" t="s">
        <v>1448</v>
      </c>
      <c r="N81" s="17" t="s">
        <v>6787</v>
      </c>
      <c r="O81" s="17" t="s">
        <v>596</v>
      </c>
      <c r="P81" s="17" t="str">
        <f>HYPERLINK("https://dexscreener.com/solana/2mxUsLw1QeQcJf1pb1z9xdxpoW4aU3evztb6AgCmpump", "View")</f>
        <v>View</v>
      </c>
    </row>
    <row r="82" spans="1:16" x14ac:dyDescent="0.25">
      <c r="A82" s="13" t="s">
        <v>6788</v>
      </c>
      <c r="B82" s="14">
        <v>10774767</v>
      </c>
      <c r="C82" s="14">
        <v>10774767</v>
      </c>
      <c r="D82" s="14" t="s">
        <v>6508</v>
      </c>
      <c r="E82" s="14" t="s">
        <v>6403</v>
      </c>
      <c r="F82" s="14" t="s">
        <v>6789</v>
      </c>
      <c r="G82" s="22" t="s">
        <v>4982</v>
      </c>
      <c r="H82" s="22" t="s">
        <v>6790</v>
      </c>
      <c r="I82" s="14" t="s">
        <v>88</v>
      </c>
      <c r="J82" s="14">
        <v>1</v>
      </c>
      <c r="K82" s="14">
        <v>1</v>
      </c>
      <c r="L82" s="14" t="s">
        <v>6791</v>
      </c>
      <c r="M82" s="14" t="s">
        <v>1434</v>
      </c>
      <c r="N82" s="14" t="s">
        <v>6792</v>
      </c>
      <c r="O82" s="14" t="s">
        <v>6793</v>
      </c>
      <c r="P82" s="14" t="str">
        <f>HYPERLINK("https://dexscreener.com/solana/3d6B22xL1Jmi4sXkYgU27V4CXQ8Ut7nHdhaMa4yepump", "View")</f>
        <v>View</v>
      </c>
    </row>
    <row r="83" spans="1:16" x14ac:dyDescent="0.25">
      <c r="A83" s="16" t="s">
        <v>597</v>
      </c>
      <c r="B83" s="17">
        <v>5733106</v>
      </c>
      <c r="C83" s="17">
        <v>5733106</v>
      </c>
      <c r="D83" s="17" t="s">
        <v>6508</v>
      </c>
      <c r="E83" s="17" t="s">
        <v>6403</v>
      </c>
      <c r="F83" s="17" t="s">
        <v>6794</v>
      </c>
      <c r="G83" s="20" t="s">
        <v>6795</v>
      </c>
      <c r="H83" s="20" t="s">
        <v>6796</v>
      </c>
      <c r="I83" s="17" t="s">
        <v>88</v>
      </c>
      <c r="J83" s="17">
        <v>1</v>
      </c>
      <c r="K83" s="17">
        <v>1</v>
      </c>
      <c r="L83" s="17" t="s">
        <v>6797</v>
      </c>
      <c r="M83" s="17" t="s">
        <v>3171</v>
      </c>
      <c r="N83" s="17" t="s">
        <v>6798</v>
      </c>
      <c r="O83" s="17" t="s">
        <v>604</v>
      </c>
      <c r="P83" s="17" t="str">
        <f>HYPERLINK("https://dexscreener.com/solana/7d5eoFBR5nEfKiBwW5NseBMRscKECJ7zJhsj1ZpDpump", "View")</f>
        <v>View</v>
      </c>
    </row>
    <row r="84" spans="1:16" x14ac:dyDescent="0.25">
      <c r="A84" s="13" t="s">
        <v>6799</v>
      </c>
      <c r="B84" s="14">
        <v>33434715</v>
      </c>
      <c r="C84" s="14">
        <v>33434715</v>
      </c>
      <c r="D84" s="14" t="s">
        <v>6663</v>
      </c>
      <c r="E84" s="14" t="s">
        <v>6800</v>
      </c>
      <c r="F84" s="14" t="s">
        <v>6801</v>
      </c>
      <c r="G84" s="15" t="s">
        <v>6802</v>
      </c>
      <c r="H84" s="15" t="s">
        <v>6803</v>
      </c>
      <c r="I84" s="14" t="s">
        <v>88</v>
      </c>
      <c r="J84" s="14">
        <v>2</v>
      </c>
      <c r="K84" s="14">
        <v>1</v>
      </c>
      <c r="L84" s="14" t="s">
        <v>6804</v>
      </c>
      <c r="M84" s="14" t="s">
        <v>2047</v>
      </c>
      <c r="N84" s="14" t="s">
        <v>6805</v>
      </c>
      <c r="O84" s="14" t="s">
        <v>6806</v>
      </c>
      <c r="P84" s="14" t="str">
        <f>HYPERLINK("https://dexscreener.com/solana/63KJR2r65sSP2c9o37X3aQLcn3BX2ECAeu6o2h9Tpump", "View")</f>
        <v>View</v>
      </c>
    </row>
    <row r="85" spans="1:16" x14ac:dyDescent="0.25">
      <c r="A85" s="16" t="s">
        <v>6807</v>
      </c>
      <c r="B85" s="17">
        <v>66079688</v>
      </c>
      <c r="C85" s="17">
        <v>66079688</v>
      </c>
      <c r="D85" s="17" t="s">
        <v>6508</v>
      </c>
      <c r="E85" s="17" t="s">
        <v>6531</v>
      </c>
      <c r="F85" s="17" t="s">
        <v>6808</v>
      </c>
      <c r="G85" s="20" t="s">
        <v>6809</v>
      </c>
      <c r="H85" s="20" t="s">
        <v>6810</v>
      </c>
      <c r="I85" s="17" t="s">
        <v>88</v>
      </c>
      <c r="J85" s="17">
        <v>1</v>
      </c>
      <c r="K85" s="17">
        <v>1</v>
      </c>
      <c r="L85" s="17" t="s">
        <v>6811</v>
      </c>
      <c r="M85" s="17" t="s">
        <v>1434</v>
      </c>
      <c r="N85" s="17" t="s">
        <v>6812</v>
      </c>
      <c r="O85" s="17" t="s">
        <v>6813</v>
      </c>
      <c r="P85" s="17" t="str">
        <f>HYPERLINK("https://photon-sol.tinyastro.io/en/lp/EzLC8aLftXk2RXMZkBvG8d9QygJg6WvcEsdPzyrWpump?handle=676050794bc1b1657a56b", "View")</f>
        <v>View</v>
      </c>
    </row>
    <row r="86" spans="1:16" x14ac:dyDescent="0.25">
      <c r="A86" s="13" t="s">
        <v>6814</v>
      </c>
      <c r="B86" s="14">
        <v>69260234</v>
      </c>
      <c r="C86" s="14">
        <v>69260234</v>
      </c>
      <c r="D86" s="14" t="s">
        <v>6508</v>
      </c>
      <c r="E86" s="14" t="s">
        <v>6509</v>
      </c>
      <c r="F86" s="14" t="s">
        <v>6815</v>
      </c>
      <c r="G86" s="22" t="s">
        <v>6816</v>
      </c>
      <c r="H86" s="22" t="s">
        <v>6817</v>
      </c>
      <c r="I86" s="14" t="s">
        <v>88</v>
      </c>
      <c r="J86" s="14">
        <v>1</v>
      </c>
      <c r="K86" s="14">
        <v>1</v>
      </c>
      <c r="L86" s="14" t="s">
        <v>6818</v>
      </c>
      <c r="M86" s="19" t="s">
        <v>1752</v>
      </c>
      <c r="N86" s="14" t="s">
        <v>2316</v>
      </c>
      <c r="O86" s="14" t="s">
        <v>6819</v>
      </c>
      <c r="P86" s="14" t="str">
        <f>HYPERLINK("https://photon-sol.tinyastro.io/en/lp/C2CamiXPmNn2AoUg5sacch3WohUaQv3eHdU3oGJ5pump?handle=676050794bc1b1657a56b", "View")</f>
        <v>View</v>
      </c>
    </row>
    <row r="87" spans="1:16" x14ac:dyDescent="0.25">
      <c r="A87" s="16" t="s">
        <v>6820</v>
      </c>
      <c r="B87" s="17">
        <v>51577191</v>
      </c>
      <c r="C87" s="17">
        <v>51577191</v>
      </c>
      <c r="D87" s="17" t="s">
        <v>6621</v>
      </c>
      <c r="E87" s="17" t="s">
        <v>6821</v>
      </c>
      <c r="F87" s="17" t="s">
        <v>6822</v>
      </c>
      <c r="G87" s="20" t="s">
        <v>6823</v>
      </c>
      <c r="H87" s="20" t="s">
        <v>6824</v>
      </c>
      <c r="I87" s="17" t="s">
        <v>88</v>
      </c>
      <c r="J87" s="17">
        <v>2</v>
      </c>
      <c r="K87" s="17">
        <v>2</v>
      </c>
      <c r="L87" s="17" t="s">
        <v>6825</v>
      </c>
      <c r="M87" s="17" t="s">
        <v>1434</v>
      </c>
      <c r="N87" s="17" t="s">
        <v>6826</v>
      </c>
      <c r="O87" s="17" t="s">
        <v>6827</v>
      </c>
      <c r="P87" s="17" t="str">
        <f>HYPERLINK("https://photon-sol.tinyastro.io/en/lp/31pZHW7dJaRY1jCzytgnU4auTtYWtXDfFNMcWfW4pump?handle=676050794bc1b1657a56b", "View")</f>
        <v>View</v>
      </c>
    </row>
    <row r="88" spans="1:16" x14ac:dyDescent="0.25">
      <c r="A88" s="13" t="s">
        <v>6828</v>
      </c>
      <c r="B88" s="14">
        <v>20881982</v>
      </c>
      <c r="C88" s="14">
        <v>20881982</v>
      </c>
      <c r="D88" s="14" t="s">
        <v>6508</v>
      </c>
      <c r="E88" s="14" t="s">
        <v>1804</v>
      </c>
      <c r="F88" s="14" t="s">
        <v>6829</v>
      </c>
      <c r="G88" s="22" t="s">
        <v>1509</v>
      </c>
      <c r="H88" s="22" t="s">
        <v>6830</v>
      </c>
      <c r="I88" s="14" t="s">
        <v>88</v>
      </c>
      <c r="J88" s="14">
        <v>1</v>
      </c>
      <c r="K88" s="14">
        <v>1</v>
      </c>
      <c r="L88" s="14" t="s">
        <v>6831</v>
      </c>
      <c r="M88" s="19" t="s">
        <v>2122</v>
      </c>
      <c r="N88" s="14" t="s">
        <v>6832</v>
      </c>
      <c r="O88" s="14" t="s">
        <v>6833</v>
      </c>
      <c r="P88" s="14" t="str">
        <f>HYPERLINK("https://dexscreener.com/solana/9SuoX2v4mgqJQJauTJhamjRWWWCn4cPoFhhxBfRopump", "View")</f>
        <v>View</v>
      </c>
    </row>
    <row r="89" spans="1:16" x14ac:dyDescent="0.25">
      <c r="A89" s="16" t="s">
        <v>6834</v>
      </c>
      <c r="B89" s="17">
        <v>16580224</v>
      </c>
      <c r="C89" s="17">
        <v>16580224</v>
      </c>
      <c r="D89" s="17" t="s">
        <v>6508</v>
      </c>
      <c r="E89" s="17" t="s">
        <v>1804</v>
      </c>
      <c r="F89" s="17" t="s">
        <v>6835</v>
      </c>
      <c r="G89" s="20" t="s">
        <v>6836</v>
      </c>
      <c r="H89" s="20" t="s">
        <v>6837</v>
      </c>
      <c r="I89" s="17" t="s">
        <v>88</v>
      </c>
      <c r="J89" s="17">
        <v>1</v>
      </c>
      <c r="K89" s="17">
        <v>1</v>
      </c>
      <c r="L89" s="17" t="s">
        <v>6838</v>
      </c>
      <c r="M89" s="17" t="s">
        <v>937</v>
      </c>
      <c r="N89" s="17" t="s">
        <v>6839</v>
      </c>
      <c r="O89" s="17" t="s">
        <v>6840</v>
      </c>
      <c r="P89" s="17" t="str">
        <f>HYPERLINK("https://dexscreener.com/solana/9qQKtsBiBPk3U6aJLUrrq5zXEQ1JGuYWCkaL6Ge2HizD", "View")</f>
        <v>View</v>
      </c>
    </row>
    <row r="90" spans="1:16" x14ac:dyDescent="0.25">
      <c r="A90" s="13" t="s">
        <v>6841</v>
      </c>
      <c r="B90" s="14">
        <v>13948287</v>
      </c>
      <c r="C90" s="14">
        <v>13948287</v>
      </c>
      <c r="D90" s="14" t="s">
        <v>6508</v>
      </c>
      <c r="E90" s="14" t="s">
        <v>6403</v>
      </c>
      <c r="F90" s="14" t="s">
        <v>6842</v>
      </c>
      <c r="G90" s="22" t="s">
        <v>6843</v>
      </c>
      <c r="H90" s="22" t="s">
        <v>6844</v>
      </c>
      <c r="I90" s="14" t="s">
        <v>88</v>
      </c>
      <c r="J90" s="14">
        <v>1</v>
      </c>
      <c r="K90" s="14">
        <v>1</v>
      </c>
      <c r="L90" s="14" t="s">
        <v>6845</v>
      </c>
      <c r="M90" s="14" t="s">
        <v>179</v>
      </c>
      <c r="N90" s="14" t="s">
        <v>6846</v>
      </c>
      <c r="O90" s="14" t="s">
        <v>6847</v>
      </c>
      <c r="P90" s="14" t="str">
        <f>HYPERLINK("https://dexscreener.com/solana/peJxGuFUB79mo4Bp4gBwGHAgWyP9GeZtkaPU5t4pump", "View")</f>
        <v>View</v>
      </c>
    </row>
    <row r="91" spans="1:16" x14ac:dyDescent="0.25">
      <c r="A91" s="16" t="s">
        <v>6848</v>
      </c>
      <c r="B91" s="17">
        <v>25500506</v>
      </c>
      <c r="C91" s="17">
        <v>25500506</v>
      </c>
      <c r="D91" s="17" t="s">
        <v>6508</v>
      </c>
      <c r="E91" s="17" t="s">
        <v>6531</v>
      </c>
      <c r="F91" s="17" t="s">
        <v>6849</v>
      </c>
      <c r="G91" s="15" t="s">
        <v>6850</v>
      </c>
      <c r="H91" s="15" t="s">
        <v>6851</v>
      </c>
      <c r="I91" s="17" t="s">
        <v>88</v>
      </c>
      <c r="J91" s="17">
        <v>1</v>
      </c>
      <c r="K91" s="17">
        <v>1</v>
      </c>
      <c r="L91" s="17" t="s">
        <v>6852</v>
      </c>
      <c r="M91" s="19" t="s">
        <v>1940</v>
      </c>
      <c r="N91" s="17" t="s">
        <v>6853</v>
      </c>
      <c r="O91" s="17" t="s">
        <v>6854</v>
      </c>
      <c r="P91" s="17" t="str">
        <f>HYPERLINK("https://photon-sol.tinyastro.io/en/lp/DAcSDJ795ptCxFTKgGnfCmqpp98i3ZHbVEovgNG6NxUx?handle=676050794bc1b1657a56b", "View")</f>
        <v>View</v>
      </c>
    </row>
    <row r="92" spans="1:16" x14ac:dyDescent="0.25">
      <c r="A92" s="13" t="s">
        <v>6855</v>
      </c>
      <c r="B92" s="14">
        <v>81363140</v>
      </c>
      <c r="C92" s="14">
        <v>81363140</v>
      </c>
      <c r="D92" s="14" t="s">
        <v>6508</v>
      </c>
      <c r="E92" s="14" t="s">
        <v>6509</v>
      </c>
      <c r="F92" s="14" t="s">
        <v>6856</v>
      </c>
      <c r="G92" s="22" t="s">
        <v>6857</v>
      </c>
      <c r="H92" s="22" t="s">
        <v>6858</v>
      </c>
      <c r="I92" s="14" t="s">
        <v>88</v>
      </c>
      <c r="J92" s="14">
        <v>1</v>
      </c>
      <c r="K92" s="14">
        <v>1</v>
      </c>
      <c r="L92" s="14" t="s">
        <v>6859</v>
      </c>
      <c r="M92" s="19" t="s">
        <v>2248</v>
      </c>
      <c r="N92" s="14" t="s">
        <v>2316</v>
      </c>
      <c r="O92" s="14" t="s">
        <v>6860</v>
      </c>
      <c r="P92" s="14" t="str">
        <f>HYPERLINK("https://photon-sol.tinyastro.io/en/lp/DXgtbBG2tiZHc1HYTt7gBXUyMnrvUcLEVDk3KRQQpump?handle=676050794bc1b1657a56b", "View")</f>
        <v>View</v>
      </c>
    </row>
    <row r="93" spans="1:16" x14ac:dyDescent="0.25">
      <c r="A93" s="16" t="s">
        <v>163</v>
      </c>
      <c r="B93" s="17">
        <v>31613461</v>
      </c>
      <c r="C93" s="17">
        <v>31613461</v>
      </c>
      <c r="D93" s="17" t="s">
        <v>6508</v>
      </c>
      <c r="E93" s="17" t="s">
        <v>6509</v>
      </c>
      <c r="F93" s="17" t="s">
        <v>6861</v>
      </c>
      <c r="G93" s="22" t="s">
        <v>5534</v>
      </c>
      <c r="H93" s="22" t="s">
        <v>6862</v>
      </c>
      <c r="I93" s="17" t="s">
        <v>88</v>
      </c>
      <c r="J93" s="17">
        <v>1</v>
      </c>
      <c r="K93" s="17">
        <v>1</v>
      </c>
      <c r="L93" s="17" t="s">
        <v>6863</v>
      </c>
      <c r="M93" s="19" t="s">
        <v>1827</v>
      </c>
      <c r="N93" s="17" t="s">
        <v>1393</v>
      </c>
      <c r="O93" s="17" t="s">
        <v>6864</v>
      </c>
      <c r="P93" s="17" t="str">
        <f>HYPERLINK("https://photon-sol.tinyastro.io/en/lp/FbvakvU7eezvbCXCKKJNE2XhD7B7TUdMoNFk1Bs4pump?handle=676050794bc1b1657a56b", "View")</f>
        <v>View</v>
      </c>
    </row>
    <row r="94" spans="1:16" x14ac:dyDescent="0.25">
      <c r="A94" s="13" t="s">
        <v>740</v>
      </c>
      <c r="B94" s="14">
        <v>42918155</v>
      </c>
      <c r="C94" s="14">
        <v>42918155</v>
      </c>
      <c r="D94" s="14" t="s">
        <v>6621</v>
      </c>
      <c r="E94" s="14" t="s">
        <v>6425</v>
      </c>
      <c r="F94" s="14" t="s">
        <v>6865</v>
      </c>
      <c r="G94" s="22" t="s">
        <v>6866</v>
      </c>
      <c r="H94" s="22" t="s">
        <v>6867</v>
      </c>
      <c r="I94" s="14" t="s">
        <v>88</v>
      </c>
      <c r="J94" s="14">
        <v>2</v>
      </c>
      <c r="K94" s="14">
        <v>2</v>
      </c>
      <c r="L94" s="14" t="s">
        <v>6868</v>
      </c>
      <c r="M94" s="14" t="s">
        <v>788</v>
      </c>
      <c r="N94" s="14" t="s">
        <v>6869</v>
      </c>
      <c r="O94" s="14" t="s">
        <v>747</v>
      </c>
      <c r="P94" s="14" t="str">
        <f>HYPERLINK("https://dexscreener.com/solana/BZW215nxTGpbw87TUQJJpABGTBXeXqfjxjDYyrjCpump", "View")</f>
        <v>View</v>
      </c>
    </row>
    <row r="95" spans="1:16" x14ac:dyDescent="0.25">
      <c r="A95" s="16" t="s">
        <v>6870</v>
      </c>
      <c r="B95" s="17">
        <v>25336578</v>
      </c>
      <c r="C95" s="17">
        <v>25336578</v>
      </c>
      <c r="D95" s="17" t="s">
        <v>6474</v>
      </c>
      <c r="E95" s="17" t="s">
        <v>6871</v>
      </c>
      <c r="F95" s="17" t="s">
        <v>6872</v>
      </c>
      <c r="G95" s="15" t="s">
        <v>6873</v>
      </c>
      <c r="H95" s="15" t="s">
        <v>6874</v>
      </c>
      <c r="I95" s="17" t="s">
        <v>88</v>
      </c>
      <c r="J95" s="17">
        <v>3</v>
      </c>
      <c r="K95" s="17">
        <v>1</v>
      </c>
      <c r="L95" s="17" t="s">
        <v>6875</v>
      </c>
      <c r="M95" s="17" t="s">
        <v>1448</v>
      </c>
      <c r="N95" s="17" t="s">
        <v>6876</v>
      </c>
      <c r="O95" s="17" t="s">
        <v>6877</v>
      </c>
      <c r="P95" s="17" t="str">
        <f>HYPERLINK("https://photon-sol.tinyastro.io/en/lp/CYcNodDUdXawNKQSzWdAX8Mf4uGSCvJwcYDoKc8Hpump?handle=676050794bc1b1657a56b", "View")</f>
        <v>View</v>
      </c>
    </row>
    <row r="96" spans="1:16" x14ac:dyDescent="0.25">
      <c r="A96" s="13" t="s">
        <v>6878</v>
      </c>
      <c r="B96" s="14">
        <v>47105254</v>
      </c>
      <c r="C96" s="14">
        <v>47105254</v>
      </c>
      <c r="D96" s="14" t="s">
        <v>6508</v>
      </c>
      <c r="E96" s="14" t="s">
        <v>6509</v>
      </c>
      <c r="F96" s="14" t="s">
        <v>6879</v>
      </c>
      <c r="G96" s="20" t="s">
        <v>6880</v>
      </c>
      <c r="H96" s="20" t="s">
        <v>6881</v>
      </c>
      <c r="I96" s="14" t="s">
        <v>88</v>
      </c>
      <c r="J96" s="14">
        <v>1</v>
      </c>
      <c r="K96" s="14">
        <v>1</v>
      </c>
      <c r="L96" s="14" t="s">
        <v>6882</v>
      </c>
      <c r="M96" s="19" t="s">
        <v>3158</v>
      </c>
      <c r="N96" s="14" t="s">
        <v>3115</v>
      </c>
      <c r="O96" s="14" t="s">
        <v>6883</v>
      </c>
      <c r="P96" s="14" t="str">
        <f>HYPERLINK("https://photon-sol.tinyastro.io/en/lp/4iV95ZWPMnP32NnVCHGmZycn4VPY25VndFVWgvNnpump?handle=676050794bc1b1657a56b", "View")</f>
        <v>View</v>
      </c>
    </row>
    <row r="97" spans="1:16" x14ac:dyDescent="0.25">
      <c r="A97" s="16" t="s">
        <v>5544</v>
      </c>
      <c r="B97" s="17">
        <v>16765103</v>
      </c>
      <c r="C97" s="17">
        <v>16765103</v>
      </c>
      <c r="D97" s="17" t="s">
        <v>6884</v>
      </c>
      <c r="E97" s="17" t="s">
        <v>6885</v>
      </c>
      <c r="F97" s="17" t="s">
        <v>6886</v>
      </c>
      <c r="G97" s="21" t="s">
        <v>6887</v>
      </c>
      <c r="H97" s="21" t="s">
        <v>6888</v>
      </c>
      <c r="I97" s="17" t="s">
        <v>88</v>
      </c>
      <c r="J97" s="17">
        <v>7</v>
      </c>
      <c r="K97" s="17">
        <v>69</v>
      </c>
      <c r="L97" s="17" t="s">
        <v>6889</v>
      </c>
      <c r="M97" s="17" t="s">
        <v>823</v>
      </c>
      <c r="N97" s="17" t="s">
        <v>6890</v>
      </c>
      <c r="O97" s="17" t="s">
        <v>5550</v>
      </c>
      <c r="P97" s="17" t="str">
        <f>HYPERLINK("https://dexscreener.com/solana/Bz4MhmVRQENiCou7ZpJ575wpjNFjBjVBSiVhuNg1pump", "View")</f>
        <v>View</v>
      </c>
    </row>
    <row r="98" spans="1:16" x14ac:dyDescent="0.25">
      <c r="A98" s="13" t="s">
        <v>6891</v>
      </c>
      <c r="B98" s="14">
        <v>27009565</v>
      </c>
      <c r="C98" s="14">
        <v>27009565</v>
      </c>
      <c r="D98" s="14" t="s">
        <v>6508</v>
      </c>
      <c r="E98" s="14" t="s">
        <v>1804</v>
      </c>
      <c r="F98" s="14" t="s">
        <v>6892</v>
      </c>
      <c r="G98" s="22" t="s">
        <v>6893</v>
      </c>
      <c r="H98" s="22" t="s">
        <v>6894</v>
      </c>
      <c r="I98" s="14" t="s">
        <v>88</v>
      </c>
      <c r="J98" s="14">
        <v>1</v>
      </c>
      <c r="K98" s="14">
        <v>1</v>
      </c>
      <c r="L98" s="14" t="s">
        <v>6895</v>
      </c>
      <c r="M98" s="14" t="s">
        <v>980</v>
      </c>
      <c r="N98" s="14" t="s">
        <v>6896</v>
      </c>
      <c r="O98" s="14" t="s">
        <v>6897</v>
      </c>
      <c r="P98" s="14" t="str">
        <f>HYPERLINK("https://dexscreener.com/solana/Ec2SNUVJAvh3ko81rMZ9NuzZMEg17GXB4zb1dWgspump", "View")</f>
        <v>View</v>
      </c>
    </row>
    <row r="99" spans="1:16" x14ac:dyDescent="0.25">
      <c r="A99" s="16" t="s">
        <v>6898</v>
      </c>
      <c r="B99" s="17">
        <v>26214091</v>
      </c>
      <c r="C99" s="17">
        <v>26214091</v>
      </c>
      <c r="D99" s="17" t="s">
        <v>6899</v>
      </c>
      <c r="E99" s="17" t="s">
        <v>6388</v>
      </c>
      <c r="F99" s="17" t="s">
        <v>6900</v>
      </c>
      <c r="G99" s="21" t="s">
        <v>6901</v>
      </c>
      <c r="H99" s="21" t="s">
        <v>6902</v>
      </c>
      <c r="I99" s="17" t="s">
        <v>88</v>
      </c>
      <c r="J99" s="17">
        <v>4</v>
      </c>
      <c r="K99" s="17">
        <v>7</v>
      </c>
      <c r="L99" s="17" t="s">
        <v>6903</v>
      </c>
      <c r="M99" s="17" t="s">
        <v>117</v>
      </c>
      <c r="N99" s="17" t="s">
        <v>6904</v>
      </c>
      <c r="O99" s="17" t="s">
        <v>6905</v>
      </c>
      <c r="P99" s="17" t="str">
        <f>HYPERLINK("https://dexscreener.com/solana/FiQSxRdBzBgskvWcxFYZUrYdcZ55Qzci9dtrSH54pump", "View")</f>
        <v>View</v>
      </c>
    </row>
    <row r="100" spans="1:16" x14ac:dyDescent="0.25">
      <c r="A100" s="13" t="s">
        <v>6906</v>
      </c>
      <c r="B100" s="14">
        <v>11208427</v>
      </c>
      <c r="C100" s="14">
        <v>11208427</v>
      </c>
      <c r="D100" s="14" t="s">
        <v>6907</v>
      </c>
      <c r="E100" s="14" t="s">
        <v>1804</v>
      </c>
      <c r="F100" s="14" t="s">
        <v>6908</v>
      </c>
      <c r="G100" s="21" t="s">
        <v>6909</v>
      </c>
      <c r="H100" s="21" t="s">
        <v>6910</v>
      </c>
      <c r="I100" s="14" t="s">
        <v>88</v>
      </c>
      <c r="J100" s="14">
        <v>1</v>
      </c>
      <c r="K100" s="14">
        <v>8</v>
      </c>
      <c r="L100" s="14" t="s">
        <v>6911</v>
      </c>
      <c r="M100" s="14" t="s">
        <v>1932</v>
      </c>
      <c r="N100" s="14" t="s">
        <v>6912</v>
      </c>
      <c r="O100" s="14" t="s">
        <v>6913</v>
      </c>
      <c r="P100" s="14" t="str">
        <f>HYPERLINK("https://dexscreener.com/solana/82zJt2MhzxHejfUDyubm8Qvhko6BGdgUcZnVZvKrpump", "View")</f>
        <v>View</v>
      </c>
    </row>
    <row r="101" spans="1:16" x14ac:dyDescent="0.25">
      <c r="A101" s="16" t="s">
        <v>6914</v>
      </c>
      <c r="B101" s="17">
        <v>66708664</v>
      </c>
      <c r="C101" s="17">
        <v>66708664</v>
      </c>
      <c r="D101" s="17" t="s">
        <v>6508</v>
      </c>
      <c r="E101" s="17" t="s">
        <v>6509</v>
      </c>
      <c r="F101" s="17" t="s">
        <v>6915</v>
      </c>
      <c r="G101" s="21" t="s">
        <v>6916</v>
      </c>
      <c r="H101" s="21" t="s">
        <v>6917</v>
      </c>
      <c r="I101" s="17" t="s">
        <v>88</v>
      </c>
      <c r="J101" s="17">
        <v>1</v>
      </c>
      <c r="K101" s="17">
        <v>1</v>
      </c>
      <c r="L101" s="17" t="s">
        <v>6918</v>
      </c>
      <c r="M101" s="19" t="s">
        <v>2189</v>
      </c>
      <c r="N101" s="17" t="s">
        <v>6919</v>
      </c>
      <c r="O101" s="17" t="s">
        <v>6920</v>
      </c>
      <c r="P101" s="17" t="str">
        <f>HYPERLINK("https://photon-sol.tinyastro.io/en/lp/EV3YbAdZfxbwG9rFQQ4qF2oekxiH3HS86b82uWPhpump?handle=676050794bc1b1657a56b", "View")</f>
        <v>View</v>
      </c>
    </row>
    <row r="102" spans="1:16" x14ac:dyDescent="0.25">
      <c r="A102" s="13" t="s">
        <v>5566</v>
      </c>
      <c r="B102" s="14">
        <v>52279250</v>
      </c>
      <c r="C102" s="14">
        <v>52279250</v>
      </c>
      <c r="D102" s="14" t="s">
        <v>6921</v>
      </c>
      <c r="E102" s="14" t="s">
        <v>6509</v>
      </c>
      <c r="F102" s="14" t="s">
        <v>6922</v>
      </c>
      <c r="G102" s="21" t="s">
        <v>6923</v>
      </c>
      <c r="H102" s="21" t="s">
        <v>6924</v>
      </c>
      <c r="I102" s="14" t="s">
        <v>88</v>
      </c>
      <c r="J102" s="14">
        <v>1</v>
      </c>
      <c r="K102" s="14">
        <v>9</v>
      </c>
      <c r="L102" s="14" t="s">
        <v>6925</v>
      </c>
      <c r="M102" s="14" t="s">
        <v>1566</v>
      </c>
      <c r="N102" s="14" t="s">
        <v>6926</v>
      </c>
      <c r="O102" s="14" t="s">
        <v>5570</v>
      </c>
      <c r="P102" s="14" t="str">
        <f>HYPERLINK("https://photon-sol.tinyastro.io/en/lp/3qrEHV8zMR8BySfkQUCVQRnqjSDaCr9str6gRgRspump?handle=676050794bc1b1657a56b", "View")</f>
        <v>View</v>
      </c>
    </row>
    <row r="103" spans="1:16" x14ac:dyDescent="0.25">
      <c r="A103" s="16" t="s">
        <v>6927</v>
      </c>
      <c r="B103" s="17">
        <v>8323765</v>
      </c>
      <c r="C103" s="17">
        <v>8323765</v>
      </c>
      <c r="D103" s="17" t="s">
        <v>6508</v>
      </c>
      <c r="E103" s="17" t="s">
        <v>6509</v>
      </c>
      <c r="F103" s="17" t="s">
        <v>6928</v>
      </c>
      <c r="G103" s="20" t="s">
        <v>6929</v>
      </c>
      <c r="H103" s="20" t="s">
        <v>6930</v>
      </c>
      <c r="I103" s="17" t="s">
        <v>88</v>
      </c>
      <c r="J103" s="17">
        <v>1</v>
      </c>
      <c r="K103" s="17">
        <v>1</v>
      </c>
      <c r="L103" s="17" t="s">
        <v>6931</v>
      </c>
      <c r="M103" s="17" t="s">
        <v>602</v>
      </c>
      <c r="N103" s="17" t="s">
        <v>6932</v>
      </c>
      <c r="O103" s="17" t="s">
        <v>6933</v>
      </c>
      <c r="P103" s="17" t="str">
        <f>HYPERLINK("https://photon-sol.tinyastro.io/en/lp/83gsCWUMLMjeThg6yQBEcX1HUGH5AqvnrWBvX7DNpump?handle=676050794bc1b1657a56b", "View")</f>
        <v>View</v>
      </c>
    </row>
    <row r="104" spans="1:16" x14ac:dyDescent="0.25">
      <c r="A104" s="13" t="s">
        <v>6934</v>
      </c>
      <c r="B104" s="14">
        <v>9986931</v>
      </c>
      <c r="C104" s="14">
        <v>9986931</v>
      </c>
      <c r="D104" s="14" t="s">
        <v>6474</v>
      </c>
      <c r="E104" s="14" t="s">
        <v>6589</v>
      </c>
      <c r="F104" s="14" t="s">
        <v>6935</v>
      </c>
      <c r="G104" s="15" t="s">
        <v>6936</v>
      </c>
      <c r="H104" s="15" t="s">
        <v>6937</v>
      </c>
      <c r="I104" s="14" t="s">
        <v>88</v>
      </c>
      <c r="J104" s="14">
        <v>3</v>
      </c>
      <c r="K104" s="14">
        <v>1</v>
      </c>
      <c r="L104" s="14" t="s">
        <v>6938</v>
      </c>
      <c r="M104" s="14" t="s">
        <v>1566</v>
      </c>
      <c r="N104" s="14" t="s">
        <v>6939</v>
      </c>
      <c r="O104" s="14" t="s">
        <v>6940</v>
      </c>
      <c r="P104" s="14" t="str">
        <f>HYPERLINK("https://dexscreener.com/solana/CqtHQESkE9au6vGjzyf4BCLUQ5bVTgctsrbi1Zf4pump", "View")</f>
        <v>View</v>
      </c>
    </row>
    <row r="105" spans="1:16" x14ac:dyDescent="0.25">
      <c r="A105" s="16" t="s">
        <v>6941</v>
      </c>
      <c r="B105" s="17">
        <v>49994951</v>
      </c>
      <c r="C105" s="17">
        <v>49994951</v>
      </c>
      <c r="D105" s="17" t="s">
        <v>6942</v>
      </c>
      <c r="E105" s="17" t="s">
        <v>6885</v>
      </c>
      <c r="F105" s="17" t="s">
        <v>6943</v>
      </c>
      <c r="G105" s="15" t="s">
        <v>6944</v>
      </c>
      <c r="H105" s="15" t="s">
        <v>6945</v>
      </c>
      <c r="I105" s="17" t="s">
        <v>88</v>
      </c>
      <c r="J105" s="17">
        <v>4</v>
      </c>
      <c r="K105" s="17">
        <v>2</v>
      </c>
      <c r="L105" s="17" t="s">
        <v>6946</v>
      </c>
      <c r="M105" s="17" t="s">
        <v>1526</v>
      </c>
      <c r="N105" s="17" t="s">
        <v>6947</v>
      </c>
      <c r="O105" s="17" t="s">
        <v>6948</v>
      </c>
      <c r="P105" s="17" t="str">
        <f>HYPERLINK("https://dexscreener.com/solana/HRiALt5uPXTHe4YRVeTSY7ngch2HUNzksVDYrcGSpump", "View")</f>
        <v>View</v>
      </c>
    </row>
    <row r="106" spans="1:16" x14ac:dyDescent="0.25">
      <c r="A106" s="13" t="s">
        <v>863</v>
      </c>
      <c r="B106" s="14">
        <v>4260474</v>
      </c>
      <c r="C106" s="14">
        <v>4260474</v>
      </c>
      <c r="D106" s="14" t="s">
        <v>6508</v>
      </c>
      <c r="E106" s="14" t="s">
        <v>6403</v>
      </c>
      <c r="F106" s="14" t="s">
        <v>6949</v>
      </c>
      <c r="G106" s="22" t="s">
        <v>6950</v>
      </c>
      <c r="H106" s="22" t="s">
        <v>6951</v>
      </c>
      <c r="I106" s="14" t="s">
        <v>88</v>
      </c>
      <c r="J106" s="14">
        <v>1</v>
      </c>
      <c r="K106" s="14">
        <v>1</v>
      </c>
      <c r="L106" s="14" t="s">
        <v>6952</v>
      </c>
      <c r="M106" s="19" t="s">
        <v>2937</v>
      </c>
      <c r="N106" s="14" t="s">
        <v>6953</v>
      </c>
      <c r="O106" s="14" t="s">
        <v>869</v>
      </c>
      <c r="P106" s="14" t="str">
        <f>HYPERLINK("https://dexscreener.com/solana/AHLay166DoVa5xKKv1Ke1jf9zkypNCUdBVtW4SXfpump", "View")</f>
        <v>View</v>
      </c>
    </row>
    <row r="107" spans="1:16" x14ac:dyDescent="0.25">
      <c r="A107" s="16" t="s">
        <v>6954</v>
      </c>
      <c r="B107" s="17">
        <v>19683206</v>
      </c>
      <c r="C107" s="17">
        <v>19683206</v>
      </c>
      <c r="D107" s="17" t="s">
        <v>6955</v>
      </c>
      <c r="E107" s="17" t="s">
        <v>6956</v>
      </c>
      <c r="F107" s="17" t="s">
        <v>6957</v>
      </c>
      <c r="G107" s="22" t="s">
        <v>6958</v>
      </c>
      <c r="H107" s="22" t="s">
        <v>6959</v>
      </c>
      <c r="I107" s="17" t="s">
        <v>88</v>
      </c>
      <c r="J107" s="17">
        <v>5</v>
      </c>
      <c r="K107" s="17">
        <v>9</v>
      </c>
      <c r="L107" s="17" t="s">
        <v>6960</v>
      </c>
      <c r="M107" s="17" t="s">
        <v>1642</v>
      </c>
      <c r="N107" s="17" t="s">
        <v>6961</v>
      </c>
      <c r="O107" s="17" t="s">
        <v>6962</v>
      </c>
      <c r="P107" s="17" t="str">
        <f>HYPERLINK("https://dexscreener.com/solana/E5B5yyJWgNSQCHELcPWHsHPmpxj97rTnifNo28RXpump", "View")</f>
        <v>View</v>
      </c>
    </row>
    <row r="108" spans="1:16" x14ac:dyDescent="0.25">
      <c r="A108" s="13" t="s">
        <v>6963</v>
      </c>
      <c r="B108" s="14">
        <v>47866750</v>
      </c>
      <c r="C108" s="14">
        <v>47866750</v>
      </c>
      <c r="D108" s="14" t="s">
        <v>6621</v>
      </c>
      <c r="E108" s="14" t="s">
        <v>6964</v>
      </c>
      <c r="F108" s="14" t="s">
        <v>6965</v>
      </c>
      <c r="G108" s="20" t="s">
        <v>6966</v>
      </c>
      <c r="H108" s="20" t="s">
        <v>6967</v>
      </c>
      <c r="I108" s="14" t="s">
        <v>88</v>
      </c>
      <c r="J108" s="14">
        <v>2</v>
      </c>
      <c r="K108" s="14">
        <v>2</v>
      </c>
      <c r="L108" s="14" t="s">
        <v>6968</v>
      </c>
      <c r="M108" s="14" t="s">
        <v>602</v>
      </c>
      <c r="N108" s="14" t="s">
        <v>6969</v>
      </c>
      <c r="O108" s="14" t="s">
        <v>6970</v>
      </c>
      <c r="P108" s="14" t="str">
        <f>HYPERLINK("https://photon-sol.tinyastro.io/en/lp/2ShHf7YwQ1ci7S46h27LuF2so2wa4e4p65muoo8bpump?handle=676050794bc1b1657a56b", "View")</f>
        <v>View</v>
      </c>
    </row>
    <row r="109" spans="1:16" x14ac:dyDescent="0.25">
      <c r="A109" s="16" t="s">
        <v>6971</v>
      </c>
      <c r="B109" s="17">
        <v>89915889</v>
      </c>
      <c r="C109" s="17">
        <v>89915889</v>
      </c>
      <c r="D109" s="17" t="s">
        <v>6972</v>
      </c>
      <c r="E109" s="17" t="s">
        <v>6973</v>
      </c>
      <c r="F109" s="17" t="s">
        <v>6974</v>
      </c>
      <c r="G109" s="20" t="s">
        <v>6975</v>
      </c>
      <c r="H109" s="20" t="s">
        <v>6976</v>
      </c>
      <c r="I109" s="17" t="s">
        <v>88</v>
      </c>
      <c r="J109" s="17">
        <v>4</v>
      </c>
      <c r="K109" s="17">
        <v>3</v>
      </c>
      <c r="L109" s="17" t="s">
        <v>6977</v>
      </c>
      <c r="M109" s="17" t="s">
        <v>1526</v>
      </c>
      <c r="N109" s="17" t="s">
        <v>6978</v>
      </c>
      <c r="O109" s="17" t="s">
        <v>6979</v>
      </c>
      <c r="P109" s="17" t="str">
        <f>HYPERLINK("https://photon-sol.tinyastro.io/en/lp/6DvfVfWnY1C2Nz2r4vi3qmAgjtFBHZxPcAetNfMGpump?handle=676050794bc1b1657a56b", "View")</f>
        <v>View</v>
      </c>
    </row>
    <row r="110" spans="1:16" x14ac:dyDescent="0.25">
      <c r="A110" s="13" t="s">
        <v>6980</v>
      </c>
      <c r="B110" s="14">
        <v>2594193</v>
      </c>
      <c r="C110" s="14">
        <v>2594193</v>
      </c>
      <c r="D110" s="14" t="s">
        <v>6981</v>
      </c>
      <c r="E110" s="14" t="s">
        <v>6403</v>
      </c>
      <c r="F110" s="14" t="s">
        <v>6982</v>
      </c>
      <c r="G110" s="21" t="s">
        <v>6983</v>
      </c>
      <c r="H110" s="21" t="s">
        <v>6984</v>
      </c>
      <c r="I110" s="14" t="s">
        <v>88</v>
      </c>
      <c r="J110" s="14">
        <v>1</v>
      </c>
      <c r="K110" s="14">
        <v>4</v>
      </c>
      <c r="L110" s="14" t="s">
        <v>6985</v>
      </c>
      <c r="M110" s="14" t="s">
        <v>1434</v>
      </c>
      <c r="N110" s="14" t="s">
        <v>6986</v>
      </c>
      <c r="O110" s="14" t="s">
        <v>6987</v>
      </c>
      <c r="P110" s="14" t="str">
        <f>HYPERLINK("https://dexscreener.com/solana/7PLFUMueEkMDc9dNoCnL5kG3aoLixML1iG5nA9ojpump", "View")</f>
        <v>View</v>
      </c>
    </row>
    <row r="111" spans="1:16" x14ac:dyDescent="0.25">
      <c r="A111" s="16" t="s">
        <v>6988</v>
      </c>
      <c r="B111" s="17">
        <v>33609349</v>
      </c>
      <c r="C111" s="17">
        <v>33609349</v>
      </c>
      <c r="D111" s="17" t="s">
        <v>6663</v>
      </c>
      <c r="E111" s="17" t="s">
        <v>6989</v>
      </c>
      <c r="F111" s="17" t="s">
        <v>6990</v>
      </c>
      <c r="G111" s="22" t="s">
        <v>6991</v>
      </c>
      <c r="H111" s="22" t="s">
        <v>6992</v>
      </c>
      <c r="I111" s="17" t="s">
        <v>88</v>
      </c>
      <c r="J111" s="17">
        <v>2</v>
      </c>
      <c r="K111" s="17">
        <v>1</v>
      </c>
      <c r="L111" s="17" t="s">
        <v>6993</v>
      </c>
      <c r="M111" s="17" t="s">
        <v>4922</v>
      </c>
      <c r="N111" s="17" t="s">
        <v>6994</v>
      </c>
      <c r="O111" s="17" t="s">
        <v>6995</v>
      </c>
      <c r="P111" s="17" t="str">
        <f>HYPERLINK("https://photon-sol.tinyastro.io/en/lp/HV13kKRbKvCB341gqDt6YugkSo93RCmHDoALeHuspump?handle=676050794bc1b1657a56b", "View")</f>
        <v>View</v>
      </c>
    </row>
    <row r="112" spans="1:16" x14ac:dyDescent="0.25">
      <c r="A112" s="13" t="s">
        <v>6996</v>
      </c>
      <c r="B112" s="14">
        <v>26823381</v>
      </c>
      <c r="C112" s="14">
        <v>26823381</v>
      </c>
      <c r="D112" s="14" t="s">
        <v>6474</v>
      </c>
      <c r="E112" s="14" t="s">
        <v>6719</v>
      </c>
      <c r="F112" s="14" t="s">
        <v>6997</v>
      </c>
      <c r="G112" s="15" t="s">
        <v>6998</v>
      </c>
      <c r="H112" s="15" t="s">
        <v>6999</v>
      </c>
      <c r="I112" s="14" t="s">
        <v>88</v>
      </c>
      <c r="J112" s="14">
        <v>3</v>
      </c>
      <c r="K112" s="14">
        <v>1</v>
      </c>
      <c r="L112" s="14" t="s">
        <v>7000</v>
      </c>
      <c r="M112" s="14" t="s">
        <v>602</v>
      </c>
      <c r="N112" s="14" t="s">
        <v>7001</v>
      </c>
      <c r="O112" s="14" t="s">
        <v>7002</v>
      </c>
      <c r="P112" s="14" t="str">
        <f>HYPERLINK("https://dexscreener.com/solana/CuLAhJ8EdTRkiuhEj2f8cxvuKJbYhdYRsj2fiNhSpump", "View")</f>
        <v>View</v>
      </c>
    </row>
    <row r="113" spans="1:16" x14ac:dyDescent="0.25">
      <c r="A113" s="16" t="s">
        <v>7003</v>
      </c>
      <c r="B113" s="17">
        <v>52357375</v>
      </c>
      <c r="C113" s="17">
        <v>52357375</v>
      </c>
      <c r="D113" s="17" t="s">
        <v>6508</v>
      </c>
      <c r="E113" s="17" t="s">
        <v>7004</v>
      </c>
      <c r="F113" s="17" t="s">
        <v>7005</v>
      </c>
      <c r="G113" s="22" t="s">
        <v>5311</v>
      </c>
      <c r="H113" s="22" t="s">
        <v>7006</v>
      </c>
      <c r="I113" s="17" t="s">
        <v>88</v>
      </c>
      <c r="J113" s="17">
        <v>1</v>
      </c>
      <c r="K113" s="17">
        <v>1</v>
      </c>
      <c r="L113" s="17" t="s">
        <v>7007</v>
      </c>
      <c r="M113" s="19" t="s">
        <v>2955</v>
      </c>
      <c r="N113" s="17" t="s">
        <v>1011</v>
      </c>
      <c r="O113" s="17" t="s">
        <v>7008</v>
      </c>
      <c r="P113" s="17" t="str">
        <f>HYPERLINK("https://photon-sol.tinyastro.io/en/lp/GhBsk44D9QSNLhbvp8mGSn7h5stiAtDmXX6Ffd6ppump?handle=676050794bc1b1657a56b", "View")</f>
        <v>View</v>
      </c>
    </row>
    <row r="114" spans="1:16" x14ac:dyDescent="0.25">
      <c r="A114" s="13" t="s">
        <v>7009</v>
      </c>
      <c r="B114" s="14">
        <v>2758963</v>
      </c>
      <c r="C114" s="14">
        <v>2758963</v>
      </c>
      <c r="D114" s="14" t="s">
        <v>6508</v>
      </c>
      <c r="E114" s="14" t="s">
        <v>1804</v>
      </c>
      <c r="F114" s="14" t="s">
        <v>7010</v>
      </c>
      <c r="G114" s="22" t="s">
        <v>7011</v>
      </c>
      <c r="H114" s="22" t="s">
        <v>7012</v>
      </c>
      <c r="I114" s="14" t="s">
        <v>88</v>
      </c>
      <c r="J114" s="14">
        <v>1</v>
      </c>
      <c r="K114" s="14">
        <v>1</v>
      </c>
      <c r="L114" s="14" t="s">
        <v>7013</v>
      </c>
      <c r="M114" s="14" t="s">
        <v>980</v>
      </c>
      <c r="N114" s="14" t="s">
        <v>7014</v>
      </c>
      <c r="O114" s="14" t="s">
        <v>7015</v>
      </c>
      <c r="P114" s="14" t="str">
        <f>HYPERLINK("https://dexscreener.com/solana/AnnG2PnH4ijFrbAf6G6MWXHtrwUxT8bkyd5MJNnCpump", "View")</f>
        <v>View</v>
      </c>
    </row>
    <row r="115" spans="1:16" x14ac:dyDescent="0.25">
      <c r="A115" s="16" t="s">
        <v>7016</v>
      </c>
      <c r="B115" s="17">
        <v>17892878</v>
      </c>
      <c r="C115" s="17">
        <v>17892878</v>
      </c>
      <c r="D115" s="17" t="s">
        <v>6663</v>
      </c>
      <c r="E115" s="17" t="s">
        <v>6403</v>
      </c>
      <c r="F115" s="17" t="s">
        <v>7017</v>
      </c>
      <c r="G115" s="20" t="s">
        <v>7018</v>
      </c>
      <c r="H115" s="20" t="s">
        <v>7019</v>
      </c>
      <c r="I115" s="17" t="s">
        <v>88</v>
      </c>
      <c r="J115" s="17">
        <v>2</v>
      </c>
      <c r="K115" s="17">
        <v>1</v>
      </c>
      <c r="L115" s="17" t="s">
        <v>7020</v>
      </c>
      <c r="M115" s="17" t="s">
        <v>5695</v>
      </c>
      <c r="N115" s="17" t="s">
        <v>7021</v>
      </c>
      <c r="O115" s="17" t="s">
        <v>7022</v>
      </c>
      <c r="P115" s="17" t="str">
        <f>HYPERLINK("https://dexscreener.com/solana/EovyfqMetoWpCm2hck1xBsgmaQHqyjrkSCQMiSA9pump", "View")</f>
        <v>View</v>
      </c>
    </row>
    <row r="116" spans="1:16" x14ac:dyDescent="0.25">
      <c r="A116" s="13" t="s">
        <v>7023</v>
      </c>
      <c r="B116" s="14">
        <v>31461695</v>
      </c>
      <c r="C116" s="14">
        <v>31461695</v>
      </c>
      <c r="D116" s="14" t="s">
        <v>7024</v>
      </c>
      <c r="E116" s="14" t="s">
        <v>6677</v>
      </c>
      <c r="F116" s="14" t="s">
        <v>7025</v>
      </c>
      <c r="G116" s="21" t="s">
        <v>7026</v>
      </c>
      <c r="H116" s="21" t="s">
        <v>7027</v>
      </c>
      <c r="I116" s="14" t="s">
        <v>88</v>
      </c>
      <c r="J116" s="14">
        <v>1</v>
      </c>
      <c r="K116" s="14">
        <v>3</v>
      </c>
      <c r="L116" s="14" t="s">
        <v>7028</v>
      </c>
      <c r="M116" s="14" t="s">
        <v>980</v>
      </c>
      <c r="N116" s="14" t="s">
        <v>7029</v>
      </c>
      <c r="O116" s="14" t="s">
        <v>7030</v>
      </c>
      <c r="P116" s="14" t="str">
        <f>HYPERLINK("https://photon-sol.tinyastro.io/en/lp/2u4p6KLLNo1kARvq4oxtgbTCbZnogUpVgdmqnuYApump?handle=676050794bc1b1657a56b", "View")</f>
        <v>View</v>
      </c>
    </row>
    <row r="117" spans="1:16" x14ac:dyDescent="0.25">
      <c r="A117" s="16" t="s">
        <v>7031</v>
      </c>
      <c r="B117" s="17">
        <v>23811745</v>
      </c>
      <c r="C117" s="17">
        <v>23811745</v>
      </c>
      <c r="D117" s="17" t="s">
        <v>6621</v>
      </c>
      <c r="E117" s="17" t="s">
        <v>7032</v>
      </c>
      <c r="F117" s="17" t="s">
        <v>7033</v>
      </c>
      <c r="G117" s="21" t="s">
        <v>7034</v>
      </c>
      <c r="H117" s="21" t="s">
        <v>7035</v>
      </c>
      <c r="I117" s="17" t="s">
        <v>88</v>
      </c>
      <c r="J117" s="17">
        <v>2</v>
      </c>
      <c r="K117" s="17">
        <v>2</v>
      </c>
      <c r="L117" s="17" t="s">
        <v>7036</v>
      </c>
      <c r="M117" s="17" t="s">
        <v>1705</v>
      </c>
      <c r="N117" s="17" t="s">
        <v>7037</v>
      </c>
      <c r="O117" s="17" t="s">
        <v>7038</v>
      </c>
      <c r="P117" s="17" t="str">
        <f>HYPERLINK("https://photon-sol.tinyastro.io/en/lp/CPgwCPN5tBQWaMpuiueYk1iq4urMW47nRLBJduK8pump?handle=676050794bc1b1657a56b", "View")</f>
        <v>View</v>
      </c>
    </row>
    <row r="118" spans="1:16" x14ac:dyDescent="0.25">
      <c r="A118" s="13" t="s">
        <v>895</v>
      </c>
      <c r="B118" s="14">
        <v>37226038</v>
      </c>
      <c r="C118" s="14">
        <v>37226038</v>
      </c>
      <c r="D118" s="14" t="s">
        <v>7039</v>
      </c>
      <c r="E118" s="14" t="s">
        <v>7040</v>
      </c>
      <c r="F118" s="14" t="s">
        <v>7041</v>
      </c>
      <c r="G118" s="15" t="s">
        <v>7042</v>
      </c>
      <c r="H118" s="15" t="s">
        <v>7043</v>
      </c>
      <c r="I118" s="14" t="s">
        <v>88</v>
      </c>
      <c r="J118" s="14">
        <v>7</v>
      </c>
      <c r="K118" s="14">
        <v>2</v>
      </c>
      <c r="L118" s="14" t="s">
        <v>7044</v>
      </c>
      <c r="M118" s="14" t="s">
        <v>680</v>
      </c>
      <c r="N118" s="14" t="s">
        <v>7045</v>
      </c>
      <c r="O118" s="14" t="s">
        <v>900</v>
      </c>
      <c r="P118" s="14" t="str">
        <f>HYPERLINK("https://dexscreener.com/solana/C3YBjaivX99gzMdeQ1PCpVP3o5kNoaKkT2yAKFqRpump", "View")</f>
        <v>View</v>
      </c>
    </row>
    <row r="119" spans="1:16" x14ac:dyDescent="0.25">
      <c r="A119" s="16" t="s">
        <v>7046</v>
      </c>
      <c r="B119" s="17">
        <v>12115698</v>
      </c>
      <c r="C119" s="17">
        <v>12115698</v>
      </c>
      <c r="D119" s="17" t="s">
        <v>6508</v>
      </c>
      <c r="E119" s="17" t="s">
        <v>1804</v>
      </c>
      <c r="F119" s="17" t="s">
        <v>7047</v>
      </c>
      <c r="G119" s="15" t="s">
        <v>7048</v>
      </c>
      <c r="H119" s="15" t="s">
        <v>7049</v>
      </c>
      <c r="I119" s="17" t="s">
        <v>88</v>
      </c>
      <c r="J119" s="17">
        <v>1</v>
      </c>
      <c r="K119" s="17">
        <v>1</v>
      </c>
      <c r="L119" s="17" t="s">
        <v>7050</v>
      </c>
      <c r="M119" s="19" t="s">
        <v>1619</v>
      </c>
      <c r="N119" s="17" t="s">
        <v>7051</v>
      </c>
      <c r="O119" s="17" t="s">
        <v>7052</v>
      </c>
      <c r="P119" s="17" t="str">
        <f>HYPERLINK("https://dexscreener.com/solana/2UYfshiF9YMwcFAzfxYhDqv4CahF2MidZ68VwVsfpump", "View")</f>
        <v>View</v>
      </c>
    </row>
    <row r="120" spans="1:16" x14ac:dyDescent="0.25">
      <c r="A120" s="13" t="s">
        <v>7053</v>
      </c>
      <c r="B120" s="14">
        <v>116260429</v>
      </c>
      <c r="C120" s="14">
        <v>116260429</v>
      </c>
      <c r="D120" s="14" t="s">
        <v>7054</v>
      </c>
      <c r="E120" s="14" t="s">
        <v>6403</v>
      </c>
      <c r="F120" s="14" t="s">
        <v>7055</v>
      </c>
      <c r="G120" s="20" t="s">
        <v>7056</v>
      </c>
      <c r="H120" s="20" t="s">
        <v>7057</v>
      </c>
      <c r="I120" s="14" t="s">
        <v>88</v>
      </c>
      <c r="J120" s="14">
        <v>1</v>
      </c>
      <c r="K120" s="14">
        <v>1</v>
      </c>
      <c r="L120" s="14" t="s">
        <v>7058</v>
      </c>
      <c r="M120" s="19" t="s">
        <v>1856</v>
      </c>
      <c r="N120" s="14" t="s">
        <v>7059</v>
      </c>
      <c r="O120" s="14" t="s">
        <v>7060</v>
      </c>
      <c r="P120" s="14" t="str">
        <f>HYPERLINK("https://dexscreener.com/solana/E59BxRBHr75Qw6z9sCEbzWyLt2CVJWX3Sidn4mAcpump", "View")</f>
        <v>View</v>
      </c>
    </row>
    <row r="121" spans="1:16" x14ac:dyDescent="0.25">
      <c r="A121" s="16" t="s">
        <v>7053</v>
      </c>
      <c r="B121" s="17">
        <v>20595954</v>
      </c>
      <c r="C121" s="17">
        <v>20595954</v>
      </c>
      <c r="D121" s="17" t="s">
        <v>7061</v>
      </c>
      <c r="E121" s="17" t="s">
        <v>6475</v>
      </c>
      <c r="F121" s="17" t="s">
        <v>7062</v>
      </c>
      <c r="G121" s="15" t="s">
        <v>7063</v>
      </c>
      <c r="H121" s="15" t="s">
        <v>7064</v>
      </c>
      <c r="I121" s="17" t="s">
        <v>88</v>
      </c>
      <c r="J121" s="17">
        <v>2</v>
      </c>
      <c r="K121" s="17">
        <v>1</v>
      </c>
      <c r="L121" s="17" t="s">
        <v>7065</v>
      </c>
      <c r="M121" s="19" t="s">
        <v>2167</v>
      </c>
      <c r="N121" s="17" t="s">
        <v>7066</v>
      </c>
      <c r="O121" s="17" t="s">
        <v>7067</v>
      </c>
      <c r="P121" s="17" t="str">
        <f>HYPERLINK("https://dexscreener.com/solana/8k5iWeStCBUpwGUTnsKejKhLcUhiWMHfduuTbp2npump", "View")</f>
        <v>View</v>
      </c>
    </row>
    <row r="122" spans="1:16" x14ac:dyDescent="0.25">
      <c r="A122" s="13" t="s">
        <v>7068</v>
      </c>
      <c r="B122" s="14">
        <v>12684153</v>
      </c>
      <c r="C122" s="14">
        <v>12684153</v>
      </c>
      <c r="D122" s="14" t="s">
        <v>7069</v>
      </c>
      <c r="E122" s="14" t="s">
        <v>6403</v>
      </c>
      <c r="F122" s="14" t="s">
        <v>7070</v>
      </c>
      <c r="G122" s="21" t="s">
        <v>7071</v>
      </c>
      <c r="H122" s="21" t="s">
        <v>7072</v>
      </c>
      <c r="I122" s="14" t="s">
        <v>88</v>
      </c>
      <c r="J122" s="14">
        <v>1</v>
      </c>
      <c r="K122" s="14">
        <v>8</v>
      </c>
      <c r="L122" s="14" t="s">
        <v>7073</v>
      </c>
      <c r="M122" s="14" t="s">
        <v>3180</v>
      </c>
      <c r="N122" s="14" t="s">
        <v>7074</v>
      </c>
      <c r="O122" s="14" t="s">
        <v>7075</v>
      </c>
      <c r="P122" s="14" t="str">
        <f>HYPERLINK("https://dexscreener.com/solana/KgGKSwPvhBDZbeN7hsvi7Bjx9VfKekqLRCMB6VBpump", "View")</f>
        <v>View</v>
      </c>
    </row>
    <row r="123" spans="1:16" x14ac:dyDescent="0.25">
      <c r="A123" s="16" t="s">
        <v>7076</v>
      </c>
      <c r="B123" s="17">
        <v>49055420</v>
      </c>
      <c r="C123" s="17">
        <v>49055420</v>
      </c>
      <c r="D123" s="17" t="s">
        <v>7054</v>
      </c>
      <c r="E123" s="17" t="s">
        <v>7077</v>
      </c>
      <c r="F123" s="17" t="s">
        <v>7078</v>
      </c>
      <c r="G123" s="20" t="s">
        <v>7079</v>
      </c>
      <c r="H123" s="20" t="s">
        <v>7080</v>
      </c>
      <c r="I123" s="17" t="s">
        <v>88</v>
      </c>
      <c r="J123" s="17">
        <v>1</v>
      </c>
      <c r="K123" s="17">
        <v>1</v>
      </c>
      <c r="L123" s="17" t="s">
        <v>7081</v>
      </c>
      <c r="M123" s="17" t="s">
        <v>1434</v>
      </c>
      <c r="N123" s="17" t="s">
        <v>7082</v>
      </c>
      <c r="O123" s="17" t="s">
        <v>7083</v>
      </c>
      <c r="P123" s="17" t="str">
        <f>HYPERLINK("https://photon-sol.tinyastro.io/en/lp/8FN6m5kPEUv2WuzZbqR2GtGvaCSkvZaH8rhGC2oWpump?handle=676050794bc1b1657a56b", "View")</f>
        <v>View</v>
      </c>
    </row>
    <row r="124" spans="1:16" x14ac:dyDescent="0.25">
      <c r="A124" s="13" t="s">
        <v>7084</v>
      </c>
      <c r="B124" s="14">
        <v>46596593</v>
      </c>
      <c r="C124" s="14">
        <v>46596593</v>
      </c>
      <c r="D124" s="14" t="s">
        <v>7054</v>
      </c>
      <c r="E124" s="14" t="s">
        <v>1804</v>
      </c>
      <c r="F124" s="14" t="s">
        <v>7085</v>
      </c>
      <c r="G124" s="15" t="s">
        <v>7086</v>
      </c>
      <c r="H124" s="15" t="s">
        <v>7087</v>
      </c>
      <c r="I124" s="14" t="s">
        <v>88</v>
      </c>
      <c r="J124" s="14">
        <v>1</v>
      </c>
      <c r="K124" s="14">
        <v>1</v>
      </c>
      <c r="L124" s="14" t="s">
        <v>7088</v>
      </c>
      <c r="M124" s="19" t="s">
        <v>1619</v>
      </c>
      <c r="N124" s="14" t="s">
        <v>7089</v>
      </c>
      <c r="O124" s="14" t="s">
        <v>7090</v>
      </c>
      <c r="P124" s="14" t="str">
        <f>HYPERLINK("https://dexscreener.com/solana/87t6YkcaJCDauvDBSRvE1AJySuHtQhsodD8C8AQHpump", "View")</f>
        <v>View</v>
      </c>
    </row>
    <row r="125" spans="1:16" x14ac:dyDescent="0.25">
      <c r="A125" s="16" t="s">
        <v>7091</v>
      </c>
      <c r="B125" s="17">
        <v>6278749</v>
      </c>
      <c r="C125" s="17">
        <v>6278749</v>
      </c>
      <c r="D125" s="17" t="s">
        <v>7092</v>
      </c>
      <c r="E125" s="17" t="s">
        <v>6403</v>
      </c>
      <c r="F125" s="17" t="s">
        <v>7093</v>
      </c>
      <c r="G125" s="21" t="s">
        <v>7094</v>
      </c>
      <c r="H125" s="21" t="s">
        <v>7095</v>
      </c>
      <c r="I125" s="17" t="s">
        <v>88</v>
      </c>
      <c r="J125" s="17">
        <v>2</v>
      </c>
      <c r="K125" s="17">
        <v>3</v>
      </c>
      <c r="L125" s="17" t="s">
        <v>7096</v>
      </c>
      <c r="M125" s="17" t="s">
        <v>1957</v>
      </c>
      <c r="N125" s="17" t="s">
        <v>7097</v>
      </c>
      <c r="O125" s="17" t="s">
        <v>7098</v>
      </c>
      <c r="P125" s="17" t="str">
        <f>HYPERLINK("https://dexscreener.com/solana/EyVpWuxegaFCpHBXbXLwK6rTL7cT6VyrfteJrnSspump", "View")</f>
        <v>View</v>
      </c>
    </row>
    <row r="126" spans="1:16" x14ac:dyDescent="0.25">
      <c r="A126" s="13" t="s">
        <v>7099</v>
      </c>
      <c r="B126" s="14">
        <v>21489474</v>
      </c>
      <c r="C126" s="14">
        <v>0</v>
      </c>
      <c r="D126" s="14" t="s">
        <v>7100</v>
      </c>
      <c r="E126" s="14" t="s">
        <v>1804</v>
      </c>
      <c r="F126" s="14" t="s">
        <v>96</v>
      </c>
      <c r="G126" s="18" t="s">
        <v>7101</v>
      </c>
      <c r="H126" s="18" t="s">
        <v>98</v>
      </c>
      <c r="I126" s="14" t="s">
        <v>7102</v>
      </c>
      <c r="J126" s="14">
        <v>1</v>
      </c>
      <c r="K126" s="14">
        <v>0</v>
      </c>
      <c r="L126" s="14" t="s">
        <v>7103</v>
      </c>
      <c r="M126" s="19" t="s">
        <v>101</v>
      </c>
      <c r="N126" s="14" t="s">
        <v>7104</v>
      </c>
      <c r="O126" s="14" t="s">
        <v>7105</v>
      </c>
      <c r="P126" s="14" t="str">
        <f>HYPERLINK("https://dexscreener.com/solana/4Y4gsGEMgEGwhPXr1eXywergE7xNch1c8VJa9KAzpump", "View")</f>
        <v>View</v>
      </c>
    </row>
    <row r="127" spans="1:16" x14ac:dyDescent="0.25">
      <c r="A127" s="16" t="s">
        <v>7106</v>
      </c>
      <c r="B127" s="17">
        <v>56130318</v>
      </c>
      <c r="C127" s="17">
        <v>56130318</v>
      </c>
      <c r="D127" s="17" t="s">
        <v>7054</v>
      </c>
      <c r="E127" s="17" t="s">
        <v>1804</v>
      </c>
      <c r="F127" s="17" t="s">
        <v>7107</v>
      </c>
      <c r="G127" s="20" t="s">
        <v>7108</v>
      </c>
      <c r="H127" s="20" t="s">
        <v>7109</v>
      </c>
      <c r="I127" s="17" t="s">
        <v>88</v>
      </c>
      <c r="J127" s="17">
        <v>1</v>
      </c>
      <c r="K127" s="17">
        <v>1</v>
      </c>
      <c r="L127" s="17" t="s">
        <v>7110</v>
      </c>
      <c r="M127" s="17" t="s">
        <v>1957</v>
      </c>
      <c r="N127" s="17" t="s">
        <v>4774</v>
      </c>
      <c r="O127" s="17" t="s">
        <v>7111</v>
      </c>
      <c r="P127" s="17" t="str">
        <f>HYPERLINK("https://dexscreener.com/solana/DDkAN3E5KbaSa8bcwBewHioM78Ns2v7E6Z8vNfp1pump", "View")</f>
        <v>View</v>
      </c>
    </row>
    <row r="128" spans="1:16" x14ac:dyDescent="0.25">
      <c r="A128" s="13" t="s">
        <v>7112</v>
      </c>
      <c r="B128" s="14">
        <v>1689025</v>
      </c>
      <c r="C128" s="14">
        <v>1689025</v>
      </c>
      <c r="D128" s="14" t="s">
        <v>7113</v>
      </c>
      <c r="E128" s="14" t="s">
        <v>6403</v>
      </c>
      <c r="F128" s="14" t="s">
        <v>7114</v>
      </c>
      <c r="G128" s="21" t="s">
        <v>7115</v>
      </c>
      <c r="H128" s="21" t="s">
        <v>7116</v>
      </c>
      <c r="I128" s="14" t="s">
        <v>88</v>
      </c>
      <c r="J128" s="14">
        <v>1</v>
      </c>
      <c r="K128" s="14">
        <v>3</v>
      </c>
      <c r="L128" s="14" t="s">
        <v>7117</v>
      </c>
      <c r="M128" s="14" t="s">
        <v>1448</v>
      </c>
      <c r="N128" s="14" t="s">
        <v>7118</v>
      </c>
      <c r="O128" s="14" t="s">
        <v>7119</v>
      </c>
      <c r="P128" s="14" t="str">
        <f>HYPERLINK("https://dexscreener.com/solana/HYTWunEns5k3CBBrr8gTJjNqA93avuEPB3RB1Kud3MWg", "View")</f>
        <v>View</v>
      </c>
    </row>
    <row r="129" spans="1:16" x14ac:dyDescent="0.25">
      <c r="A129" s="16" t="s">
        <v>7120</v>
      </c>
      <c r="B129" s="17">
        <v>45460531</v>
      </c>
      <c r="C129" s="17">
        <v>45460531</v>
      </c>
      <c r="D129" s="17" t="s">
        <v>7113</v>
      </c>
      <c r="E129" s="17" t="s">
        <v>6589</v>
      </c>
      <c r="F129" s="17" t="s">
        <v>7121</v>
      </c>
      <c r="G129" s="15" t="s">
        <v>7122</v>
      </c>
      <c r="H129" s="15" t="s">
        <v>7123</v>
      </c>
      <c r="I129" s="17" t="s">
        <v>88</v>
      </c>
      <c r="J129" s="17">
        <v>3</v>
      </c>
      <c r="K129" s="17">
        <v>1</v>
      </c>
      <c r="L129" s="17" t="s">
        <v>7124</v>
      </c>
      <c r="M129" s="17" t="s">
        <v>3180</v>
      </c>
      <c r="N129" s="17" t="s">
        <v>7125</v>
      </c>
      <c r="O129" s="17" t="s">
        <v>7126</v>
      </c>
      <c r="P129" s="17" t="str">
        <f>HYPERLINK("https://dexscreener.com/solana/FgPJPKGHYv89pDfK1VdxR7UvEW9NpPTZaVpxCxZKpump", "View")</f>
        <v>View</v>
      </c>
    </row>
    <row r="130" spans="1:16" x14ac:dyDescent="0.25">
      <c r="A130" s="13" t="s">
        <v>7127</v>
      </c>
      <c r="B130" s="14">
        <v>26284944</v>
      </c>
      <c r="C130" s="14">
        <v>26284944</v>
      </c>
      <c r="D130" s="14" t="s">
        <v>7054</v>
      </c>
      <c r="E130" s="14" t="s">
        <v>1804</v>
      </c>
      <c r="F130" s="14" t="s">
        <v>7128</v>
      </c>
      <c r="G130" s="20" t="s">
        <v>7129</v>
      </c>
      <c r="H130" s="20" t="s">
        <v>6652</v>
      </c>
      <c r="I130" s="14" t="s">
        <v>88</v>
      </c>
      <c r="J130" s="14">
        <v>1</v>
      </c>
      <c r="K130" s="14">
        <v>1</v>
      </c>
      <c r="L130" s="14" t="s">
        <v>7130</v>
      </c>
      <c r="M130" s="19" t="s">
        <v>3231</v>
      </c>
      <c r="N130" s="14" t="s">
        <v>7131</v>
      </c>
      <c r="O130" s="14" t="s">
        <v>7132</v>
      </c>
      <c r="P130" s="14" t="str">
        <f>HYPERLINK("https://dexscreener.com/solana/BfMi2JkFUJmSjRJ8j4KGH9AoX8wN4pLBxChH2Yjypump", "View")</f>
        <v>View</v>
      </c>
    </row>
    <row r="131" spans="1:16" x14ac:dyDescent="0.25">
      <c r="A131" s="16" t="s">
        <v>7133</v>
      </c>
      <c r="B131" s="17">
        <v>3703622</v>
      </c>
      <c r="C131" s="17">
        <v>3703622</v>
      </c>
      <c r="D131" s="17" t="s">
        <v>7061</v>
      </c>
      <c r="E131" s="17" t="s">
        <v>6475</v>
      </c>
      <c r="F131" s="17" t="s">
        <v>7134</v>
      </c>
      <c r="G131" s="22" t="s">
        <v>7135</v>
      </c>
      <c r="H131" s="22" t="s">
        <v>7136</v>
      </c>
      <c r="I131" s="17" t="s">
        <v>88</v>
      </c>
      <c r="J131" s="17">
        <v>2</v>
      </c>
      <c r="K131" s="17">
        <v>1</v>
      </c>
      <c r="L131" s="17" t="s">
        <v>7137</v>
      </c>
      <c r="M131" s="17" t="s">
        <v>788</v>
      </c>
      <c r="N131" s="17" t="s">
        <v>7138</v>
      </c>
      <c r="O131" s="17" t="s">
        <v>7139</v>
      </c>
      <c r="P131" s="17" t="str">
        <f>HYPERLINK("https://dexscreener.com/solana/7CCCwcyjrNv4mHjgv8fVx95MqpV7224CKnAQrcLwpump", "View")</f>
        <v>View</v>
      </c>
    </row>
    <row r="132" spans="1:16" x14ac:dyDescent="0.25">
      <c r="A132" s="13" t="s">
        <v>7140</v>
      </c>
      <c r="B132" s="14">
        <v>23218321</v>
      </c>
      <c r="C132" s="14">
        <v>23218321</v>
      </c>
      <c r="D132" s="14" t="s">
        <v>7113</v>
      </c>
      <c r="E132" s="14" t="s">
        <v>6589</v>
      </c>
      <c r="F132" s="14" t="s">
        <v>7141</v>
      </c>
      <c r="G132" s="15" t="s">
        <v>7142</v>
      </c>
      <c r="H132" s="15" t="s">
        <v>7143</v>
      </c>
      <c r="I132" s="14" t="s">
        <v>88</v>
      </c>
      <c r="J132" s="14">
        <v>3</v>
      </c>
      <c r="K132" s="14">
        <v>1</v>
      </c>
      <c r="L132" s="14" t="s">
        <v>7144</v>
      </c>
      <c r="M132" s="14" t="s">
        <v>2047</v>
      </c>
      <c r="N132" s="14" t="s">
        <v>7145</v>
      </c>
      <c r="O132" s="14" t="s">
        <v>7146</v>
      </c>
      <c r="P132" s="14" t="str">
        <f>HYPERLINK("https://dexscreener.com/solana/HWkLw5JSAZDeeu8kuCVFotsyQSKQDGTxEY8LgKrpump", "View")</f>
        <v>View</v>
      </c>
    </row>
    <row r="133" spans="1:16" x14ac:dyDescent="0.25">
      <c r="A133" s="16" t="s">
        <v>7147</v>
      </c>
      <c r="B133" s="17">
        <v>48987873</v>
      </c>
      <c r="C133" s="17">
        <v>48987873</v>
      </c>
      <c r="D133" s="17" t="s">
        <v>7054</v>
      </c>
      <c r="E133" s="17" t="s">
        <v>7148</v>
      </c>
      <c r="F133" s="17" t="s">
        <v>7149</v>
      </c>
      <c r="G133" s="22" t="s">
        <v>6137</v>
      </c>
      <c r="H133" s="22" t="s">
        <v>2810</v>
      </c>
      <c r="I133" s="17" t="s">
        <v>88</v>
      </c>
      <c r="J133" s="17">
        <v>1</v>
      </c>
      <c r="K133" s="17">
        <v>1</v>
      </c>
      <c r="L133" s="17" t="s">
        <v>7150</v>
      </c>
      <c r="M133" s="17" t="s">
        <v>1434</v>
      </c>
      <c r="N133" s="17" t="s">
        <v>507</v>
      </c>
      <c r="O133" s="17" t="s">
        <v>7151</v>
      </c>
      <c r="P133" s="17" t="str">
        <f>HYPERLINK("https://photon-sol.tinyastro.io/en/lp/HLMpmUmZDdQLKFJTK3yrKpi3C5ehEcmZ5m7KcGoKpump?handle=676050794bc1b1657a56b", "View")</f>
        <v>View</v>
      </c>
    </row>
    <row r="134" spans="1:16" x14ac:dyDescent="0.25">
      <c r="A134" s="13" t="s">
        <v>7152</v>
      </c>
      <c r="B134" s="14">
        <v>28728719</v>
      </c>
      <c r="C134" s="14">
        <v>28728719</v>
      </c>
      <c r="D134" s="14" t="s">
        <v>7153</v>
      </c>
      <c r="E134" s="14" t="s">
        <v>7154</v>
      </c>
      <c r="F134" s="14" t="s">
        <v>7155</v>
      </c>
      <c r="G134" s="15" t="s">
        <v>7156</v>
      </c>
      <c r="H134" s="15" t="s">
        <v>7157</v>
      </c>
      <c r="I134" s="14" t="s">
        <v>88</v>
      </c>
      <c r="J134" s="14">
        <v>1</v>
      </c>
      <c r="K134" s="14">
        <v>1</v>
      </c>
      <c r="L134" s="14" t="s">
        <v>7158</v>
      </c>
      <c r="M134" s="19" t="s">
        <v>1856</v>
      </c>
      <c r="N134" s="14" t="s">
        <v>1731</v>
      </c>
      <c r="O134" s="14" t="s">
        <v>7159</v>
      </c>
      <c r="P134" s="14" t="str">
        <f>HYPERLINK("https://photon-sol.tinyastro.io/en/lp/F55Brfjpd3QLttNt34Mk9Cak4SPzhWpP44FuxhCcpump?handle=676050794bc1b1657a56b", "View")</f>
        <v>View</v>
      </c>
    </row>
    <row r="135" spans="1:16" x14ac:dyDescent="0.25">
      <c r="A135" s="16" t="s">
        <v>7160</v>
      </c>
      <c r="B135" s="17">
        <v>30876855</v>
      </c>
      <c r="C135" s="17">
        <v>30876855</v>
      </c>
      <c r="D135" s="17" t="s">
        <v>7161</v>
      </c>
      <c r="E135" s="17" t="s">
        <v>6475</v>
      </c>
      <c r="F135" s="17" t="s">
        <v>7162</v>
      </c>
      <c r="G135" s="15" t="s">
        <v>7163</v>
      </c>
      <c r="H135" s="15" t="s">
        <v>7164</v>
      </c>
      <c r="I135" s="17" t="s">
        <v>88</v>
      </c>
      <c r="J135" s="17">
        <v>2</v>
      </c>
      <c r="K135" s="17">
        <v>1</v>
      </c>
      <c r="L135" s="17" t="s">
        <v>7165</v>
      </c>
      <c r="M135" s="17" t="s">
        <v>602</v>
      </c>
      <c r="N135" s="17" t="s">
        <v>7166</v>
      </c>
      <c r="O135" s="17" t="s">
        <v>7167</v>
      </c>
      <c r="P135" s="17" t="str">
        <f>HYPERLINK("https://dexscreener.com/solana/EWQZj3fteHnkfad7oK46pES5QixJm7nbL8izM3xfzAHx", "View")</f>
        <v>View</v>
      </c>
    </row>
    <row r="136" spans="1:16" x14ac:dyDescent="0.25">
      <c r="A136" s="13" t="s">
        <v>895</v>
      </c>
      <c r="B136" s="14">
        <v>24710105</v>
      </c>
      <c r="C136" s="14">
        <v>24710105</v>
      </c>
      <c r="D136" s="14" t="s">
        <v>7054</v>
      </c>
      <c r="E136" s="14" t="s">
        <v>1804</v>
      </c>
      <c r="F136" s="14" t="s">
        <v>7168</v>
      </c>
      <c r="G136" s="22" t="s">
        <v>2407</v>
      </c>
      <c r="H136" s="22" t="s">
        <v>7169</v>
      </c>
      <c r="I136" s="14" t="s">
        <v>88</v>
      </c>
      <c r="J136" s="14">
        <v>1</v>
      </c>
      <c r="K136" s="14">
        <v>1</v>
      </c>
      <c r="L136" s="14" t="s">
        <v>7170</v>
      </c>
      <c r="M136" s="14" t="s">
        <v>1448</v>
      </c>
      <c r="N136" s="14" t="s">
        <v>7171</v>
      </c>
      <c r="O136" s="14" t="s">
        <v>7172</v>
      </c>
      <c r="P136" s="14" t="str">
        <f>HYPERLINK("https://dexscreener.com/solana/AN61DrubJTP6sJhnvnwaQkvJpVq1KMoFEZjCQYC6pump", "View")</f>
        <v>View</v>
      </c>
    </row>
    <row r="137" spans="1:16" x14ac:dyDescent="0.25">
      <c r="A137" s="16" t="s">
        <v>7173</v>
      </c>
      <c r="B137" s="17">
        <v>33837662</v>
      </c>
      <c r="C137" s="17">
        <v>33837662</v>
      </c>
      <c r="D137" s="17" t="s">
        <v>7174</v>
      </c>
      <c r="E137" s="17" t="s">
        <v>6589</v>
      </c>
      <c r="F137" s="17" t="s">
        <v>7175</v>
      </c>
      <c r="G137" s="21" t="s">
        <v>7176</v>
      </c>
      <c r="H137" s="21" t="s">
        <v>7177</v>
      </c>
      <c r="I137" s="17" t="s">
        <v>88</v>
      </c>
      <c r="J137" s="17">
        <v>4</v>
      </c>
      <c r="K137" s="17">
        <v>9</v>
      </c>
      <c r="L137" s="17" t="s">
        <v>7178</v>
      </c>
      <c r="M137" s="17" t="s">
        <v>179</v>
      </c>
      <c r="N137" s="17" t="s">
        <v>7179</v>
      </c>
      <c r="O137" s="17" t="s">
        <v>7180</v>
      </c>
      <c r="P137" s="17" t="str">
        <f>HYPERLINK("https://dexscreener.com/solana/2kAK2CWY78zLGtx4msG53HfsCJ59FAeYFWeSvDY7pump", "View")</f>
        <v>View</v>
      </c>
    </row>
    <row r="138" spans="1:16" x14ac:dyDescent="0.25">
      <c r="A138" s="13" t="s">
        <v>7160</v>
      </c>
      <c r="B138" s="14">
        <v>22971465</v>
      </c>
      <c r="C138" s="14">
        <v>22971465</v>
      </c>
      <c r="D138" s="14" t="s">
        <v>7181</v>
      </c>
      <c r="E138" s="14" t="s">
        <v>7182</v>
      </c>
      <c r="F138" s="14" t="s">
        <v>7183</v>
      </c>
      <c r="G138" s="15" t="s">
        <v>6823</v>
      </c>
      <c r="H138" s="15" t="s">
        <v>7184</v>
      </c>
      <c r="I138" s="14" t="s">
        <v>88</v>
      </c>
      <c r="J138" s="14">
        <v>3</v>
      </c>
      <c r="K138" s="14">
        <v>1</v>
      </c>
      <c r="L138" s="14" t="s">
        <v>7185</v>
      </c>
      <c r="M138" s="14" t="s">
        <v>1610</v>
      </c>
      <c r="N138" s="14" t="s">
        <v>7186</v>
      </c>
      <c r="O138" s="14" t="s">
        <v>7187</v>
      </c>
      <c r="P138" s="14" t="str">
        <f>HYPERLINK("https://photon-sol.tinyastro.io/en/lp/HN5u8ZZMvmw6MhARv9VPpeTvK3Bs3R5FTpU6AGAzpump?handle=676050794bc1b1657a56b", "View")</f>
        <v>View</v>
      </c>
    </row>
    <row r="139" spans="1:16" x14ac:dyDescent="0.25">
      <c r="A139" s="16" t="s">
        <v>7188</v>
      </c>
      <c r="B139" s="17">
        <v>50817721</v>
      </c>
      <c r="C139" s="17">
        <v>50817721</v>
      </c>
      <c r="D139" s="17" t="s">
        <v>7189</v>
      </c>
      <c r="E139" s="17" t="s">
        <v>6425</v>
      </c>
      <c r="F139" s="17" t="s">
        <v>7190</v>
      </c>
      <c r="G139" s="21" t="s">
        <v>7191</v>
      </c>
      <c r="H139" s="21" t="s">
        <v>7192</v>
      </c>
      <c r="I139" s="17" t="s">
        <v>88</v>
      </c>
      <c r="J139" s="17">
        <v>4</v>
      </c>
      <c r="K139" s="17">
        <v>2</v>
      </c>
      <c r="L139" s="17" t="s">
        <v>7193</v>
      </c>
      <c r="M139" s="17" t="s">
        <v>117</v>
      </c>
      <c r="N139" s="17" t="s">
        <v>7194</v>
      </c>
      <c r="O139" s="17" t="s">
        <v>7195</v>
      </c>
      <c r="P139" s="17" t="str">
        <f>HYPERLINK("https://dexscreener.com/solana/G8ZgBbTkQHEWFFesz246E4d4TpcwTuoXXafzebuipump", "View")</f>
        <v>View</v>
      </c>
    </row>
    <row r="140" spans="1:16" x14ac:dyDescent="0.25">
      <c r="A140" s="13" t="s">
        <v>7196</v>
      </c>
      <c r="B140" s="14">
        <v>26646071</v>
      </c>
      <c r="C140" s="14">
        <v>26646071</v>
      </c>
      <c r="D140" s="14" t="s">
        <v>7054</v>
      </c>
      <c r="E140" s="14" t="s">
        <v>7148</v>
      </c>
      <c r="F140" s="14" t="s">
        <v>7197</v>
      </c>
      <c r="G140" s="20" t="s">
        <v>7198</v>
      </c>
      <c r="H140" s="20" t="s">
        <v>7199</v>
      </c>
      <c r="I140" s="14" t="s">
        <v>88</v>
      </c>
      <c r="J140" s="14">
        <v>1</v>
      </c>
      <c r="K140" s="14">
        <v>1</v>
      </c>
      <c r="L140" s="14" t="s">
        <v>7200</v>
      </c>
      <c r="M140" s="19" t="s">
        <v>6781</v>
      </c>
      <c r="N140" s="14" t="s">
        <v>7201</v>
      </c>
      <c r="O140" s="14" t="s">
        <v>7202</v>
      </c>
      <c r="P140" s="14" t="str">
        <f>HYPERLINK("https://photon-sol.tinyastro.io/en/lp/GxEtaiM7h4NxrwjEr26xBvUj54QWCmrQSqpv4yApump?handle=676050794bc1b1657a56b", "View")</f>
        <v>View</v>
      </c>
    </row>
    <row r="141" spans="1:16" x14ac:dyDescent="0.25">
      <c r="A141" s="16" t="s">
        <v>7203</v>
      </c>
      <c r="B141" s="17">
        <v>24862939</v>
      </c>
      <c r="C141" s="17">
        <v>24862939</v>
      </c>
      <c r="D141" s="17" t="s">
        <v>7153</v>
      </c>
      <c r="E141" s="17" t="s">
        <v>7204</v>
      </c>
      <c r="F141" s="17" t="s">
        <v>7205</v>
      </c>
      <c r="G141" s="21" t="s">
        <v>7206</v>
      </c>
      <c r="H141" s="21" t="s">
        <v>7207</v>
      </c>
      <c r="I141" s="17" t="s">
        <v>88</v>
      </c>
      <c r="J141" s="17">
        <v>1</v>
      </c>
      <c r="K141" s="17">
        <v>1</v>
      </c>
      <c r="L141" s="17" t="s">
        <v>7208</v>
      </c>
      <c r="M141" s="19" t="s">
        <v>1721</v>
      </c>
      <c r="N141" s="17" t="s">
        <v>7209</v>
      </c>
      <c r="O141" s="17" t="s">
        <v>7210</v>
      </c>
      <c r="P141" s="17" t="str">
        <f>HYPERLINK("https://photon-sol.tinyastro.io/en/lp/8DPuPcwfJmszdjRoC6fUdobnqcQtVoDizLn3vAVVpump?handle=676050794bc1b1657a56b", "View")</f>
        <v>View</v>
      </c>
    </row>
    <row r="142" spans="1:16" x14ac:dyDescent="0.25">
      <c r="A142" s="13" t="s">
        <v>7211</v>
      </c>
      <c r="B142" s="14">
        <v>13997965</v>
      </c>
      <c r="C142" s="14">
        <v>13997965</v>
      </c>
      <c r="D142" s="14" t="s">
        <v>7153</v>
      </c>
      <c r="E142" s="14" t="s">
        <v>7204</v>
      </c>
      <c r="F142" s="14" t="s">
        <v>7212</v>
      </c>
      <c r="G142" s="21" t="s">
        <v>7213</v>
      </c>
      <c r="H142" s="21" t="s">
        <v>7214</v>
      </c>
      <c r="I142" s="14" t="s">
        <v>88</v>
      </c>
      <c r="J142" s="14">
        <v>1</v>
      </c>
      <c r="K142" s="14">
        <v>1</v>
      </c>
      <c r="L142" s="14" t="s">
        <v>7215</v>
      </c>
      <c r="M142" s="19" t="s">
        <v>2189</v>
      </c>
      <c r="N142" s="14" t="s">
        <v>7216</v>
      </c>
      <c r="O142" s="14" t="s">
        <v>7217</v>
      </c>
      <c r="P142" s="14" t="str">
        <f>HYPERLINK("https://photon-sol.tinyastro.io/en/lp/8A46cZs9a8qQxbzPhBR3ZJ7jGnvGAZGH56bf73obpump?handle=676050794bc1b1657a56b", "View")</f>
        <v>View</v>
      </c>
    </row>
    <row r="143" spans="1:16" x14ac:dyDescent="0.25">
      <c r="A143" s="16" t="s">
        <v>7218</v>
      </c>
      <c r="B143" s="17">
        <v>28367503</v>
      </c>
      <c r="C143" s="17">
        <v>28367503</v>
      </c>
      <c r="D143" s="17" t="s">
        <v>7061</v>
      </c>
      <c r="E143" s="17" t="s">
        <v>7219</v>
      </c>
      <c r="F143" s="17" t="s">
        <v>7220</v>
      </c>
      <c r="G143" s="15" t="s">
        <v>7221</v>
      </c>
      <c r="H143" s="15" t="s">
        <v>7222</v>
      </c>
      <c r="I143" s="17" t="s">
        <v>88</v>
      </c>
      <c r="J143" s="17">
        <v>2</v>
      </c>
      <c r="K143" s="17">
        <v>1</v>
      </c>
      <c r="L143" s="17" t="s">
        <v>7223</v>
      </c>
      <c r="M143" s="19" t="s">
        <v>3626</v>
      </c>
      <c r="N143" s="17" t="s">
        <v>7224</v>
      </c>
      <c r="O143" s="17" t="s">
        <v>7225</v>
      </c>
      <c r="P143" s="17" t="str">
        <f>HYPERLINK("https://photon-sol.tinyastro.io/en/lp/2JvhBTPPS5cRoHxX71YYmrh2EYfLwQ4RMsXnomAPRJjk?handle=676050794bc1b1657a56b", "View")</f>
        <v>View</v>
      </c>
    </row>
    <row r="144" spans="1:16" x14ac:dyDescent="0.25">
      <c r="A144" s="13" t="s">
        <v>3998</v>
      </c>
      <c r="B144" s="14">
        <v>25601733</v>
      </c>
      <c r="C144" s="14">
        <v>25601733</v>
      </c>
      <c r="D144" s="14" t="s">
        <v>7054</v>
      </c>
      <c r="E144" s="14" t="s">
        <v>1804</v>
      </c>
      <c r="F144" s="14" t="s">
        <v>2778</v>
      </c>
      <c r="G144" s="20" t="s">
        <v>7226</v>
      </c>
      <c r="H144" s="20" t="s">
        <v>7227</v>
      </c>
      <c r="I144" s="14" t="s">
        <v>88</v>
      </c>
      <c r="J144" s="14">
        <v>1</v>
      </c>
      <c r="K144" s="14">
        <v>1</v>
      </c>
      <c r="L144" s="14" t="s">
        <v>7228</v>
      </c>
      <c r="M144" s="19" t="s">
        <v>2517</v>
      </c>
      <c r="N144" s="14" t="s">
        <v>7229</v>
      </c>
      <c r="O144" s="14" t="s">
        <v>4004</v>
      </c>
      <c r="P144" s="14" t="str">
        <f>HYPERLINK("https://dexscreener.com/solana/mAhve2iAaV6XXixNXZdwRGDTTHBUp2sb8tD41rHpump", "View")</f>
        <v>View</v>
      </c>
    </row>
    <row r="145" spans="1:16" x14ac:dyDescent="0.25">
      <c r="A145" s="16" t="s">
        <v>748</v>
      </c>
      <c r="B145" s="17">
        <v>25958777</v>
      </c>
      <c r="C145" s="17">
        <v>25958777</v>
      </c>
      <c r="D145" s="17" t="s">
        <v>7230</v>
      </c>
      <c r="E145" s="17" t="s">
        <v>7231</v>
      </c>
      <c r="F145" s="17" t="s">
        <v>7232</v>
      </c>
      <c r="G145" s="15" t="s">
        <v>7233</v>
      </c>
      <c r="H145" s="15" t="s">
        <v>7234</v>
      </c>
      <c r="I145" s="17" t="s">
        <v>88</v>
      </c>
      <c r="J145" s="17">
        <v>9</v>
      </c>
      <c r="K145" s="17">
        <v>1</v>
      </c>
      <c r="L145" s="17" t="s">
        <v>7235</v>
      </c>
      <c r="M145" s="17" t="s">
        <v>160</v>
      </c>
      <c r="N145" s="17" t="s">
        <v>7236</v>
      </c>
      <c r="O145" s="17" t="s">
        <v>754</v>
      </c>
      <c r="P145" s="17" t="str">
        <f>HYPERLINK("https://dexscreener.com/solana/5qmL9rCSfZ7pBYAsaoeG8SP76ZELeRCK8XtMmYZvpump", "View")</f>
        <v>View</v>
      </c>
    </row>
    <row r="146" spans="1:16" x14ac:dyDescent="0.25">
      <c r="A146" s="13" t="s">
        <v>2675</v>
      </c>
      <c r="B146" s="14">
        <v>12422150</v>
      </c>
      <c r="C146" s="14">
        <v>12422150</v>
      </c>
      <c r="D146" s="14" t="s">
        <v>7189</v>
      </c>
      <c r="E146" s="14" t="s">
        <v>6403</v>
      </c>
      <c r="F146" s="14" t="s">
        <v>7237</v>
      </c>
      <c r="G146" s="22" t="s">
        <v>7238</v>
      </c>
      <c r="H146" s="22" t="s">
        <v>7239</v>
      </c>
      <c r="I146" s="14" t="s">
        <v>88</v>
      </c>
      <c r="J146" s="14">
        <v>2</v>
      </c>
      <c r="K146" s="14">
        <v>4</v>
      </c>
      <c r="L146" s="14" t="s">
        <v>7240</v>
      </c>
      <c r="M146" s="14" t="s">
        <v>3355</v>
      </c>
      <c r="N146" s="14" t="s">
        <v>7241</v>
      </c>
      <c r="O146" s="14" t="s">
        <v>7242</v>
      </c>
      <c r="P146" s="14" t="str">
        <f>HYPERLINK("https://dexscreener.com/solana/E4GzbKkMrHChcmJCvKUayjG3PtD8CjhEipxq3v4Gt832", "View")</f>
        <v>View</v>
      </c>
    </row>
    <row r="147" spans="1:16" x14ac:dyDescent="0.25">
      <c r="A147" s="16" t="s">
        <v>7243</v>
      </c>
      <c r="B147" s="17">
        <v>33134602</v>
      </c>
      <c r="C147" s="17">
        <v>33134602</v>
      </c>
      <c r="D147" s="17" t="s">
        <v>7092</v>
      </c>
      <c r="E147" s="17" t="s">
        <v>6403</v>
      </c>
      <c r="F147" s="17" t="s">
        <v>7244</v>
      </c>
      <c r="G147" s="21" t="s">
        <v>7245</v>
      </c>
      <c r="H147" s="21" t="s">
        <v>7246</v>
      </c>
      <c r="I147" s="17" t="s">
        <v>88</v>
      </c>
      <c r="J147" s="17">
        <v>2</v>
      </c>
      <c r="K147" s="17">
        <v>3</v>
      </c>
      <c r="L147" s="17" t="s">
        <v>7247</v>
      </c>
      <c r="M147" s="17" t="s">
        <v>7248</v>
      </c>
      <c r="N147" s="17" t="s">
        <v>7249</v>
      </c>
      <c r="O147" s="17" t="s">
        <v>7250</v>
      </c>
      <c r="P147" s="17" t="str">
        <f>HYPERLINK("https://dexscreener.com/solana/ExocdWVMKbZBsMo21M6c6SCj7n4k4s7vmUVz3mGvpump", "View")</f>
        <v>View</v>
      </c>
    </row>
    <row r="148" spans="1:16" x14ac:dyDescent="0.25">
      <c r="A148" s="13" t="s">
        <v>7251</v>
      </c>
      <c r="B148" s="14">
        <v>11277792</v>
      </c>
      <c r="C148" s="14">
        <v>11277792</v>
      </c>
      <c r="D148" s="14" t="s">
        <v>7061</v>
      </c>
      <c r="E148" s="14" t="s">
        <v>6403</v>
      </c>
      <c r="F148" s="14" t="s">
        <v>7252</v>
      </c>
      <c r="G148" s="22" t="s">
        <v>7253</v>
      </c>
      <c r="H148" s="22" t="s">
        <v>7254</v>
      </c>
      <c r="I148" s="14" t="s">
        <v>88</v>
      </c>
      <c r="J148" s="14">
        <v>2</v>
      </c>
      <c r="K148" s="14">
        <v>1</v>
      </c>
      <c r="L148" s="14" t="s">
        <v>7255</v>
      </c>
      <c r="M148" s="14" t="s">
        <v>2047</v>
      </c>
      <c r="N148" s="14" t="s">
        <v>7256</v>
      </c>
      <c r="O148" s="14" t="s">
        <v>7257</v>
      </c>
      <c r="P148" s="14" t="str">
        <f>HYPERLINK("https://dexscreener.com/solana/eSKEaSVP4fZRSbsZD4yVoRKbSWaTbmpMDq2dUQ9pump", "View")</f>
        <v>View</v>
      </c>
    </row>
    <row r="149" spans="1:16" x14ac:dyDescent="0.25">
      <c r="A149" s="16" t="s">
        <v>7258</v>
      </c>
      <c r="B149" s="17">
        <v>7494353</v>
      </c>
      <c r="C149" s="17">
        <v>7494353</v>
      </c>
      <c r="D149" s="17" t="s">
        <v>7054</v>
      </c>
      <c r="E149" s="17" t="s">
        <v>6403</v>
      </c>
      <c r="F149" s="17" t="s">
        <v>7259</v>
      </c>
      <c r="G149" s="20" t="s">
        <v>7260</v>
      </c>
      <c r="H149" s="20" t="s">
        <v>7261</v>
      </c>
      <c r="I149" s="17" t="s">
        <v>88</v>
      </c>
      <c r="J149" s="17">
        <v>1</v>
      </c>
      <c r="K149" s="17">
        <v>1</v>
      </c>
      <c r="L149" s="17" t="s">
        <v>7262</v>
      </c>
      <c r="M149" s="19" t="s">
        <v>1948</v>
      </c>
      <c r="N149" s="17" t="s">
        <v>7263</v>
      </c>
      <c r="O149" s="17" t="s">
        <v>7264</v>
      </c>
      <c r="P149" s="17" t="str">
        <f>HYPERLINK("https://dexscreener.com/solana/87XVG3DbMpxMHWi1Lc1VZAKTHHCh5sdyPkmrahMnpump", "View")</f>
        <v>View</v>
      </c>
    </row>
    <row r="150" spans="1:16" x14ac:dyDescent="0.25">
      <c r="A150" s="13" t="s">
        <v>7265</v>
      </c>
      <c r="B150" s="14">
        <v>39133189</v>
      </c>
      <c r="C150" s="14">
        <v>39133189</v>
      </c>
      <c r="D150" s="14" t="s">
        <v>7113</v>
      </c>
      <c r="E150" s="14" t="s">
        <v>7266</v>
      </c>
      <c r="F150" s="14" t="s">
        <v>7267</v>
      </c>
      <c r="G150" s="20" t="s">
        <v>7268</v>
      </c>
      <c r="H150" s="20" t="s">
        <v>7269</v>
      </c>
      <c r="I150" s="14" t="s">
        <v>88</v>
      </c>
      <c r="J150" s="14">
        <v>3</v>
      </c>
      <c r="K150" s="14">
        <v>1</v>
      </c>
      <c r="L150" s="14" t="s">
        <v>7270</v>
      </c>
      <c r="M150" s="14" t="s">
        <v>2617</v>
      </c>
      <c r="N150" s="14" t="s">
        <v>7271</v>
      </c>
      <c r="O150" s="14" t="s">
        <v>7272</v>
      </c>
      <c r="P150" s="14" t="str">
        <f>HYPERLINK("https://photon-sol.tinyastro.io/en/lp/2Bvd4cNBFfmvEMGDz9bW2NrCaFpyAFEh4HGmMrm5pump?handle=676050794bc1b1657a56b", "View")</f>
        <v>View</v>
      </c>
    </row>
    <row r="151" spans="1:16" x14ac:dyDescent="0.25">
      <c r="A151" s="16" t="s">
        <v>7273</v>
      </c>
      <c r="B151" s="17">
        <v>34449950</v>
      </c>
      <c r="C151" s="17">
        <v>34449950</v>
      </c>
      <c r="D151" s="17" t="s">
        <v>7274</v>
      </c>
      <c r="E151" s="17" t="s">
        <v>6403</v>
      </c>
      <c r="F151" s="17" t="s">
        <v>7275</v>
      </c>
      <c r="G151" s="20" t="s">
        <v>7276</v>
      </c>
      <c r="H151" s="20" t="s">
        <v>7277</v>
      </c>
      <c r="I151" s="17" t="s">
        <v>88</v>
      </c>
      <c r="J151" s="17">
        <v>2</v>
      </c>
      <c r="K151" s="17">
        <v>1</v>
      </c>
      <c r="L151" s="17" t="s">
        <v>7278</v>
      </c>
      <c r="M151" s="17" t="s">
        <v>1434</v>
      </c>
      <c r="N151" s="17" t="s">
        <v>7279</v>
      </c>
      <c r="O151" s="17" t="s">
        <v>7280</v>
      </c>
      <c r="P151" s="17" t="str">
        <f>HYPERLINK("https://dexscreener.com/solana/HGhjU7F1s1WBFFcmq4ZrgrRsLiHJt6Ko2ZDQgSwbpump", "View")</f>
        <v>View</v>
      </c>
    </row>
    <row r="152" spans="1:16" x14ac:dyDescent="0.25">
      <c r="A152" s="13" t="s">
        <v>7281</v>
      </c>
      <c r="B152" s="14">
        <v>64617468</v>
      </c>
      <c r="C152" s="14">
        <v>64617468</v>
      </c>
      <c r="D152" s="14" t="s">
        <v>7282</v>
      </c>
      <c r="E152" s="14" t="s">
        <v>6425</v>
      </c>
      <c r="F152" s="14" t="s">
        <v>7283</v>
      </c>
      <c r="G152" s="22" t="s">
        <v>7284</v>
      </c>
      <c r="H152" s="22" t="s">
        <v>7285</v>
      </c>
      <c r="I152" s="14" t="s">
        <v>88</v>
      </c>
      <c r="J152" s="14">
        <v>3</v>
      </c>
      <c r="K152" s="14">
        <v>6</v>
      </c>
      <c r="L152" s="14" t="s">
        <v>7286</v>
      </c>
      <c r="M152" s="14" t="s">
        <v>980</v>
      </c>
      <c r="N152" s="14" t="s">
        <v>7287</v>
      </c>
      <c r="O152" s="14" t="s">
        <v>7288</v>
      </c>
      <c r="P152" s="14" t="str">
        <f>HYPERLINK("https://dexscreener.com/solana/A6iKjoHsLiicmVM4DiAv6oDrJFUYeysxMJSUteappump", "View")</f>
        <v>View</v>
      </c>
    </row>
    <row r="153" spans="1:16" x14ac:dyDescent="0.25">
      <c r="A153" s="16" t="s">
        <v>1062</v>
      </c>
      <c r="B153" s="17">
        <v>5059613</v>
      </c>
      <c r="C153" s="17">
        <v>5059613</v>
      </c>
      <c r="D153" s="17" t="s">
        <v>7289</v>
      </c>
      <c r="E153" s="17" t="s">
        <v>6589</v>
      </c>
      <c r="F153" s="17" t="s">
        <v>7290</v>
      </c>
      <c r="G153" s="22" t="s">
        <v>7291</v>
      </c>
      <c r="H153" s="22" t="s">
        <v>7292</v>
      </c>
      <c r="I153" s="17" t="s">
        <v>88</v>
      </c>
      <c r="J153" s="17">
        <v>5</v>
      </c>
      <c r="K153" s="17">
        <v>5</v>
      </c>
      <c r="L153" s="17" t="s">
        <v>7293</v>
      </c>
      <c r="M153" s="17" t="s">
        <v>1705</v>
      </c>
      <c r="N153" s="17" t="s">
        <v>7294</v>
      </c>
      <c r="O153" s="17" t="s">
        <v>1067</v>
      </c>
      <c r="P153" s="17" t="str">
        <f>HYPERLINK("https://dexscreener.com/solana/2tBPEZp3uChtKvdKhWgaA8AsqK3J6Mvt8w7XQo39pump", "View")</f>
        <v>View</v>
      </c>
    </row>
    <row r="154" spans="1:16" x14ac:dyDescent="0.25">
      <c r="A154" s="13" t="s">
        <v>7295</v>
      </c>
      <c r="B154" s="14">
        <v>32268047</v>
      </c>
      <c r="C154" s="14">
        <v>32268047</v>
      </c>
      <c r="D154" s="14" t="s">
        <v>7296</v>
      </c>
      <c r="E154" s="14" t="s">
        <v>6403</v>
      </c>
      <c r="F154" s="14" t="s">
        <v>7297</v>
      </c>
      <c r="G154" s="21" t="s">
        <v>7298</v>
      </c>
      <c r="H154" s="21" t="s">
        <v>7299</v>
      </c>
      <c r="I154" s="14" t="s">
        <v>88</v>
      </c>
      <c r="J154" s="14">
        <v>2</v>
      </c>
      <c r="K154" s="14">
        <v>10</v>
      </c>
      <c r="L154" s="14" t="s">
        <v>7300</v>
      </c>
      <c r="M154" s="14" t="s">
        <v>980</v>
      </c>
      <c r="N154" s="14" t="s">
        <v>7301</v>
      </c>
      <c r="O154" s="14" t="s">
        <v>7302</v>
      </c>
      <c r="P154" s="14" t="str">
        <f>HYPERLINK("https://dexscreener.com/solana/LBkz8mkiyhNeJspzs6rtFYrSc62j369kahEGuuNtYo5", "View")</f>
        <v>View</v>
      </c>
    </row>
    <row r="155" spans="1:16" x14ac:dyDescent="0.25">
      <c r="A155" s="16" t="s">
        <v>7303</v>
      </c>
      <c r="B155" s="17">
        <v>33321945</v>
      </c>
      <c r="C155" s="17">
        <v>33321945</v>
      </c>
      <c r="D155" s="17" t="s">
        <v>7304</v>
      </c>
      <c r="E155" s="17" t="s">
        <v>7305</v>
      </c>
      <c r="F155" s="17" t="s">
        <v>7306</v>
      </c>
      <c r="G155" s="21" t="s">
        <v>7307</v>
      </c>
      <c r="H155" s="21" t="s">
        <v>7308</v>
      </c>
      <c r="I155" s="17" t="s">
        <v>88</v>
      </c>
      <c r="J155" s="17">
        <v>1</v>
      </c>
      <c r="K155" s="17">
        <v>7</v>
      </c>
      <c r="L155" s="17" t="s">
        <v>7309</v>
      </c>
      <c r="M155" s="17" t="s">
        <v>1566</v>
      </c>
      <c r="N155" s="17" t="s">
        <v>7310</v>
      </c>
      <c r="O155" s="17" t="s">
        <v>7311</v>
      </c>
      <c r="P155" s="17" t="str">
        <f>HYPERLINK("https://photon-sol.tinyastro.io/en/lp/FftrFmdB4uEDxWj7h6Xqrwn5ukk7cpTehq6xLLCcpump?handle=676050794bc1b1657a56b", "View")</f>
        <v>View</v>
      </c>
    </row>
    <row r="156" spans="1:16" x14ac:dyDescent="0.25">
      <c r="A156" s="13" t="s">
        <v>7312</v>
      </c>
      <c r="B156" s="14">
        <v>44135049</v>
      </c>
      <c r="C156" s="14">
        <v>44135049</v>
      </c>
      <c r="D156" s="14" t="s">
        <v>7313</v>
      </c>
      <c r="E156" s="14" t="s">
        <v>7204</v>
      </c>
      <c r="F156" s="14" t="s">
        <v>7314</v>
      </c>
      <c r="G156" s="20" t="s">
        <v>7315</v>
      </c>
      <c r="H156" s="20" t="s">
        <v>7316</v>
      </c>
      <c r="I156" s="14" t="s">
        <v>88</v>
      </c>
      <c r="J156" s="14">
        <v>1</v>
      </c>
      <c r="K156" s="14">
        <v>1</v>
      </c>
      <c r="L156" s="14" t="s">
        <v>7317</v>
      </c>
      <c r="M156" s="14" t="s">
        <v>1566</v>
      </c>
      <c r="N156" s="14" t="s">
        <v>7318</v>
      </c>
      <c r="O156" s="14" t="s">
        <v>7319</v>
      </c>
      <c r="P156" s="14" t="str">
        <f>HYPERLINK("https://photon-sol.tinyastro.io/en/lp/JATgQ2HF1cGxqD8gVoL1ogQM6DDkAo7vj7zMA1bHpump?handle=676050794bc1b1657a56b", "View")</f>
        <v>View</v>
      </c>
    </row>
    <row r="157" spans="1:16" x14ac:dyDescent="0.25">
      <c r="A157" s="16" t="s">
        <v>7320</v>
      </c>
      <c r="B157" s="17">
        <v>13705747</v>
      </c>
      <c r="C157" s="17">
        <v>13705747</v>
      </c>
      <c r="D157" s="17" t="s">
        <v>7321</v>
      </c>
      <c r="E157" s="17" t="s">
        <v>6425</v>
      </c>
      <c r="F157" s="17" t="s">
        <v>7322</v>
      </c>
      <c r="G157" s="15" t="s">
        <v>7323</v>
      </c>
      <c r="H157" s="15" t="s">
        <v>7324</v>
      </c>
      <c r="I157" s="17" t="s">
        <v>88</v>
      </c>
      <c r="J157" s="17">
        <v>2</v>
      </c>
      <c r="K157" s="17">
        <v>1</v>
      </c>
      <c r="L157" s="17" t="s">
        <v>7325</v>
      </c>
      <c r="M157" s="17" t="s">
        <v>2047</v>
      </c>
      <c r="N157" s="17" t="s">
        <v>7326</v>
      </c>
      <c r="O157" s="17" t="s">
        <v>7327</v>
      </c>
      <c r="P157" s="17" t="str">
        <f>HYPERLINK("https://dexscreener.com/solana/6MCG6QNB2Bp2KRqsstYo8GxcjcGeb2DC3DS7kXX9pump", "View")</f>
        <v>View</v>
      </c>
    </row>
    <row r="158" spans="1:16" x14ac:dyDescent="0.25">
      <c r="A158" s="13" t="s">
        <v>7328</v>
      </c>
      <c r="B158" s="14">
        <v>12591129</v>
      </c>
      <c r="C158" s="14">
        <v>12591129</v>
      </c>
      <c r="D158" s="14" t="s">
        <v>7329</v>
      </c>
      <c r="E158" s="14" t="s">
        <v>6403</v>
      </c>
      <c r="F158" s="14" t="s">
        <v>7330</v>
      </c>
      <c r="G158" s="21" t="s">
        <v>7331</v>
      </c>
      <c r="H158" s="21" t="s">
        <v>7332</v>
      </c>
      <c r="I158" s="14" t="s">
        <v>88</v>
      </c>
      <c r="J158" s="14">
        <v>2</v>
      </c>
      <c r="K158" s="14">
        <v>14</v>
      </c>
      <c r="L158" s="14" t="s">
        <v>7333</v>
      </c>
      <c r="M158" s="14" t="s">
        <v>379</v>
      </c>
      <c r="N158" s="14" t="s">
        <v>7334</v>
      </c>
      <c r="O158" s="14" t="s">
        <v>7335</v>
      </c>
      <c r="P158" s="14" t="str">
        <f>HYPERLINK("https://dexscreener.com/solana/2ymAjUoJdiNZgKy6vKfJ2WQ6AExck3cZbAX26g6Qpump", "View")</f>
        <v>View</v>
      </c>
    </row>
    <row r="159" spans="1:16" x14ac:dyDescent="0.25">
      <c r="A159" s="16" t="s">
        <v>7336</v>
      </c>
      <c r="B159" s="17">
        <v>26438926</v>
      </c>
      <c r="C159" s="17">
        <v>26438926</v>
      </c>
      <c r="D159" s="17" t="s">
        <v>7113</v>
      </c>
      <c r="E159" s="17" t="s">
        <v>1804</v>
      </c>
      <c r="F159" s="17" t="s">
        <v>7337</v>
      </c>
      <c r="G159" s="21" t="s">
        <v>7338</v>
      </c>
      <c r="H159" s="21" t="s">
        <v>7339</v>
      </c>
      <c r="I159" s="17" t="s">
        <v>88</v>
      </c>
      <c r="J159" s="17">
        <v>1</v>
      </c>
      <c r="K159" s="17">
        <v>3</v>
      </c>
      <c r="L159" s="17" t="s">
        <v>7340</v>
      </c>
      <c r="M159" s="17" t="s">
        <v>2047</v>
      </c>
      <c r="N159" s="17" t="s">
        <v>7341</v>
      </c>
      <c r="O159" s="17" t="s">
        <v>7342</v>
      </c>
      <c r="P159" s="17" t="str">
        <f>HYPERLINK("https://dexscreener.com/solana/4aXBgz6gWMWu9CK8UUHNsBUcF3CXxy9TwSF4fwGmpump", "View")</f>
        <v>View</v>
      </c>
    </row>
    <row r="160" spans="1:16" x14ac:dyDescent="0.25">
      <c r="A160" s="13" t="s">
        <v>7336</v>
      </c>
      <c r="B160" s="14">
        <v>67392752</v>
      </c>
      <c r="C160" s="14">
        <v>67392752</v>
      </c>
      <c r="D160" s="14" t="s">
        <v>7189</v>
      </c>
      <c r="E160" s="14" t="s">
        <v>6704</v>
      </c>
      <c r="F160" s="14" t="s">
        <v>7343</v>
      </c>
      <c r="G160" s="22" t="s">
        <v>7344</v>
      </c>
      <c r="H160" s="22" t="s">
        <v>7345</v>
      </c>
      <c r="I160" s="14" t="s">
        <v>88</v>
      </c>
      <c r="J160" s="14">
        <v>3</v>
      </c>
      <c r="K160" s="14">
        <v>3</v>
      </c>
      <c r="L160" s="14" t="s">
        <v>7346</v>
      </c>
      <c r="M160" s="14" t="s">
        <v>1986</v>
      </c>
      <c r="N160" s="14" t="s">
        <v>7347</v>
      </c>
      <c r="O160" s="14" t="s">
        <v>7348</v>
      </c>
      <c r="P160" s="14" t="str">
        <f>HYPERLINK("https://dexscreener.com/solana/3hzrbfjwozMFp3pGojLV19KE3rZffHCKJ5tUww6Bpump", "View")</f>
        <v>View</v>
      </c>
    </row>
    <row r="161" spans="1:16" x14ac:dyDescent="0.25">
      <c r="A161" s="16" t="s">
        <v>7349</v>
      </c>
      <c r="B161" s="17">
        <v>16216140</v>
      </c>
      <c r="C161" s="17">
        <v>16216140</v>
      </c>
      <c r="D161" s="17" t="s">
        <v>7054</v>
      </c>
      <c r="E161" s="17" t="s">
        <v>6403</v>
      </c>
      <c r="F161" s="17" t="s">
        <v>7350</v>
      </c>
      <c r="G161" s="20" t="s">
        <v>7351</v>
      </c>
      <c r="H161" s="20" t="s">
        <v>7352</v>
      </c>
      <c r="I161" s="17" t="s">
        <v>88</v>
      </c>
      <c r="J161" s="17">
        <v>1</v>
      </c>
      <c r="K161" s="17">
        <v>1</v>
      </c>
      <c r="L161" s="17" t="s">
        <v>7353</v>
      </c>
      <c r="M161" s="17" t="s">
        <v>1434</v>
      </c>
      <c r="N161" s="17" t="s">
        <v>7354</v>
      </c>
      <c r="O161" s="17" t="s">
        <v>7355</v>
      </c>
      <c r="P161" s="17" t="str">
        <f>HYPERLINK("https://dexscreener.com/solana/AH7RKKZbjsneJyLTMsQxtCKDAEA19iBGRQBj3nwzpump", "View")</f>
        <v>View</v>
      </c>
    </row>
    <row r="162" spans="1:16" x14ac:dyDescent="0.25">
      <c r="A162" s="13" t="s">
        <v>7356</v>
      </c>
      <c r="B162" s="14">
        <v>34929952</v>
      </c>
      <c r="C162" s="14">
        <v>34929952</v>
      </c>
      <c r="D162" s="14" t="s">
        <v>7054</v>
      </c>
      <c r="E162" s="14" t="s">
        <v>7077</v>
      </c>
      <c r="F162" s="14" t="s">
        <v>7357</v>
      </c>
      <c r="G162" s="15" t="s">
        <v>7358</v>
      </c>
      <c r="H162" s="15" t="s">
        <v>7359</v>
      </c>
      <c r="I162" s="14" t="s">
        <v>88</v>
      </c>
      <c r="J162" s="14">
        <v>1</v>
      </c>
      <c r="K162" s="14">
        <v>1</v>
      </c>
      <c r="L162" s="14" t="s">
        <v>7360</v>
      </c>
      <c r="M162" s="19" t="s">
        <v>2923</v>
      </c>
      <c r="N162" s="14" t="s">
        <v>7361</v>
      </c>
      <c r="O162" s="14" t="s">
        <v>7362</v>
      </c>
      <c r="P162" s="14" t="str">
        <f>HYPERLINK("https://photon-sol.tinyastro.io/en/lp/GxeWjVEUGBVAsAGpqNcq1g4Uikb5jGre1C6UyPa8pump?handle=676050794bc1b1657a56b", "View")</f>
        <v>View</v>
      </c>
    </row>
    <row r="163" spans="1:16" x14ac:dyDescent="0.25">
      <c r="A163" s="16" t="s">
        <v>7363</v>
      </c>
      <c r="B163" s="17">
        <v>11292628</v>
      </c>
      <c r="C163" s="17">
        <v>11292628</v>
      </c>
      <c r="D163" s="17" t="s">
        <v>7061</v>
      </c>
      <c r="E163" s="17" t="s">
        <v>6403</v>
      </c>
      <c r="F163" s="17" t="s">
        <v>7364</v>
      </c>
      <c r="G163" s="22" t="s">
        <v>7365</v>
      </c>
      <c r="H163" s="22" t="s">
        <v>7366</v>
      </c>
      <c r="I163" s="17" t="s">
        <v>88</v>
      </c>
      <c r="J163" s="17">
        <v>2</v>
      </c>
      <c r="K163" s="17">
        <v>1</v>
      </c>
      <c r="L163" s="17" t="s">
        <v>7367</v>
      </c>
      <c r="M163" s="17" t="s">
        <v>602</v>
      </c>
      <c r="N163" s="17" t="s">
        <v>7368</v>
      </c>
      <c r="O163" s="17" t="s">
        <v>7369</v>
      </c>
      <c r="P163" s="17" t="str">
        <f>HYPERLINK("https://dexscreener.com/solana/9B4A2wwJWPtHKhvXYCr9qdP5FiSTmsQJcQtv9Ewipump", "View")</f>
        <v>View</v>
      </c>
    </row>
    <row r="164" spans="1:16" x14ac:dyDescent="0.25">
      <c r="A164" s="13" t="s">
        <v>7370</v>
      </c>
      <c r="B164" s="14">
        <v>14244466</v>
      </c>
      <c r="C164" s="14">
        <v>14244466</v>
      </c>
      <c r="D164" s="14" t="s">
        <v>7054</v>
      </c>
      <c r="E164" s="14" t="s">
        <v>6403</v>
      </c>
      <c r="F164" s="14" t="s">
        <v>7371</v>
      </c>
      <c r="G164" s="15" t="s">
        <v>7372</v>
      </c>
      <c r="H164" s="15" t="s">
        <v>7373</v>
      </c>
      <c r="I164" s="14" t="s">
        <v>88</v>
      </c>
      <c r="J164" s="14">
        <v>1</v>
      </c>
      <c r="K164" s="14">
        <v>1</v>
      </c>
      <c r="L164" s="14" t="s">
        <v>7374</v>
      </c>
      <c r="M164" s="19" t="s">
        <v>1849</v>
      </c>
      <c r="N164" s="14" t="s">
        <v>7375</v>
      </c>
      <c r="O164" s="14" t="s">
        <v>7376</v>
      </c>
      <c r="P164" s="14" t="str">
        <f>HYPERLINK("https://dexscreener.com/solana/34DTALkqFLjgWYPnPWdS5ayYtWgWybM8rjG8vgucpump", "View")</f>
        <v>View</v>
      </c>
    </row>
    <row r="165" spans="1:16" x14ac:dyDescent="0.25">
      <c r="A165" s="16" t="s">
        <v>1280</v>
      </c>
      <c r="B165" s="17">
        <v>7605805</v>
      </c>
      <c r="C165" s="17">
        <v>7605805</v>
      </c>
      <c r="D165" s="17" t="s">
        <v>7092</v>
      </c>
      <c r="E165" s="17" t="s">
        <v>6589</v>
      </c>
      <c r="F165" s="17" t="s">
        <v>7377</v>
      </c>
      <c r="G165" s="20" t="s">
        <v>7378</v>
      </c>
      <c r="H165" s="20" t="s">
        <v>7379</v>
      </c>
      <c r="I165" s="17" t="s">
        <v>88</v>
      </c>
      <c r="J165" s="17">
        <v>4</v>
      </c>
      <c r="K165" s="17">
        <v>1</v>
      </c>
      <c r="L165" s="17" t="s">
        <v>7380</v>
      </c>
      <c r="M165" s="17" t="s">
        <v>7381</v>
      </c>
      <c r="N165" s="17" t="s">
        <v>7382</v>
      </c>
      <c r="O165" s="17" t="s">
        <v>1287</v>
      </c>
      <c r="P165" s="17" t="str">
        <f>HYPERLINK("https://dexscreener.com/solana/8sj6CvKd8tZttApYFpDKfTrA2osx1eemhemK1YMbpump", "View")</f>
        <v>View</v>
      </c>
    </row>
    <row r="166" spans="1:16" x14ac:dyDescent="0.25">
      <c r="A166" s="13" t="s">
        <v>7383</v>
      </c>
      <c r="B166" s="14">
        <v>2280455</v>
      </c>
      <c r="C166" s="14">
        <v>2280455</v>
      </c>
      <c r="D166" s="14" t="s">
        <v>7069</v>
      </c>
      <c r="E166" s="14" t="s">
        <v>7040</v>
      </c>
      <c r="F166" s="14" t="s">
        <v>7384</v>
      </c>
      <c r="G166" s="20" t="s">
        <v>7385</v>
      </c>
      <c r="H166" s="20" t="s">
        <v>7386</v>
      </c>
      <c r="I166" s="14" t="s">
        <v>88</v>
      </c>
      <c r="J166" s="14">
        <v>8</v>
      </c>
      <c r="K166" s="14">
        <v>1</v>
      </c>
      <c r="L166" s="14" t="s">
        <v>7387</v>
      </c>
      <c r="M166" s="14" t="s">
        <v>132</v>
      </c>
      <c r="N166" s="14" t="s">
        <v>7388</v>
      </c>
      <c r="O166" s="14" t="s">
        <v>7389</v>
      </c>
      <c r="P166" s="14" t="str">
        <f>HYPERLINK("https://dexscreener.com/solana/8iWsK2WH3AGviQwAnt43zvc8yLy6QMUSuv8PK2A7pump", "View")</f>
        <v>View</v>
      </c>
    </row>
    <row r="167" spans="1:16" x14ac:dyDescent="0.25">
      <c r="A167" s="16" t="s">
        <v>7390</v>
      </c>
      <c r="B167" s="17">
        <v>23388144</v>
      </c>
      <c r="C167" s="17">
        <v>23388144</v>
      </c>
      <c r="D167" s="17" t="s">
        <v>7061</v>
      </c>
      <c r="E167" s="17" t="s">
        <v>7077</v>
      </c>
      <c r="F167" s="17" t="s">
        <v>7391</v>
      </c>
      <c r="G167" s="22" t="s">
        <v>7392</v>
      </c>
      <c r="H167" s="22" t="s">
        <v>3774</v>
      </c>
      <c r="I167" s="17" t="s">
        <v>88</v>
      </c>
      <c r="J167" s="17">
        <v>1</v>
      </c>
      <c r="K167" s="17">
        <v>2</v>
      </c>
      <c r="L167" s="17" t="s">
        <v>7393</v>
      </c>
      <c r="M167" s="17" t="s">
        <v>1705</v>
      </c>
      <c r="N167" s="17" t="s">
        <v>7394</v>
      </c>
      <c r="O167" s="17" t="s">
        <v>7395</v>
      </c>
      <c r="P167" s="17" t="str">
        <f>HYPERLINK("https://photon-sol.tinyastro.io/en/lp/794yvVZibBxeHtuFunrC8ZMKuSK9ssRqW1YfhVYepump?handle=676050794bc1b1657a56b", "View")</f>
        <v>View</v>
      </c>
    </row>
    <row r="168" spans="1:16" x14ac:dyDescent="0.25">
      <c r="A168" s="13" t="s">
        <v>7396</v>
      </c>
      <c r="B168" s="14">
        <v>23713416</v>
      </c>
      <c r="C168" s="14">
        <v>23713416</v>
      </c>
      <c r="D168" s="14" t="s">
        <v>7092</v>
      </c>
      <c r="E168" s="14" t="s">
        <v>6425</v>
      </c>
      <c r="F168" s="14" t="s">
        <v>7397</v>
      </c>
      <c r="G168" s="15" t="s">
        <v>7398</v>
      </c>
      <c r="H168" s="15" t="s">
        <v>7399</v>
      </c>
      <c r="I168" s="14" t="s">
        <v>88</v>
      </c>
      <c r="J168" s="14">
        <v>4</v>
      </c>
      <c r="K168" s="14">
        <v>1</v>
      </c>
      <c r="L168" s="14" t="s">
        <v>7400</v>
      </c>
      <c r="M168" s="14" t="s">
        <v>602</v>
      </c>
      <c r="N168" s="14" t="s">
        <v>7401</v>
      </c>
      <c r="O168" s="14" t="s">
        <v>7402</v>
      </c>
      <c r="P168" s="14" t="str">
        <f>HYPERLINK("https://dexscreener.com/solana/6hqDaZ1CD9WjEiM6VFTX9WWsb3yGsEcJo9iWF34Kpump", "View")</f>
        <v>View</v>
      </c>
    </row>
    <row r="169" spans="1:16" x14ac:dyDescent="0.25">
      <c r="A169" s="16" t="s">
        <v>732</v>
      </c>
      <c r="B169" s="17">
        <v>11825507</v>
      </c>
      <c r="C169" s="17">
        <v>11825507</v>
      </c>
      <c r="D169" s="17" t="s">
        <v>7403</v>
      </c>
      <c r="E169" s="17" t="s">
        <v>6475</v>
      </c>
      <c r="F169" s="17" t="s">
        <v>7404</v>
      </c>
      <c r="G169" s="22" t="s">
        <v>7405</v>
      </c>
      <c r="H169" s="22" t="s">
        <v>7406</v>
      </c>
      <c r="I169" s="17" t="s">
        <v>88</v>
      </c>
      <c r="J169" s="17">
        <v>3</v>
      </c>
      <c r="K169" s="17">
        <v>4</v>
      </c>
      <c r="L169" s="17" t="s">
        <v>7407</v>
      </c>
      <c r="M169" s="17" t="s">
        <v>1957</v>
      </c>
      <c r="N169" s="17" t="s">
        <v>7408</v>
      </c>
      <c r="O169" s="17" t="s">
        <v>739</v>
      </c>
      <c r="P169" s="17" t="str">
        <f>HYPERLINK("https://dexscreener.com/solana/39qibQxVzemuZTEvjSB7NePhw9WyyHdQCqP8xmBMpump", "View")</f>
        <v>View</v>
      </c>
    </row>
    <row r="170" spans="1:16" x14ac:dyDescent="0.25">
      <c r="A170" s="13" t="s">
        <v>7409</v>
      </c>
      <c r="B170" s="14">
        <v>31686156</v>
      </c>
      <c r="C170" s="14">
        <v>31686156</v>
      </c>
      <c r="D170" s="14" t="s">
        <v>7189</v>
      </c>
      <c r="E170" s="14" t="s">
        <v>1990</v>
      </c>
      <c r="F170" s="14" t="s">
        <v>7410</v>
      </c>
      <c r="G170" s="21" t="s">
        <v>7411</v>
      </c>
      <c r="H170" s="21" t="s">
        <v>7412</v>
      </c>
      <c r="I170" s="14" t="s">
        <v>88</v>
      </c>
      <c r="J170" s="14">
        <v>3</v>
      </c>
      <c r="K170" s="14">
        <v>3</v>
      </c>
      <c r="L170" s="14" t="s">
        <v>7413</v>
      </c>
      <c r="M170" s="14" t="s">
        <v>179</v>
      </c>
      <c r="N170" s="14" t="s">
        <v>7414</v>
      </c>
      <c r="O170" s="14" t="s">
        <v>7415</v>
      </c>
      <c r="P170" s="14" t="str">
        <f>HYPERLINK("https://photon-sol.tinyastro.io/en/lp/AZKnzTsquVrhhitxKJu2XPZA4H6eHchhPCGP9wAipump?handle=676050794bc1b1657a56b", "View")</f>
        <v>View</v>
      </c>
    </row>
    <row r="171" spans="1:16" x14ac:dyDescent="0.25">
      <c r="A171" s="16" t="s">
        <v>7416</v>
      </c>
      <c r="B171" s="17">
        <v>23057305</v>
      </c>
      <c r="C171" s="17">
        <v>23057305</v>
      </c>
      <c r="D171" s="17" t="s">
        <v>7092</v>
      </c>
      <c r="E171" s="17" t="s">
        <v>6388</v>
      </c>
      <c r="F171" s="17" t="s">
        <v>7417</v>
      </c>
      <c r="G171" s="15" t="s">
        <v>7418</v>
      </c>
      <c r="H171" s="15" t="s">
        <v>7419</v>
      </c>
      <c r="I171" s="17" t="s">
        <v>88</v>
      </c>
      <c r="J171" s="17">
        <v>4</v>
      </c>
      <c r="K171" s="17">
        <v>1</v>
      </c>
      <c r="L171" s="17" t="s">
        <v>7420</v>
      </c>
      <c r="M171" s="17" t="s">
        <v>2789</v>
      </c>
      <c r="N171" s="17" t="s">
        <v>7421</v>
      </c>
      <c r="O171" s="17" t="s">
        <v>7422</v>
      </c>
      <c r="P171" s="17" t="str">
        <f>HYPERLINK("https://dexscreener.com/solana/GEE1tba8m9n7QKvXt4scfUunQ7YhduuxwBFKHQ2cpump", "View")</f>
        <v>View</v>
      </c>
    </row>
    <row r="172" spans="1:16" x14ac:dyDescent="0.25">
      <c r="A172" s="13" t="s">
        <v>7423</v>
      </c>
      <c r="B172" s="14">
        <v>9546012</v>
      </c>
      <c r="C172" s="14">
        <v>9546012</v>
      </c>
      <c r="D172" s="14" t="s">
        <v>7424</v>
      </c>
      <c r="E172" s="14" t="s">
        <v>7231</v>
      </c>
      <c r="F172" s="14" t="s">
        <v>7425</v>
      </c>
      <c r="G172" s="21" t="s">
        <v>7426</v>
      </c>
      <c r="H172" s="21" t="s">
        <v>7427</v>
      </c>
      <c r="I172" s="14" t="s">
        <v>88</v>
      </c>
      <c r="J172" s="14">
        <v>5</v>
      </c>
      <c r="K172" s="14">
        <v>53</v>
      </c>
      <c r="L172" s="14" t="s">
        <v>7428</v>
      </c>
      <c r="M172" s="14" t="s">
        <v>414</v>
      </c>
      <c r="N172" s="14" t="s">
        <v>7429</v>
      </c>
      <c r="O172" s="14" t="s">
        <v>7430</v>
      </c>
      <c r="P172" s="14" t="str">
        <f>HYPERLINK("https://dexscreener.com/solana/CzLSujWBLFsSjncfkh59rUFqvafWcY5tzedWJSuypump", "View")</f>
        <v>View</v>
      </c>
    </row>
    <row r="173" spans="1:16" x14ac:dyDescent="0.25">
      <c r="A173" s="16" t="s">
        <v>7431</v>
      </c>
      <c r="B173" s="17">
        <v>12080288</v>
      </c>
      <c r="C173" s="17">
        <v>12080288</v>
      </c>
      <c r="D173" s="17" t="s">
        <v>7054</v>
      </c>
      <c r="E173" s="17" t="s">
        <v>1804</v>
      </c>
      <c r="F173" s="17" t="s">
        <v>7432</v>
      </c>
      <c r="G173" s="15" t="s">
        <v>7433</v>
      </c>
      <c r="H173" s="15" t="s">
        <v>7043</v>
      </c>
      <c r="I173" s="17" t="s">
        <v>88</v>
      </c>
      <c r="J173" s="17">
        <v>1</v>
      </c>
      <c r="K173" s="17">
        <v>1</v>
      </c>
      <c r="L173" s="17" t="s">
        <v>7434</v>
      </c>
      <c r="M173" s="17" t="s">
        <v>1434</v>
      </c>
      <c r="N173" s="17" t="s">
        <v>7435</v>
      </c>
      <c r="O173" s="17" t="s">
        <v>7436</v>
      </c>
      <c r="P173" s="17" t="str">
        <f>HYPERLINK("https://dexscreener.com/solana/Z66hT2YpBCqFtQQNSMzpDSW5avRqCRsJQznBPzBysPs", "View")</f>
        <v>View</v>
      </c>
    </row>
    <row r="174" spans="1:16" x14ac:dyDescent="0.25">
      <c r="A174" s="13" t="s">
        <v>7437</v>
      </c>
      <c r="B174" s="14">
        <v>23439549</v>
      </c>
      <c r="C174" s="14">
        <v>23439549</v>
      </c>
      <c r="D174" s="14" t="s">
        <v>7438</v>
      </c>
      <c r="E174" s="14" t="s">
        <v>6719</v>
      </c>
      <c r="F174" s="14" t="s">
        <v>7439</v>
      </c>
      <c r="G174" s="21" t="s">
        <v>7440</v>
      </c>
      <c r="H174" s="21" t="s">
        <v>7441</v>
      </c>
      <c r="I174" s="14" t="s">
        <v>88</v>
      </c>
      <c r="J174" s="14">
        <v>3</v>
      </c>
      <c r="K174" s="14">
        <v>11</v>
      </c>
      <c r="L174" s="14" t="s">
        <v>7442</v>
      </c>
      <c r="M174" s="14" t="s">
        <v>2672</v>
      </c>
      <c r="N174" s="14" t="s">
        <v>7443</v>
      </c>
      <c r="O174" s="14" t="s">
        <v>7444</v>
      </c>
      <c r="P174" s="14" t="str">
        <f>HYPERLINK("https://dexscreener.com/solana/CJA4R4Bibxnvthy4fNqmdcsaUjG58QKHxY2GtS91pump", "View")</f>
        <v>View</v>
      </c>
    </row>
    <row r="175" spans="1:16" x14ac:dyDescent="0.25">
      <c r="A175" s="16" t="s">
        <v>7445</v>
      </c>
      <c r="B175" s="17">
        <v>2608760</v>
      </c>
      <c r="C175" s="17">
        <v>2608760</v>
      </c>
      <c r="D175" s="17" t="s">
        <v>7061</v>
      </c>
      <c r="E175" s="17" t="s">
        <v>6403</v>
      </c>
      <c r="F175" s="17" t="s">
        <v>7446</v>
      </c>
      <c r="G175" s="20" t="s">
        <v>7447</v>
      </c>
      <c r="H175" s="20" t="s">
        <v>7448</v>
      </c>
      <c r="I175" s="17" t="s">
        <v>88</v>
      </c>
      <c r="J175" s="17">
        <v>2</v>
      </c>
      <c r="K175" s="17">
        <v>1</v>
      </c>
      <c r="L175" s="17" t="s">
        <v>7449</v>
      </c>
      <c r="M175" s="17" t="s">
        <v>1434</v>
      </c>
      <c r="N175" s="17" t="s">
        <v>7450</v>
      </c>
      <c r="O175" s="17" t="s">
        <v>7451</v>
      </c>
      <c r="P175" s="17" t="str">
        <f>HYPERLINK("https://dexscreener.com/solana/7vkg4p2JGtmGYnTj6t3LBHzTfMb8HiULnA1WpteRpump", "View")</f>
        <v>View</v>
      </c>
    </row>
    <row r="176" spans="1:16" x14ac:dyDescent="0.25">
      <c r="A176" s="13" t="s">
        <v>7452</v>
      </c>
      <c r="B176" s="14">
        <v>14277733</v>
      </c>
      <c r="C176" s="14">
        <v>14277733</v>
      </c>
      <c r="D176" s="14" t="s">
        <v>7453</v>
      </c>
      <c r="E176" s="14" t="s">
        <v>7454</v>
      </c>
      <c r="F176" s="14" t="s">
        <v>7455</v>
      </c>
      <c r="G176" s="21" t="s">
        <v>7456</v>
      </c>
      <c r="H176" s="21" t="s">
        <v>7457</v>
      </c>
      <c r="I176" s="14" t="s">
        <v>88</v>
      </c>
      <c r="J176" s="14">
        <v>8</v>
      </c>
      <c r="K176" s="14">
        <v>17</v>
      </c>
      <c r="L176" s="14" t="s">
        <v>7458</v>
      </c>
      <c r="M176" s="14" t="s">
        <v>414</v>
      </c>
      <c r="N176" s="14" t="s">
        <v>507</v>
      </c>
      <c r="O176" s="14" t="s">
        <v>7459</v>
      </c>
      <c r="P176" s="14" t="str">
        <f>HYPERLINK("https://dexscreener.com/solana/EaEQT3gJnUfeXNwigth29BSdv9oR4YtPzLTkEDzrpump", "View")</f>
        <v>View</v>
      </c>
    </row>
    <row r="177" spans="1:16" x14ac:dyDescent="0.25">
      <c r="A177" s="16" t="s">
        <v>7460</v>
      </c>
      <c r="B177" s="17">
        <v>12712025</v>
      </c>
      <c r="C177" s="17">
        <v>12712025</v>
      </c>
      <c r="D177" s="17" t="s">
        <v>7054</v>
      </c>
      <c r="E177" s="17" t="s">
        <v>1804</v>
      </c>
      <c r="F177" s="17" t="s">
        <v>7461</v>
      </c>
      <c r="G177" s="22" t="s">
        <v>7462</v>
      </c>
      <c r="H177" s="22" t="s">
        <v>7463</v>
      </c>
      <c r="I177" s="17" t="s">
        <v>88</v>
      </c>
      <c r="J177" s="17">
        <v>1</v>
      </c>
      <c r="K177" s="17">
        <v>1</v>
      </c>
      <c r="L177" s="17" t="s">
        <v>7464</v>
      </c>
      <c r="M177" s="17" t="s">
        <v>3355</v>
      </c>
      <c r="N177" s="17" t="s">
        <v>7465</v>
      </c>
      <c r="O177" s="17" t="s">
        <v>7466</v>
      </c>
      <c r="P177" s="17" t="str">
        <f>HYPERLINK("https://dexscreener.com/solana/7tXoL8BQUQGPCtA9pnZfiKmYtDQAReyCrYsM3nuspump", "View")</f>
        <v>View</v>
      </c>
    </row>
    <row r="178" spans="1:16" x14ac:dyDescent="0.25">
      <c r="A178" s="13" t="s">
        <v>7467</v>
      </c>
      <c r="B178" s="14">
        <v>33693482</v>
      </c>
      <c r="C178" s="14">
        <v>33693482</v>
      </c>
      <c r="D178" s="14" t="s">
        <v>7113</v>
      </c>
      <c r="E178" s="14" t="s">
        <v>7468</v>
      </c>
      <c r="F178" s="14" t="s">
        <v>7469</v>
      </c>
      <c r="G178" s="15" t="s">
        <v>7470</v>
      </c>
      <c r="H178" s="15" t="s">
        <v>7471</v>
      </c>
      <c r="I178" s="14" t="s">
        <v>88</v>
      </c>
      <c r="J178" s="14">
        <v>3</v>
      </c>
      <c r="K178" s="14">
        <v>1</v>
      </c>
      <c r="L178" s="14" t="s">
        <v>7472</v>
      </c>
      <c r="M178" s="14" t="s">
        <v>7473</v>
      </c>
      <c r="N178" s="14" t="s">
        <v>7474</v>
      </c>
      <c r="O178" s="14" t="s">
        <v>7475</v>
      </c>
      <c r="P178" s="14" t="str">
        <f>HYPERLINK("https://photon-sol.tinyastro.io/en/lp/5jXAHxKjvyXNDEMQ7cQjJAifqwFHNXR5E6FpoTvp64dz?handle=676050794bc1b1657a56b", "View")</f>
        <v>View</v>
      </c>
    </row>
    <row r="179" spans="1:16" x14ac:dyDescent="0.25">
      <c r="A179" s="16" t="s">
        <v>7476</v>
      </c>
      <c r="B179" s="17">
        <v>5415945</v>
      </c>
      <c r="C179" s="17">
        <v>5415945</v>
      </c>
      <c r="D179" s="17" t="s">
        <v>7113</v>
      </c>
      <c r="E179" s="17" t="s">
        <v>1804</v>
      </c>
      <c r="F179" s="17" t="s">
        <v>7477</v>
      </c>
      <c r="G179" s="20" t="s">
        <v>7478</v>
      </c>
      <c r="H179" s="20" t="s">
        <v>7479</v>
      </c>
      <c r="I179" s="17" t="s">
        <v>88</v>
      </c>
      <c r="J179" s="17">
        <v>3</v>
      </c>
      <c r="K179" s="17">
        <v>1</v>
      </c>
      <c r="L179" s="17" t="s">
        <v>7480</v>
      </c>
      <c r="M179" s="17" t="s">
        <v>3180</v>
      </c>
      <c r="N179" s="17" t="s">
        <v>7481</v>
      </c>
      <c r="O179" s="17" t="s">
        <v>7482</v>
      </c>
      <c r="P179" s="17" t="str">
        <f>HYPERLINK("https://dexscreener.com/solana/4rpR4A42oNs9NfQJ8JKEVUKb2NcUXJ8CZpBKkaJquzZ8", "View")</f>
        <v>View</v>
      </c>
    </row>
    <row r="180" spans="1:16" x14ac:dyDescent="0.25">
      <c r="A180" s="13" t="s">
        <v>7483</v>
      </c>
      <c r="B180" s="14">
        <v>6140543</v>
      </c>
      <c r="C180" s="14">
        <v>6140543</v>
      </c>
      <c r="D180" s="14" t="s">
        <v>7113</v>
      </c>
      <c r="E180" s="14" t="s">
        <v>6719</v>
      </c>
      <c r="F180" s="14" t="s">
        <v>7484</v>
      </c>
      <c r="G180" s="20" t="s">
        <v>7485</v>
      </c>
      <c r="H180" s="20" t="s">
        <v>7486</v>
      </c>
      <c r="I180" s="14" t="s">
        <v>88</v>
      </c>
      <c r="J180" s="14">
        <v>3</v>
      </c>
      <c r="K180" s="14">
        <v>1</v>
      </c>
      <c r="L180" s="14" t="s">
        <v>7487</v>
      </c>
      <c r="M180" s="14" t="s">
        <v>2617</v>
      </c>
      <c r="N180" s="14" t="s">
        <v>7488</v>
      </c>
      <c r="O180" s="14" t="s">
        <v>7489</v>
      </c>
      <c r="P180" s="14" t="str">
        <f>HYPERLINK("https://dexscreener.com/solana/8giod8nJQPhQ2gSLoEs8wkgKGmvbab3UQxj1pxVLpump", "View")</f>
        <v>View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456B-1ECF-48AE-A1EA-8A5D6AE30051}">
  <dimension ref="A1:P51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HYPERLINK("https://gmgn.ai/sol/address/7794TDb3fZJQKUs57TmFj2LcsWMu1AQX8zf2rSNFB6Gd", "GMGN")</f>
        <v>GMGN</v>
      </c>
    </row>
    <row r="2" spans="1:14" x14ac:dyDescent="0.25">
      <c r="A2" s="3" t="s">
        <v>31583</v>
      </c>
      <c r="B2" s="3" t="s">
        <v>31584</v>
      </c>
      <c r="C2" s="3" t="s">
        <v>27464</v>
      </c>
      <c r="D2" s="3" t="s">
        <v>31585</v>
      </c>
      <c r="E2" s="3" t="s">
        <v>31586</v>
      </c>
      <c r="F2" s="3" t="s">
        <v>29678</v>
      </c>
      <c r="G2" s="3" t="s">
        <v>18</v>
      </c>
      <c r="H2" s="3">
        <v>32</v>
      </c>
      <c r="I2" s="3">
        <v>0</v>
      </c>
      <c r="J2" s="3" t="s">
        <v>4503</v>
      </c>
      <c r="K2" s="3" t="s">
        <v>1957</v>
      </c>
      <c r="L2" s="3">
        <v>8</v>
      </c>
      <c r="M2" s="3">
        <v>15</v>
      </c>
      <c r="N2" s="3" t="str">
        <f>HYPERLINK("https://solscan.io/account/7794TDb3fZJQKUs57TmFj2LcsWMu1AQX8zf2rSNFB6Gd", "Solscan")</f>
        <v>Solscan</v>
      </c>
    </row>
    <row r="3" spans="1:14" x14ac:dyDescent="0.25">
      <c r="A3" s="1" t="s">
        <v>21</v>
      </c>
      <c r="B3" s="23" t="s">
        <v>31587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HYPERLINK("https://birdeye.so/profile/7794TDb3fZJQKUs57TmFj2LcsWMu1AQX8zf2rSNFB6Gd", "Birdeye")</f>
        <v>Birdeye</v>
      </c>
    </row>
    <row r="4" spans="1:14" x14ac:dyDescent="0.25">
      <c r="A4" s="1" t="s">
        <v>25</v>
      </c>
      <c r="B4" s="3" t="s">
        <v>7496</v>
      </c>
      <c r="C4" s="3"/>
      <c r="D4" s="3" t="s">
        <v>17851</v>
      </c>
      <c r="E4" s="3" t="s">
        <v>31588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2007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6</v>
      </c>
      <c r="E10" s="1">
        <v>8</v>
      </c>
      <c r="F10" s="1">
        <v>12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9699</v>
      </c>
      <c r="C11" s="1" t="s">
        <v>31589</v>
      </c>
      <c r="D11" s="1" t="s">
        <v>24241</v>
      </c>
      <c r="E11" s="1" t="s">
        <v>24242</v>
      </c>
      <c r="F11" s="1" t="s">
        <v>17856</v>
      </c>
      <c r="G11" s="1" t="s">
        <v>24240</v>
      </c>
      <c r="H11" s="3"/>
      <c r="I11" s="3" t="s">
        <v>50</v>
      </c>
      <c r="J11" s="3" t="s">
        <v>12318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31590</v>
      </c>
      <c r="C12" s="1" t="s">
        <v>30737</v>
      </c>
      <c r="D12" s="1" t="s">
        <v>15657</v>
      </c>
      <c r="E12" s="1" t="s">
        <v>15567</v>
      </c>
      <c r="F12" s="1" t="s">
        <v>31591</v>
      </c>
      <c r="G12" s="1" t="s">
        <v>21669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9497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19667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31592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31593</v>
      </c>
      <c r="B20" s="14">
        <v>12676063</v>
      </c>
      <c r="C20" s="14">
        <v>0</v>
      </c>
      <c r="D20" s="14" t="s">
        <v>932</v>
      </c>
      <c r="E20" s="14" t="s">
        <v>3045</v>
      </c>
      <c r="F20" s="14" t="s">
        <v>96</v>
      </c>
      <c r="G20" s="18" t="s">
        <v>11519</v>
      </c>
      <c r="H20" s="18" t="s">
        <v>98</v>
      </c>
      <c r="I20" s="14" t="s">
        <v>31594</v>
      </c>
      <c r="J20" s="14">
        <v>2</v>
      </c>
      <c r="K20" s="14">
        <v>0</v>
      </c>
      <c r="L20" s="14" t="s">
        <v>31595</v>
      </c>
      <c r="M20" s="14" t="s">
        <v>1957</v>
      </c>
      <c r="N20" s="14" t="s">
        <v>31596</v>
      </c>
      <c r="O20" s="14" t="s">
        <v>31597</v>
      </c>
      <c r="P20" s="14" t="str">
        <f>HYPERLINK("https://dexscreener.com/solana/6hFjkjquUUbULbRV7uYNL9SDxWmPzuzebyicCP8ppump", "View")</f>
        <v>View</v>
      </c>
    </row>
    <row r="21" spans="1:16" x14ac:dyDescent="0.25">
      <c r="A21" s="16" t="s">
        <v>20387</v>
      </c>
      <c r="B21" s="17">
        <v>271620</v>
      </c>
      <c r="C21" s="17">
        <v>271620</v>
      </c>
      <c r="D21" s="17" t="s">
        <v>19607</v>
      </c>
      <c r="E21" s="17" t="s">
        <v>10388</v>
      </c>
      <c r="F21" s="17" t="s">
        <v>12633</v>
      </c>
      <c r="G21" s="22" t="s">
        <v>9669</v>
      </c>
      <c r="H21" s="22" t="s">
        <v>31598</v>
      </c>
      <c r="I21" s="17" t="s">
        <v>88</v>
      </c>
      <c r="J21" s="17">
        <v>2</v>
      </c>
      <c r="K21" s="17">
        <v>1</v>
      </c>
      <c r="L21" s="17" t="s">
        <v>31599</v>
      </c>
      <c r="M21" s="17" t="s">
        <v>3462</v>
      </c>
      <c r="N21" s="17" t="s">
        <v>31600</v>
      </c>
      <c r="O21" s="17" t="s">
        <v>20392</v>
      </c>
      <c r="P21" s="17" t="str">
        <f>HYPERLINK("https://dexscreener.com/solana/Fy4DC1btDJnDtqs7zaEoxTyeZWsGBNPcmnFANFgmpump", "View")</f>
        <v>View</v>
      </c>
    </row>
    <row r="22" spans="1:16" x14ac:dyDescent="0.25">
      <c r="A22" s="13" t="s">
        <v>9737</v>
      </c>
      <c r="B22" s="14">
        <v>65765547</v>
      </c>
      <c r="C22" s="14">
        <v>65765547</v>
      </c>
      <c r="D22" s="14" t="s">
        <v>31601</v>
      </c>
      <c r="E22" s="14" t="s">
        <v>31602</v>
      </c>
      <c r="F22" s="14" t="s">
        <v>31603</v>
      </c>
      <c r="G22" s="21" t="s">
        <v>31604</v>
      </c>
      <c r="H22" s="21" t="s">
        <v>31605</v>
      </c>
      <c r="I22" s="14" t="s">
        <v>88</v>
      </c>
      <c r="J22" s="14">
        <v>2</v>
      </c>
      <c r="K22" s="14">
        <v>4</v>
      </c>
      <c r="L22" s="14" t="s">
        <v>31606</v>
      </c>
      <c r="M22" s="14" t="s">
        <v>5695</v>
      </c>
      <c r="N22" s="14" t="s">
        <v>31607</v>
      </c>
      <c r="O22" s="14" t="s">
        <v>9742</v>
      </c>
      <c r="P22" s="14" t="str">
        <f>HYPERLINK("https://photon-sol.tinyastro.io/en/lp/m36WDe5v164ZSGz9s2bfBikiWGXzoT9ej8r9xrZpump?handle=676050794bc1b1657a56b", "View")</f>
        <v>View</v>
      </c>
    </row>
    <row r="23" spans="1:16" x14ac:dyDescent="0.25">
      <c r="A23" s="16" t="s">
        <v>31608</v>
      </c>
      <c r="B23" s="17">
        <v>13943518</v>
      </c>
      <c r="C23" s="17">
        <v>13943517</v>
      </c>
      <c r="D23" s="17" t="s">
        <v>1281</v>
      </c>
      <c r="E23" s="17" t="s">
        <v>8485</v>
      </c>
      <c r="F23" s="17" t="s">
        <v>14894</v>
      </c>
      <c r="G23" s="20" t="s">
        <v>4373</v>
      </c>
      <c r="H23" s="20" t="s">
        <v>31609</v>
      </c>
      <c r="I23" s="17" t="s">
        <v>88</v>
      </c>
      <c r="J23" s="17">
        <v>1</v>
      </c>
      <c r="K23" s="17">
        <v>1</v>
      </c>
      <c r="L23" s="17" t="s">
        <v>31610</v>
      </c>
      <c r="M23" s="17" t="s">
        <v>2715</v>
      </c>
      <c r="N23" s="17" t="s">
        <v>2585</v>
      </c>
      <c r="O23" s="17" t="s">
        <v>31611</v>
      </c>
      <c r="P23" s="17" t="str">
        <f>HYPERLINK("https://photon-sol.tinyastro.io/en/lp/FmLppuARC7cAF1A8STg3doJxbvzUgCzCBULL4o1jpump?handle=676050794bc1b1657a56b", "View")</f>
        <v>View</v>
      </c>
    </row>
    <row r="24" spans="1:16" x14ac:dyDescent="0.25">
      <c r="A24" s="13" t="s">
        <v>23136</v>
      </c>
      <c r="B24" s="14">
        <v>533323</v>
      </c>
      <c r="C24" s="14">
        <v>533323</v>
      </c>
      <c r="D24" s="14" t="s">
        <v>932</v>
      </c>
      <c r="E24" s="14" t="s">
        <v>3045</v>
      </c>
      <c r="F24" s="14" t="s">
        <v>1915</v>
      </c>
      <c r="G24" s="20" t="s">
        <v>7875</v>
      </c>
      <c r="H24" s="20" t="s">
        <v>3701</v>
      </c>
      <c r="I24" s="14" t="s">
        <v>88</v>
      </c>
      <c r="J24" s="14">
        <v>1</v>
      </c>
      <c r="K24" s="14">
        <v>1</v>
      </c>
      <c r="L24" s="14" t="s">
        <v>31612</v>
      </c>
      <c r="M24" s="14" t="s">
        <v>1434</v>
      </c>
      <c r="N24" s="14" t="s">
        <v>31613</v>
      </c>
      <c r="O24" s="14" t="s">
        <v>23143</v>
      </c>
      <c r="P24" s="14" t="str">
        <f>HYPERLINK("https://dexscreener.com/solana/75gTkoZ1gEJXcA2Qqpqm8bes6QZVTEwnzQ3Xvz5tpump", "View")</f>
        <v>View</v>
      </c>
    </row>
    <row r="25" spans="1:16" x14ac:dyDescent="0.25">
      <c r="A25" s="16" t="s">
        <v>31614</v>
      </c>
      <c r="B25" s="17">
        <v>55057</v>
      </c>
      <c r="C25" s="17">
        <v>55057</v>
      </c>
      <c r="D25" s="17" t="s">
        <v>932</v>
      </c>
      <c r="E25" s="17" t="s">
        <v>3045</v>
      </c>
      <c r="F25" s="17" t="s">
        <v>9592</v>
      </c>
      <c r="G25" s="20" t="s">
        <v>4925</v>
      </c>
      <c r="H25" s="20" t="s">
        <v>31615</v>
      </c>
      <c r="I25" s="17" t="s">
        <v>88</v>
      </c>
      <c r="J25" s="17">
        <v>1</v>
      </c>
      <c r="K25" s="17">
        <v>1</v>
      </c>
      <c r="L25" s="17" t="s">
        <v>31616</v>
      </c>
      <c r="M25" s="17" t="s">
        <v>1434</v>
      </c>
      <c r="N25" s="17" t="s">
        <v>31617</v>
      </c>
      <c r="O25" s="17" t="s">
        <v>31618</v>
      </c>
      <c r="P25" s="17" t="str">
        <f>HYPERLINK("https://dexscreener.com/solana/rDGNQh7d1Fb4SHqVdpSiENyNsvdQEVdggnqy1HZpump", "View")</f>
        <v>View</v>
      </c>
    </row>
    <row r="26" spans="1:16" x14ac:dyDescent="0.25">
      <c r="A26" s="13" t="s">
        <v>1836</v>
      </c>
      <c r="B26" s="14">
        <v>411796</v>
      </c>
      <c r="C26" s="14">
        <v>411796</v>
      </c>
      <c r="D26" s="14" t="s">
        <v>932</v>
      </c>
      <c r="E26" s="14" t="s">
        <v>3045</v>
      </c>
      <c r="F26" s="14" t="s">
        <v>23563</v>
      </c>
      <c r="G26" s="20" t="s">
        <v>4134</v>
      </c>
      <c r="H26" s="20" t="s">
        <v>2401</v>
      </c>
      <c r="I26" s="14" t="s">
        <v>88</v>
      </c>
      <c r="J26" s="14">
        <v>1</v>
      </c>
      <c r="K26" s="14">
        <v>1</v>
      </c>
      <c r="L26" s="14" t="s">
        <v>31619</v>
      </c>
      <c r="M26" s="14" t="s">
        <v>1448</v>
      </c>
      <c r="N26" s="14" t="s">
        <v>31620</v>
      </c>
      <c r="O26" s="14" t="s">
        <v>26809</v>
      </c>
      <c r="P26" s="14" t="str">
        <f>HYPERLINK("https://dexscreener.com/solana/265sKc6C7wRcEkuLqzPCWUziHCqsp2Q1gXJo2H9Bpump", "View")</f>
        <v>View</v>
      </c>
    </row>
    <row r="27" spans="1:16" x14ac:dyDescent="0.25">
      <c r="A27" s="16" t="s">
        <v>31621</v>
      </c>
      <c r="B27" s="17">
        <v>159393</v>
      </c>
      <c r="C27" s="17">
        <v>159393</v>
      </c>
      <c r="D27" s="17" t="s">
        <v>932</v>
      </c>
      <c r="E27" s="17" t="s">
        <v>3045</v>
      </c>
      <c r="F27" s="17" t="s">
        <v>31622</v>
      </c>
      <c r="G27" s="22" t="s">
        <v>4014</v>
      </c>
      <c r="H27" s="22" t="s">
        <v>30724</v>
      </c>
      <c r="I27" s="17" t="s">
        <v>88</v>
      </c>
      <c r="J27" s="17">
        <v>1</v>
      </c>
      <c r="K27" s="17">
        <v>1</v>
      </c>
      <c r="L27" s="17" t="s">
        <v>31623</v>
      </c>
      <c r="M27" s="17" t="s">
        <v>1566</v>
      </c>
      <c r="N27" s="17" t="s">
        <v>31624</v>
      </c>
      <c r="O27" s="17" t="s">
        <v>31625</v>
      </c>
      <c r="P27" s="17" t="str">
        <f>HYPERLINK("https://dexscreener.com/solana/GiSC3EA7C2kZwESb53cJybcmeRRExM4gqzV5UTz9pump", "View")</f>
        <v>View</v>
      </c>
    </row>
    <row r="28" spans="1:16" x14ac:dyDescent="0.25">
      <c r="A28" s="13" t="s">
        <v>31626</v>
      </c>
      <c r="B28" s="14">
        <v>387971</v>
      </c>
      <c r="C28" s="14">
        <v>387971</v>
      </c>
      <c r="D28" s="14" t="s">
        <v>932</v>
      </c>
      <c r="E28" s="14" t="s">
        <v>3045</v>
      </c>
      <c r="F28" s="14" t="s">
        <v>21288</v>
      </c>
      <c r="G28" s="21" t="s">
        <v>11464</v>
      </c>
      <c r="H28" s="21" t="s">
        <v>31627</v>
      </c>
      <c r="I28" s="14" t="s">
        <v>88</v>
      </c>
      <c r="J28" s="14">
        <v>1</v>
      </c>
      <c r="K28" s="14">
        <v>1</v>
      </c>
      <c r="L28" s="14" t="s">
        <v>31628</v>
      </c>
      <c r="M28" s="14" t="s">
        <v>1957</v>
      </c>
      <c r="N28" s="14" t="s">
        <v>31629</v>
      </c>
      <c r="O28" s="14" t="s">
        <v>31630</v>
      </c>
      <c r="P28" s="14" t="str">
        <f>HYPERLINK("https://dexscreener.com/solana/tryQjsPTaCLFHztMVmfrW11x5i5LzwHCDceriHVCxYw", "View")</f>
        <v>View</v>
      </c>
    </row>
    <row r="29" spans="1:16" x14ac:dyDescent="0.25">
      <c r="A29" s="16" t="s">
        <v>18297</v>
      </c>
      <c r="B29" s="17">
        <v>238479</v>
      </c>
      <c r="C29" s="17">
        <v>238479</v>
      </c>
      <c r="D29" s="17" t="s">
        <v>932</v>
      </c>
      <c r="E29" s="17" t="s">
        <v>3045</v>
      </c>
      <c r="F29" s="17" t="s">
        <v>14032</v>
      </c>
      <c r="G29" s="21" t="s">
        <v>3367</v>
      </c>
      <c r="H29" s="21" t="s">
        <v>31631</v>
      </c>
      <c r="I29" s="17" t="s">
        <v>88</v>
      </c>
      <c r="J29" s="17">
        <v>1</v>
      </c>
      <c r="K29" s="17">
        <v>1</v>
      </c>
      <c r="L29" s="17" t="s">
        <v>31632</v>
      </c>
      <c r="M29" s="17" t="s">
        <v>602</v>
      </c>
      <c r="N29" s="17" t="s">
        <v>31633</v>
      </c>
      <c r="O29" s="17" t="s">
        <v>18302</v>
      </c>
      <c r="P29" s="17" t="str">
        <f>HYPERLINK("https://dexscreener.com/solana/GSxmz5QR42Btg691U8gpDiRRpFmpBrJ6xdCHLcJSpump", "View")</f>
        <v>View</v>
      </c>
    </row>
    <row r="30" spans="1:16" x14ac:dyDescent="0.25">
      <c r="A30" s="13" t="s">
        <v>20393</v>
      </c>
      <c r="B30" s="14">
        <v>216634</v>
      </c>
      <c r="C30" s="14">
        <v>216634</v>
      </c>
      <c r="D30" s="14" t="s">
        <v>932</v>
      </c>
      <c r="E30" s="14" t="s">
        <v>3045</v>
      </c>
      <c r="F30" s="14" t="s">
        <v>26202</v>
      </c>
      <c r="G30" s="22" t="s">
        <v>4217</v>
      </c>
      <c r="H30" s="22" t="s">
        <v>31634</v>
      </c>
      <c r="I30" s="14" t="s">
        <v>88</v>
      </c>
      <c r="J30" s="14">
        <v>1</v>
      </c>
      <c r="K30" s="14">
        <v>1</v>
      </c>
      <c r="L30" s="14" t="s">
        <v>31635</v>
      </c>
      <c r="M30" s="14" t="s">
        <v>1705</v>
      </c>
      <c r="N30" s="14" t="s">
        <v>31636</v>
      </c>
      <c r="O30" s="14" t="s">
        <v>20399</v>
      </c>
      <c r="P30" s="14" t="str">
        <f>HYPERLINK("https://dexscreener.com/solana/DtWz93pDUZe5cYqBFmZjXq1wzZqZPygCeox5d3ajpump", "View")</f>
        <v>View</v>
      </c>
    </row>
    <row r="31" spans="1:16" x14ac:dyDescent="0.25">
      <c r="A31" s="16" t="s">
        <v>31637</v>
      </c>
      <c r="B31" s="17">
        <v>2004318</v>
      </c>
      <c r="C31" s="17">
        <v>2004318</v>
      </c>
      <c r="D31" s="17" t="s">
        <v>31638</v>
      </c>
      <c r="E31" s="17" t="s">
        <v>1989</v>
      </c>
      <c r="F31" s="17" t="s">
        <v>14377</v>
      </c>
      <c r="G31" s="20" t="s">
        <v>2400</v>
      </c>
      <c r="H31" s="20" t="s">
        <v>31639</v>
      </c>
      <c r="I31" s="17" t="s">
        <v>88</v>
      </c>
      <c r="J31" s="17">
        <v>2</v>
      </c>
      <c r="K31" s="17">
        <v>2</v>
      </c>
      <c r="L31" s="17" t="s">
        <v>31640</v>
      </c>
      <c r="M31" s="17" t="s">
        <v>2113</v>
      </c>
      <c r="N31" s="17" t="s">
        <v>31641</v>
      </c>
      <c r="O31" s="17" t="s">
        <v>31642</v>
      </c>
      <c r="P31" s="17" t="str">
        <f>HYPERLINK("https://dexscreener.com/solana/J3TdiHoqmf8YERR615BFaFDm6tPCLS47VdtPQEA2pump", "View")</f>
        <v>View</v>
      </c>
    </row>
    <row r="32" spans="1:16" x14ac:dyDescent="0.25">
      <c r="A32" s="13" t="s">
        <v>30831</v>
      </c>
      <c r="B32" s="14">
        <v>360948</v>
      </c>
      <c r="C32" s="14">
        <v>360948</v>
      </c>
      <c r="D32" s="14" t="s">
        <v>932</v>
      </c>
      <c r="E32" s="14" t="s">
        <v>3045</v>
      </c>
      <c r="F32" s="14" t="s">
        <v>3978</v>
      </c>
      <c r="G32" s="22" t="s">
        <v>6111</v>
      </c>
      <c r="H32" s="22" t="s">
        <v>31643</v>
      </c>
      <c r="I32" s="14" t="s">
        <v>88</v>
      </c>
      <c r="J32" s="14">
        <v>1</v>
      </c>
      <c r="K32" s="14">
        <v>1</v>
      </c>
      <c r="L32" s="14" t="s">
        <v>31644</v>
      </c>
      <c r="M32" s="14" t="s">
        <v>1448</v>
      </c>
      <c r="N32" s="14" t="s">
        <v>31645</v>
      </c>
      <c r="O32" s="14" t="s">
        <v>31646</v>
      </c>
      <c r="P32" s="14" t="str">
        <f>HYPERLINK("https://dexscreener.com/solana/4KbbSacSGPBxs1JH7YH8dUERh1NQNJQytJUCnt5mxHyo", "View")</f>
        <v>View</v>
      </c>
    </row>
    <row r="33" spans="1:16" x14ac:dyDescent="0.25">
      <c r="A33" s="16" t="s">
        <v>24460</v>
      </c>
      <c r="B33" s="17">
        <v>2981368</v>
      </c>
      <c r="C33" s="17">
        <v>2981368</v>
      </c>
      <c r="D33" s="17" t="s">
        <v>31647</v>
      </c>
      <c r="E33" s="17" t="s">
        <v>3904</v>
      </c>
      <c r="F33" s="17" t="s">
        <v>3720</v>
      </c>
      <c r="G33" s="20" t="s">
        <v>8105</v>
      </c>
      <c r="H33" s="20" t="s">
        <v>13320</v>
      </c>
      <c r="I33" s="17" t="s">
        <v>88</v>
      </c>
      <c r="J33" s="17">
        <v>1</v>
      </c>
      <c r="K33" s="17">
        <v>1</v>
      </c>
      <c r="L33" s="17" t="s">
        <v>31648</v>
      </c>
      <c r="M33" s="17" t="s">
        <v>602</v>
      </c>
      <c r="N33" s="17" t="s">
        <v>14776</v>
      </c>
      <c r="O33" s="17" t="s">
        <v>31649</v>
      </c>
      <c r="P33" s="17" t="str">
        <f>HYPERLINK("https://photon-sol.tinyastro.io/en/lp/9VVzNh1ZBV92nnkoGdt7Er8j8689J8DWHkUjTR3Wpump?handle=676050794bc1b1657a56b", "View")</f>
        <v>View</v>
      </c>
    </row>
    <row r="34" spans="1:16" x14ac:dyDescent="0.25">
      <c r="A34" s="13" t="s">
        <v>6807</v>
      </c>
      <c r="B34" s="14">
        <v>212892</v>
      </c>
      <c r="C34" s="14">
        <v>212892</v>
      </c>
      <c r="D34" s="14" t="s">
        <v>932</v>
      </c>
      <c r="E34" s="14" t="s">
        <v>3045</v>
      </c>
      <c r="F34" s="14" t="s">
        <v>3419</v>
      </c>
      <c r="G34" s="20" t="s">
        <v>2289</v>
      </c>
      <c r="H34" s="20" t="s">
        <v>26887</v>
      </c>
      <c r="I34" s="14" t="s">
        <v>88</v>
      </c>
      <c r="J34" s="14">
        <v>1</v>
      </c>
      <c r="K34" s="14">
        <v>1</v>
      </c>
      <c r="L34" s="14" t="s">
        <v>31650</v>
      </c>
      <c r="M34" s="14" t="s">
        <v>1566</v>
      </c>
      <c r="N34" s="14" t="s">
        <v>31651</v>
      </c>
      <c r="O34" s="14" t="s">
        <v>18414</v>
      </c>
      <c r="P34" s="14" t="str">
        <f>HYPERLINK("https://dexscreener.com/solana/2kaRSuDcz1V1kqq1sDmP23Wy98jutHQQgr5fGDWRpump", "View")</f>
        <v>View</v>
      </c>
    </row>
    <row r="35" spans="1:16" x14ac:dyDescent="0.25">
      <c r="A35" s="16" t="s">
        <v>23749</v>
      </c>
      <c r="B35" s="17">
        <v>40722</v>
      </c>
      <c r="C35" s="17">
        <v>40722</v>
      </c>
      <c r="D35" s="17" t="s">
        <v>932</v>
      </c>
      <c r="E35" s="17" t="s">
        <v>10121</v>
      </c>
      <c r="F35" s="17" t="s">
        <v>3733</v>
      </c>
      <c r="G35" s="22" t="s">
        <v>5753</v>
      </c>
      <c r="H35" s="22" t="s">
        <v>9426</v>
      </c>
      <c r="I35" s="17" t="s">
        <v>88</v>
      </c>
      <c r="J35" s="17">
        <v>1</v>
      </c>
      <c r="K35" s="17">
        <v>1</v>
      </c>
      <c r="L35" s="17" t="s">
        <v>31652</v>
      </c>
      <c r="M35" s="17" t="s">
        <v>1448</v>
      </c>
      <c r="N35" s="17" t="s">
        <v>31653</v>
      </c>
      <c r="O35" s="17" t="s">
        <v>23753</v>
      </c>
      <c r="P35" s="17" t="str">
        <f>HYPERLINK("https://dexscreener.com/solana/CXfErCqD2ufoZZ7791sRetSiMkeFSH6oKAjW7ERdpump", "View")</f>
        <v>View</v>
      </c>
    </row>
    <row r="36" spans="1:16" x14ac:dyDescent="0.25">
      <c r="A36" s="13" t="s">
        <v>31654</v>
      </c>
      <c r="B36" s="14">
        <v>4642605</v>
      </c>
      <c r="C36" s="14">
        <v>4642605</v>
      </c>
      <c r="D36" s="14" t="s">
        <v>19607</v>
      </c>
      <c r="E36" s="14" t="s">
        <v>14820</v>
      </c>
      <c r="F36" s="14" t="s">
        <v>12902</v>
      </c>
      <c r="G36" s="20" t="s">
        <v>31655</v>
      </c>
      <c r="H36" s="20" t="s">
        <v>31656</v>
      </c>
      <c r="I36" s="14" t="s">
        <v>88</v>
      </c>
      <c r="J36" s="14">
        <v>2</v>
      </c>
      <c r="K36" s="14">
        <v>1</v>
      </c>
      <c r="L36" s="14" t="s">
        <v>31657</v>
      </c>
      <c r="M36" s="14" t="s">
        <v>2672</v>
      </c>
      <c r="N36" s="14" t="s">
        <v>31658</v>
      </c>
      <c r="O36" s="14" t="s">
        <v>31659</v>
      </c>
      <c r="P36" s="14" t="str">
        <f>HYPERLINK("https://dexscreener.com/solana/3mZhaLTQH7iYEoKxKYkiHJQA2iQL74uyvkF5PSNEpump", "View")</f>
        <v>View</v>
      </c>
    </row>
    <row r="37" spans="1:16" x14ac:dyDescent="0.25">
      <c r="A37" s="16" t="s">
        <v>7423</v>
      </c>
      <c r="B37" s="17">
        <v>777225</v>
      </c>
      <c r="C37" s="17">
        <v>777225</v>
      </c>
      <c r="D37" s="17" t="s">
        <v>19607</v>
      </c>
      <c r="E37" s="17" t="s">
        <v>10388</v>
      </c>
      <c r="F37" s="17" t="s">
        <v>2150</v>
      </c>
      <c r="G37" s="21" t="s">
        <v>2376</v>
      </c>
      <c r="H37" s="21" t="s">
        <v>31660</v>
      </c>
      <c r="I37" s="17" t="s">
        <v>88</v>
      </c>
      <c r="J37" s="17">
        <v>2</v>
      </c>
      <c r="K37" s="17">
        <v>1</v>
      </c>
      <c r="L37" s="17" t="s">
        <v>31661</v>
      </c>
      <c r="M37" s="17" t="s">
        <v>980</v>
      </c>
      <c r="N37" s="17" t="s">
        <v>31662</v>
      </c>
      <c r="O37" s="17" t="s">
        <v>26979</v>
      </c>
      <c r="P37" s="17" t="str">
        <f>HYPERLINK("https://dexscreener.com/solana/B6fSL8sMoAGKJEafNbKsGsV9KuiKCmaFZrGLX26Zpump", "View")</f>
        <v>View</v>
      </c>
    </row>
    <row r="38" spans="1:16" x14ac:dyDescent="0.25">
      <c r="A38" s="13" t="s">
        <v>19218</v>
      </c>
      <c r="B38" s="14">
        <v>608344</v>
      </c>
      <c r="C38" s="14">
        <v>608344</v>
      </c>
      <c r="D38" s="14" t="s">
        <v>19607</v>
      </c>
      <c r="E38" s="14" t="s">
        <v>10388</v>
      </c>
      <c r="F38" s="14" t="s">
        <v>9419</v>
      </c>
      <c r="G38" s="21" t="s">
        <v>20956</v>
      </c>
      <c r="H38" s="21" t="s">
        <v>31663</v>
      </c>
      <c r="I38" s="14" t="s">
        <v>88</v>
      </c>
      <c r="J38" s="14">
        <v>2</v>
      </c>
      <c r="K38" s="14">
        <v>1</v>
      </c>
      <c r="L38" s="14" t="s">
        <v>31664</v>
      </c>
      <c r="M38" s="14" t="s">
        <v>1610</v>
      </c>
      <c r="N38" s="14" t="s">
        <v>31665</v>
      </c>
      <c r="O38" s="14" t="s">
        <v>19224</v>
      </c>
      <c r="P38" s="14" t="str">
        <f>HYPERLINK("https://dexscreener.com/solana/GkCQFumKUjvj7Riyfispn2my8b86J4jEuatT9z7apump", "View")</f>
        <v>View</v>
      </c>
    </row>
    <row r="39" spans="1:16" x14ac:dyDescent="0.25">
      <c r="A39" s="16" t="s">
        <v>28422</v>
      </c>
      <c r="B39" s="17">
        <v>172768</v>
      </c>
      <c r="C39" s="17">
        <v>172768</v>
      </c>
      <c r="D39" s="17" t="s">
        <v>932</v>
      </c>
      <c r="E39" s="17" t="s">
        <v>3045</v>
      </c>
      <c r="F39" s="17" t="s">
        <v>3367</v>
      </c>
      <c r="G39" s="20" t="s">
        <v>5854</v>
      </c>
      <c r="H39" s="20" t="s">
        <v>31573</v>
      </c>
      <c r="I39" s="17" t="s">
        <v>88</v>
      </c>
      <c r="J39" s="17">
        <v>1</v>
      </c>
      <c r="K39" s="17">
        <v>1</v>
      </c>
      <c r="L39" s="17" t="s">
        <v>31666</v>
      </c>
      <c r="M39" s="19" t="s">
        <v>1730</v>
      </c>
      <c r="N39" s="17" t="s">
        <v>31667</v>
      </c>
      <c r="O39" s="17" t="s">
        <v>28426</v>
      </c>
      <c r="P39" s="17" t="str">
        <f>HYPERLINK("https://dexscreener.com/solana/26LDHcthoC5jeQtYJFyRJ14yFVYqwsrMDznAUhWepump", "View")</f>
        <v>View</v>
      </c>
    </row>
    <row r="40" spans="1:16" x14ac:dyDescent="0.25">
      <c r="A40" s="13" t="s">
        <v>18596</v>
      </c>
      <c r="B40" s="14">
        <v>259080</v>
      </c>
      <c r="C40" s="14">
        <v>259080</v>
      </c>
      <c r="D40" s="14" t="s">
        <v>31638</v>
      </c>
      <c r="E40" s="14" t="s">
        <v>6403</v>
      </c>
      <c r="F40" s="14" t="s">
        <v>31668</v>
      </c>
      <c r="G40" s="15" t="s">
        <v>31669</v>
      </c>
      <c r="H40" s="15" t="s">
        <v>27091</v>
      </c>
      <c r="I40" s="14" t="s">
        <v>88</v>
      </c>
      <c r="J40" s="14">
        <v>2</v>
      </c>
      <c r="K40" s="14">
        <v>2</v>
      </c>
      <c r="L40" s="14" t="s">
        <v>31670</v>
      </c>
      <c r="M40" s="14" t="s">
        <v>179</v>
      </c>
      <c r="N40" s="14" t="s">
        <v>31671</v>
      </c>
      <c r="O40" s="14" t="s">
        <v>18602</v>
      </c>
      <c r="P40" s="14" t="str">
        <f>HYPERLINK("https://dexscreener.com/solana/8Z2h8VsYqUoExZNwrtGQ1LQiHru6nnUsPSpvCwNapump", "View")</f>
        <v>View</v>
      </c>
    </row>
    <row r="41" spans="1:16" x14ac:dyDescent="0.25">
      <c r="A41" s="16" t="s">
        <v>31672</v>
      </c>
      <c r="B41" s="17">
        <v>5294508</v>
      </c>
      <c r="C41" s="17">
        <v>5294508</v>
      </c>
      <c r="D41" s="17" t="s">
        <v>31647</v>
      </c>
      <c r="E41" s="17" t="s">
        <v>10587</v>
      </c>
      <c r="F41" s="17" t="s">
        <v>3140</v>
      </c>
      <c r="G41" s="22" t="s">
        <v>3047</v>
      </c>
      <c r="H41" s="22" t="s">
        <v>31673</v>
      </c>
      <c r="I41" s="17" t="s">
        <v>88</v>
      </c>
      <c r="J41" s="17">
        <v>1</v>
      </c>
      <c r="K41" s="17">
        <v>1</v>
      </c>
      <c r="L41" s="17" t="s">
        <v>31674</v>
      </c>
      <c r="M41" s="17" t="s">
        <v>1434</v>
      </c>
      <c r="N41" s="17" t="s">
        <v>8391</v>
      </c>
      <c r="O41" s="17" t="s">
        <v>31675</v>
      </c>
      <c r="P41" s="17" t="str">
        <f>HYPERLINK("https://photon-sol.tinyastro.io/en/lp/CPebkBHRy1GUuLVkVp5H2Nuy5o5Gkup5rauM6g1Bpump?handle=676050794bc1b1657a56b", "View")</f>
        <v>View</v>
      </c>
    </row>
    <row r="42" spans="1:16" x14ac:dyDescent="0.25">
      <c r="A42" s="13" t="s">
        <v>8190</v>
      </c>
      <c r="B42" s="14">
        <v>33401729</v>
      </c>
      <c r="C42" s="14">
        <v>33401729</v>
      </c>
      <c r="D42" s="14" t="s">
        <v>31676</v>
      </c>
      <c r="E42" s="14" t="s">
        <v>31677</v>
      </c>
      <c r="F42" s="14" t="s">
        <v>31678</v>
      </c>
      <c r="G42" s="21" t="s">
        <v>31679</v>
      </c>
      <c r="H42" s="21" t="s">
        <v>31680</v>
      </c>
      <c r="I42" s="14" t="s">
        <v>88</v>
      </c>
      <c r="J42" s="14">
        <v>1</v>
      </c>
      <c r="K42" s="14">
        <v>6</v>
      </c>
      <c r="L42" s="14" t="s">
        <v>31681</v>
      </c>
      <c r="M42" s="14" t="s">
        <v>317</v>
      </c>
      <c r="N42" s="14" t="s">
        <v>31682</v>
      </c>
      <c r="O42" s="14" t="s">
        <v>31683</v>
      </c>
      <c r="P42" s="14" t="str">
        <f>HYPERLINK("https://photon-sol.tinyastro.io/en/lp/39GvGUQpNGf9Hm9rJvAxTTJmLpr5FL2PK6o7fPX7pump?handle=676050794bc1b1657a56b", "View")</f>
        <v>View</v>
      </c>
    </row>
    <row r="43" spans="1:16" x14ac:dyDescent="0.25">
      <c r="A43" s="16" t="s">
        <v>31684</v>
      </c>
      <c r="B43" s="17">
        <v>12757011</v>
      </c>
      <c r="C43" s="17">
        <v>12757011</v>
      </c>
      <c r="D43" s="17" t="s">
        <v>31685</v>
      </c>
      <c r="E43" s="17" t="s">
        <v>8485</v>
      </c>
      <c r="F43" s="17" t="s">
        <v>31318</v>
      </c>
      <c r="G43" s="22" t="s">
        <v>5424</v>
      </c>
      <c r="H43" s="22" t="s">
        <v>31686</v>
      </c>
      <c r="I43" s="17" t="s">
        <v>88</v>
      </c>
      <c r="J43" s="17">
        <v>1</v>
      </c>
      <c r="K43" s="17">
        <v>1</v>
      </c>
      <c r="L43" s="17" t="s">
        <v>31687</v>
      </c>
      <c r="M43" s="17" t="s">
        <v>1957</v>
      </c>
      <c r="N43" s="17" t="s">
        <v>31688</v>
      </c>
      <c r="O43" s="17" t="s">
        <v>31689</v>
      </c>
      <c r="P43" s="17" t="str">
        <f>HYPERLINK("https://photon-sol.tinyastro.io/en/lp/2S5UySFN9VKZptYBx9PR9VkkhJybTJeDLM9TULzBpump?handle=676050794bc1b1657a56b", "View")</f>
        <v>View</v>
      </c>
    </row>
    <row r="44" spans="1:16" x14ac:dyDescent="0.25">
      <c r="A44" s="13" t="s">
        <v>7988</v>
      </c>
      <c r="B44" s="14">
        <v>237127</v>
      </c>
      <c r="C44" s="14">
        <v>237127</v>
      </c>
      <c r="D44" s="14" t="s">
        <v>932</v>
      </c>
      <c r="E44" s="14" t="s">
        <v>3045</v>
      </c>
      <c r="F44" s="14" t="s">
        <v>22070</v>
      </c>
      <c r="G44" s="20" t="s">
        <v>13016</v>
      </c>
      <c r="H44" s="20" t="s">
        <v>31226</v>
      </c>
      <c r="I44" s="14" t="s">
        <v>88</v>
      </c>
      <c r="J44" s="14">
        <v>1</v>
      </c>
      <c r="K44" s="14">
        <v>1</v>
      </c>
      <c r="L44" s="14" t="s">
        <v>31690</v>
      </c>
      <c r="M44" s="14" t="s">
        <v>1957</v>
      </c>
      <c r="N44" s="14" t="s">
        <v>31691</v>
      </c>
      <c r="O44" s="14" t="s">
        <v>7994</v>
      </c>
      <c r="P44" s="14" t="str">
        <f>HYPERLINK("https://dexscreener.com/solana/GpLF6vGzZvn2ZPdVxP7m1LTuAndbiKrpAbnFNVSEpump", "View")</f>
        <v>View</v>
      </c>
    </row>
    <row r="45" spans="1:16" x14ac:dyDescent="0.25">
      <c r="A45" s="16" t="s">
        <v>31692</v>
      </c>
      <c r="B45" s="17">
        <v>207077</v>
      </c>
      <c r="C45" s="17">
        <v>207077</v>
      </c>
      <c r="D45" s="17" t="s">
        <v>932</v>
      </c>
      <c r="E45" s="17" t="s">
        <v>3045</v>
      </c>
      <c r="F45" s="17" t="s">
        <v>27359</v>
      </c>
      <c r="G45" s="20" t="s">
        <v>5883</v>
      </c>
      <c r="H45" s="20" t="s">
        <v>31693</v>
      </c>
      <c r="I45" s="17" t="s">
        <v>88</v>
      </c>
      <c r="J45" s="17">
        <v>1</v>
      </c>
      <c r="K45" s="17">
        <v>1</v>
      </c>
      <c r="L45" s="17" t="s">
        <v>31694</v>
      </c>
      <c r="M45" s="17" t="s">
        <v>1957</v>
      </c>
      <c r="N45" s="17" t="s">
        <v>31695</v>
      </c>
      <c r="O45" s="17" t="s">
        <v>31696</v>
      </c>
      <c r="P45" s="17" t="str">
        <f>HYPERLINK("https://dexscreener.com/solana/rRj71UGE6RDHpS3hiPij7yGgipzGtGj1XWVjkv9pump", "View")</f>
        <v>View</v>
      </c>
    </row>
    <row r="46" spans="1:16" x14ac:dyDescent="0.25">
      <c r="A46" s="13" t="s">
        <v>5726</v>
      </c>
      <c r="B46" s="14">
        <v>96426</v>
      </c>
      <c r="C46" s="14">
        <v>96426</v>
      </c>
      <c r="D46" s="14" t="s">
        <v>932</v>
      </c>
      <c r="E46" s="14" t="s">
        <v>3045</v>
      </c>
      <c r="F46" s="14" t="s">
        <v>23145</v>
      </c>
      <c r="G46" s="21" t="s">
        <v>11683</v>
      </c>
      <c r="H46" s="21" t="s">
        <v>31697</v>
      </c>
      <c r="I46" s="14" t="s">
        <v>88</v>
      </c>
      <c r="J46" s="14">
        <v>1</v>
      </c>
      <c r="K46" s="14">
        <v>1</v>
      </c>
      <c r="L46" s="14" t="s">
        <v>31698</v>
      </c>
      <c r="M46" s="14" t="s">
        <v>2403</v>
      </c>
      <c r="N46" s="14" t="s">
        <v>31699</v>
      </c>
      <c r="O46" s="14" t="s">
        <v>5731</v>
      </c>
      <c r="P46" s="14" t="str">
        <f>HYPERLINK("https://dexscreener.com/solana/9pWPUXoZKWNPWyaegPQeR3Kn8aFz9nrGtm5jeAFzpump", "View")</f>
        <v>View</v>
      </c>
    </row>
    <row r="47" spans="1:16" x14ac:dyDescent="0.25">
      <c r="A47" s="16" t="s">
        <v>26024</v>
      </c>
      <c r="B47" s="17">
        <v>499696</v>
      </c>
      <c r="C47" s="17">
        <v>499696</v>
      </c>
      <c r="D47" s="17" t="s">
        <v>932</v>
      </c>
      <c r="E47" s="17" t="s">
        <v>3045</v>
      </c>
      <c r="F47" s="17" t="s">
        <v>9907</v>
      </c>
      <c r="G47" s="21" t="s">
        <v>17373</v>
      </c>
      <c r="H47" s="21" t="s">
        <v>31700</v>
      </c>
      <c r="I47" s="17" t="s">
        <v>88</v>
      </c>
      <c r="J47" s="17">
        <v>1</v>
      </c>
      <c r="K47" s="17">
        <v>1</v>
      </c>
      <c r="L47" s="17" t="s">
        <v>31701</v>
      </c>
      <c r="M47" s="17" t="s">
        <v>2403</v>
      </c>
      <c r="N47" s="17" t="s">
        <v>31702</v>
      </c>
      <c r="O47" s="17" t="s">
        <v>31703</v>
      </c>
      <c r="P47" s="17" t="str">
        <f>HYPERLINK("https://dexscreener.com/solana/EsMJ78uXg6Aj4rBKgHN5L9Xcxah4FNyGjr3uLQb3pump", "View")</f>
        <v>View</v>
      </c>
    </row>
    <row r="48" spans="1:16" x14ac:dyDescent="0.25">
      <c r="A48" s="13" t="s">
        <v>31704</v>
      </c>
      <c r="B48" s="14">
        <v>9277450</v>
      </c>
      <c r="C48" s="14">
        <v>9277450</v>
      </c>
      <c r="D48" s="14" t="s">
        <v>31705</v>
      </c>
      <c r="E48" s="14" t="s">
        <v>18315</v>
      </c>
      <c r="F48" s="14" t="s">
        <v>2677</v>
      </c>
      <c r="G48" s="20" t="s">
        <v>4762</v>
      </c>
      <c r="H48" s="20" t="s">
        <v>31706</v>
      </c>
      <c r="I48" s="14" t="s">
        <v>88</v>
      </c>
      <c r="J48" s="14">
        <v>1</v>
      </c>
      <c r="K48" s="14">
        <v>2</v>
      </c>
      <c r="L48" s="14" t="s">
        <v>31707</v>
      </c>
      <c r="M48" s="14" t="s">
        <v>823</v>
      </c>
      <c r="N48" s="14" t="s">
        <v>2263</v>
      </c>
      <c r="O48" s="14" t="s">
        <v>31708</v>
      </c>
      <c r="P48" s="14" t="str">
        <f>HYPERLINK("https://photon-sol.tinyastro.io/en/lp/DotVA9HhgQD4vhuAG3hjDJdrnwuuaJFYMkEFzgZypump?handle=676050794bc1b1657a56b", "View")</f>
        <v>View</v>
      </c>
    </row>
    <row r="49" spans="1:16" x14ac:dyDescent="0.25">
      <c r="A49" s="16" t="s">
        <v>1216</v>
      </c>
      <c r="B49" s="17">
        <v>947369</v>
      </c>
      <c r="C49" s="17">
        <v>947369</v>
      </c>
      <c r="D49" s="17" t="s">
        <v>932</v>
      </c>
      <c r="E49" s="17" t="s">
        <v>3045</v>
      </c>
      <c r="F49" s="17" t="s">
        <v>4031</v>
      </c>
      <c r="G49" s="22" t="s">
        <v>6058</v>
      </c>
      <c r="H49" s="22" t="s">
        <v>31709</v>
      </c>
      <c r="I49" s="17" t="s">
        <v>88</v>
      </c>
      <c r="J49" s="17">
        <v>1</v>
      </c>
      <c r="K49" s="17">
        <v>1</v>
      </c>
      <c r="L49" s="17" t="s">
        <v>31710</v>
      </c>
      <c r="M49" s="17" t="s">
        <v>5501</v>
      </c>
      <c r="N49" s="17" t="s">
        <v>31711</v>
      </c>
      <c r="O49" s="17" t="s">
        <v>1220</v>
      </c>
      <c r="P49" s="17" t="str">
        <f>HYPERLINK("https://dexscreener.com/solana/D1kWoYYgLk9KLkGUh2MUfDFzpnTTyixRqBZX7a1i2MEz", "View")</f>
        <v>View</v>
      </c>
    </row>
    <row r="50" spans="1:16" x14ac:dyDescent="0.25">
      <c r="A50" s="13" t="s">
        <v>31712</v>
      </c>
      <c r="B50" s="14">
        <v>8714018</v>
      </c>
      <c r="C50" s="14">
        <v>8714018</v>
      </c>
      <c r="D50" s="14" t="s">
        <v>31713</v>
      </c>
      <c r="E50" s="14" t="s">
        <v>31714</v>
      </c>
      <c r="F50" s="14" t="s">
        <v>31715</v>
      </c>
      <c r="G50" s="21" t="s">
        <v>31716</v>
      </c>
      <c r="H50" s="21" t="s">
        <v>31717</v>
      </c>
      <c r="I50" s="14" t="s">
        <v>88</v>
      </c>
      <c r="J50" s="14">
        <v>5</v>
      </c>
      <c r="K50" s="14">
        <v>11</v>
      </c>
      <c r="L50" s="14" t="s">
        <v>31718</v>
      </c>
      <c r="M50" s="14" t="s">
        <v>117</v>
      </c>
      <c r="N50" s="14" t="s">
        <v>31719</v>
      </c>
      <c r="O50" s="14" t="s">
        <v>31720</v>
      </c>
      <c r="P50" s="14" t="str">
        <f>HYPERLINK("https://photon-sol.tinyastro.io/en/lp/vZz4CG7njSwnVHCh8neWPY6tSxXHXvAwL5U2J2Epump?handle=676050794bc1b1657a56b", "View")</f>
        <v>View</v>
      </c>
    </row>
    <row r="51" spans="1:16" x14ac:dyDescent="0.25">
      <c r="A51" s="16" t="s">
        <v>31721</v>
      </c>
      <c r="B51" s="17">
        <v>2754948</v>
      </c>
      <c r="C51" s="17">
        <v>2754948</v>
      </c>
      <c r="D51" s="17" t="s">
        <v>932</v>
      </c>
      <c r="E51" s="17" t="s">
        <v>31722</v>
      </c>
      <c r="F51" s="17" t="s">
        <v>31723</v>
      </c>
      <c r="G51" s="21" t="s">
        <v>31724</v>
      </c>
      <c r="H51" s="21" t="s">
        <v>31725</v>
      </c>
      <c r="I51" s="17" t="s">
        <v>88</v>
      </c>
      <c r="J51" s="17">
        <v>1</v>
      </c>
      <c r="K51" s="17">
        <v>1</v>
      </c>
      <c r="L51" s="17" t="s">
        <v>31726</v>
      </c>
      <c r="M51" s="17" t="s">
        <v>1434</v>
      </c>
      <c r="N51" s="17" t="s">
        <v>31727</v>
      </c>
      <c r="O51" s="17" t="s">
        <v>31728</v>
      </c>
      <c r="P51" s="17" t="str">
        <f>HYPERLINK("https://dexscreener.com/solana/GMm2tVqBF5w9DLFVPT2D8sNjJUdU96h1wsNJxn5upump", "View")</f>
        <v>View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C9A0-28EE-47BE-A09B-9808B3A140C0}">
  <dimension ref="A1:P2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HYPERLINK("https://gmgn.ai/sol/address/BuaCKVPQXAhbG7n9NxZ9Kq76nhwyirZCy3pbk453E9sx", "GMGN")</f>
        <v>GMGN</v>
      </c>
    </row>
    <row r="2" spans="1:14" x14ac:dyDescent="0.25">
      <c r="A2" s="3" t="s">
        <v>31729</v>
      </c>
      <c r="B2" s="3" t="s">
        <v>28096</v>
      </c>
      <c r="C2" s="3" t="s">
        <v>1771</v>
      </c>
      <c r="D2" s="3" t="s">
        <v>29422</v>
      </c>
      <c r="E2" s="3" t="s">
        <v>31730</v>
      </c>
      <c r="F2" s="3" t="s">
        <v>18</v>
      </c>
      <c r="G2" s="3" t="s">
        <v>18</v>
      </c>
      <c r="H2" s="3">
        <v>8</v>
      </c>
      <c r="I2" s="3">
        <v>0</v>
      </c>
      <c r="J2" s="3" t="s">
        <v>699</v>
      </c>
      <c r="K2" s="3" t="s">
        <v>1566</v>
      </c>
      <c r="L2" s="3">
        <v>8</v>
      </c>
      <c r="M2" s="3">
        <v>7</v>
      </c>
      <c r="N2" s="3" t="str">
        <f>HYPERLINK("https://solscan.io/account/BuaCKVPQXAhbG7n9NxZ9Kq76nhwyirZCy3pbk453E9sx", "Solscan")</f>
        <v>Solscan</v>
      </c>
    </row>
    <row r="3" spans="1:14" x14ac:dyDescent="0.25">
      <c r="A3" s="1" t="s">
        <v>21</v>
      </c>
      <c r="B3" s="23" t="s">
        <v>31731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HYPERLINK("https://birdeye.so/profile/BuaCKVPQXAhbG7n9NxZ9Kq76nhwyirZCy3pbk453E9sx", "Birdeye")</f>
        <v>Birdeye</v>
      </c>
    </row>
    <row r="4" spans="1:14" x14ac:dyDescent="0.25">
      <c r="A4" s="1" t="s">
        <v>25</v>
      </c>
      <c r="B4" s="23" t="s">
        <v>9638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4</v>
      </c>
      <c r="D10" s="1">
        <v>2</v>
      </c>
      <c r="E10" s="1">
        <v>0</v>
      </c>
      <c r="F10" s="1">
        <v>0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9643</v>
      </c>
      <c r="D11" s="1" t="s">
        <v>24242</v>
      </c>
      <c r="E11" s="1" t="s">
        <v>1779</v>
      </c>
      <c r="F11" s="1" t="s">
        <v>1779</v>
      </c>
      <c r="G11" s="1" t="s">
        <v>24242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31732</v>
      </c>
      <c r="D12" s="1" t="s">
        <v>8458</v>
      </c>
      <c r="E12" s="1" t="s">
        <v>1786</v>
      </c>
      <c r="F12" s="1" t="s">
        <v>1786</v>
      </c>
      <c r="G12" s="1" t="s">
        <v>4130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2024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27497</v>
      </c>
      <c r="B20" s="14">
        <v>9438978</v>
      </c>
      <c r="C20" s="14">
        <v>9438978</v>
      </c>
      <c r="D20" s="14" t="s">
        <v>27498</v>
      </c>
      <c r="E20" s="14" t="s">
        <v>31733</v>
      </c>
      <c r="F20" s="14" t="s">
        <v>30537</v>
      </c>
      <c r="G20" s="21" t="s">
        <v>19777</v>
      </c>
      <c r="H20" s="21" t="s">
        <v>31734</v>
      </c>
      <c r="I20" s="14" t="s">
        <v>88</v>
      </c>
      <c r="J20" s="14">
        <v>1</v>
      </c>
      <c r="K20" s="14">
        <v>2</v>
      </c>
      <c r="L20" s="14" t="s">
        <v>31735</v>
      </c>
      <c r="M20" s="14" t="s">
        <v>602</v>
      </c>
      <c r="N20" s="14" t="s">
        <v>507</v>
      </c>
      <c r="O20" s="14" t="s">
        <v>27501</v>
      </c>
      <c r="P20" s="14" t="str">
        <f>HYPERLINK("https://photon-sol.tinyastro.io/en/lp/4KdmmBF845nJknS1DpWWdL8CsjKExFoUmiEnzHrtpump?handle=676050794bc1b1657a56b", "View")</f>
        <v>View</v>
      </c>
    </row>
    <row r="21" spans="1:16" x14ac:dyDescent="0.25">
      <c r="A21" s="16" t="s">
        <v>27502</v>
      </c>
      <c r="B21" s="17">
        <v>4834750</v>
      </c>
      <c r="C21" s="17">
        <v>4834750</v>
      </c>
      <c r="D21" s="17" t="s">
        <v>27498</v>
      </c>
      <c r="E21" s="17" t="s">
        <v>13788</v>
      </c>
      <c r="F21" s="17" t="s">
        <v>5641</v>
      </c>
      <c r="G21" s="15" t="s">
        <v>31736</v>
      </c>
      <c r="H21" s="15" t="s">
        <v>31737</v>
      </c>
      <c r="I21" s="17" t="s">
        <v>88</v>
      </c>
      <c r="J21" s="17">
        <v>1</v>
      </c>
      <c r="K21" s="17">
        <v>2</v>
      </c>
      <c r="L21" s="17" t="s">
        <v>29611</v>
      </c>
      <c r="M21" s="17" t="s">
        <v>1434</v>
      </c>
      <c r="N21" s="17" t="s">
        <v>31738</v>
      </c>
      <c r="O21" s="17" t="s">
        <v>27505</v>
      </c>
      <c r="P21" s="17" t="str">
        <f>HYPERLINK("https://photon-sol.tinyastro.io/en/lp/ChhFGDYQ5n6UkCcsX3NDXHfdgoFbjBMn1msye5HDpump?handle=676050794bc1b1657a56b", "View")</f>
        <v>View</v>
      </c>
    </row>
    <row r="22" spans="1:16" x14ac:dyDescent="0.25">
      <c r="A22" s="13" t="s">
        <v>27506</v>
      </c>
      <c r="B22" s="14">
        <v>8410960</v>
      </c>
      <c r="C22" s="14">
        <v>8410960</v>
      </c>
      <c r="D22" s="14" t="s">
        <v>29417</v>
      </c>
      <c r="E22" s="14" t="s">
        <v>9815</v>
      </c>
      <c r="F22" s="14" t="s">
        <v>31739</v>
      </c>
      <c r="G22" s="21" t="s">
        <v>31740</v>
      </c>
      <c r="H22" s="21" t="s">
        <v>31741</v>
      </c>
      <c r="I22" s="14" t="s">
        <v>88</v>
      </c>
      <c r="J22" s="14">
        <v>1</v>
      </c>
      <c r="K22" s="14">
        <v>1</v>
      </c>
      <c r="L22" s="14" t="s">
        <v>31742</v>
      </c>
      <c r="M22" s="14" t="s">
        <v>602</v>
      </c>
      <c r="N22" s="14" t="s">
        <v>794</v>
      </c>
      <c r="O22" s="14" t="s">
        <v>27510</v>
      </c>
      <c r="P22" s="14" t="str">
        <f>HYPERLINK("https://photon-sol.tinyastro.io/en/lp/DSMBxacyzGiqNgmadjZPMMGY2EEjRriH4HMbFDbRpump?handle=676050794bc1b1657a56b", "View")</f>
        <v>View</v>
      </c>
    </row>
    <row r="23" spans="1:16" x14ac:dyDescent="0.25">
      <c r="A23" s="16" t="s">
        <v>29617</v>
      </c>
      <c r="B23" s="17">
        <v>8026445</v>
      </c>
      <c r="C23" s="17">
        <v>8026445</v>
      </c>
      <c r="D23" s="17" t="s">
        <v>29417</v>
      </c>
      <c r="E23" s="17" t="s">
        <v>5720</v>
      </c>
      <c r="F23" s="17" t="s">
        <v>5860</v>
      </c>
      <c r="G23" s="15" t="s">
        <v>8729</v>
      </c>
      <c r="H23" s="15" t="s">
        <v>31743</v>
      </c>
      <c r="I23" s="17" t="s">
        <v>88</v>
      </c>
      <c r="J23" s="17">
        <v>1</v>
      </c>
      <c r="K23" s="17">
        <v>1</v>
      </c>
      <c r="L23" s="17" t="s">
        <v>29619</v>
      </c>
      <c r="M23" s="17" t="s">
        <v>1566</v>
      </c>
      <c r="N23" s="17" t="s">
        <v>5809</v>
      </c>
      <c r="O23" s="17" t="s">
        <v>29620</v>
      </c>
      <c r="P23" s="17" t="str">
        <f>HYPERLINK("https://photon-sol.tinyastro.io/en/lp/H6WfFZ5EjUDmJoGvJpsChUZTiRuNGuMr3xoSRssEpump?handle=676050794bc1b1657a56b", "View")</f>
        <v>View</v>
      </c>
    </row>
    <row r="24" spans="1:16" x14ac:dyDescent="0.25">
      <c r="A24" s="13" t="s">
        <v>4867</v>
      </c>
      <c r="B24" s="14">
        <v>9915954</v>
      </c>
      <c r="C24" s="14">
        <v>9915954</v>
      </c>
      <c r="D24" s="14" t="s">
        <v>29417</v>
      </c>
      <c r="E24" s="14" t="s">
        <v>3523</v>
      </c>
      <c r="F24" s="14" t="s">
        <v>14526</v>
      </c>
      <c r="G24" s="21" t="s">
        <v>14865</v>
      </c>
      <c r="H24" s="21" t="s">
        <v>31744</v>
      </c>
      <c r="I24" s="14" t="s">
        <v>88</v>
      </c>
      <c r="J24" s="14">
        <v>1</v>
      </c>
      <c r="K24" s="14">
        <v>1</v>
      </c>
      <c r="L24" s="14" t="s">
        <v>31745</v>
      </c>
      <c r="M24" s="14" t="s">
        <v>937</v>
      </c>
      <c r="N24" s="14" t="s">
        <v>31746</v>
      </c>
      <c r="O24" s="14" t="s">
        <v>27016</v>
      </c>
      <c r="P24" s="14" t="str">
        <f>HYPERLINK("https://photon-sol.tinyastro.io/en/lp/BPFXTGBjoARa89gbSvbp7Dy6cQwgGc7efW1jE8nTpump?handle=676050794bc1b1657a56b", "View")</f>
        <v>View</v>
      </c>
    </row>
    <row r="25" spans="1:16" x14ac:dyDescent="0.25">
      <c r="A25" s="16" t="s">
        <v>27524</v>
      </c>
      <c r="B25" s="17">
        <v>9598011</v>
      </c>
      <c r="C25" s="17">
        <v>9598011</v>
      </c>
      <c r="D25" s="17" t="s">
        <v>29626</v>
      </c>
      <c r="E25" s="17" t="s">
        <v>15634</v>
      </c>
      <c r="F25" s="17" t="s">
        <v>31747</v>
      </c>
      <c r="G25" s="21" t="s">
        <v>22598</v>
      </c>
      <c r="H25" s="21" t="s">
        <v>31748</v>
      </c>
      <c r="I25" s="17" t="s">
        <v>88</v>
      </c>
      <c r="J25" s="17">
        <v>1</v>
      </c>
      <c r="K25" s="17">
        <v>3</v>
      </c>
      <c r="L25" s="17" t="s">
        <v>31749</v>
      </c>
      <c r="M25" s="17" t="s">
        <v>1566</v>
      </c>
      <c r="N25" s="17" t="s">
        <v>31750</v>
      </c>
      <c r="O25" s="17" t="s">
        <v>27528</v>
      </c>
      <c r="P25" s="17" t="str">
        <f>HYPERLINK("https://photon-sol.tinyastro.io/en/lp/GeHMGsBk1SfZSmRccWiUxoGd9ZpYHhTYYqMn95Hapump?handle=676050794bc1b1657a56b", "View")</f>
        <v>View</v>
      </c>
    </row>
    <row r="26" spans="1:16" x14ac:dyDescent="0.25">
      <c r="A26" s="13" t="s">
        <v>17919</v>
      </c>
      <c r="B26" s="14">
        <v>6499962</v>
      </c>
      <c r="C26" s="14">
        <v>6499962</v>
      </c>
      <c r="D26" s="14" t="s">
        <v>27498</v>
      </c>
      <c r="E26" s="14" t="s">
        <v>31751</v>
      </c>
      <c r="F26" s="14" t="s">
        <v>31752</v>
      </c>
      <c r="G26" s="21" t="s">
        <v>31753</v>
      </c>
      <c r="H26" s="21" t="s">
        <v>31754</v>
      </c>
      <c r="I26" s="14" t="s">
        <v>88</v>
      </c>
      <c r="J26" s="14">
        <v>1</v>
      </c>
      <c r="K26" s="14">
        <v>2</v>
      </c>
      <c r="L26" s="14" t="s">
        <v>31755</v>
      </c>
      <c r="M26" s="14" t="s">
        <v>1566</v>
      </c>
      <c r="N26" s="14" t="s">
        <v>31756</v>
      </c>
      <c r="O26" s="14" t="s">
        <v>17925</v>
      </c>
      <c r="P26" s="14" t="str">
        <f>HYPERLINK("https://photon-sol.tinyastro.io/en/lp/BxaRiJpUwPkiUfwUe7bXqMZV5EG8Xx5BZaY6QM3Jpump?handle=676050794bc1b1657a56b", "View")</f>
        <v>View</v>
      </c>
    </row>
    <row r="27" spans="1:16" x14ac:dyDescent="0.25">
      <c r="A27" s="16" t="s">
        <v>9071</v>
      </c>
      <c r="B27" s="17">
        <v>5906762</v>
      </c>
      <c r="C27" s="17">
        <v>5906762</v>
      </c>
      <c r="D27" s="17" t="s">
        <v>31757</v>
      </c>
      <c r="E27" s="17" t="s">
        <v>28584</v>
      </c>
      <c r="F27" s="17" t="s">
        <v>31758</v>
      </c>
      <c r="G27" s="21" t="s">
        <v>31759</v>
      </c>
      <c r="H27" s="21" t="s">
        <v>31760</v>
      </c>
      <c r="I27" s="17" t="s">
        <v>88</v>
      </c>
      <c r="J27" s="17">
        <v>1</v>
      </c>
      <c r="K27" s="17">
        <v>7</v>
      </c>
      <c r="L27" s="17" t="s">
        <v>31761</v>
      </c>
      <c r="M27" s="17" t="s">
        <v>1642</v>
      </c>
      <c r="N27" s="17" t="s">
        <v>31762</v>
      </c>
      <c r="O27" s="17" t="s">
        <v>9078</v>
      </c>
      <c r="P27" s="17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18CA-3105-436F-BB32-FD6EC9347E60}">
  <dimension ref="A1:P3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HYPERLINK("https://gmgn.ai/sol/address/5mcVquZq8V6pHWxLRww8zv3YSmh2DqWTAURjtcDJmECd", "GMGN")</f>
        <v>GMGN</v>
      </c>
    </row>
    <row r="2" spans="1:14" x14ac:dyDescent="0.25">
      <c r="A2" s="3" t="s">
        <v>31763</v>
      </c>
      <c r="B2" s="3" t="s">
        <v>31764</v>
      </c>
      <c r="C2" s="3" t="s">
        <v>9638</v>
      </c>
      <c r="D2" s="3" t="s">
        <v>14160</v>
      </c>
      <c r="E2" s="3" t="s">
        <v>31765</v>
      </c>
      <c r="F2" s="3" t="s">
        <v>21191</v>
      </c>
      <c r="G2" s="3" t="s">
        <v>18</v>
      </c>
      <c r="H2" s="3">
        <v>14</v>
      </c>
      <c r="I2" s="3">
        <v>0</v>
      </c>
      <c r="J2" s="3" t="s">
        <v>17039</v>
      </c>
      <c r="K2" s="3" t="s">
        <v>2695</v>
      </c>
      <c r="L2" s="3">
        <v>12</v>
      </c>
      <c r="M2" s="3">
        <v>20</v>
      </c>
      <c r="N2" s="3" t="str">
        <f>HYPERLINK("https://solscan.io/account/5mcVquZq8V6pHWxLRww8zv3YSmh2DqWTAURjtcDJmECd", "Solscan")</f>
        <v>Solscan</v>
      </c>
    </row>
    <row r="3" spans="1:14" x14ac:dyDescent="0.25">
      <c r="A3" s="1" t="s">
        <v>21</v>
      </c>
      <c r="B3" s="4" t="s">
        <v>31766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HYPERLINK("https://birdeye.so/profile/5mcVquZq8V6pHWxLRww8zv3YSmh2DqWTAURjtcDJmECd", "Birdeye")</f>
        <v>Birdeye</v>
      </c>
    </row>
    <row r="4" spans="1:14" x14ac:dyDescent="0.25">
      <c r="A4" s="1" t="s">
        <v>25</v>
      </c>
      <c r="B4" s="3" t="s">
        <v>11184</v>
      </c>
      <c r="C4" s="3"/>
      <c r="D4" s="3" t="s">
        <v>31767</v>
      </c>
      <c r="E4" s="3" t="s">
        <v>31768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31769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31770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0</v>
      </c>
      <c r="E10" s="1">
        <v>3</v>
      </c>
      <c r="F10" s="1">
        <v>3</v>
      </c>
      <c r="G10" s="1">
        <v>4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21271</v>
      </c>
      <c r="C11" s="1" t="s">
        <v>21273</v>
      </c>
      <c r="D11" s="1" t="s">
        <v>1779</v>
      </c>
      <c r="E11" s="1" t="s">
        <v>21273</v>
      </c>
      <c r="F11" s="1" t="s">
        <v>21273</v>
      </c>
      <c r="G11" s="1" t="s">
        <v>4125</v>
      </c>
      <c r="H11" s="3"/>
      <c r="I11" s="3" t="s">
        <v>50</v>
      </c>
      <c r="J11" s="3" t="s">
        <v>15564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31771</v>
      </c>
      <c r="C12" s="1" t="s">
        <v>31772</v>
      </c>
      <c r="D12" s="1" t="s">
        <v>1786</v>
      </c>
      <c r="E12" s="1" t="s">
        <v>31773</v>
      </c>
      <c r="F12" s="1" t="s">
        <v>26716</v>
      </c>
      <c r="G12" s="1" t="s">
        <v>30022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1583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15569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25345</v>
      </c>
      <c r="B20" s="14">
        <v>43830236</v>
      </c>
      <c r="C20" s="14">
        <v>27736594</v>
      </c>
      <c r="D20" s="14" t="s">
        <v>4782</v>
      </c>
      <c r="E20" s="14" t="s">
        <v>31774</v>
      </c>
      <c r="F20" s="14" t="s">
        <v>31775</v>
      </c>
      <c r="G20" s="21" t="s">
        <v>31776</v>
      </c>
      <c r="H20" s="21" t="s">
        <v>31777</v>
      </c>
      <c r="I20" s="14" t="s">
        <v>88</v>
      </c>
      <c r="J20" s="14">
        <v>23</v>
      </c>
      <c r="K20" s="14">
        <v>8</v>
      </c>
      <c r="L20" s="14" t="s">
        <v>31778</v>
      </c>
      <c r="M20" s="14" t="s">
        <v>132</v>
      </c>
      <c r="N20" s="14" t="s">
        <v>31779</v>
      </c>
      <c r="O20" s="14" t="s">
        <v>25349</v>
      </c>
      <c r="P20" s="14" t="str">
        <f>HYPERLINK("https://photon-sol.tinyastro.io/en/lp/12HXYh3MHmyuraHtd82fGEKSwuhdsbPo1utXQKvXpump?handle=676050794bc1b1657a56b", "View")</f>
        <v>View</v>
      </c>
    </row>
    <row r="21" spans="1:16" x14ac:dyDescent="0.25">
      <c r="A21" s="16" t="s">
        <v>31780</v>
      </c>
      <c r="B21" s="17">
        <v>28105511</v>
      </c>
      <c r="C21" s="17">
        <v>28105511</v>
      </c>
      <c r="D21" s="17" t="s">
        <v>864</v>
      </c>
      <c r="E21" s="17" t="s">
        <v>31781</v>
      </c>
      <c r="F21" s="17" t="s">
        <v>31782</v>
      </c>
      <c r="G21" s="21" t="s">
        <v>17932</v>
      </c>
      <c r="H21" s="21" t="s">
        <v>31783</v>
      </c>
      <c r="I21" s="17" t="s">
        <v>88</v>
      </c>
      <c r="J21" s="17">
        <v>1</v>
      </c>
      <c r="K21" s="17">
        <v>1</v>
      </c>
      <c r="L21" s="17" t="s">
        <v>31784</v>
      </c>
      <c r="M21" s="19" t="s">
        <v>2350</v>
      </c>
      <c r="N21" s="17" t="s">
        <v>1738</v>
      </c>
      <c r="O21" s="17" t="s">
        <v>31785</v>
      </c>
      <c r="P21" s="17" t="str">
        <f>HYPERLINK("https://photon-sol.tinyastro.io/en/lp/6UTw3LkUu35WMaY1WyBK53qY9f6Nf3o8ax9T9njBpump?handle=676050794bc1b1657a56b", "View")</f>
        <v>View</v>
      </c>
    </row>
    <row r="22" spans="1:16" x14ac:dyDescent="0.25">
      <c r="A22" s="13" t="s">
        <v>1794</v>
      </c>
      <c r="B22" s="14">
        <v>1242640</v>
      </c>
      <c r="C22" s="14">
        <v>1242640</v>
      </c>
      <c r="D22" s="14" t="s">
        <v>883</v>
      </c>
      <c r="E22" s="14" t="s">
        <v>6467</v>
      </c>
      <c r="F22" s="14" t="s">
        <v>19379</v>
      </c>
      <c r="G22" s="15" t="s">
        <v>31786</v>
      </c>
      <c r="H22" s="15" t="s">
        <v>31787</v>
      </c>
      <c r="I22" s="14" t="s">
        <v>88</v>
      </c>
      <c r="J22" s="14">
        <v>2</v>
      </c>
      <c r="K22" s="14">
        <v>1</v>
      </c>
      <c r="L22" s="14" t="s">
        <v>31788</v>
      </c>
      <c r="M22" s="14" t="s">
        <v>179</v>
      </c>
      <c r="N22" s="14" t="s">
        <v>31789</v>
      </c>
      <c r="O22" s="14" t="s">
        <v>1802</v>
      </c>
      <c r="P22" s="14" t="str">
        <f>HYPERLINK("https://dexscreener.com/solana/WziqSdg6EGYooGBmoxeUWLe2Czwk7AsEH2J42cepump", "View")</f>
        <v>View</v>
      </c>
    </row>
    <row r="23" spans="1:16" x14ac:dyDescent="0.25">
      <c r="A23" s="16" t="s">
        <v>31790</v>
      </c>
      <c r="B23" s="17">
        <v>51507151</v>
      </c>
      <c r="C23" s="17">
        <v>51507151</v>
      </c>
      <c r="D23" s="17" t="s">
        <v>883</v>
      </c>
      <c r="E23" s="17" t="s">
        <v>31791</v>
      </c>
      <c r="F23" s="17" t="s">
        <v>31792</v>
      </c>
      <c r="G23" s="20" t="s">
        <v>31793</v>
      </c>
      <c r="H23" s="20" t="s">
        <v>31794</v>
      </c>
      <c r="I23" s="17" t="s">
        <v>88</v>
      </c>
      <c r="J23" s="17">
        <v>2</v>
      </c>
      <c r="K23" s="17">
        <v>1</v>
      </c>
      <c r="L23" s="17" t="s">
        <v>31795</v>
      </c>
      <c r="M23" s="17" t="s">
        <v>304</v>
      </c>
      <c r="N23" s="17" t="s">
        <v>3633</v>
      </c>
      <c r="O23" s="17" t="s">
        <v>31796</v>
      </c>
      <c r="P23" s="17" t="str">
        <f>HYPERLINK("https://photon-sol.tinyastro.io/en/lp/CcgeCnqfvqcMdBHGyYoDqcRe2NPPq347v7bDqxRApump?handle=676050794bc1b1657a56b", "View")</f>
        <v>View</v>
      </c>
    </row>
    <row r="24" spans="1:16" x14ac:dyDescent="0.25">
      <c r="A24" s="13" t="s">
        <v>29287</v>
      </c>
      <c r="B24" s="14">
        <v>33524110</v>
      </c>
      <c r="C24" s="14">
        <v>33524110</v>
      </c>
      <c r="D24" s="14" t="s">
        <v>864</v>
      </c>
      <c r="E24" s="14" t="s">
        <v>31781</v>
      </c>
      <c r="F24" s="14" t="s">
        <v>14495</v>
      </c>
      <c r="G24" s="22" t="s">
        <v>6843</v>
      </c>
      <c r="H24" s="22" t="s">
        <v>31797</v>
      </c>
      <c r="I24" s="14" t="s">
        <v>88</v>
      </c>
      <c r="J24" s="14">
        <v>1</v>
      </c>
      <c r="K24" s="14">
        <v>1</v>
      </c>
      <c r="L24" s="14" t="s">
        <v>31798</v>
      </c>
      <c r="M24" s="14" t="s">
        <v>788</v>
      </c>
      <c r="N24" s="14" t="s">
        <v>21849</v>
      </c>
      <c r="O24" s="14" t="s">
        <v>29292</v>
      </c>
      <c r="P24" s="14" t="str">
        <f>HYPERLINK("https://photon-sol.tinyastro.io/en/lp/FgNJRhSsLa9RMvajHgdbv2oZYykGSUJ4bhfrKZaApump?handle=676050794bc1b1657a56b", "View")</f>
        <v>View</v>
      </c>
    </row>
    <row r="25" spans="1:16" x14ac:dyDescent="0.25">
      <c r="A25" s="16" t="s">
        <v>7930</v>
      </c>
      <c r="B25" s="17">
        <v>2576048</v>
      </c>
      <c r="C25" s="17">
        <v>2576048</v>
      </c>
      <c r="D25" s="17" t="s">
        <v>864</v>
      </c>
      <c r="E25" s="17" t="s">
        <v>2408</v>
      </c>
      <c r="F25" s="17" t="s">
        <v>16578</v>
      </c>
      <c r="G25" s="15" t="s">
        <v>14814</v>
      </c>
      <c r="H25" s="15" t="s">
        <v>31799</v>
      </c>
      <c r="I25" s="17" t="s">
        <v>88</v>
      </c>
      <c r="J25" s="17">
        <v>1</v>
      </c>
      <c r="K25" s="17">
        <v>1</v>
      </c>
      <c r="L25" s="17" t="s">
        <v>31800</v>
      </c>
      <c r="M25" s="17" t="s">
        <v>788</v>
      </c>
      <c r="N25" s="17" t="s">
        <v>31801</v>
      </c>
      <c r="O25" s="17" t="s">
        <v>7934</v>
      </c>
      <c r="P25" s="17" t="str">
        <f>HYPERLINK("https://photon-sol.tinyastro.io/en/lp/J83JGjNQDAKFHoXQc4oSNKHKm3X2x3AUi1YA8wdRpump?handle=676050794bc1b1657a56b", "View")</f>
        <v>View</v>
      </c>
    </row>
    <row r="26" spans="1:16" x14ac:dyDescent="0.25">
      <c r="A26" s="13" t="s">
        <v>29300</v>
      </c>
      <c r="B26" s="14">
        <v>34454434</v>
      </c>
      <c r="C26" s="14">
        <v>34454434</v>
      </c>
      <c r="D26" s="14" t="s">
        <v>883</v>
      </c>
      <c r="E26" s="14" t="s">
        <v>4450</v>
      </c>
      <c r="F26" s="14" t="s">
        <v>12491</v>
      </c>
      <c r="G26" s="21" t="s">
        <v>31802</v>
      </c>
      <c r="H26" s="21" t="s">
        <v>31803</v>
      </c>
      <c r="I26" s="14" t="s">
        <v>88</v>
      </c>
      <c r="J26" s="14">
        <v>3</v>
      </c>
      <c r="K26" s="14">
        <v>1</v>
      </c>
      <c r="L26" s="14" t="s">
        <v>31804</v>
      </c>
      <c r="M26" s="14" t="s">
        <v>1705</v>
      </c>
      <c r="N26" s="14" t="s">
        <v>31805</v>
      </c>
      <c r="O26" s="14" t="s">
        <v>29304</v>
      </c>
      <c r="P26" s="14" t="str">
        <f>HYPERLINK("https://photon-sol.tinyastro.io/en/lp/wSqBecHDZYSUBgCeHhKBqUR73TYm4CZBoLN1pWspump?handle=676050794bc1b1657a56b", "View")</f>
        <v>View</v>
      </c>
    </row>
    <row r="27" spans="1:16" x14ac:dyDescent="0.25">
      <c r="A27" s="16" t="s">
        <v>31806</v>
      </c>
      <c r="B27" s="17">
        <v>37380097</v>
      </c>
      <c r="C27" s="17">
        <v>37380097</v>
      </c>
      <c r="D27" s="17" t="s">
        <v>864</v>
      </c>
      <c r="E27" s="17" t="s">
        <v>31781</v>
      </c>
      <c r="F27" s="17" t="s">
        <v>31807</v>
      </c>
      <c r="G27" s="22" t="s">
        <v>3275</v>
      </c>
      <c r="H27" s="22" t="s">
        <v>24596</v>
      </c>
      <c r="I27" s="17" t="s">
        <v>88</v>
      </c>
      <c r="J27" s="17">
        <v>1</v>
      </c>
      <c r="K27" s="17">
        <v>1</v>
      </c>
      <c r="L27" s="17" t="s">
        <v>31808</v>
      </c>
      <c r="M27" s="17" t="s">
        <v>1448</v>
      </c>
      <c r="N27" s="17" t="s">
        <v>3296</v>
      </c>
      <c r="O27" s="17" t="s">
        <v>31809</v>
      </c>
      <c r="P27" s="17" t="str">
        <f>HYPERLINK("https://photon-sol.tinyastro.io/en/lp/3UA1FKAxY9zkH8dbrxnRW7hyyStR6dw8i9hykpfcpump?handle=676050794bc1b1657a56b", "View")</f>
        <v>View</v>
      </c>
    </row>
    <row r="28" spans="1:16" x14ac:dyDescent="0.25">
      <c r="A28" s="13" t="s">
        <v>19100</v>
      </c>
      <c r="B28" s="14">
        <v>51344954</v>
      </c>
      <c r="C28" s="14">
        <v>51344954</v>
      </c>
      <c r="D28" s="14" t="s">
        <v>883</v>
      </c>
      <c r="E28" s="14" t="s">
        <v>4450</v>
      </c>
      <c r="F28" s="14" t="s">
        <v>2972</v>
      </c>
      <c r="G28" s="20" t="s">
        <v>31810</v>
      </c>
      <c r="H28" s="20" t="s">
        <v>31811</v>
      </c>
      <c r="I28" s="14" t="s">
        <v>88</v>
      </c>
      <c r="J28" s="14">
        <v>3</v>
      </c>
      <c r="K28" s="14">
        <v>1</v>
      </c>
      <c r="L28" s="14" t="s">
        <v>31812</v>
      </c>
      <c r="M28" s="14" t="s">
        <v>3180</v>
      </c>
      <c r="N28" s="14" t="s">
        <v>507</v>
      </c>
      <c r="O28" s="14" t="s">
        <v>31813</v>
      </c>
      <c r="P28" s="14" t="str">
        <f>HYPERLINK("https://photon-sol.tinyastro.io/en/lp/5YqaiPg9ihQtmuk9T2wDGWadsuzPLnmqLotvBEgrpump?handle=676050794bc1b1657a56b", "View")</f>
        <v>View</v>
      </c>
    </row>
    <row r="29" spans="1:16" x14ac:dyDescent="0.25">
      <c r="A29" s="16" t="s">
        <v>31814</v>
      </c>
      <c r="B29" s="17">
        <v>80633578</v>
      </c>
      <c r="C29" s="17">
        <v>80633578</v>
      </c>
      <c r="D29" s="17" t="s">
        <v>883</v>
      </c>
      <c r="E29" s="17" t="s">
        <v>31815</v>
      </c>
      <c r="F29" s="17" t="s">
        <v>31816</v>
      </c>
      <c r="G29" s="20" t="s">
        <v>31817</v>
      </c>
      <c r="H29" s="20" t="s">
        <v>31818</v>
      </c>
      <c r="I29" s="17" t="s">
        <v>88</v>
      </c>
      <c r="J29" s="17">
        <v>3</v>
      </c>
      <c r="K29" s="17">
        <v>1</v>
      </c>
      <c r="L29" s="17" t="s">
        <v>31819</v>
      </c>
      <c r="M29" s="17" t="s">
        <v>2695</v>
      </c>
      <c r="N29" s="17" t="s">
        <v>27810</v>
      </c>
      <c r="O29" s="17" t="s">
        <v>31820</v>
      </c>
      <c r="P29" s="17" t="str">
        <f>HYPERLINK("https://photon-sol.tinyastro.io/en/lp/FGrzeF43gopcfZHDTswLEo29XjbBvFD8axJFho3spump?handle=676050794bc1b1657a56b", "View")</f>
        <v>View</v>
      </c>
    </row>
    <row r="30" spans="1:16" x14ac:dyDescent="0.25">
      <c r="A30" s="13" t="s">
        <v>3071</v>
      </c>
      <c r="B30" s="14">
        <v>60057569</v>
      </c>
      <c r="C30" s="14">
        <v>28198581</v>
      </c>
      <c r="D30" s="14" t="s">
        <v>31821</v>
      </c>
      <c r="E30" s="14" t="s">
        <v>31822</v>
      </c>
      <c r="F30" s="14" t="s">
        <v>31823</v>
      </c>
      <c r="G30" s="22" t="s">
        <v>31824</v>
      </c>
      <c r="H30" s="22" t="s">
        <v>31825</v>
      </c>
      <c r="I30" s="14" t="s">
        <v>88</v>
      </c>
      <c r="J30" s="14">
        <v>11</v>
      </c>
      <c r="K30" s="14">
        <v>4</v>
      </c>
      <c r="L30" s="14" t="s">
        <v>31826</v>
      </c>
      <c r="M30" s="14" t="s">
        <v>680</v>
      </c>
      <c r="N30" s="14" t="s">
        <v>31827</v>
      </c>
      <c r="O30" s="14" t="s">
        <v>18521</v>
      </c>
      <c r="P30" s="14" t="str">
        <f>HYPERLINK("https://photon-sol.tinyastro.io/en/lp/27vMFjJerzLd5iZX2tRWL4eHUTr5Lfh5YWdakU3Zpump?handle=676050794bc1b1657a56b", "View")</f>
        <v>View</v>
      </c>
    </row>
    <row r="31" spans="1:16" x14ac:dyDescent="0.25">
      <c r="A31" s="16" t="s">
        <v>3071</v>
      </c>
      <c r="B31" s="17">
        <v>55399551</v>
      </c>
      <c r="C31" s="17">
        <v>0</v>
      </c>
      <c r="D31" s="17" t="s">
        <v>17043</v>
      </c>
      <c r="E31" s="17" t="s">
        <v>20332</v>
      </c>
      <c r="F31" s="17" t="s">
        <v>96</v>
      </c>
      <c r="G31" s="18" t="s">
        <v>1763</v>
      </c>
      <c r="H31" s="18" t="s">
        <v>98</v>
      </c>
      <c r="I31" s="17" t="s">
        <v>31828</v>
      </c>
      <c r="J31" s="17">
        <v>1</v>
      </c>
      <c r="K31" s="17">
        <v>0</v>
      </c>
      <c r="L31" s="17" t="s">
        <v>31829</v>
      </c>
      <c r="M31" s="19" t="s">
        <v>101</v>
      </c>
      <c r="N31" s="17" t="s">
        <v>12453</v>
      </c>
      <c r="O31" s="17" t="s">
        <v>31830</v>
      </c>
      <c r="P31" s="17" t="str">
        <f>HYPERLINK("https://photon-sol.tinyastro.io/en/lp/BDzC29R4jPSK8zUnkTKvebuzxaw6L6NBkRiMe79upump?handle=676050794bc1b1657a56b", "View")</f>
        <v>View</v>
      </c>
    </row>
    <row r="32" spans="1:16" x14ac:dyDescent="0.25">
      <c r="A32" s="13" t="s">
        <v>10597</v>
      </c>
      <c r="B32" s="14">
        <v>2484279</v>
      </c>
      <c r="C32" s="14">
        <v>2484279</v>
      </c>
      <c r="D32" s="14" t="s">
        <v>16473</v>
      </c>
      <c r="E32" s="14" t="s">
        <v>3045</v>
      </c>
      <c r="F32" s="14" t="s">
        <v>11660</v>
      </c>
      <c r="G32" s="15" t="s">
        <v>28460</v>
      </c>
      <c r="H32" s="15" t="s">
        <v>31831</v>
      </c>
      <c r="I32" s="14" t="s">
        <v>88</v>
      </c>
      <c r="J32" s="14">
        <v>1</v>
      </c>
      <c r="K32" s="14">
        <v>1</v>
      </c>
      <c r="L32" s="14" t="s">
        <v>31832</v>
      </c>
      <c r="M32" s="14" t="s">
        <v>287</v>
      </c>
      <c r="N32" s="14" t="s">
        <v>31833</v>
      </c>
      <c r="O32" s="14" t="s">
        <v>31834</v>
      </c>
      <c r="P32" s="14" t="str">
        <f>HYPERLINK("https://dexscreener.com/solana/7dkTdfNjiGDd1QAvwhTJGTFoWZRsPGn23YSaiRK7pump", "View")</f>
        <v>View</v>
      </c>
    </row>
    <row r="33" spans="1:16" x14ac:dyDescent="0.25">
      <c r="A33" s="16" t="s">
        <v>12775</v>
      </c>
      <c r="B33" s="17">
        <v>112942070</v>
      </c>
      <c r="C33" s="17">
        <v>112942070</v>
      </c>
      <c r="D33" s="17" t="s">
        <v>16473</v>
      </c>
      <c r="E33" s="17" t="s">
        <v>2862</v>
      </c>
      <c r="F33" s="17" t="s">
        <v>31835</v>
      </c>
      <c r="G33" s="21" t="s">
        <v>31836</v>
      </c>
      <c r="H33" s="21" t="s">
        <v>31837</v>
      </c>
      <c r="I33" s="17" t="s">
        <v>88</v>
      </c>
      <c r="J33" s="17">
        <v>1</v>
      </c>
      <c r="K33" s="17">
        <v>1</v>
      </c>
      <c r="L33" s="17" t="s">
        <v>31838</v>
      </c>
      <c r="M33" s="17" t="s">
        <v>5702</v>
      </c>
      <c r="N33" s="17" t="s">
        <v>31839</v>
      </c>
      <c r="O33" s="17" t="s">
        <v>31840</v>
      </c>
      <c r="P33" s="17" t="str">
        <f>HYPERLINK("https://photon-sol.tinyastro.io/en/lp/9nLALZMiL8qkZxW4ZCHiGWxnoHorL7pJYa2TkNptpump?handle=676050794bc1b1657a56b", "View")</f>
        <v>View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FCB6-BB13-4F42-A7FB-089030F3FDF8}">
  <dimension ref="A1:P49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HYPERLINK("https://gmgn.ai/sol/address/6WPK59QrXbeVEjnu8Mt5b4itQ6vSTPm7326i3CcZbTsD", "GMGN")</f>
        <v>GMGN</v>
      </c>
    </row>
    <row r="2" spans="1:14" x14ac:dyDescent="0.25">
      <c r="A2" s="3" t="s">
        <v>31841</v>
      </c>
      <c r="B2" s="3" t="s">
        <v>31842</v>
      </c>
      <c r="C2" s="3" t="s">
        <v>21597</v>
      </c>
      <c r="D2" s="3" t="s">
        <v>29601</v>
      </c>
      <c r="E2" s="3" t="s">
        <v>31843</v>
      </c>
      <c r="F2" s="3" t="s">
        <v>29678</v>
      </c>
      <c r="G2" s="3" t="s">
        <v>18</v>
      </c>
      <c r="H2" s="3">
        <v>30</v>
      </c>
      <c r="I2" s="3">
        <v>0</v>
      </c>
      <c r="J2" s="3" t="s">
        <v>479</v>
      </c>
      <c r="K2" s="3" t="s">
        <v>1566</v>
      </c>
      <c r="L2" s="3">
        <v>30</v>
      </c>
      <c r="M2" s="3">
        <v>13</v>
      </c>
      <c r="N2" s="3" t="str">
        <f>HYPERLINK("https://solscan.io/account/6WPK59QrXbeVEjnu8Mt5b4itQ6vSTPm7326i3CcZbTsD", "Solscan")</f>
        <v>Solscan</v>
      </c>
    </row>
    <row r="3" spans="1:14" x14ac:dyDescent="0.25">
      <c r="A3" s="1" t="s">
        <v>21</v>
      </c>
      <c r="B3" s="23" t="s">
        <v>31844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HYPERLINK("https://birdeye.so/profile/6WPK59QrXbeVEjnu8Mt5b4itQ6vSTPm7326i3CcZbTsD", "Birdeye")</f>
        <v>Birdeye</v>
      </c>
    </row>
    <row r="4" spans="1:14" x14ac:dyDescent="0.25">
      <c r="A4" s="1" t="s">
        <v>25</v>
      </c>
      <c r="B4" s="3" t="s">
        <v>8593</v>
      </c>
      <c r="C4" s="3"/>
      <c r="D4" s="3" t="s">
        <v>1568</v>
      </c>
      <c r="E4" s="3" t="s">
        <v>31845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31846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21194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9</v>
      </c>
      <c r="D10" s="1">
        <v>4</v>
      </c>
      <c r="E10" s="1">
        <v>7</v>
      </c>
      <c r="F10" s="1">
        <v>8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24424</v>
      </c>
      <c r="D11" s="1" t="s">
        <v>21498</v>
      </c>
      <c r="E11" s="1" t="s">
        <v>31847</v>
      </c>
      <c r="F11" s="1" t="s">
        <v>20141</v>
      </c>
      <c r="G11" s="1" t="s">
        <v>21195</v>
      </c>
      <c r="H11" s="3"/>
      <c r="I11" s="3" t="s">
        <v>50</v>
      </c>
      <c r="J11" s="3" t="s">
        <v>22701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31848</v>
      </c>
      <c r="D12" s="1" t="s">
        <v>31849</v>
      </c>
      <c r="E12" s="1" t="s">
        <v>20146</v>
      </c>
      <c r="F12" s="1" t="s">
        <v>31850</v>
      </c>
      <c r="G12" s="1" t="s">
        <v>20573</v>
      </c>
      <c r="H12" s="3"/>
      <c r="I12" s="3" t="s">
        <v>59</v>
      </c>
      <c r="J12" s="3" t="s">
        <v>8461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27468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2090</v>
      </c>
      <c r="B20" s="14">
        <v>79579463</v>
      </c>
      <c r="C20" s="14">
        <v>79579463</v>
      </c>
      <c r="D20" s="14" t="s">
        <v>31851</v>
      </c>
      <c r="E20" s="14" t="s">
        <v>31852</v>
      </c>
      <c r="F20" s="14" t="s">
        <v>31853</v>
      </c>
      <c r="G20" s="21" t="s">
        <v>31854</v>
      </c>
      <c r="H20" s="21" t="s">
        <v>31855</v>
      </c>
      <c r="I20" s="14" t="s">
        <v>88</v>
      </c>
      <c r="J20" s="14">
        <v>2</v>
      </c>
      <c r="K20" s="14">
        <v>7</v>
      </c>
      <c r="L20" s="14" t="s">
        <v>31856</v>
      </c>
      <c r="M20" s="14" t="s">
        <v>179</v>
      </c>
      <c r="N20" s="14" t="s">
        <v>31857</v>
      </c>
      <c r="O20" s="14" t="s">
        <v>2097</v>
      </c>
      <c r="P20" s="14" t="str">
        <f>HYPERLINK("https://photon-sol.tinyastro.io/en/lp/FP8KVrhyWKTAZwiKRPqZyUrErh96qyyeqxjgdyMUpump?handle=676050794bc1b1657a56b", "View")</f>
        <v>View</v>
      </c>
    </row>
    <row r="21" spans="1:16" x14ac:dyDescent="0.25">
      <c r="A21" s="16" t="s">
        <v>29704</v>
      </c>
      <c r="B21" s="17">
        <v>73530971</v>
      </c>
      <c r="C21" s="17">
        <v>73530971</v>
      </c>
      <c r="D21" s="17" t="s">
        <v>31858</v>
      </c>
      <c r="E21" s="17" t="s">
        <v>31859</v>
      </c>
      <c r="F21" s="17" t="s">
        <v>31860</v>
      </c>
      <c r="G21" s="22" t="s">
        <v>31861</v>
      </c>
      <c r="H21" s="22" t="s">
        <v>31862</v>
      </c>
      <c r="I21" s="17" t="s">
        <v>88</v>
      </c>
      <c r="J21" s="17">
        <v>2</v>
      </c>
      <c r="K21" s="17">
        <v>4</v>
      </c>
      <c r="L21" s="17" t="s">
        <v>31863</v>
      </c>
      <c r="M21" s="17" t="s">
        <v>1566</v>
      </c>
      <c r="N21" s="17" t="s">
        <v>3188</v>
      </c>
      <c r="O21" s="17" t="s">
        <v>29707</v>
      </c>
      <c r="P21" s="17" t="str">
        <f>HYPERLINK("https://photon-sol.tinyastro.io/en/lp/GRXsMfL65XnSk5Ps4Zj8ToBvWg2gQrGW9KPXKy5mpump?handle=676050794bc1b1657a56b", "View")</f>
        <v>View</v>
      </c>
    </row>
    <row r="22" spans="1:16" x14ac:dyDescent="0.25">
      <c r="A22" s="13" t="s">
        <v>31864</v>
      </c>
      <c r="B22" s="14">
        <v>43939834</v>
      </c>
      <c r="C22" s="14">
        <v>43939834</v>
      </c>
      <c r="D22" s="14" t="s">
        <v>31865</v>
      </c>
      <c r="E22" s="14" t="s">
        <v>31866</v>
      </c>
      <c r="F22" s="14" t="s">
        <v>31867</v>
      </c>
      <c r="G22" s="21" t="s">
        <v>30004</v>
      </c>
      <c r="H22" s="21" t="s">
        <v>31868</v>
      </c>
      <c r="I22" s="14" t="s">
        <v>88</v>
      </c>
      <c r="J22" s="14">
        <v>2</v>
      </c>
      <c r="K22" s="14">
        <v>8</v>
      </c>
      <c r="L22" s="14" t="s">
        <v>31869</v>
      </c>
      <c r="M22" s="14" t="s">
        <v>5729</v>
      </c>
      <c r="N22" s="14" t="s">
        <v>26756</v>
      </c>
      <c r="O22" s="14" t="s">
        <v>31870</v>
      </c>
      <c r="P22" s="14" t="str">
        <f>HYPERLINK("https://photon-sol.tinyastro.io/en/lp/8udpTqbwD9JrFM9idC311xKPGtuFGzti65hZvXrmpump?handle=676050794bc1b1657a56b", "View")</f>
        <v>View</v>
      </c>
    </row>
    <row r="23" spans="1:16" x14ac:dyDescent="0.25">
      <c r="A23" s="16" t="s">
        <v>29714</v>
      </c>
      <c r="B23" s="17">
        <v>29911112</v>
      </c>
      <c r="C23" s="17">
        <v>29911112</v>
      </c>
      <c r="D23" s="17" t="s">
        <v>1762</v>
      </c>
      <c r="E23" s="17" t="s">
        <v>24750</v>
      </c>
      <c r="F23" s="17" t="s">
        <v>14244</v>
      </c>
      <c r="G23" s="20" t="s">
        <v>16208</v>
      </c>
      <c r="H23" s="20" t="s">
        <v>2913</v>
      </c>
      <c r="I23" s="17" t="s">
        <v>88</v>
      </c>
      <c r="J23" s="17">
        <v>1</v>
      </c>
      <c r="K23" s="17">
        <v>1</v>
      </c>
      <c r="L23" s="17" t="s">
        <v>31871</v>
      </c>
      <c r="M23" s="17" t="s">
        <v>1434</v>
      </c>
      <c r="N23" s="17" t="s">
        <v>1667</v>
      </c>
      <c r="O23" s="17" t="s">
        <v>29717</v>
      </c>
      <c r="P23" s="17" t="str">
        <f>HYPERLINK("https://photon-sol.tinyastro.io/en/lp/EG4YVeJSbYd9R6ZfLy23UGBiGQV3vWYcvGpUZkWRpump?handle=676050794bc1b1657a56b", "View")</f>
        <v>View</v>
      </c>
    </row>
    <row r="24" spans="1:16" x14ac:dyDescent="0.25">
      <c r="A24" s="13" t="s">
        <v>4282</v>
      </c>
      <c r="B24" s="14">
        <v>151217258</v>
      </c>
      <c r="C24" s="14">
        <v>151217258</v>
      </c>
      <c r="D24" s="14" t="s">
        <v>19607</v>
      </c>
      <c r="E24" s="14" t="s">
        <v>31872</v>
      </c>
      <c r="F24" s="14" t="s">
        <v>31873</v>
      </c>
      <c r="G24" s="22" t="s">
        <v>31874</v>
      </c>
      <c r="H24" s="22" t="s">
        <v>12869</v>
      </c>
      <c r="I24" s="14" t="s">
        <v>88</v>
      </c>
      <c r="J24" s="14">
        <v>3</v>
      </c>
      <c r="K24" s="14">
        <v>4</v>
      </c>
      <c r="L24" s="14" t="s">
        <v>31875</v>
      </c>
      <c r="M24" s="14" t="s">
        <v>4719</v>
      </c>
      <c r="N24" s="14" t="s">
        <v>3296</v>
      </c>
      <c r="O24" s="14" t="s">
        <v>29703</v>
      </c>
      <c r="P24" s="14" t="str">
        <f>HYPERLINK("https://photon-sol.tinyastro.io/en/lp/8db618UgRSoWUJVNY4n6DJNGqMXDcWsQyZsH9TUipump?handle=676050794bc1b1657a56b", "View")</f>
        <v>View</v>
      </c>
    </row>
    <row r="25" spans="1:16" x14ac:dyDescent="0.25">
      <c r="A25" s="16" t="s">
        <v>29721</v>
      </c>
      <c r="B25" s="17">
        <v>96441475</v>
      </c>
      <c r="C25" s="17">
        <v>96441475</v>
      </c>
      <c r="D25" s="17" t="s">
        <v>9388</v>
      </c>
      <c r="E25" s="17" t="s">
        <v>31876</v>
      </c>
      <c r="F25" s="17" t="s">
        <v>31877</v>
      </c>
      <c r="G25" s="21" t="s">
        <v>31878</v>
      </c>
      <c r="H25" s="21" t="s">
        <v>31879</v>
      </c>
      <c r="I25" s="17" t="s">
        <v>88</v>
      </c>
      <c r="J25" s="17">
        <v>1</v>
      </c>
      <c r="K25" s="17">
        <v>2</v>
      </c>
      <c r="L25" s="17" t="s">
        <v>31880</v>
      </c>
      <c r="M25" s="17" t="s">
        <v>1434</v>
      </c>
      <c r="N25" s="17" t="s">
        <v>3607</v>
      </c>
      <c r="O25" s="17" t="s">
        <v>29724</v>
      </c>
      <c r="P25" s="17" t="str">
        <f>HYPERLINK("https://photon-sol.tinyastro.io/en/lp/Cnv6aoMJBignHDpsXrjdtiNAD7QAwfVgrke6RVXVpump?handle=676050794bc1b1657a56b", "View")</f>
        <v>View</v>
      </c>
    </row>
    <row r="26" spans="1:16" x14ac:dyDescent="0.25">
      <c r="A26" s="13" t="s">
        <v>29725</v>
      </c>
      <c r="B26" s="14">
        <v>15456174</v>
      </c>
      <c r="C26" s="14">
        <v>15456174</v>
      </c>
      <c r="D26" s="14" t="s">
        <v>31881</v>
      </c>
      <c r="E26" s="14" t="s">
        <v>31882</v>
      </c>
      <c r="F26" s="14" t="s">
        <v>31883</v>
      </c>
      <c r="G26" s="22" t="s">
        <v>9238</v>
      </c>
      <c r="H26" s="22" t="s">
        <v>31884</v>
      </c>
      <c r="I26" s="14" t="s">
        <v>88</v>
      </c>
      <c r="J26" s="14">
        <v>1</v>
      </c>
      <c r="K26" s="14">
        <v>4</v>
      </c>
      <c r="L26" s="14" t="s">
        <v>31885</v>
      </c>
      <c r="M26" s="14" t="s">
        <v>1957</v>
      </c>
      <c r="N26" s="14" t="s">
        <v>27298</v>
      </c>
      <c r="O26" s="14" t="s">
        <v>29727</v>
      </c>
      <c r="P26" s="14" t="str">
        <f>HYPERLINK("https://photon-sol.tinyastro.io/en/lp/HXjDCr5ZCmVCTTgsA55tuNC5Nyq73AsiUWcgNJRzpump?handle=676050794bc1b1657a56b", "View")</f>
        <v>View</v>
      </c>
    </row>
    <row r="27" spans="1:16" x14ac:dyDescent="0.25">
      <c r="A27" s="16" t="s">
        <v>31886</v>
      </c>
      <c r="B27" s="17">
        <v>463835</v>
      </c>
      <c r="C27" s="17">
        <v>463835</v>
      </c>
      <c r="D27" s="17" t="s">
        <v>31887</v>
      </c>
      <c r="E27" s="17" t="s">
        <v>4141</v>
      </c>
      <c r="F27" s="17" t="s">
        <v>5024</v>
      </c>
      <c r="G27" s="15" t="s">
        <v>23889</v>
      </c>
      <c r="H27" s="15" t="s">
        <v>31888</v>
      </c>
      <c r="I27" s="17" t="s">
        <v>88</v>
      </c>
      <c r="J27" s="17">
        <v>1</v>
      </c>
      <c r="K27" s="17">
        <v>1</v>
      </c>
      <c r="L27" s="17" t="s">
        <v>31889</v>
      </c>
      <c r="M27" s="17" t="s">
        <v>356</v>
      </c>
      <c r="N27" s="17" t="s">
        <v>3768</v>
      </c>
      <c r="O27" s="17" t="s">
        <v>31890</v>
      </c>
      <c r="P27" s="17" t="str">
        <f>HYPERLINK("https://photon-sol.tinyastro.io/en/lp/5TAY8Nqf7R2qaVEJxQ8d6RcyCnB4D6vb4B8zwxhWpump?handle=676050794bc1b1657a56b", "View")</f>
        <v>View</v>
      </c>
    </row>
    <row r="28" spans="1:16" x14ac:dyDescent="0.25">
      <c r="A28" s="13" t="s">
        <v>29728</v>
      </c>
      <c r="B28" s="14">
        <v>38845670</v>
      </c>
      <c r="C28" s="14">
        <v>38845670</v>
      </c>
      <c r="D28" s="14" t="s">
        <v>932</v>
      </c>
      <c r="E28" s="14" t="s">
        <v>8880</v>
      </c>
      <c r="F28" s="14" t="s">
        <v>31891</v>
      </c>
      <c r="G28" s="21" t="s">
        <v>4450</v>
      </c>
      <c r="H28" s="21" t="s">
        <v>31892</v>
      </c>
      <c r="I28" s="14" t="s">
        <v>88</v>
      </c>
      <c r="J28" s="14">
        <v>1</v>
      </c>
      <c r="K28" s="14">
        <v>3</v>
      </c>
      <c r="L28" s="14" t="s">
        <v>31893</v>
      </c>
      <c r="M28" s="14" t="s">
        <v>1448</v>
      </c>
      <c r="N28" s="14" t="s">
        <v>24686</v>
      </c>
      <c r="O28" s="14" t="s">
        <v>29732</v>
      </c>
      <c r="P28" s="14" t="str">
        <f>HYPERLINK("https://photon-sol.tinyastro.io/en/lp/L2zhY3yhdw4CQAP6iT3xZy1eH598AHkSEQtmSQVpump?handle=676050794bc1b1657a56b", "View")</f>
        <v>View</v>
      </c>
    </row>
    <row r="29" spans="1:16" x14ac:dyDescent="0.25">
      <c r="A29" s="16" t="s">
        <v>29736</v>
      </c>
      <c r="B29" s="17">
        <v>15870701</v>
      </c>
      <c r="C29" s="17">
        <v>15870701</v>
      </c>
      <c r="D29" s="17" t="s">
        <v>31894</v>
      </c>
      <c r="E29" s="17" t="s">
        <v>9323</v>
      </c>
      <c r="F29" s="17" t="s">
        <v>31895</v>
      </c>
      <c r="G29" s="21" t="s">
        <v>28741</v>
      </c>
      <c r="H29" s="21" t="s">
        <v>31896</v>
      </c>
      <c r="I29" s="17" t="s">
        <v>88</v>
      </c>
      <c r="J29" s="17">
        <v>3</v>
      </c>
      <c r="K29" s="17">
        <v>3</v>
      </c>
      <c r="L29" s="17" t="s">
        <v>31897</v>
      </c>
      <c r="M29" s="17" t="s">
        <v>304</v>
      </c>
      <c r="N29" s="17" t="s">
        <v>31898</v>
      </c>
      <c r="O29" s="17" t="s">
        <v>29742</v>
      </c>
      <c r="P29" s="17" t="str">
        <f>HYPERLINK("https://photon-sol.tinyastro.io/en/lp/2QEjZVKEj2MhDr2JFUNZ6gmaufqYYt2aPeL31nFVpump?handle=676050794bc1b1657a56b", "View")</f>
        <v>View</v>
      </c>
    </row>
    <row r="30" spans="1:16" x14ac:dyDescent="0.25">
      <c r="A30" s="13" t="s">
        <v>29750</v>
      </c>
      <c r="B30" s="14">
        <v>66655149</v>
      </c>
      <c r="C30" s="14">
        <v>66655149</v>
      </c>
      <c r="D30" s="14" t="s">
        <v>7791</v>
      </c>
      <c r="E30" s="14" t="s">
        <v>10679</v>
      </c>
      <c r="F30" s="14" t="s">
        <v>31899</v>
      </c>
      <c r="G30" s="22" t="s">
        <v>14547</v>
      </c>
      <c r="H30" s="22" t="s">
        <v>31900</v>
      </c>
      <c r="I30" s="14" t="s">
        <v>88</v>
      </c>
      <c r="J30" s="14">
        <v>2</v>
      </c>
      <c r="K30" s="14">
        <v>2</v>
      </c>
      <c r="L30" s="14" t="s">
        <v>31901</v>
      </c>
      <c r="M30" s="14" t="s">
        <v>1434</v>
      </c>
      <c r="N30" s="14" t="s">
        <v>2763</v>
      </c>
      <c r="O30" s="14" t="s">
        <v>29754</v>
      </c>
      <c r="P30" s="14" t="str">
        <f>HYPERLINK("https://photon-sol.tinyastro.io/en/lp/5huXvAYpEsuoMfWFr6AER4yAmXQCteRioKkVwKkHpump?handle=676050794bc1b1657a56b", "View")</f>
        <v>View</v>
      </c>
    </row>
    <row r="31" spans="1:16" x14ac:dyDescent="0.25">
      <c r="A31" s="16" t="s">
        <v>29755</v>
      </c>
      <c r="B31" s="17">
        <v>36516823</v>
      </c>
      <c r="C31" s="17">
        <v>36516823</v>
      </c>
      <c r="D31" s="17" t="s">
        <v>1762</v>
      </c>
      <c r="E31" s="17" t="s">
        <v>14786</v>
      </c>
      <c r="F31" s="17" t="s">
        <v>31902</v>
      </c>
      <c r="G31" s="21" t="s">
        <v>31903</v>
      </c>
      <c r="H31" s="21" t="s">
        <v>31904</v>
      </c>
      <c r="I31" s="17" t="s">
        <v>88</v>
      </c>
      <c r="J31" s="17">
        <v>1</v>
      </c>
      <c r="K31" s="17">
        <v>1</v>
      </c>
      <c r="L31" s="17" t="s">
        <v>31905</v>
      </c>
      <c r="M31" s="17" t="s">
        <v>602</v>
      </c>
      <c r="N31" s="17" t="s">
        <v>31906</v>
      </c>
      <c r="O31" s="17" t="s">
        <v>29760</v>
      </c>
      <c r="P31" s="17" t="str">
        <f>HYPERLINK("https://photon-sol.tinyastro.io/en/lp/E2keFx7gBh1L51XRrQ9AefJQpvffvk4KCJUxvPL3pump?handle=676050794bc1b1657a56b", "View")</f>
        <v>View</v>
      </c>
    </row>
    <row r="32" spans="1:16" x14ac:dyDescent="0.25">
      <c r="A32" s="13" t="s">
        <v>22496</v>
      </c>
      <c r="B32" s="14">
        <v>36126342</v>
      </c>
      <c r="C32" s="14">
        <v>36126342</v>
      </c>
      <c r="D32" s="14" t="s">
        <v>31907</v>
      </c>
      <c r="E32" s="14" t="s">
        <v>31908</v>
      </c>
      <c r="F32" s="14" t="s">
        <v>31909</v>
      </c>
      <c r="G32" s="21" t="s">
        <v>31910</v>
      </c>
      <c r="H32" s="21" t="s">
        <v>31911</v>
      </c>
      <c r="I32" s="14" t="s">
        <v>88</v>
      </c>
      <c r="J32" s="14">
        <v>6</v>
      </c>
      <c r="K32" s="14">
        <v>7</v>
      </c>
      <c r="L32" s="14" t="s">
        <v>31912</v>
      </c>
      <c r="M32" s="14" t="s">
        <v>1478</v>
      </c>
      <c r="N32" s="14" t="s">
        <v>31913</v>
      </c>
      <c r="O32" s="14" t="s">
        <v>22502</v>
      </c>
      <c r="P32" s="14" t="str">
        <f>HYPERLINK("https://photon-sol.tinyastro.io/en/lp/3n1xUaWFVV1s8WTzpwSdn2Ku5MJ2w1uC8RXWxBZxpump?handle=676050794bc1b1657a56b", "View")</f>
        <v>View</v>
      </c>
    </row>
    <row r="33" spans="1:16" x14ac:dyDescent="0.25">
      <c r="A33" s="16" t="s">
        <v>29745</v>
      </c>
      <c r="B33" s="17">
        <v>36358040</v>
      </c>
      <c r="C33" s="17">
        <v>35993282</v>
      </c>
      <c r="D33" s="17" t="s">
        <v>31914</v>
      </c>
      <c r="E33" s="17" t="s">
        <v>19188</v>
      </c>
      <c r="F33" s="17" t="s">
        <v>31915</v>
      </c>
      <c r="G33" s="21" t="s">
        <v>13120</v>
      </c>
      <c r="H33" s="21" t="s">
        <v>31916</v>
      </c>
      <c r="I33" s="17" t="s">
        <v>88</v>
      </c>
      <c r="J33" s="17">
        <v>3</v>
      </c>
      <c r="K33" s="17">
        <v>8</v>
      </c>
      <c r="L33" s="17" t="s">
        <v>31917</v>
      </c>
      <c r="M33" s="17" t="s">
        <v>117</v>
      </c>
      <c r="N33" s="17" t="s">
        <v>31918</v>
      </c>
      <c r="O33" s="17" t="s">
        <v>29749</v>
      </c>
      <c r="P33" s="17" t="str">
        <f>HYPERLINK("https://photon-sol.tinyastro.io/en/lp/H6YMhP828m4i9UmxCh7HVovktM92qZEY3DMDwtvRpump?handle=676050794bc1b1657a56b", "View")</f>
        <v>View</v>
      </c>
    </row>
    <row r="34" spans="1:16" x14ac:dyDescent="0.25">
      <c r="A34" s="13" t="s">
        <v>29769</v>
      </c>
      <c r="B34" s="14">
        <v>17009493</v>
      </c>
      <c r="C34" s="14">
        <v>17009493</v>
      </c>
      <c r="D34" s="14" t="s">
        <v>8012</v>
      </c>
      <c r="E34" s="14" t="s">
        <v>31919</v>
      </c>
      <c r="F34" s="14" t="s">
        <v>31920</v>
      </c>
      <c r="G34" s="22" t="s">
        <v>3524</v>
      </c>
      <c r="H34" s="22" t="s">
        <v>31921</v>
      </c>
      <c r="I34" s="14" t="s">
        <v>88</v>
      </c>
      <c r="J34" s="14">
        <v>1</v>
      </c>
      <c r="K34" s="14">
        <v>5</v>
      </c>
      <c r="L34" s="14" t="s">
        <v>31922</v>
      </c>
      <c r="M34" s="14" t="s">
        <v>3180</v>
      </c>
      <c r="N34" s="14" t="s">
        <v>31923</v>
      </c>
      <c r="O34" s="14" t="s">
        <v>29774</v>
      </c>
      <c r="P34" s="14" t="str">
        <f>HYPERLINK("https://photon-sol.tinyastro.io/en/lp/7LaQQ3ahWeHR59B7eDzDhHkeMa3rLHxF7eb1ZmHPpump?handle=676050794bc1b1657a56b", "View")</f>
        <v>View</v>
      </c>
    </row>
    <row r="35" spans="1:16" x14ac:dyDescent="0.25">
      <c r="A35" s="16" t="s">
        <v>29778</v>
      </c>
      <c r="B35" s="17">
        <v>509534</v>
      </c>
      <c r="C35" s="17">
        <v>509534</v>
      </c>
      <c r="D35" s="17" t="s">
        <v>1762</v>
      </c>
      <c r="E35" s="17" t="s">
        <v>2531</v>
      </c>
      <c r="F35" s="17" t="s">
        <v>4147</v>
      </c>
      <c r="G35" s="15" t="s">
        <v>5849</v>
      </c>
      <c r="H35" s="15" t="s">
        <v>31924</v>
      </c>
      <c r="I35" s="17" t="s">
        <v>88</v>
      </c>
      <c r="J35" s="17">
        <v>1</v>
      </c>
      <c r="K35" s="17">
        <v>1</v>
      </c>
      <c r="L35" s="17" t="s">
        <v>31925</v>
      </c>
      <c r="M35" s="17" t="s">
        <v>602</v>
      </c>
      <c r="N35" s="17" t="s">
        <v>26374</v>
      </c>
      <c r="O35" s="17" t="s">
        <v>29781</v>
      </c>
      <c r="P35" s="17" t="str">
        <f>HYPERLINK("https://photon-sol.tinyastro.io/en/lp/F1YVsxXSpQYF38PmVSZkyqCGj3EfeDyRber8Q2zrpump?handle=676050794bc1b1657a56b", "View")</f>
        <v>View</v>
      </c>
    </row>
    <row r="36" spans="1:16" x14ac:dyDescent="0.25">
      <c r="A36" s="13" t="s">
        <v>3279</v>
      </c>
      <c r="B36" s="14">
        <v>56256061</v>
      </c>
      <c r="C36" s="14">
        <v>56256061</v>
      </c>
      <c r="D36" s="14" t="s">
        <v>13893</v>
      </c>
      <c r="E36" s="14" t="s">
        <v>1530</v>
      </c>
      <c r="F36" s="14" t="s">
        <v>31926</v>
      </c>
      <c r="G36" s="21" t="s">
        <v>31927</v>
      </c>
      <c r="H36" s="21" t="s">
        <v>31928</v>
      </c>
      <c r="I36" s="14" t="s">
        <v>88</v>
      </c>
      <c r="J36" s="14">
        <v>2</v>
      </c>
      <c r="K36" s="14">
        <v>3</v>
      </c>
      <c r="L36" s="14" t="s">
        <v>31929</v>
      </c>
      <c r="M36" s="14" t="s">
        <v>3180</v>
      </c>
      <c r="N36" s="14" t="s">
        <v>31930</v>
      </c>
      <c r="O36" s="14" t="s">
        <v>3285</v>
      </c>
      <c r="P36" s="14" t="str">
        <f>HYPERLINK("https://photon-sol.tinyastro.io/en/lp/FN8sbVRP7obTaX6bEwuTY5zVvpmwFBBKNheu5kN2pump?handle=676050794bc1b1657a56b", "View")</f>
        <v>View</v>
      </c>
    </row>
    <row r="37" spans="1:16" x14ac:dyDescent="0.25">
      <c r="A37" s="16" t="s">
        <v>31931</v>
      </c>
      <c r="B37" s="17">
        <v>27406971</v>
      </c>
      <c r="C37" s="17">
        <v>27406971</v>
      </c>
      <c r="D37" s="17" t="s">
        <v>28721</v>
      </c>
      <c r="E37" s="17" t="s">
        <v>31932</v>
      </c>
      <c r="F37" s="17" t="s">
        <v>31933</v>
      </c>
      <c r="G37" s="20" t="s">
        <v>11022</v>
      </c>
      <c r="H37" s="20" t="s">
        <v>31934</v>
      </c>
      <c r="I37" s="17" t="s">
        <v>88</v>
      </c>
      <c r="J37" s="17">
        <v>4</v>
      </c>
      <c r="K37" s="17">
        <v>4</v>
      </c>
      <c r="L37" s="17" t="s">
        <v>31935</v>
      </c>
      <c r="M37" s="17" t="s">
        <v>179</v>
      </c>
      <c r="N37" s="17" t="s">
        <v>1011</v>
      </c>
      <c r="O37" s="17" t="s">
        <v>31936</v>
      </c>
      <c r="P37" s="17" t="str">
        <f>HYPERLINK("https://photon-sol.tinyastro.io/en/lp/5r9KdJogvSa9bEbNYo4BoCQjH8CaHcovJizWNaePpump?handle=676050794bc1b1657a56b", "View")</f>
        <v>View</v>
      </c>
    </row>
    <row r="38" spans="1:16" x14ac:dyDescent="0.25">
      <c r="A38" s="13" t="s">
        <v>6670</v>
      </c>
      <c r="B38" s="14">
        <v>4945413</v>
      </c>
      <c r="C38" s="14">
        <v>4770160</v>
      </c>
      <c r="D38" s="14" t="s">
        <v>31937</v>
      </c>
      <c r="E38" s="14" t="s">
        <v>14104</v>
      </c>
      <c r="F38" s="14" t="s">
        <v>13499</v>
      </c>
      <c r="G38" s="20" t="s">
        <v>31938</v>
      </c>
      <c r="H38" s="20" t="s">
        <v>31939</v>
      </c>
      <c r="I38" s="14" t="s">
        <v>88</v>
      </c>
      <c r="J38" s="14">
        <v>4</v>
      </c>
      <c r="K38" s="14">
        <v>3</v>
      </c>
      <c r="L38" s="14" t="s">
        <v>31940</v>
      </c>
      <c r="M38" s="14" t="s">
        <v>117</v>
      </c>
      <c r="N38" s="14" t="s">
        <v>31941</v>
      </c>
      <c r="O38" s="14" t="s">
        <v>6676</v>
      </c>
      <c r="P38" s="14" t="str">
        <f>HYPERLINK("https://photon-sol.tinyastro.io/en/lp/5htRq8A33EaivheAGtuBTWwM6UA18NR9JL3MjkfLpump?handle=676050794bc1b1657a56b", "View")</f>
        <v>View</v>
      </c>
    </row>
    <row r="39" spans="1:16" x14ac:dyDescent="0.25">
      <c r="A39" s="16" t="s">
        <v>31942</v>
      </c>
      <c r="B39" s="17">
        <v>23958065</v>
      </c>
      <c r="C39" s="17">
        <v>23958065</v>
      </c>
      <c r="D39" s="17" t="s">
        <v>1762</v>
      </c>
      <c r="E39" s="17" t="s">
        <v>3085</v>
      </c>
      <c r="F39" s="17" t="s">
        <v>19379</v>
      </c>
      <c r="G39" s="20" t="s">
        <v>31943</v>
      </c>
      <c r="H39" s="20" t="s">
        <v>31944</v>
      </c>
      <c r="I39" s="17" t="s">
        <v>88</v>
      </c>
      <c r="J39" s="17">
        <v>1</v>
      </c>
      <c r="K39" s="17">
        <v>1</v>
      </c>
      <c r="L39" s="17" t="s">
        <v>31945</v>
      </c>
      <c r="M39" s="17" t="s">
        <v>788</v>
      </c>
      <c r="N39" s="17" t="s">
        <v>2249</v>
      </c>
      <c r="O39" s="17" t="s">
        <v>31946</v>
      </c>
      <c r="P39" s="17" t="str">
        <f>HYPERLINK("https://photon-sol.tinyastro.io/en/lp/DMa7xzih6zKfygc9ZDreLbuX1mBzBbU5PqGnS94Apump?handle=676050794bc1b1657a56b", "View")</f>
        <v>View</v>
      </c>
    </row>
    <row r="40" spans="1:16" x14ac:dyDescent="0.25">
      <c r="A40" s="13" t="s">
        <v>29782</v>
      </c>
      <c r="B40" s="14">
        <v>3004054</v>
      </c>
      <c r="C40" s="14">
        <v>3004054</v>
      </c>
      <c r="D40" s="14" t="s">
        <v>1762</v>
      </c>
      <c r="E40" s="14" t="s">
        <v>8306</v>
      </c>
      <c r="F40" s="14" t="s">
        <v>19899</v>
      </c>
      <c r="G40" s="22" t="s">
        <v>2967</v>
      </c>
      <c r="H40" s="22" t="s">
        <v>3766</v>
      </c>
      <c r="I40" s="14" t="s">
        <v>88</v>
      </c>
      <c r="J40" s="14">
        <v>1</v>
      </c>
      <c r="K40" s="14">
        <v>1</v>
      </c>
      <c r="L40" s="14" t="s">
        <v>31947</v>
      </c>
      <c r="M40" s="14" t="s">
        <v>1434</v>
      </c>
      <c r="N40" s="14" t="s">
        <v>1011</v>
      </c>
      <c r="O40" s="14" t="s">
        <v>29785</v>
      </c>
      <c r="P40" s="14" t="str">
        <f>HYPERLINK("https://photon-sol.tinyastro.io/en/lp/FVEq1XcQwwd74DkVFpUpdUJw49VNJtUmVvNU26TMpump?handle=676050794bc1b1657a56b", "View")</f>
        <v>View</v>
      </c>
    </row>
    <row r="41" spans="1:16" x14ac:dyDescent="0.25">
      <c r="A41" s="16" t="s">
        <v>29786</v>
      </c>
      <c r="B41" s="17">
        <v>38032080</v>
      </c>
      <c r="C41" s="17">
        <v>38032080</v>
      </c>
      <c r="D41" s="17" t="s">
        <v>4379</v>
      </c>
      <c r="E41" s="17" t="s">
        <v>31948</v>
      </c>
      <c r="F41" s="17" t="s">
        <v>14000</v>
      </c>
      <c r="G41" s="20" t="s">
        <v>31949</v>
      </c>
      <c r="H41" s="20" t="s">
        <v>31950</v>
      </c>
      <c r="I41" s="17" t="s">
        <v>88</v>
      </c>
      <c r="J41" s="17">
        <v>2</v>
      </c>
      <c r="K41" s="17">
        <v>3</v>
      </c>
      <c r="L41" s="17" t="s">
        <v>31951</v>
      </c>
      <c r="M41" s="17" t="s">
        <v>1566</v>
      </c>
      <c r="N41" s="17" t="s">
        <v>5809</v>
      </c>
      <c r="O41" s="17" t="s">
        <v>29789</v>
      </c>
      <c r="P41" s="17" t="str">
        <f>HYPERLINK("https://photon-sol.tinyastro.io/en/lp/BbiUNtykVPb3K9sqt2mUVAGuC1FTeB9WbYtnbu5kpump?handle=676050794bc1b1657a56b", "View")</f>
        <v>View</v>
      </c>
    </row>
    <row r="42" spans="1:16" x14ac:dyDescent="0.25">
      <c r="A42" s="13" t="s">
        <v>29796</v>
      </c>
      <c r="B42" s="14">
        <v>52086290</v>
      </c>
      <c r="C42" s="14">
        <v>52086290</v>
      </c>
      <c r="D42" s="14" t="s">
        <v>4389</v>
      </c>
      <c r="E42" s="14" t="s">
        <v>31952</v>
      </c>
      <c r="F42" s="14" t="s">
        <v>31953</v>
      </c>
      <c r="G42" s="20" t="s">
        <v>31954</v>
      </c>
      <c r="H42" s="20" t="s">
        <v>31955</v>
      </c>
      <c r="I42" s="14" t="s">
        <v>88</v>
      </c>
      <c r="J42" s="14">
        <v>1</v>
      </c>
      <c r="K42" s="14">
        <v>1</v>
      </c>
      <c r="L42" s="14" t="s">
        <v>31956</v>
      </c>
      <c r="M42" s="14" t="s">
        <v>1448</v>
      </c>
      <c r="N42" s="14" t="s">
        <v>2249</v>
      </c>
      <c r="O42" s="14" t="s">
        <v>29801</v>
      </c>
      <c r="P42" s="14" t="str">
        <f>HYPERLINK("https://photon-sol.tinyastro.io/en/lp/FC8sbvpmuSbb58fexUwZuJ7f4V9VLQgtffesvrMNpump?handle=676050794bc1b1657a56b", "View")</f>
        <v>View</v>
      </c>
    </row>
    <row r="43" spans="1:16" x14ac:dyDescent="0.25">
      <c r="A43" s="16" t="s">
        <v>29802</v>
      </c>
      <c r="B43" s="17">
        <v>44514961</v>
      </c>
      <c r="C43" s="17">
        <v>44514961</v>
      </c>
      <c r="D43" s="17" t="s">
        <v>14207</v>
      </c>
      <c r="E43" s="17" t="s">
        <v>31957</v>
      </c>
      <c r="F43" s="17" t="s">
        <v>31958</v>
      </c>
      <c r="G43" s="22" t="s">
        <v>8634</v>
      </c>
      <c r="H43" s="22" t="s">
        <v>31959</v>
      </c>
      <c r="I43" s="17" t="s">
        <v>88</v>
      </c>
      <c r="J43" s="17">
        <v>1</v>
      </c>
      <c r="K43" s="17">
        <v>2</v>
      </c>
      <c r="L43" s="17" t="s">
        <v>31960</v>
      </c>
      <c r="M43" s="17" t="s">
        <v>1448</v>
      </c>
      <c r="N43" s="17" t="s">
        <v>12978</v>
      </c>
      <c r="O43" s="17" t="s">
        <v>29805</v>
      </c>
      <c r="P43" s="17" t="str">
        <f>HYPERLINK("https://photon-sol.tinyastro.io/en/lp/CsiY9A46Aq7KWUqZsoV1uegM8y5KkVv6E9qs6Phspump?handle=676050794bc1b1657a56b", "View")</f>
        <v>View</v>
      </c>
    </row>
    <row r="44" spans="1:16" x14ac:dyDescent="0.25">
      <c r="A44" s="13" t="s">
        <v>29806</v>
      </c>
      <c r="B44" s="14">
        <v>12230355</v>
      </c>
      <c r="C44" s="14">
        <v>12230355</v>
      </c>
      <c r="D44" s="14" t="s">
        <v>4389</v>
      </c>
      <c r="E44" s="14" t="s">
        <v>3945</v>
      </c>
      <c r="F44" s="14" t="s">
        <v>31961</v>
      </c>
      <c r="G44" s="20" t="s">
        <v>5681</v>
      </c>
      <c r="H44" s="20" t="s">
        <v>20758</v>
      </c>
      <c r="I44" s="14" t="s">
        <v>88</v>
      </c>
      <c r="J44" s="14">
        <v>1</v>
      </c>
      <c r="K44" s="14">
        <v>1</v>
      </c>
      <c r="L44" s="14" t="s">
        <v>31962</v>
      </c>
      <c r="M44" s="19" t="s">
        <v>2915</v>
      </c>
      <c r="N44" s="14" t="s">
        <v>1980</v>
      </c>
      <c r="O44" s="14" t="s">
        <v>29809</v>
      </c>
      <c r="P44" s="14" t="str">
        <f>HYPERLINK("https://photon-sol.tinyastro.io/en/lp/5Vm2kfMXWZ2BnyKYTU2hMy1CTMHJZZT6B9m54Dtnpump?handle=676050794bc1b1657a56b", "View")</f>
        <v>View</v>
      </c>
    </row>
    <row r="45" spans="1:16" x14ac:dyDescent="0.25">
      <c r="A45" s="16" t="s">
        <v>29810</v>
      </c>
      <c r="B45" s="17">
        <v>46226484</v>
      </c>
      <c r="C45" s="17">
        <v>46226484</v>
      </c>
      <c r="D45" s="17" t="s">
        <v>4379</v>
      </c>
      <c r="E45" s="17" t="s">
        <v>22420</v>
      </c>
      <c r="F45" s="17" t="s">
        <v>31963</v>
      </c>
      <c r="G45" s="21" t="s">
        <v>31964</v>
      </c>
      <c r="H45" s="21" t="s">
        <v>31965</v>
      </c>
      <c r="I45" s="17" t="s">
        <v>88</v>
      </c>
      <c r="J45" s="17">
        <v>2</v>
      </c>
      <c r="K45" s="17">
        <v>2</v>
      </c>
      <c r="L45" s="17" t="s">
        <v>31966</v>
      </c>
      <c r="M45" s="17" t="s">
        <v>602</v>
      </c>
      <c r="N45" s="17" t="s">
        <v>31967</v>
      </c>
      <c r="O45" s="17" t="s">
        <v>29813</v>
      </c>
      <c r="P45" s="17" t="str">
        <f>HYPERLINK("https://photon-sol.tinyastro.io/en/lp/J9825UTXkKoqXE8g7671YoPYML1MuSRkESo1EgFppump?handle=676050794bc1b1657a56b", "View")</f>
        <v>View</v>
      </c>
    </row>
    <row r="46" spans="1:16" x14ac:dyDescent="0.25">
      <c r="A46" s="13" t="s">
        <v>31968</v>
      </c>
      <c r="B46" s="14">
        <v>9193443</v>
      </c>
      <c r="C46" s="14">
        <v>9193443</v>
      </c>
      <c r="D46" s="14" t="s">
        <v>4389</v>
      </c>
      <c r="E46" s="14" t="s">
        <v>2118</v>
      </c>
      <c r="F46" s="14" t="s">
        <v>19363</v>
      </c>
      <c r="G46" s="21" t="s">
        <v>8272</v>
      </c>
      <c r="H46" s="21" t="s">
        <v>31969</v>
      </c>
      <c r="I46" s="14" t="s">
        <v>88</v>
      </c>
      <c r="J46" s="14">
        <v>1</v>
      </c>
      <c r="K46" s="14">
        <v>1</v>
      </c>
      <c r="L46" s="14" t="s">
        <v>31970</v>
      </c>
      <c r="M46" s="14" t="s">
        <v>1434</v>
      </c>
      <c r="N46" s="14" t="s">
        <v>31971</v>
      </c>
      <c r="O46" s="14" t="s">
        <v>31972</v>
      </c>
      <c r="P46" s="14" t="str">
        <f>HYPERLINK("https://photon-sol.tinyastro.io/en/lp/4zMDiJ5WHxL2x1s5keydSVTjy9fNDPMNBjXuMQGtpump?handle=676050794bc1b1657a56b", "View")</f>
        <v>View</v>
      </c>
    </row>
    <row r="47" spans="1:16" x14ac:dyDescent="0.25">
      <c r="A47" s="16" t="s">
        <v>31973</v>
      </c>
      <c r="B47" s="17">
        <v>27400720</v>
      </c>
      <c r="C47" s="17">
        <v>27400720</v>
      </c>
      <c r="D47" s="17" t="s">
        <v>9537</v>
      </c>
      <c r="E47" s="17" t="s">
        <v>29310</v>
      </c>
      <c r="F47" s="17" t="s">
        <v>29125</v>
      </c>
      <c r="G47" s="21" t="s">
        <v>1424</v>
      </c>
      <c r="H47" s="21" t="s">
        <v>31974</v>
      </c>
      <c r="I47" s="17" t="s">
        <v>88</v>
      </c>
      <c r="J47" s="17">
        <v>2</v>
      </c>
      <c r="K47" s="17">
        <v>3</v>
      </c>
      <c r="L47" s="17" t="s">
        <v>31975</v>
      </c>
      <c r="M47" s="17" t="s">
        <v>2047</v>
      </c>
      <c r="N47" s="17" t="s">
        <v>7713</v>
      </c>
      <c r="O47" s="17" t="s">
        <v>31976</v>
      </c>
      <c r="P47" s="17" t="str">
        <f>HYPERLINK("https://photon-sol.tinyastro.io/en/lp/BWyK1MMw1iH1KkZuK6P58q5Qv2X8EW2e8ZZ5B6sUpump?handle=676050794bc1b1657a56b", "View")</f>
        <v>View</v>
      </c>
    </row>
    <row r="48" spans="1:16" x14ac:dyDescent="0.25">
      <c r="A48" s="13" t="s">
        <v>31977</v>
      </c>
      <c r="B48" s="14">
        <v>15485394</v>
      </c>
      <c r="C48" s="14">
        <v>15485394</v>
      </c>
      <c r="D48" s="14" t="s">
        <v>9569</v>
      </c>
      <c r="E48" s="14" t="s">
        <v>3836</v>
      </c>
      <c r="F48" s="14" t="s">
        <v>21171</v>
      </c>
      <c r="G48" s="21" t="s">
        <v>21932</v>
      </c>
      <c r="H48" s="21" t="s">
        <v>31978</v>
      </c>
      <c r="I48" s="14" t="s">
        <v>88</v>
      </c>
      <c r="J48" s="14">
        <v>1</v>
      </c>
      <c r="K48" s="14">
        <v>2</v>
      </c>
      <c r="L48" s="14" t="s">
        <v>31979</v>
      </c>
      <c r="M48" s="14" t="s">
        <v>1566</v>
      </c>
      <c r="N48" s="14" t="s">
        <v>31980</v>
      </c>
      <c r="O48" s="14" t="s">
        <v>31981</v>
      </c>
      <c r="P48" s="14" t="str">
        <f>HYPERLINK("https://photon-sol.tinyastro.io/en/lp/5HWd48xqYGLvjNDpaXz5eTe8VAgd8o1FW9KFt19ipump?handle=676050794bc1b1657a56b", "View")</f>
        <v>View</v>
      </c>
    </row>
    <row r="49" spans="1:16" x14ac:dyDescent="0.25">
      <c r="A49" s="16" t="s">
        <v>31982</v>
      </c>
      <c r="B49" s="17">
        <v>13753891</v>
      </c>
      <c r="C49" s="17">
        <v>13753891</v>
      </c>
      <c r="D49" s="17" t="s">
        <v>9569</v>
      </c>
      <c r="E49" s="17" t="s">
        <v>13695</v>
      </c>
      <c r="F49" s="17" t="s">
        <v>2767</v>
      </c>
      <c r="G49" s="20" t="s">
        <v>12883</v>
      </c>
      <c r="H49" s="20" t="s">
        <v>31983</v>
      </c>
      <c r="I49" s="17" t="s">
        <v>88</v>
      </c>
      <c r="J49" s="17">
        <v>1</v>
      </c>
      <c r="K49" s="17">
        <v>2</v>
      </c>
      <c r="L49" s="17" t="s">
        <v>31984</v>
      </c>
      <c r="M49" s="17" t="s">
        <v>2047</v>
      </c>
      <c r="N49" s="17" t="s">
        <v>20229</v>
      </c>
      <c r="O49" s="17" t="s">
        <v>31985</v>
      </c>
      <c r="P49" s="17" t="str">
        <f>HYPERLINK("https://photon-sol.tinyastro.io/en/lp/WANjTKdNN1LDcHixuvNdVSmLUJknFMeeFgaUBZopump?handle=676050794bc1b1657a56b", "View")</f>
        <v>View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F056-39A1-4E7E-8F49-91567AFD7B4E}">
  <dimension ref="A1:P2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HYPERLINK("https://gmgn.ai/sol/address/2q6vC6eFpAxTSWcGYn1MDumGZgko8E2n419MsGMy2Gx9", "GMGN")</f>
        <v>GMGN</v>
      </c>
    </row>
    <row r="2" spans="1:14" x14ac:dyDescent="0.25">
      <c r="A2" s="3" t="s">
        <v>31986</v>
      </c>
      <c r="B2" s="3" t="s">
        <v>31987</v>
      </c>
      <c r="C2" s="3" t="s">
        <v>17986</v>
      </c>
      <c r="D2" s="3" t="s">
        <v>31988</v>
      </c>
      <c r="E2" s="3" t="s">
        <v>31989</v>
      </c>
      <c r="F2" s="3" t="s">
        <v>18</v>
      </c>
      <c r="G2" s="3" t="s">
        <v>18</v>
      </c>
      <c r="H2" s="3">
        <v>7</v>
      </c>
      <c r="I2" s="3">
        <v>1</v>
      </c>
      <c r="J2" s="3" t="s">
        <v>479</v>
      </c>
      <c r="K2" s="3" t="s">
        <v>23491</v>
      </c>
      <c r="L2" s="3">
        <v>3</v>
      </c>
      <c r="M2" s="3">
        <v>8</v>
      </c>
      <c r="N2" s="3" t="str">
        <f>HYPERLINK("https://solscan.io/account/2q6vC6eFpAxTSWcGYn1MDumGZgko8E2n419MsGMy2Gx9", "Solscan")</f>
        <v>Solscan</v>
      </c>
    </row>
    <row r="3" spans="1:14" x14ac:dyDescent="0.25">
      <c r="A3" s="1" t="s">
        <v>21</v>
      </c>
      <c r="B3" s="23" t="s">
        <v>31990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HYPERLINK("https://birdeye.so/profile/2q6vC6eFpAxTSWcGYn1MDumGZgko8E2n419MsGMy2Gx9", "Birdeye")</f>
        <v>Birdeye</v>
      </c>
    </row>
    <row r="4" spans="1:14" x14ac:dyDescent="0.25">
      <c r="A4" s="1" t="s">
        <v>25</v>
      </c>
      <c r="B4" s="23" t="s">
        <v>1562</v>
      </c>
      <c r="C4" s="3"/>
      <c r="D4" s="3" t="s">
        <v>8457</v>
      </c>
      <c r="E4" s="3" t="s">
        <v>31991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1785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3</v>
      </c>
      <c r="D10" s="1">
        <v>1</v>
      </c>
      <c r="E10" s="1">
        <v>0</v>
      </c>
      <c r="F10" s="1">
        <v>0</v>
      </c>
      <c r="G10" s="1">
        <v>3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29643</v>
      </c>
      <c r="D11" s="1" t="s">
        <v>21272</v>
      </c>
      <c r="E11" s="1" t="s">
        <v>1779</v>
      </c>
      <c r="F11" s="1" t="s">
        <v>1779</v>
      </c>
      <c r="G11" s="1" t="s">
        <v>29643</v>
      </c>
      <c r="H11" s="3"/>
      <c r="I11" s="3" t="s">
        <v>50</v>
      </c>
      <c r="J11" s="3" t="s">
        <v>8326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22333</v>
      </c>
      <c r="D12" s="1" t="s">
        <v>8327</v>
      </c>
      <c r="E12" s="1" t="s">
        <v>1786</v>
      </c>
      <c r="F12" s="1" t="s">
        <v>1786</v>
      </c>
      <c r="G12" s="1" t="s">
        <v>4130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8326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31992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7538</v>
      </c>
      <c r="B20" s="14">
        <v>68548</v>
      </c>
      <c r="C20" s="14">
        <v>0</v>
      </c>
      <c r="D20" s="14" t="s">
        <v>22204</v>
      </c>
      <c r="E20" s="14" t="s">
        <v>2200</v>
      </c>
      <c r="F20" s="14" t="s">
        <v>96</v>
      </c>
      <c r="G20" s="18" t="s">
        <v>13011</v>
      </c>
      <c r="H20" s="18" t="s">
        <v>98</v>
      </c>
      <c r="I20" s="14" t="s">
        <v>31993</v>
      </c>
      <c r="J20" s="14">
        <v>1</v>
      </c>
      <c r="K20" s="14">
        <v>0</v>
      </c>
      <c r="L20" s="14" t="s">
        <v>31994</v>
      </c>
      <c r="M20" s="19" t="s">
        <v>101</v>
      </c>
      <c r="N20" s="14" t="s">
        <v>20536</v>
      </c>
      <c r="O20" s="14" t="s">
        <v>20493</v>
      </c>
      <c r="P20" s="14" t="str">
        <f>HYPERLINK("https://dexscreener.com/solana/3Wp5z1GtPqKwyiaicXa7nyXhBVJJ5JgAwzWXuPXqpump", "View")</f>
        <v>View</v>
      </c>
    </row>
    <row r="21" spans="1:16" x14ac:dyDescent="0.25">
      <c r="A21" s="16" t="s">
        <v>9737</v>
      </c>
      <c r="B21" s="17">
        <v>13086977</v>
      </c>
      <c r="C21" s="17">
        <v>13086977</v>
      </c>
      <c r="D21" s="17" t="s">
        <v>31995</v>
      </c>
      <c r="E21" s="17" t="s">
        <v>4153</v>
      </c>
      <c r="F21" s="17" t="s">
        <v>31996</v>
      </c>
      <c r="G21" s="21" t="s">
        <v>22542</v>
      </c>
      <c r="H21" s="21" t="s">
        <v>31990</v>
      </c>
      <c r="I21" s="17" t="s">
        <v>88</v>
      </c>
      <c r="J21" s="17">
        <v>2</v>
      </c>
      <c r="K21" s="17">
        <v>3</v>
      </c>
      <c r="L21" s="17" t="s">
        <v>31997</v>
      </c>
      <c r="M21" s="17" t="s">
        <v>680</v>
      </c>
      <c r="N21" s="17" t="s">
        <v>31998</v>
      </c>
      <c r="O21" s="17" t="s">
        <v>9742</v>
      </c>
      <c r="P21" s="17" t="str">
        <f>HYPERLINK("https://photon-sol.tinyastro.io/en/lp/m36WDe5v164ZSGz9s2bfBikiWGXzoT9ej8r9xrZpump?handle=676050794bc1b1657a56b", "View")</f>
        <v>View</v>
      </c>
    </row>
    <row r="22" spans="1:16" x14ac:dyDescent="0.25">
      <c r="A22" s="13" t="s">
        <v>6711</v>
      </c>
      <c r="B22" s="14">
        <v>44926</v>
      </c>
      <c r="C22" s="14">
        <v>0</v>
      </c>
      <c r="D22" s="14" t="s">
        <v>16338</v>
      </c>
      <c r="E22" s="14" t="s">
        <v>2200</v>
      </c>
      <c r="F22" s="14" t="s">
        <v>96</v>
      </c>
      <c r="G22" s="18" t="s">
        <v>13011</v>
      </c>
      <c r="H22" s="18" t="s">
        <v>98</v>
      </c>
      <c r="I22" s="14" t="s">
        <v>31999</v>
      </c>
      <c r="J22" s="14">
        <v>1</v>
      </c>
      <c r="K22" s="14">
        <v>0</v>
      </c>
      <c r="L22" s="14" t="s">
        <v>32000</v>
      </c>
      <c r="M22" s="19" t="s">
        <v>101</v>
      </c>
      <c r="N22" s="14" t="s">
        <v>28739</v>
      </c>
      <c r="O22" s="14" t="s">
        <v>6717</v>
      </c>
      <c r="P22" s="14" t="str">
        <f>HYPERLINK("https://dexscreener.com/solana/321tt4d8ZCGAdUB9PdB2cMtEL3uaJV4MaCzY2pTQpump", "View")</f>
        <v>View</v>
      </c>
    </row>
    <row r="23" spans="1:16" x14ac:dyDescent="0.25">
      <c r="A23" s="16" t="s">
        <v>31637</v>
      </c>
      <c r="B23" s="17">
        <v>2900198</v>
      </c>
      <c r="C23" s="17">
        <v>2900198</v>
      </c>
      <c r="D23" s="17" t="s">
        <v>16451</v>
      </c>
      <c r="E23" s="17" t="s">
        <v>10197</v>
      </c>
      <c r="F23" s="17" t="s">
        <v>32001</v>
      </c>
      <c r="G23" s="21" t="s">
        <v>9218</v>
      </c>
      <c r="H23" s="21" t="s">
        <v>32002</v>
      </c>
      <c r="I23" s="17" t="s">
        <v>88</v>
      </c>
      <c r="J23" s="17">
        <v>1</v>
      </c>
      <c r="K23" s="17">
        <v>1</v>
      </c>
      <c r="L23" s="17" t="s">
        <v>32003</v>
      </c>
      <c r="M23" s="17" t="s">
        <v>179</v>
      </c>
      <c r="N23" s="17" t="s">
        <v>32004</v>
      </c>
      <c r="O23" s="17" t="s">
        <v>31642</v>
      </c>
      <c r="P23" s="17" t="str">
        <f>HYPERLINK("https://dexscreener.com/solana/J3TdiHoqmf8YERR615BFaFDm6tPCLS47VdtPQEA2pump", "View")</f>
        <v>View</v>
      </c>
    </row>
    <row r="24" spans="1:16" x14ac:dyDescent="0.25">
      <c r="A24" s="13" t="s">
        <v>31654</v>
      </c>
      <c r="B24" s="14">
        <v>3492835</v>
      </c>
      <c r="C24" s="14">
        <v>3492835</v>
      </c>
      <c r="D24" s="14" t="s">
        <v>10436</v>
      </c>
      <c r="E24" s="14" t="s">
        <v>32005</v>
      </c>
      <c r="F24" s="14" t="s">
        <v>9313</v>
      </c>
      <c r="G24" s="21" t="s">
        <v>32006</v>
      </c>
      <c r="H24" s="21" t="s">
        <v>32007</v>
      </c>
      <c r="I24" s="14" t="s">
        <v>88</v>
      </c>
      <c r="J24" s="14">
        <v>1</v>
      </c>
      <c r="K24" s="14">
        <v>6</v>
      </c>
      <c r="L24" s="14" t="s">
        <v>32008</v>
      </c>
      <c r="M24" s="14" t="s">
        <v>117</v>
      </c>
      <c r="N24" s="14" t="s">
        <v>32009</v>
      </c>
      <c r="O24" s="14" t="s">
        <v>31659</v>
      </c>
      <c r="P24" s="14" t="str">
        <f>HYPERLINK("https://photon-sol.tinyastro.io/en/lp/3mZhaLTQH7iYEoKxKYkiHJQA2iQL74uyvkF5PSNEpump?handle=676050794bc1b1657a56b", "View")</f>
        <v>View</v>
      </c>
    </row>
    <row r="25" spans="1:16" x14ac:dyDescent="0.25">
      <c r="A25" s="16" t="s">
        <v>32010</v>
      </c>
      <c r="B25" s="17">
        <v>193506</v>
      </c>
      <c r="C25" s="17">
        <v>193506</v>
      </c>
      <c r="D25" s="17" t="s">
        <v>16451</v>
      </c>
      <c r="E25" s="17" t="s">
        <v>4679</v>
      </c>
      <c r="F25" s="17" t="s">
        <v>2967</v>
      </c>
      <c r="G25" s="15" t="s">
        <v>2684</v>
      </c>
      <c r="H25" s="15" t="s">
        <v>32011</v>
      </c>
      <c r="I25" s="17" t="s">
        <v>88</v>
      </c>
      <c r="J25" s="17">
        <v>1</v>
      </c>
      <c r="K25" s="17">
        <v>1</v>
      </c>
      <c r="L25" s="17" t="s">
        <v>32012</v>
      </c>
      <c r="M25" s="17" t="s">
        <v>160</v>
      </c>
      <c r="N25" s="17" t="s">
        <v>32013</v>
      </c>
      <c r="O25" s="17" t="s">
        <v>32014</v>
      </c>
      <c r="P25" s="17" t="str">
        <f>HYPERLINK("https://dexscreener.com/solana/7Jr6VwRo8RytFr27U4Sdm1wJFhZ4LRdWrkpnFipTVraQ", "View")</f>
        <v>View</v>
      </c>
    </row>
    <row r="26" spans="1:16" x14ac:dyDescent="0.25">
      <c r="A26" s="13" t="s">
        <v>8190</v>
      </c>
      <c r="B26" s="14">
        <v>2523529</v>
      </c>
      <c r="C26" s="14">
        <v>2523529</v>
      </c>
      <c r="D26" s="14" t="s">
        <v>32015</v>
      </c>
      <c r="E26" s="14" t="s">
        <v>13525</v>
      </c>
      <c r="F26" s="14" t="s">
        <v>32016</v>
      </c>
      <c r="G26" s="21" t="s">
        <v>8088</v>
      </c>
      <c r="H26" s="21" t="s">
        <v>32017</v>
      </c>
      <c r="I26" s="14" t="s">
        <v>88</v>
      </c>
      <c r="J26" s="14">
        <v>3</v>
      </c>
      <c r="K26" s="14">
        <v>5</v>
      </c>
      <c r="L26" s="14" t="s">
        <v>32018</v>
      </c>
      <c r="M26" s="14" t="s">
        <v>680</v>
      </c>
      <c r="N26" s="14" t="s">
        <v>32019</v>
      </c>
      <c r="O26" s="14" t="s">
        <v>31683</v>
      </c>
      <c r="P26" s="14" t="str">
        <f>HYPERLINK("https://photon-sol.tinyastro.io/en/lp/39GvGUQpNGf9Hm9rJvAxTTJmLpr5FL2PK6o7fPX7pump?handle=676050794bc1b1657a56b", "View")</f>
        <v>View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B60D-5E91-4EE8-A7F4-E54D053D8C4F}">
  <dimension ref="A1:P38"/>
  <sheetViews>
    <sheetView tabSelected="1"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HYPERLINK("https://gmgn.ai/sol/address/639xVN39LfwXdaEN696qXU4hmvbUg9Jkmt4LffHZ4Lt2", "GMGN")</f>
        <v>GMGN</v>
      </c>
    </row>
    <row r="2" spans="1:14" x14ac:dyDescent="0.25">
      <c r="A2" s="3" t="s">
        <v>32020</v>
      </c>
      <c r="B2" s="3" t="s">
        <v>32021</v>
      </c>
      <c r="C2" s="3" t="s">
        <v>30014</v>
      </c>
      <c r="D2" s="3" t="s">
        <v>32022</v>
      </c>
      <c r="E2" s="3" t="s">
        <v>32023</v>
      </c>
      <c r="F2" s="3" t="s">
        <v>18</v>
      </c>
      <c r="G2" s="3" t="s">
        <v>18</v>
      </c>
      <c r="H2" s="3">
        <v>19</v>
      </c>
      <c r="I2" s="3">
        <v>4</v>
      </c>
      <c r="J2" s="3" t="s">
        <v>17039</v>
      </c>
      <c r="K2" s="3" t="s">
        <v>27304</v>
      </c>
      <c r="L2" s="3">
        <v>4</v>
      </c>
      <c r="M2" s="3">
        <v>17</v>
      </c>
      <c r="N2" s="3" t="str">
        <f>HYPERLINK("https://solscan.io/account/639xVN39LfwXdaEN696qXU4hmvbUg9Jkmt4LffHZ4Lt2", "Solscan")</f>
        <v>Solscan</v>
      </c>
    </row>
    <row r="3" spans="1:14" x14ac:dyDescent="0.25">
      <c r="A3" s="1" t="s">
        <v>21</v>
      </c>
      <c r="B3" s="4" t="s">
        <v>32024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HYPERLINK("https://birdeye.so/profile/639xVN39LfwXdaEN696qXU4hmvbUg9Jkmt4LffHZ4Lt2", "Birdeye")</f>
        <v>Birdeye</v>
      </c>
    </row>
    <row r="4" spans="1:14" x14ac:dyDescent="0.25">
      <c r="A4" s="1" t="s">
        <v>25</v>
      </c>
      <c r="B4" s="3" t="s">
        <v>8457</v>
      </c>
      <c r="C4" s="3"/>
      <c r="D4" s="3" t="s">
        <v>20380</v>
      </c>
      <c r="E4" s="3" t="s">
        <v>32025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2007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0</v>
      </c>
      <c r="E10" s="1">
        <v>5</v>
      </c>
      <c r="F10" s="1">
        <v>2</v>
      </c>
      <c r="G10" s="1">
        <v>10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8328</v>
      </c>
      <c r="C11" s="1" t="s">
        <v>8328</v>
      </c>
      <c r="D11" s="1" t="s">
        <v>1779</v>
      </c>
      <c r="E11" s="1" t="s">
        <v>8460</v>
      </c>
      <c r="F11" s="1" t="s">
        <v>8329</v>
      </c>
      <c r="G11" s="1" t="s">
        <v>32026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32027</v>
      </c>
      <c r="C12" s="1" t="s">
        <v>16077</v>
      </c>
      <c r="D12" s="1" t="s">
        <v>1786</v>
      </c>
      <c r="E12" s="1" t="s">
        <v>9644</v>
      </c>
      <c r="F12" s="1" t="s">
        <v>9495</v>
      </c>
      <c r="G12" s="1" t="s">
        <v>32028</v>
      </c>
      <c r="H12" s="3"/>
      <c r="I12" s="3" t="s">
        <v>59</v>
      </c>
      <c r="J12" s="3" t="s">
        <v>1777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9497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32029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32030</v>
      </c>
      <c r="B20" s="14">
        <v>6133891</v>
      </c>
      <c r="C20" s="14">
        <v>0</v>
      </c>
      <c r="D20" s="14" t="s">
        <v>7100</v>
      </c>
      <c r="E20" s="14" t="s">
        <v>7148</v>
      </c>
      <c r="F20" s="14" t="s">
        <v>96</v>
      </c>
      <c r="G20" s="18" t="s">
        <v>32031</v>
      </c>
      <c r="H20" s="18" t="s">
        <v>98</v>
      </c>
      <c r="I20" s="14" t="s">
        <v>32032</v>
      </c>
      <c r="J20" s="14">
        <v>1</v>
      </c>
      <c r="K20" s="14">
        <v>0</v>
      </c>
      <c r="L20" s="14" t="s">
        <v>32033</v>
      </c>
      <c r="M20" s="19" t="s">
        <v>101</v>
      </c>
      <c r="N20" s="14" t="s">
        <v>32034</v>
      </c>
      <c r="O20" s="14" t="s">
        <v>32035</v>
      </c>
      <c r="P20" s="14" t="str">
        <f>HYPERLINK("https://photon-sol.tinyastro.io/en/lp/BND1QbGtEqcGZUxHxr9RY7Ja18h16oXYEU79vn8apump?handle=676050794bc1b1657a56b", "View")</f>
        <v>View</v>
      </c>
    </row>
    <row r="21" spans="1:16" x14ac:dyDescent="0.25">
      <c r="A21" s="16" t="s">
        <v>32036</v>
      </c>
      <c r="B21" s="17">
        <v>154071</v>
      </c>
      <c r="C21" s="17">
        <v>0</v>
      </c>
      <c r="D21" s="17" t="s">
        <v>1882</v>
      </c>
      <c r="E21" s="17" t="s">
        <v>6581</v>
      </c>
      <c r="F21" s="17" t="s">
        <v>96</v>
      </c>
      <c r="G21" s="18" t="s">
        <v>32037</v>
      </c>
      <c r="H21" s="18" t="s">
        <v>98</v>
      </c>
      <c r="I21" s="17" t="s">
        <v>32038</v>
      </c>
      <c r="J21" s="17">
        <v>1</v>
      </c>
      <c r="K21" s="17">
        <v>0</v>
      </c>
      <c r="L21" s="17" t="s">
        <v>32039</v>
      </c>
      <c r="M21" s="19" t="s">
        <v>101</v>
      </c>
      <c r="N21" s="17" t="s">
        <v>32040</v>
      </c>
      <c r="O21" s="17" t="s">
        <v>32041</v>
      </c>
      <c r="P21" s="17" t="str">
        <f>HYPERLINK("https://dexscreener.com/solana/86FMngwijeQhTGfSZqj1rNkKVsmS7uXJ3y13qqDupump", "View")</f>
        <v>View</v>
      </c>
    </row>
    <row r="22" spans="1:16" x14ac:dyDescent="0.25">
      <c r="A22" s="13" t="s">
        <v>16667</v>
      </c>
      <c r="B22" s="14">
        <v>3468599</v>
      </c>
      <c r="C22" s="14">
        <v>0</v>
      </c>
      <c r="D22" s="14" t="s">
        <v>7100</v>
      </c>
      <c r="E22" s="14" t="s">
        <v>6467</v>
      </c>
      <c r="F22" s="14" t="s">
        <v>96</v>
      </c>
      <c r="G22" s="18" t="s">
        <v>32042</v>
      </c>
      <c r="H22" s="18" t="s">
        <v>98</v>
      </c>
      <c r="I22" s="14" t="s">
        <v>32043</v>
      </c>
      <c r="J22" s="14">
        <v>1</v>
      </c>
      <c r="K22" s="14">
        <v>0</v>
      </c>
      <c r="L22" s="14" t="s">
        <v>32044</v>
      </c>
      <c r="M22" s="19" t="s">
        <v>101</v>
      </c>
      <c r="N22" s="14" t="s">
        <v>32045</v>
      </c>
      <c r="O22" s="14" t="s">
        <v>16671</v>
      </c>
      <c r="P22" s="14" t="str">
        <f>HYPERLINK("https://dexscreener.com/solana/5UjbS1bECmQo7B5f817151ctvWskB92aDqu9drsipump", "View")</f>
        <v>View</v>
      </c>
    </row>
    <row r="23" spans="1:16" x14ac:dyDescent="0.25">
      <c r="A23" s="16" t="s">
        <v>367</v>
      </c>
      <c r="B23" s="17">
        <v>1029570</v>
      </c>
      <c r="C23" s="17">
        <v>0</v>
      </c>
      <c r="D23" s="17" t="s">
        <v>7100</v>
      </c>
      <c r="E23" s="17" t="s">
        <v>1804</v>
      </c>
      <c r="F23" s="17" t="s">
        <v>96</v>
      </c>
      <c r="G23" s="18" t="s">
        <v>7101</v>
      </c>
      <c r="H23" s="18" t="s">
        <v>98</v>
      </c>
      <c r="I23" s="17" t="s">
        <v>32046</v>
      </c>
      <c r="J23" s="17">
        <v>1</v>
      </c>
      <c r="K23" s="17">
        <v>0</v>
      </c>
      <c r="L23" s="17" t="s">
        <v>32047</v>
      </c>
      <c r="M23" s="19" t="s">
        <v>101</v>
      </c>
      <c r="N23" s="17" t="s">
        <v>32048</v>
      </c>
      <c r="O23" s="17" t="s">
        <v>372</v>
      </c>
      <c r="P23" s="17" t="str">
        <f>HYPERLINK("https://dexscreener.com/solana/Z5qTBYTgbK9nezJPSLxuJEpEhDimcJKLq9xN6MF2sh1", "View")</f>
        <v>View</v>
      </c>
    </row>
    <row r="24" spans="1:16" x14ac:dyDescent="0.25">
      <c r="A24" s="13" t="s">
        <v>18364</v>
      </c>
      <c r="B24" s="14">
        <v>31504</v>
      </c>
      <c r="C24" s="14">
        <v>11164</v>
      </c>
      <c r="D24" s="14" t="s">
        <v>7054</v>
      </c>
      <c r="E24" s="14" t="s">
        <v>6581</v>
      </c>
      <c r="F24" s="14" t="s">
        <v>32049</v>
      </c>
      <c r="G24" s="20" t="s">
        <v>32050</v>
      </c>
      <c r="H24" s="20" t="s">
        <v>24700</v>
      </c>
      <c r="I24" s="14" t="s">
        <v>88</v>
      </c>
      <c r="J24" s="14">
        <v>1</v>
      </c>
      <c r="K24" s="14">
        <v>1</v>
      </c>
      <c r="L24" s="14" t="s">
        <v>32051</v>
      </c>
      <c r="M24" s="14" t="s">
        <v>745</v>
      </c>
      <c r="N24" s="14" t="s">
        <v>32052</v>
      </c>
      <c r="O24" s="14" t="s">
        <v>18369</v>
      </c>
      <c r="P24" s="14" t="str">
        <f>HYPERLINK("https://dexscreener.com/solana/GqmEdRD3zGUZdYPeuDeXxCc8Cj1DBmGSYK97TCwSpump", "View")</f>
        <v>View</v>
      </c>
    </row>
    <row r="25" spans="1:16" x14ac:dyDescent="0.25">
      <c r="A25" s="16" t="s">
        <v>32053</v>
      </c>
      <c r="B25" s="17">
        <v>4699460</v>
      </c>
      <c r="C25" s="17">
        <v>0</v>
      </c>
      <c r="D25" s="17" t="s">
        <v>7100</v>
      </c>
      <c r="E25" s="17" t="s">
        <v>13588</v>
      </c>
      <c r="F25" s="17" t="s">
        <v>96</v>
      </c>
      <c r="G25" s="18" t="s">
        <v>32054</v>
      </c>
      <c r="H25" s="18" t="s">
        <v>98</v>
      </c>
      <c r="I25" s="17" t="s">
        <v>32055</v>
      </c>
      <c r="J25" s="17">
        <v>1</v>
      </c>
      <c r="K25" s="17">
        <v>0</v>
      </c>
      <c r="L25" s="17" t="s">
        <v>32056</v>
      </c>
      <c r="M25" s="19" t="s">
        <v>101</v>
      </c>
      <c r="N25" s="17" t="s">
        <v>4954</v>
      </c>
      <c r="O25" s="17" t="s">
        <v>32057</v>
      </c>
      <c r="P25" s="17" t="str">
        <f>HYPERLINK("https://photon-sol.tinyastro.io/en/lp/5j39aAySBanAMQf67LP6Q4Ef898U9ThEofHV2aSopump?handle=676050794bc1b1657a56b", "View")</f>
        <v>View</v>
      </c>
    </row>
    <row r="26" spans="1:16" x14ac:dyDescent="0.25">
      <c r="A26" s="13" t="s">
        <v>32058</v>
      </c>
      <c r="B26" s="14">
        <v>2512267</v>
      </c>
      <c r="C26" s="14">
        <v>0</v>
      </c>
      <c r="D26" s="14" t="s">
        <v>7100</v>
      </c>
      <c r="E26" s="14" t="s">
        <v>6581</v>
      </c>
      <c r="F26" s="14" t="s">
        <v>96</v>
      </c>
      <c r="G26" s="18" t="s">
        <v>32059</v>
      </c>
      <c r="H26" s="18" t="s">
        <v>98</v>
      </c>
      <c r="I26" s="14" t="s">
        <v>32060</v>
      </c>
      <c r="J26" s="14">
        <v>1</v>
      </c>
      <c r="K26" s="14">
        <v>0</v>
      </c>
      <c r="L26" s="14" t="s">
        <v>32061</v>
      </c>
      <c r="M26" s="19" t="s">
        <v>101</v>
      </c>
      <c r="N26" s="14" t="s">
        <v>32062</v>
      </c>
      <c r="O26" s="14" t="s">
        <v>32063</v>
      </c>
      <c r="P26" s="14" t="str">
        <f>HYPERLINK("https://dexscreener.com/solana/DkvQonT66du7SxdAvAKUzJekNHuR1pwdhdv4V9R5pump", "View")</f>
        <v>View</v>
      </c>
    </row>
    <row r="27" spans="1:16" x14ac:dyDescent="0.25">
      <c r="A27" s="16" t="s">
        <v>32064</v>
      </c>
      <c r="B27" s="17">
        <v>340657</v>
      </c>
      <c r="C27" s="17">
        <v>0</v>
      </c>
      <c r="D27" s="17" t="s">
        <v>7100</v>
      </c>
      <c r="E27" s="17" t="s">
        <v>6581</v>
      </c>
      <c r="F27" s="17" t="s">
        <v>96</v>
      </c>
      <c r="G27" s="18" t="s">
        <v>32059</v>
      </c>
      <c r="H27" s="18" t="s">
        <v>98</v>
      </c>
      <c r="I27" s="17" t="s">
        <v>32065</v>
      </c>
      <c r="J27" s="17">
        <v>1</v>
      </c>
      <c r="K27" s="17">
        <v>0</v>
      </c>
      <c r="L27" s="17" t="s">
        <v>32066</v>
      </c>
      <c r="M27" s="19" t="s">
        <v>101</v>
      </c>
      <c r="N27" s="17" t="s">
        <v>32067</v>
      </c>
      <c r="O27" s="17" t="s">
        <v>32068</v>
      </c>
      <c r="P27" s="17" t="str">
        <f>HYPERLINK("https://dexscreener.com/solana/EPtGK4deG13EmxhkrM3uQFay5txx3hRT4ipQpKsfpump", "View")</f>
        <v>View</v>
      </c>
    </row>
    <row r="28" spans="1:16" x14ac:dyDescent="0.25">
      <c r="A28" s="13" t="s">
        <v>32069</v>
      </c>
      <c r="B28" s="14">
        <v>9087495</v>
      </c>
      <c r="C28" s="14">
        <v>9087495</v>
      </c>
      <c r="D28" s="14" t="s">
        <v>7061</v>
      </c>
      <c r="E28" s="14" t="s">
        <v>6581</v>
      </c>
      <c r="F28" s="14" t="s">
        <v>2029</v>
      </c>
      <c r="G28" s="15" t="s">
        <v>32070</v>
      </c>
      <c r="H28" s="15" t="s">
        <v>32071</v>
      </c>
      <c r="I28" s="14" t="s">
        <v>88</v>
      </c>
      <c r="J28" s="14">
        <v>2</v>
      </c>
      <c r="K28" s="14">
        <v>1</v>
      </c>
      <c r="L28" s="14" t="s">
        <v>32072</v>
      </c>
      <c r="M28" s="14" t="s">
        <v>788</v>
      </c>
      <c r="N28" s="14" t="s">
        <v>32073</v>
      </c>
      <c r="O28" s="14" t="s">
        <v>32074</v>
      </c>
      <c r="P28" s="14" t="str">
        <f>HYPERLINK("https://dexscreener.com/solana/Ds7x8bNC1DZkNQRS2xtXCcfcAHU4qkWSFzA5MJFjpump", "View")</f>
        <v>View</v>
      </c>
    </row>
    <row r="29" spans="1:16" x14ac:dyDescent="0.25">
      <c r="A29" s="16" t="s">
        <v>25146</v>
      </c>
      <c r="B29" s="17">
        <v>1123440</v>
      </c>
      <c r="C29" s="17">
        <v>1123440</v>
      </c>
      <c r="D29" s="17" t="s">
        <v>7054</v>
      </c>
      <c r="E29" s="17" t="s">
        <v>3045</v>
      </c>
      <c r="F29" s="17" t="s">
        <v>13085</v>
      </c>
      <c r="G29" s="22" t="s">
        <v>4687</v>
      </c>
      <c r="H29" s="22" t="s">
        <v>32075</v>
      </c>
      <c r="I29" s="17" t="s">
        <v>88</v>
      </c>
      <c r="J29" s="17">
        <v>1</v>
      </c>
      <c r="K29" s="17">
        <v>1</v>
      </c>
      <c r="L29" s="17" t="s">
        <v>32076</v>
      </c>
      <c r="M29" s="17" t="s">
        <v>1434</v>
      </c>
      <c r="N29" s="17" t="s">
        <v>32077</v>
      </c>
      <c r="O29" s="17" t="s">
        <v>25150</v>
      </c>
      <c r="P29" s="17" t="str">
        <f>HYPERLINK("https://dexscreener.com/solana/6J2cEW7MuawwTnSCx5YEcpSTHPnfCeNKqctntecSS4Xq", "View")</f>
        <v>View</v>
      </c>
    </row>
    <row r="30" spans="1:16" x14ac:dyDescent="0.25">
      <c r="A30" s="13" t="s">
        <v>32078</v>
      </c>
      <c r="B30" s="14">
        <v>2255632</v>
      </c>
      <c r="C30" s="14">
        <v>1524827</v>
      </c>
      <c r="D30" s="14" t="s">
        <v>7403</v>
      </c>
      <c r="E30" s="14" t="s">
        <v>1989</v>
      </c>
      <c r="F30" s="14" t="s">
        <v>32079</v>
      </c>
      <c r="G30" s="21" t="s">
        <v>32080</v>
      </c>
      <c r="H30" s="21" t="s">
        <v>32081</v>
      </c>
      <c r="I30" s="14" t="s">
        <v>88</v>
      </c>
      <c r="J30" s="14">
        <v>2</v>
      </c>
      <c r="K30" s="14">
        <v>5</v>
      </c>
      <c r="L30" s="14" t="s">
        <v>32082</v>
      </c>
      <c r="M30" s="14" t="s">
        <v>699</v>
      </c>
      <c r="N30" s="14" t="s">
        <v>32083</v>
      </c>
      <c r="O30" s="14" t="s">
        <v>32084</v>
      </c>
      <c r="P30" s="14" t="str">
        <f>HYPERLINK("https://dexscreener.com/solana/59VfmRtycwEmfLvjZKybjRZMvhUkcbBVzt8zKqGDJ3Dn", "View")</f>
        <v>View</v>
      </c>
    </row>
    <row r="31" spans="1:16" x14ac:dyDescent="0.25">
      <c r="A31" s="16" t="s">
        <v>32085</v>
      </c>
      <c r="B31" s="17">
        <v>9459871</v>
      </c>
      <c r="C31" s="17">
        <v>9459871</v>
      </c>
      <c r="D31" s="17" t="s">
        <v>7113</v>
      </c>
      <c r="E31" s="17" t="s">
        <v>12862</v>
      </c>
      <c r="F31" s="17" t="s">
        <v>22338</v>
      </c>
      <c r="G31" s="22" t="s">
        <v>3309</v>
      </c>
      <c r="H31" s="22" t="s">
        <v>31709</v>
      </c>
      <c r="I31" s="17" t="s">
        <v>88</v>
      </c>
      <c r="J31" s="17">
        <v>2</v>
      </c>
      <c r="K31" s="17">
        <v>2</v>
      </c>
      <c r="L31" s="17" t="s">
        <v>32086</v>
      </c>
      <c r="M31" s="17" t="s">
        <v>132</v>
      </c>
      <c r="N31" s="17" t="s">
        <v>32087</v>
      </c>
      <c r="O31" s="17" t="s">
        <v>32088</v>
      </c>
      <c r="P31" s="17" t="str">
        <f>HYPERLINK("https://photon-sol.tinyastro.io/en/lp/2e4JVEPfPbpQoj5W5jjsfjmRMX6seZyA41HkDouKpump?handle=676050794bc1b1657a56b", "View")</f>
        <v>View</v>
      </c>
    </row>
    <row r="32" spans="1:16" x14ac:dyDescent="0.25">
      <c r="A32" s="13" t="s">
        <v>4518</v>
      </c>
      <c r="B32" s="14">
        <v>1251797</v>
      </c>
      <c r="C32" s="14">
        <v>733866</v>
      </c>
      <c r="D32" s="14" t="s">
        <v>24738</v>
      </c>
      <c r="E32" s="14" t="s">
        <v>6467</v>
      </c>
      <c r="F32" s="14" t="s">
        <v>32089</v>
      </c>
      <c r="G32" s="21" t="s">
        <v>32090</v>
      </c>
      <c r="H32" s="21" t="s">
        <v>10418</v>
      </c>
      <c r="I32" s="14" t="s">
        <v>88</v>
      </c>
      <c r="J32" s="14">
        <v>1</v>
      </c>
      <c r="K32" s="14">
        <v>7</v>
      </c>
      <c r="L32" s="14" t="s">
        <v>32091</v>
      </c>
      <c r="M32" s="14" t="s">
        <v>117</v>
      </c>
      <c r="N32" s="14" t="s">
        <v>32092</v>
      </c>
      <c r="O32" s="14" t="s">
        <v>4525</v>
      </c>
      <c r="P32" s="14" t="str">
        <f>HYPERLINK("https://dexscreener.com/solana/FqvtZ2UFR9we82Ni4LeacC1zyTiQ77usDo31DUokpump", "View")</f>
        <v>View</v>
      </c>
    </row>
    <row r="33" spans="1:16" x14ac:dyDescent="0.25">
      <c r="A33" s="16" t="s">
        <v>32093</v>
      </c>
      <c r="B33" s="17">
        <v>5665856</v>
      </c>
      <c r="C33" s="17">
        <v>5665856</v>
      </c>
      <c r="D33" s="17" t="s">
        <v>7054</v>
      </c>
      <c r="E33" s="17" t="s">
        <v>13588</v>
      </c>
      <c r="F33" s="17" t="s">
        <v>5139</v>
      </c>
      <c r="G33" s="15" t="s">
        <v>32094</v>
      </c>
      <c r="H33" s="15" t="s">
        <v>32024</v>
      </c>
      <c r="I33" s="17" t="s">
        <v>88</v>
      </c>
      <c r="J33" s="17">
        <v>1</v>
      </c>
      <c r="K33" s="17">
        <v>1</v>
      </c>
      <c r="L33" s="17" t="s">
        <v>32095</v>
      </c>
      <c r="M33" s="17" t="s">
        <v>150</v>
      </c>
      <c r="N33" s="17" t="s">
        <v>507</v>
      </c>
      <c r="O33" s="17" t="s">
        <v>32096</v>
      </c>
      <c r="P33" s="17" t="str">
        <f>HYPERLINK("https://photon-sol.tinyastro.io/en/lp/9oZpjJ6k1nYeo4N5nHb3NEADZmydwsjyNBKBVXoWpump?handle=676050794bc1b1657a56b", "View")</f>
        <v>View</v>
      </c>
    </row>
    <row r="34" spans="1:16" x14ac:dyDescent="0.25">
      <c r="A34" s="13" t="s">
        <v>26529</v>
      </c>
      <c r="B34" s="14">
        <v>272869</v>
      </c>
      <c r="C34" s="14">
        <v>272869</v>
      </c>
      <c r="D34" s="14" t="s">
        <v>7061</v>
      </c>
      <c r="E34" s="14" t="s">
        <v>10388</v>
      </c>
      <c r="F34" s="14" t="s">
        <v>1361</v>
      </c>
      <c r="G34" s="22" t="s">
        <v>17881</v>
      </c>
      <c r="H34" s="22" t="s">
        <v>32097</v>
      </c>
      <c r="I34" s="14" t="s">
        <v>88</v>
      </c>
      <c r="J34" s="14">
        <v>1</v>
      </c>
      <c r="K34" s="14">
        <v>2</v>
      </c>
      <c r="L34" s="14" t="s">
        <v>32098</v>
      </c>
      <c r="M34" s="14" t="s">
        <v>150</v>
      </c>
      <c r="N34" s="14" t="s">
        <v>32099</v>
      </c>
      <c r="O34" s="14" t="s">
        <v>32100</v>
      </c>
      <c r="P34" s="14" t="str">
        <f>HYPERLINK("https://dexscreener.com/solana/BDaNXFW8NST4yXps7TZuizRsj194AeH9tnzZfUQtVuiy", "View")</f>
        <v>View</v>
      </c>
    </row>
    <row r="35" spans="1:16" x14ac:dyDescent="0.25">
      <c r="A35" s="16" t="s">
        <v>11577</v>
      </c>
      <c r="B35" s="17">
        <v>16376</v>
      </c>
      <c r="C35" s="17">
        <v>16376</v>
      </c>
      <c r="D35" s="17" t="s">
        <v>7274</v>
      </c>
      <c r="E35" s="17" t="s">
        <v>6467</v>
      </c>
      <c r="F35" s="17" t="s">
        <v>32101</v>
      </c>
      <c r="G35" s="22" t="s">
        <v>14402</v>
      </c>
      <c r="H35" s="22" t="s">
        <v>32102</v>
      </c>
      <c r="I35" s="17" t="s">
        <v>88</v>
      </c>
      <c r="J35" s="17">
        <v>2</v>
      </c>
      <c r="K35" s="17">
        <v>2</v>
      </c>
      <c r="L35" s="17" t="s">
        <v>32103</v>
      </c>
      <c r="M35" s="17" t="s">
        <v>277</v>
      </c>
      <c r="N35" s="17" t="s">
        <v>32104</v>
      </c>
      <c r="O35" s="17" t="s">
        <v>11581</v>
      </c>
      <c r="P35" s="17" t="str">
        <f>HYPERLINK("https://dexscreener.com/solana/GJAFwWjJ3vnTsrQVabjBVK2TYB1YtRCQXRDfDgUnpump", "View")</f>
        <v>View</v>
      </c>
    </row>
    <row r="36" spans="1:16" x14ac:dyDescent="0.25">
      <c r="A36" s="13" t="s">
        <v>32105</v>
      </c>
      <c r="B36" s="14">
        <v>754732</v>
      </c>
      <c r="C36" s="14">
        <v>754732</v>
      </c>
      <c r="D36" s="14" t="s">
        <v>7061</v>
      </c>
      <c r="E36" s="14" t="s">
        <v>10388</v>
      </c>
      <c r="F36" s="14" t="s">
        <v>13611</v>
      </c>
      <c r="G36" s="22" t="s">
        <v>2305</v>
      </c>
      <c r="H36" s="22" t="s">
        <v>32106</v>
      </c>
      <c r="I36" s="14" t="s">
        <v>88</v>
      </c>
      <c r="J36" s="14">
        <v>1</v>
      </c>
      <c r="K36" s="14">
        <v>2</v>
      </c>
      <c r="L36" s="14" t="s">
        <v>32107</v>
      </c>
      <c r="M36" s="14" t="s">
        <v>699</v>
      </c>
      <c r="N36" s="14" t="s">
        <v>32108</v>
      </c>
      <c r="O36" s="14" t="s">
        <v>32109</v>
      </c>
      <c r="P36" s="14" t="str">
        <f>HYPERLINK("https://dexscreener.com/solana/CduQHdRkxgSN1JicYYp28BV4RQkbymVGDodjaw4epump", "View")</f>
        <v>View</v>
      </c>
    </row>
    <row r="37" spans="1:16" x14ac:dyDescent="0.25">
      <c r="A37" s="16" t="s">
        <v>25283</v>
      </c>
      <c r="B37" s="17">
        <v>388091</v>
      </c>
      <c r="C37" s="17">
        <v>99050</v>
      </c>
      <c r="D37" s="17" t="s">
        <v>7054</v>
      </c>
      <c r="E37" s="17" t="s">
        <v>14679</v>
      </c>
      <c r="F37" s="17" t="s">
        <v>13420</v>
      </c>
      <c r="G37" s="20" t="s">
        <v>4939</v>
      </c>
      <c r="H37" s="20" t="s">
        <v>32110</v>
      </c>
      <c r="I37" s="17" t="s">
        <v>88</v>
      </c>
      <c r="J37" s="17">
        <v>1</v>
      </c>
      <c r="K37" s="17">
        <v>1</v>
      </c>
      <c r="L37" s="17" t="s">
        <v>32111</v>
      </c>
      <c r="M37" s="17" t="s">
        <v>287</v>
      </c>
      <c r="N37" s="17" t="s">
        <v>20536</v>
      </c>
      <c r="O37" s="17" t="s">
        <v>25286</v>
      </c>
      <c r="P37" s="17" t="str">
        <f>HYPERLINK("https://dexscreener.com/solana/6kJhG826LGowg7zG6PLd6tg7mqvVSdq2WzHhsfc7pump", "View")</f>
        <v>View</v>
      </c>
    </row>
    <row r="38" spans="1:16" x14ac:dyDescent="0.25">
      <c r="A38" s="13" t="s">
        <v>10736</v>
      </c>
      <c r="B38" s="14">
        <v>200398</v>
      </c>
      <c r="C38" s="14">
        <v>0</v>
      </c>
      <c r="D38" s="14" t="s">
        <v>7100</v>
      </c>
      <c r="E38" s="14" t="s">
        <v>1804</v>
      </c>
      <c r="F38" s="14" t="s">
        <v>96</v>
      </c>
      <c r="G38" s="18" t="s">
        <v>7101</v>
      </c>
      <c r="H38" s="18" t="s">
        <v>98</v>
      </c>
      <c r="I38" s="14" t="s">
        <v>32112</v>
      </c>
      <c r="J38" s="14">
        <v>1</v>
      </c>
      <c r="K38" s="14">
        <v>0</v>
      </c>
      <c r="L38" s="14" t="s">
        <v>32113</v>
      </c>
      <c r="M38" s="19" t="s">
        <v>101</v>
      </c>
      <c r="N38" s="14" t="s">
        <v>32114</v>
      </c>
      <c r="O38" s="14" t="s">
        <v>10743</v>
      </c>
      <c r="P38" s="14" t="str">
        <f>HYPERLINK("https://dexscreener.com/solana/HuiVprCHCucHUb5bX6EXFJd7wuwvdASFzzge4ahXpump", "View")</f>
        <v>View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7447-CE0D-4284-84B4-C9071EE1B22C}">
  <dimension ref="A1:P140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HYPERLINK("https://gmgn.ai/sol/address/Ds4SNt8tBu6JHfhbFJSb9bZdBvNzuzFz1VEpTzZhyRn5", "GMGN")</f>
        <v>GMGN</v>
      </c>
    </row>
    <row r="2" spans="1:14" x14ac:dyDescent="0.25">
      <c r="A2" s="3" t="s">
        <v>7490</v>
      </c>
      <c r="B2" s="3" t="s">
        <v>7491</v>
      </c>
      <c r="C2" s="3" t="s">
        <v>7492</v>
      </c>
      <c r="D2" s="3" t="s">
        <v>7493</v>
      </c>
      <c r="E2" s="3" t="s">
        <v>7494</v>
      </c>
      <c r="F2" s="3" t="s">
        <v>7495</v>
      </c>
      <c r="G2" s="3" t="s">
        <v>18</v>
      </c>
      <c r="H2" s="3">
        <v>121</v>
      </c>
      <c r="I2" s="3">
        <v>0</v>
      </c>
      <c r="J2" s="3" t="s">
        <v>4558</v>
      </c>
      <c r="K2" s="3" t="s">
        <v>1957</v>
      </c>
      <c r="L2" s="3">
        <v>90</v>
      </c>
      <c r="M2" s="3">
        <v>212</v>
      </c>
      <c r="N2" s="3" t="str">
        <f>HYPERLINK("https://solscan.io/account/Ds4SNt8tBu6JHfhbFJSb9bZdBvNzuzFz1VEpTzZhyRn5", "Solscan")</f>
        <v>Solscan</v>
      </c>
    </row>
    <row r="3" spans="1:14" x14ac:dyDescent="0.25">
      <c r="A3" s="1" t="s">
        <v>21</v>
      </c>
      <c r="B3" s="4" t="s">
        <v>5365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HYPERLINK("https://birdeye.so/profile/Ds4SNt8tBu6JHfhbFJSb9bZdBvNzuzFz1VEpTzZhyRn5", "Birdeye")</f>
        <v>Birdeye</v>
      </c>
    </row>
    <row r="4" spans="1:14" x14ac:dyDescent="0.25">
      <c r="A4" s="1" t="s">
        <v>25</v>
      </c>
      <c r="B4" s="3" t="s">
        <v>7496</v>
      </c>
      <c r="C4" s="3"/>
      <c r="D4" s="3" t="s">
        <v>1568</v>
      </c>
      <c r="E4" s="3" t="s">
        <v>1778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7497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7498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4</v>
      </c>
      <c r="C10" s="1">
        <v>10</v>
      </c>
      <c r="D10" s="1">
        <v>7</v>
      </c>
      <c r="E10" s="1">
        <v>29</v>
      </c>
      <c r="F10" s="1">
        <v>57</v>
      </c>
      <c r="G10" s="1">
        <v>14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7499</v>
      </c>
      <c r="C11" s="1" t="s">
        <v>7500</v>
      </c>
      <c r="D11" s="1" t="s">
        <v>7501</v>
      </c>
      <c r="E11" s="1" t="s">
        <v>7502</v>
      </c>
      <c r="F11" s="1" t="s">
        <v>7503</v>
      </c>
      <c r="G11" s="1" t="s">
        <v>7504</v>
      </c>
      <c r="H11" s="3"/>
      <c r="I11" s="3" t="s">
        <v>50</v>
      </c>
      <c r="J11" s="3" t="s">
        <v>7505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7506</v>
      </c>
      <c r="C12" s="1" t="s">
        <v>7507</v>
      </c>
      <c r="D12" s="1" t="s">
        <v>7508</v>
      </c>
      <c r="E12" s="1" t="s">
        <v>7509</v>
      </c>
      <c r="F12" s="1" t="s">
        <v>7510</v>
      </c>
      <c r="G12" s="1" t="s">
        <v>7511</v>
      </c>
      <c r="H12" s="3"/>
      <c r="I12" s="3" t="s">
        <v>59</v>
      </c>
      <c r="J12" s="3" t="s">
        <v>4369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1785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7512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7513</v>
      </c>
      <c r="B20" s="14">
        <v>30056652</v>
      </c>
      <c r="C20" s="14">
        <v>30056652</v>
      </c>
      <c r="D20" s="14" t="s">
        <v>7514</v>
      </c>
      <c r="E20" s="14" t="s">
        <v>1361</v>
      </c>
      <c r="F20" s="14" t="s">
        <v>7515</v>
      </c>
      <c r="G20" s="22" t="s">
        <v>2164</v>
      </c>
      <c r="H20" s="22" t="s">
        <v>7516</v>
      </c>
      <c r="I20" s="14" t="s">
        <v>88</v>
      </c>
      <c r="J20" s="14">
        <v>1</v>
      </c>
      <c r="K20" s="14">
        <v>1</v>
      </c>
      <c r="L20" s="14" t="s">
        <v>7517</v>
      </c>
      <c r="M20" s="19" t="s">
        <v>2315</v>
      </c>
      <c r="N20" s="14" t="s">
        <v>2223</v>
      </c>
      <c r="O20" s="14" t="s">
        <v>7518</v>
      </c>
      <c r="P20" s="14" t="str">
        <f>HYPERLINK("https://photon-sol.tinyastro.io/en/lp/8YQn99fdno4hCx3YwFe9QERbuvdeeADrSn7p9jtUpump?handle=676050794bc1b1657a56b", "View")</f>
        <v>View</v>
      </c>
    </row>
    <row r="21" spans="1:16" x14ac:dyDescent="0.25">
      <c r="A21" s="16" t="s">
        <v>7519</v>
      </c>
      <c r="B21" s="17">
        <v>23423783</v>
      </c>
      <c r="C21" s="17">
        <v>23423783</v>
      </c>
      <c r="D21" s="17" t="s">
        <v>7514</v>
      </c>
      <c r="E21" s="17" t="s">
        <v>1361</v>
      </c>
      <c r="F21" s="17" t="s">
        <v>2057</v>
      </c>
      <c r="G21" s="22" t="s">
        <v>2305</v>
      </c>
      <c r="H21" s="22" t="s">
        <v>7520</v>
      </c>
      <c r="I21" s="17" t="s">
        <v>88</v>
      </c>
      <c r="J21" s="17">
        <v>1</v>
      </c>
      <c r="K21" s="17">
        <v>1</v>
      </c>
      <c r="L21" s="17" t="s">
        <v>7521</v>
      </c>
      <c r="M21" s="17" t="s">
        <v>304</v>
      </c>
      <c r="N21" s="17" t="s">
        <v>507</v>
      </c>
      <c r="O21" s="17" t="s">
        <v>7522</v>
      </c>
      <c r="P21" s="17" t="str">
        <f>HYPERLINK("https://photon-sol.tinyastro.io/en/lp/Bpbp1z1X4P7rQAbvMLrc6BY452rjuZRY1uzUYCmSpump?handle=676050794bc1b1657a56b", "View")</f>
        <v>View</v>
      </c>
    </row>
    <row r="22" spans="1:16" x14ac:dyDescent="0.25">
      <c r="A22" s="13" t="s">
        <v>7523</v>
      </c>
      <c r="B22" s="14">
        <v>17541433</v>
      </c>
      <c r="C22" s="14">
        <v>17541433</v>
      </c>
      <c r="D22" s="14" t="s">
        <v>7514</v>
      </c>
      <c r="E22" s="14" t="s">
        <v>7524</v>
      </c>
      <c r="F22" s="14" t="s">
        <v>7525</v>
      </c>
      <c r="G22" s="20" t="s">
        <v>7526</v>
      </c>
      <c r="H22" s="20" t="s">
        <v>7527</v>
      </c>
      <c r="I22" s="14" t="s">
        <v>88</v>
      </c>
      <c r="J22" s="14">
        <v>1</v>
      </c>
      <c r="K22" s="14">
        <v>1</v>
      </c>
      <c r="L22" s="14" t="s">
        <v>7528</v>
      </c>
      <c r="M22" s="14" t="s">
        <v>1434</v>
      </c>
      <c r="N22" s="14" t="s">
        <v>7529</v>
      </c>
      <c r="O22" s="14" t="s">
        <v>7530</v>
      </c>
      <c r="P22" s="14" t="str">
        <f>HYPERLINK("https://photon-sol.tinyastro.io/en/lp/fH4ExPBcsv3bHjLUDz6gN33G7UTnFetcjoYCwXZpump?handle=676050794bc1b1657a56b", "View")</f>
        <v>View</v>
      </c>
    </row>
    <row r="23" spans="1:16" x14ac:dyDescent="0.25">
      <c r="A23" s="16" t="s">
        <v>7531</v>
      </c>
      <c r="B23" s="17">
        <v>12083476</v>
      </c>
      <c r="C23" s="17">
        <v>12083476</v>
      </c>
      <c r="D23" s="17" t="s">
        <v>7514</v>
      </c>
      <c r="E23" s="17" t="s">
        <v>1236</v>
      </c>
      <c r="F23" s="17" t="s">
        <v>7532</v>
      </c>
      <c r="G23" s="20" t="s">
        <v>7533</v>
      </c>
      <c r="H23" s="20" t="s">
        <v>7534</v>
      </c>
      <c r="I23" s="17" t="s">
        <v>88</v>
      </c>
      <c r="J23" s="17">
        <v>1</v>
      </c>
      <c r="K23" s="17">
        <v>1</v>
      </c>
      <c r="L23" s="17" t="s">
        <v>7535</v>
      </c>
      <c r="M23" s="17" t="s">
        <v>1434</v>
      </c>
      <c r="N23" s="17" t="s">
        <v>7536</v>
      </c>
      <c r="O23" s="17" t="s">
        <v>7537</v>
      </c>
      <c r="P23" s="17" t="str">
        <f>HYPERLINK("https://photon-sol.tinyastro.io/en/lp/2Ti3KMBHuugQ1PHA2wD4ZhgaMLTuG5N5nXm7KMaQpump?handle=676050794bc1b1657a56b", "View")</f>
        <v>View</v>
      </c>
    </row>
    <row r="24" spans="1:16" x14ac:dyDescent="0.25">
      <c r="A24" s="13" t="s">
        <v>7538</v>
      </c>
      <c r="B24" s="14">
        <v>36082067</v>
      </c>
      <c r="C24" s="14">
        <v>36082067</v>
      </c>
      <c r="D24" s="14" t="s">
        <v>7514</v>
      </c>
      <c r="E24" s="14" t="s">
        <v>7539</v>
      </c>
      <c r="F24" s="14" t="s">
        <v>7540</v>
      </c>
      <c r="G24" s="22" t="s">
        <v>7541</v>
      </c>
      <c r="H24" s="22" t="s">
        <v>7542</v>
      </c>
      <c r="I24" s="14" t="s">
        <v>88</v>
      </c>
      <c r="J24" s="14">
        <v>1</v>
      </c>
      <c r="K24" s="14">
        <v>1</v>
      </c>
      <c r="L24" s="14" t="s">
        <v>7543</v>
      </c>
      <c r="M24" s="14" t="s">
        <v>1448</v>
      </c>
      <c r="N24" s="14" t="s">
        <v>2278</v>
      </c>
      <c r="O24" s="14" t="s">
        <v>7544</v>
      </c>
      <c r="P24" s="14" t="str">
        <f>HYPERLINK("https://photon-sol.tinyastro.io/en/lp/FRXJVChFgUTLYLnH2AgByPuMAocmRZ6cRhWvcYPnpump?handle=676050794bc1b1657a56b", "View")</f>
        <v>View</v>
      </c>
    </row>
    <row r="25" spans="1:16" x14ac:dyDescent="0.25">
      <c r="A25" s="16" t="s">
        <v>7545</v>
      </c>
      <c r="B25" s="17">
        <v>32734980</v>
      </c>
      <c r="C25" s="17">
        <v>32734980</v>
      </c>
      <c r="D25" s="17" t="s">
        <v>7546</v>
      </c>
      <c r="E25" s="17" t="s">
        <v>951</v>
      </c>
      <c r="F25" s="17" t="s">
        <v>7547</v>
      </c>
      <c r="G25" s="20" t="s">
        <v>4990</v>
      </c>
      <c r="H25" s="20" t="s">
        <v>7548</v>
      </c>
      <c r="I25" s="17" t="s">
        <v>88</v>
      </c>
      <c r="J25" s="17">
        <v>1</v>
      </c>
      <c r="K25" s="17">
        <v>3</v>
      </c>
      <c r="L25" s="17" t="s">
        <v>7549</v>
      </c>
      <c r="M25" s="17" t="s">
        <v>1526</v>
      </c>
      <c r="N25" s="17" t="s">
        <v>3908</v>
      </c>
      <c r="O25" s="17" t="s">
        <v>7550</v>
      </c>
      <c r="P25" s="17" t="str">
        <f>HYPERLINK("https://photon-sol.tinyastro.io/en/lp/APL6S8UZYa1CJGoe3FXpaiqYoVHwYNzMu3qgvr4gpump?handle=676050794bc1b1657a56b", "View")</f>
        <v>View</v>
      </c>
    </row>
    <row r="26" spans="1:16" x14ac:dyDescent="0.25">
      <c r="A26" s="13" t="s">
        <v>7551</v>
      </c>
      <c r="B26" s="14">
        <v>97309812</v>
      </c>
      <c r="C26" s="14">
        <v>97309812</v>
      </c>
      <c r="D26" s="14" t="s">
        <v>7552</v>
      </c>
      <c r="E26" s="14" t="s">
        <v>7553</v>
      </c>
      <c r="F26" s="14" t="s">
        <v>7554</v>
      </c>
      <c r="G26" s="20" t="s">
        <v>7555</v>
      </c>
      <c r="H26" s="20" t="s">
        <v>7556</v>
      </c>
      <c r="I26" s="14" t="s">
        <v>88</v>
      </c>
      <c r="J26" s="14">
        <v>8</v>
      </c>
      <c r="K26" s="14">
        <v>6</v>
      </c>
      <c r="L26" s="14" t="s">
        <v>7557</v>
      </c>
      <c r="M26" s="14" t="s">
        <v>7558</v>
      </c>
      <c r="N26" s="14" t="s">
        <v>7559</v>
      </c>
      <c r="O26" s="14" t="s">
        <v>7560</v>
      </c>
      <c r="P26" s="14" t="str">
        <f>HYPERLINK("https://photon-sol.tinyastro.io/en/lp/AKXZczQNhotQyHM4AJNu2FU1ooESKEbapeoT1E8spump?handle=676050794bc1b1657a56b", "View")</f>
        <v>View</v>
      </c>
    </row>
    <row r="27" spans="1:16" x14ac:dyDescent="0.25">
      <c r="A27" s="16" t="s">
        <v>7561</v>
      </c>
      <c r="B27" s="17">
        <v>44562561</v>
      </c>
      <c r="C27" s="17">
        <v>44562561</v>
      </c>
      <c r="D27" s="17" t="s">
        <v>7514</v>
      </c>
      <c r="E27" s="17" t="s">
        <v>7004</v>
      </c>
      <c r="F27" s="17" t="s">
        <v>7562</v>
      </c>
      <c r="G27" s="20" t="s">
        <v>7563</v>
      </c>
      <c r="H27" s="20" t="s">
        <v>7564</v>
      </c>
      <c r="I27" s="17" t="s">
        <v>88</v>
      </c>
      <c r="J27" s="17">
        <v>1</v>
      </c>
      <c r="K27" s="17">
        <v>1</v>
      </c>
      <c r="L27" s="17" t="s">
        <v>7565</v>
      </c>
      <c r="M27" s="19" t="s">
        <v>2239</v>
      </c>
      <c r="N27" s="17" t="s">
        <v>3188</v>
      </c>
      <c r="O27" s="17" t="s">
        <v>7566</v>
      </c>
      <c r="P27" s="17" t="str">
        <f>HYPERLINK("https://photon-sol.tinyastro.io/en/lp/6ABTab27fUs4UgsdT6bwGkP4rxoqjw9x56tErMw8pump?handle=676050794bc1b1657a56b", "View")</f>
        <v>View</v>
      </c>
    </row>
    <row r="28" spans="1:16" x14ac:dyDescent="0.25">
      <c r="A28" s="13" t="s">
        <v>7567</v>
      </c>
      <c r="B28" s="14">
        <v>35990865</v>
      </c>
      <c r="C28" s="14">
        <v>35990865</v>
      </c>
      <c r="D28" s="14" t="s">
        <v>7514</v>
      </c>
      <c r="E28" s="14" t="s">
        <v>7568</v>
      </c>
      <c r="F28" s="14" t="s">
        <v>7569</v>
      </c>
      <c r="G28" s="20" t="s">
        <v>7570</v>
      </c>
      <c r="H28" s="20" t="s">
        <v>7571</v>
      </c>
      <c r="I28" s="14" t="s">
        <v>88</v>
      </c>
      <c r="J28" s="14">
        <v>1</v>
      </c>
      <c r="K28" s="14">
        <v>1</v>
      </c>
      <c r="L28" s="14" t="s">
        <v>7572</v>
      </c>
      <c r="M28" s="19" t="s">
        <v>3324</v>
      </c>
      <c r="N28" s="14" t="s">
        <v>7573</v>
      </c>
      <c r="O28" s="14" t="s">
        <v>7574</v>
      </c>
      <c r="P28" s="14" t="str">
        <f>HYPERLINK("https://photon-sol.tinyastro.io/en/lp/AZq9WGGJqTEifbAq3svbidrjgAMYBFmqgsVQXkYPpump?handle=676050794bc1b1657a56b", "View")</f>
        <v>View</v>
      </c>
    </row>
    <row r="29" spans="1:16" x14ac:dyDescent="0.25">
      <c r="A29" s="16" t="s">
        <v>7575</v>
      </c>
      <c r="B29" s="17">
        <v>46235200</v>
      </c>
      <c r="C29" s="17">
        <v>46235200</v>
      </c>
      <c r="D29" s="17" t="s">
        <v>7546</v>
      </c>
      <c r="E29" s="17" t="s">
        <v>7576</v>
      </c>
      <c r="F29" s="17" t="s">
        <v>7577</v>
      </c>
      <c r="G29" s="20" t="s">
        <v>7578</v>
      </c>
      <c r="H29" s="20" t="s">
        <v>7579</v>
      </c>
      <c r="I29" s="17" t="s">
        <v>88</v>
      </c>
      <c r="J29" s="17">
        <v>2</v>
      </c>
      <c r="K29" s="17">
        <v>2</v>
      </c>
      <c r="L29" s="17" t="s">
        <v>7580</v>
      </c>
      <c r="M29" s="17" t="s">
        <v>1434</v>
      </c>
      <c r="N29" s="17" t="s">
        <v>7581</v>
      </c>
      <c r="O29" s="17" t="s">
        <v>7582</v>
      </c>
      <c r="P29" s="17" t="str">
        <f>HYPERLINK("https://photon-sol.tinyastro.io/en/lp/BEU9QchHmNuZLTSJVxtK8tmnEbM3YVebd1ht5Z6bpump?handle=676050794bc1b1657a56b", "View")</f>
        <v>View</v>
      </c>
    </row>
    <row r="30" spans="1:16" x14ac:dyDescent="0.25">
      <c r="A30" s="13" t="s">
        <v>7583</v>
      </c>
      <c r="B30" s="14">
        <v>31140075</v>
      </c>
      <c r="C30" s="14">
        <v>31140075</v>
      </c>
      <c r="D30" s="14" t="s">
        <v>7514</v>
      </c>
      <c r="E30" s="14" t="s">
        <v>1976</v>
      </c>
      <c r="F30" s="14" t="s">
        <v>7584</v>
      </c>
      <c r="G30" s="22" t="s">
        <v>3503</v>
      </c>
      <c r="H30" s="22" t="s">
        <v>7585</v>
      </c>
      <c r="I30" s="14" t="s">
        <v>88</v>
      </c>
      <c r="J30" s="14">
        <v>1</v>
      </c>
      <c r="K30" s="14">
        <v>1</v>
      </c>
      <c r="L30" s="14" t="s">
        <v>7586</v>
      </c>
      <c r="M30" s="19" t="s">
        <v>3000</v>
      </c>
      <c r="N30" s="14" t="s">
        <v>2223</v>
      </c>
      <c r="O30" s="14" t="s">
        <v>7587</v>
      </c>
      <c r="P30" s="14" t="str">
        <f>HYPERLINK("https://photon-sol.tinyastro.io/en/lp/EbtmfmgnscquhRj8a4sVgASMHDDwAf86fWcefm94pump?handle=676050794bc1b1657a56b", "View")</f>
        <v>View</v>
      </c>
    </row>
    <row r="31" spans="1:16" x14ac:dyDescent="0.25">
      <c r="A31" s="16" t="s">
        <v>7588</v>
      </c>
      <c r="B31" s="17">
        <v>78034600</v>
      </c>
      <c r="C31" s="17">
        <v>78034600</v>
      </c>
      <c r="D31" s="17" t="s">
        <v>7589</v>
      </c>
      <c r="E31" s="17" t="s">
        <v>7590</v>
      </c>
      <c r="F31" s="17" t="s">
        <v>7591</v>
      </c>
      <c r="G31" s="20" t="s">
        <v>7592</v>
      </c>
      <c r="H31" s="20" t="s">
        <v>7593</v>
      </c>
      <c r="I31" s="17" t="s">
        <v>88</v>
      </c>
      <c r="J31" s="17">
        <v>5</v>
      </c>
      <c r="K31" s="17">
        <v>5</v>
      </c>
      <c r="L31" s="17" t="s">
        <v>7594</v>
      </c>
      <c r="M31" s="17" t="s">
        <v>304</v>
      </c>
      <c r="N31" s="17" t="s">
        <v>7595</v>
      </c>
      <c r="O31" s="17" t="s">
        <v>7596</v>
      </c>
      <c r="P31" s="17" t="str">
        <f>HYPERLINK("https://photon-sol.tinyastro.io/en/lp/4qRf1yLjAxQdxybjy56Tgcki7iBBJ26dsN7MsypUpump?handle=676050794bc1b1657a56b", "View")</f>
        <v>View</v>
      </c>
    </row>
    <row r="32" spans="1:16" x14ac:dyDescent="0.25">
      <c r="A32" s="13" t="s">
        <v>2331</v>
      </c>
      <c r="B32" s="14">
        <v>26297240</v>
      </c>
      <c r="C32" s="14">
        <v>26297240</v>
      </c>
      <c r="D32" s="14" t="s">
        <v>7514</v>
      </c>
      <c r="E32" s="14" t="s">
        <v>6461</v>
      </c>
      <c r="F32" s="14" t="s">
        <v>7597</v>
      </c>
      <c r="G32" s="22" t="s">
        <v>7598</v>
      </c>
      <c r="H32" s="22" t="s">
        <v>7599</v>
      </c>
      <c r="I32" s="14" t="s">
        <v>88</v>
      </c>
      <c r="J32" s="14">
        <v>1</v>
      </c>
      <c r="K32" s="14">
        <v>1</v>
      </c>
      <c r="L32" s="14" t="s">
        <v>7600</v>
      </c>
      <c r="M32" s="19" t="s">
        <v>7601</v>
      </c>
      <c r="N32" s="14" t="s">
        <v>1973</v>
      </c>
      <c r="O32" s="14" t="s">
        <v>2338</v>
      </c>
      <c r="P32" s="14" t="str">
        <f>HYPERLINK("https://photon-sol.tinyastro.io/en/lp/557g69R27hqQ3TfBZ1VajUzmY9jpkj8SK2xZJzMHpump?handle=676050794bc1b1657a56b", "View")</f>
        <v>View</v>
      </c>
    </row>
    <row r="33" spans="1:16" x14ac:dyDescent="0.25">
      <c r="A33" s="16" t="s">
        <v>7602</v>
      </c>
      <c r="B33" s="17">
        <v>27871956</v>
      </c>
      <c r="C33" s="17">
        <v>27871956</v>
      </c>
      <c r="D33" s="17" t="s">
        <v>7603</v>
      </c>
      <c r="E33" s="17" t="s">
        <v>7604</v>
      </c>
      <c r="F33" s="17" t="s">
        <v>7605</v>
      </c>
      <c r="G33" s="15" t="s">
        <v>7606</v>
      </c>
      <c r="H33" s="15" t="s">
        <v>7607</v>
      </c>
      <c r="I33" s="17" t="s">
        <v>88</v>
      </c>
      <c r="J33" s="17">
        <v>1</v>
      </c>
      <c r="K33" s="17">
        <v>1</v>
      </c>
      <c r="L33" s="17" t="s">
        <v>7608</v>
      </c>
      <c r="M33" s="17" t="s">
        <v>1448</v>
      </c>
      <c r="N33" s="17" t="s">
        <v>591</v>
      </c>
      <c r="O33" s="17" t="s">
        <v>7609</v>
      </c>
      <c r="P33" s="17" t="str">
        <f>HYPERLINK("https://photon-sol.tinyastro.io/en/lp/7rdULJY6gTuxfsC2o6hqrCFZDxKyTssA9MfXDJjmpump?handle=676050794bc1b1657a56b", "View")</f>
        <v>View</v>
      </c>
    </row>
    <row r="34" spans="1:16" x14ac:dyDescent="0.25">
      <c r="A34" s="13" t="s">
        <v>7610</v>
      </c>
      <c r="B34" s="14">
        <v>36393163</v>
      </c>
      <c r="C34" s="14">
        <v>36393163</v>
      </c>
      <c r="D34" s="14" t="s">
        <v>7546</v>
      </c>
      <c r="E34" s="14" t="s">
        <v>7611</v>
      </c>
      <c r="F34" s="14" t="s">
        <v>7612</v>
      </c>
      <c r="G34" s="15" t="s">
        <v>7613</v>
      </c>
      <c r="H34" s="15" t="s">
        <v>7614</v>
      </c>
      <c r="I34" s="14" t="s">
        <v>88</v>
      </c>
      <c r="J34" s="14">
        <v>3</v>
      </c>
      <c r="K34" s="14">
        <v>1</v>
      </c>
      <c r="L34" s="14" t="s">
        <v>7615</v>
      </c>
      <c r="M34" s="14" t="s">
        <v>1957</v>
      </c>
      <c r="N34" s="14" t="s">
        <v>3284</v>
      </c>
      <c r="O34" s="14" t="s">
        <v>7616</v>
      </c>
      <c r="P34" s="14" t="str">
        <f>HYPERLINK("https://photon-sol.tinyastro.io/en/lp/6X433eaa8tEecixdqjoTsdQV2fQToMRqfVbqu7FYpump?handle=676050794bc1b1657a56b", "View")</f>
        <v>View</v>
      </c>
    </row>
    <row r="35" spans="1:16" x14ac:dyDescent="0.25">
      <c r="A35" s="16" t="s">
        <v>2875</v>
      </c>
      <c r="B35" s="17">
        <v>17179278</v>
      </c>
      <c r="C35" s="17">
        <v>17179278</v>
      </c>
      <c r="D35" s="17" t="s">
        <v>7617</v>
      </c>
      <c r="E35" s="17" t="s">
        <v>165</v>
      </c>
      <c r="F35" s="17" t="s">
        <v>7618</v>
      </c>
      <c r="G35" s="20" t="s">
        <v>7619</v>
      </c>
      <c r="H35" s="20" t="s">
        <v>7620</v>
      </c>
      <c r="I35" s="17" t="s">
        <v>88</v>
      </c>
      <c r="J35" s="17">
        <v>1</v>
      </c>
      <c r="K35" s="17">
        <v>2</v>
      </c>
      <c r="L35" s="17" t="s">
        <v>7621</v>
      </c>
      <c r="M35" s="17" t="s">
        <v>4922</v>
      </c>
      <c r="N35" s="17" t="s">
        <v>7622</v>
      </c>
      <c r="O35" s="17" t="s">
        <v>7623</v>
      </c>
      <c r="P35" s="17" t="str">
        <f>HYPERLINK("https://dexscreener.com/solana/9cYtbLySmHq7A6e3qCFAB3WdXMqSEoEbiKgaN32apump", "View")</f>
        <v>View</v>
      </c>
    </row>
    <row r="36" spans="1:16" x14ac:dyDescent="0.25">
      <c r="A36" s="13" t="s">
        <v>7624</v>
      </c>
      <c r="B36" s="14">
        <v>31362806</v>
      </c>
      <c r="C36" s="14">
        <v>31362806</v>
      </c>
      <c r="D36" s="14" t="s">
        <v>7514</v>
      </c>
      <c r="E36" s="14" t="s">
        <v>7625</v>
      </c>
      <c r="F36" s="14" t="s">
        <v>7626</v>
      </c>
      <c r="G36" s="22" t="s">
        <v>3773</v>
      </c>
      <c r="H36" s="22" t="s">
        <v>7627</v>
      </c>
      <c r="I36" s="14" t="s">
        <v>88</v>
      </c>
      <c r="J36" s="14">
        <v>1</v>
      </c>
      <c r="K36" s="14">
        <v>1</v>
      </c>
      <c r="L36" s="14" t="s">
        <v>7628</v>
      </c>
      <c r="M36" s="14" t="s">
        <v>5501</v>
      </c>
      <c r="N36" s="14" t="s">
        <v>1011</v>
      </c>
      <c r="O36" s="14" t="s">
        <v>7629</v>
      </c>
      <c r="P36" s="14" t="str">
        <f>HYPERLINK("https://photon-sol.tinyastro.io/en/lp/BJ9QsmnRPdE2j11d8H1aevTPBXXcgGDiQb7iqb65pump?handle=676050794bc1b1657a56b", "View")</f>
        <v>View</v>
      </c>
    </row>
    <row r="37" spans="1:16" x14ac:dyDescent="0.25">
      <c r="A37" s="16" t="s">
        <v>7630</v>
      </c>
      <c r="B37" s="17">
        <v>19645973</v>
      </c>
      <c r="C37" s="17">
        <v>19645973</v>
      </c>
      <c r="D37" s="17" t="s">
        <v>7514</v>
      </c>
      <c r="E37" s="17" t="s">
        <v>7631</v>
      </c>
      <c r="F37" s="17" t="s">
        <v>2529</v>
      </c>
      <c r="G37" s="15" t="s">
        <v>7632</v>
      </c>
      <c r="H37" s="15" t="s">
        <v>7633</v>
      </c>
      <c r="I37" s="17" t="s">
        <v>88</v>
      </c>
      <c r="J37" s="17">
        <v>1</v>
      </c>
      <c r="K37" s="17">
        <v>1</v>
      </c>
      <c r="L37" s="17" t="s">
        <v>7634</v>
      </c>
      <c r="M37" s="19" t="s">
        <v>1948</v>
      </c>
      <c r="N37" s="17" t="s">
        <v>7635</v>
      </c>
      <c r="O37" s="17" t="s">
        <v>7636</v>
      </c>
      <c r="P37" s="17" t="str">
        <f>HYPERLINK("https://photon-sol.tinyastro.io/en/lp/3xC81m3AmTACn368Bk827mPPneWeVwDkDwt5bsHhxWJp?handle=676050794bc1b1657a56b", "View")</f>
        <v>View</v>
      </c>
    </row>
    <row r="38" spans="1:16" x14ac:dyDescent="0.25">
      <c r="A38" s="13" t="s">
        <v>6565</v>
      </c>
      <c r="B38" s="14">
        <v>19585567</v>
      </c>
      <c r="C38" s="14">
        <v>19585567</v>
      </c>
      <c r="D38" s="14" t="s">
        <v>7514</v>
      </c>
      <c r="E38" s="14" t="s">
        <v>7637</v>
      </c>
      <c r="F38" s="14" t="s">
        <v>7638</v>
      </c>
      <c r="G38" s="22" t="s">
        <v>7639</v>
      </c>
      <c r="H38" s="22" t="s">
        <v>7640</v>
      </c>
      <c r="I38" s="14" t="s">
        <v>88</v>
      </c>
      <c r="J38" s="14">
        <v>1</v>
      </c>
      <c r="K38" s="14">
        <v>1</v>
      </c>
      <c r="L38" s="14" t="s">
        <v>7641</v>
      </c>
      <c r="M38" s="19" t="s">
        <v>6781</v>
      </c>
      <c r="N38" s="14" t="s">
        <v>7642</v>
      </c>
      <c r="O38" s="14" t="s">
        <v>6573</v>
      </c>
      <c r="P38" s="14" t="str">
        <f>HYPERLINK("https://photon-sol.tinyastro.io/en/lp/G9yF7M7y65xt8ELvQe9EVnV196YYVGmwW18sUWrTpump?handle=676050794bc1b1657a56b", "View")</f>
        <v>View</v>
      </c>
    </row>
    <row r="39" spans="1:16" x14ac:dyDescent="0.25">
      <c r="A39" s="16" t="s">
        <v>7643</v>
      </c>
      <c r="B39" s="17">
        <v>36680253</v>
      </c>
      <c r="C39" s="17">
        <v>36680253</v>
      </c>
      <c r="D39" s="17" t="s">
        <v>7514</v>
      </c>
      <c r="E39" s="17" t="s">
        <v>1537</v>
      </c>
      <c r="F39" s="17" t="s">
        <v>7644</v>
      </c>
      <c r="G39" s="15" t="s">
        <v>7645</v>
      </c>
      <c r="H39" s="15" t="s">
        <v>7646</v>
      </c>
      <c r="I39" s="17" t="s">
        <v>88</v>
      </c>
      <c r="J39" s="17">
        <v>1</v>
      </c>
      <c r="K39" s="17">
        <v>1</v>
      </c>
      <c r="L39" s="17" t="s">
        <v>7647</v>
      </c>
      <c r="M39" s="19" t="s">
        <v>2915</v>
      </c>
      <c r="N39" s="17" t="s">
        <v>2069</v>
      </c>
      <c r="O39" s="17" t="s">
        <v>7648</v>
      </c>
      <c r="P39" s="17" t="str">
        <f>HYPERLINK("https://photon-sol.tinyastro.io/en/lp/5KagjqXgUrqcspsY3BffjUavg1wrv2jV7WpAegVmpump?handle=676050794bc1b1657a56b", "View")</f>
        <v>View</v>
      </c>
    </row>
    <row r="40" spans="1:16" x14ac:dyDescent="0.25">
      <c r="A40" s="13" t="s">
        <v>7649</v>
      </c>
      <c r="B40" s="14">
        <v>35015094</v>
      </c>
      <c r="C40" s="14">
        <v>35015094</v>
      </c>
      <c r="D40" s="14" t="s">
        <v>7514</v>
      </c>
      <c r="E40" s="14" t="s">
        <v>7650</v>
      </c>
      <c r="F40" s="14" t="s">
        <v>7651</v>
      </c>
      <c r="G40" s="20" t="s">
        <v>5849</v>
      </c>
      <c r="H40" s="20" t="s">
        <v>7652</v>
      </c>
      <c r="I40" s="14" t="s">
        <v>88</v>
      </c>
      <c r="J40" s="14">
        <v>1</v>
      </c>
      <c r="K40" s="14">
        <v>1</v>
      </c>
      <c r="L40" s="14" t="s">
        <v>7653</v>
      </c>
      <c r="M40" s="14" t="s">
        <v>364</v>
      </c>
      <c r="N40" s="14" t="s">
        <v>507</v>
      </c>
      <c r="O40" s="14" t="s">
        <v>7654</v>
      </c>
      <c r="P40" s="14" t="str">
        <f>HYPERLINK("https://photon-sol.tinyastro.io/en/lp/5q1cseQH3Kg5GeNVx1xHcFs5WDedbrUiUUroS539pump?handle=676050794bc1b1657a56b", "View")</f>
        <v>View</v>
      </c>
    </row>
    <row r="41" spans="1:16" x14ac:dyDescent="0.25">
      <c r="A41" s="16" t="s">
        <v>460</v>
      </c>
      <c r="B41" s="17">
        <v>8077729</v>
      </c>
      <c r="C41" s="17">
        <v>8077729</v>
      </c>
      <c r="D41" s="17" t="s">
        <v>7655</v>
      </c>
      <c r="E41" s="17" t="s">
        <v>7656</v>
      </c>
      <c r="F41" s="17" t="s">
        <v>7657</v>
      </c>
      <c r="G41" s="21" t="s">
        <v>7658</v>
      </c>
      <c r="H41" s="21" t="s">
        <v>7659</v>
      </c>
      <c r="I41" s="17" t="s">
        <v>88</v>
      </c>
      <c r="J41" s="17">
        <v>5</v>
      </c>
      <c r="K41" s="17">
        <v>10</v>
      </c>
      <c r="L41" s="17" t="s">
        <v>7660</v>
      </c>
      <c r="M41" s="17" t="s">
        <v>7661</v>
      </c>
      <c r="N41" s="17" t="s">
        <v>7662</v>
      </c>
      <c r="O41" s="17" t="s">
        <v>467</v>
      </c>
      <c r="P41" s="17" t="str">
        <f>HYPERLINK("https://dexscreener.com/solana/p2niQeJVj2vnevYnheBWujVyfzzGURpBTjap3gipump", "View")</f>
        <v>View</v>
      </c>
    </row>
    <row r="42" spans="1:16" x14ac:dyDescent="0.25">
      <c r="A42" s="13" t="s">
        <v>7663</v>
      </c>
      <c r="B42" s="14">
        <v>32140709</v>
      </c>
      <c r="C42" s="14">
        <v>32140709</v>
      </c>
      <c r="D42" s="14" t="s">
        <v>7514</v>
      </c>
      <c r="E42" s="14" t="s">
        <v>951</v>
      </c>
      <c r="F42" s="14" t="s">
        <v>7664</v>
      </c>
      <c r="G42" s="20" t="s">
        <v>7665</v>
      </c>
      <c r="H42" s="20" t="s">
        <v>7666</v>
      </c>
      <c r="I42" s="14" t="s">
        <v>88</v>
      </c>
      <c r="J42" s="14">
        <v>1</v>
      </c>
      <c r="K42" s="14">
        <v>1</v>
      </c>
      <c r="L42" s="14" t="s">
        <v>7667</v>
      </c>
      <c r="M42" s="14" t="s">
        <v>1434</v>
      </c>
      <c r="N42" s="14" t="s">
        <v>1706</v>
      </c>
      <c r="O42" s="14" t="s">
        <v>7668</v>
      </c>
      <c r="P42" s="14" t="str">
        <f>HYPERLINK("https://photon-sol.tinyastro.io/en/lp/B7UdhEq6MiEKZu9K4ZF23Zvsrhw8xRehvL5UV7gTpump?handle=676050794bc1b1657a56b", "View")</f>
        <v>View</v>
      </c>
    </row>
    <row r="43" spans="1:16" x14ac:dyDescent="0.25">
      <c r="A43" s="16" t="s">
        <v>7669</v>
      </c>
      <c r="B43" s="17">
        <v>31026441</v>
      </c>
      <c r="C43" s="17">
        <v>31026441</v>
      </c>
      <c r="D43" s="17" t="s">
        <v>7514</v>
      </c>
      <c r="E43" s="17" t="s">
        <v>685</v>
      </c>
      <c r="F43" s="17" t="s">
        <v>7670</v>
      </c>
      <c r="G43" s="20" t="s">
        <v>7671</v>
      </c>
      <c r="H43" s="20" t="s">
        <v>7672</v>
      </c>
      <c r="I43" s="17" t="s">
        <v>88</v>
      </c>
      <c r="J43" s="17">
        <v>1</v>
      </c>
      <c r="K43" s="17">
        <v>1</v>
      </c>
      <c r="L43" s="17" t="s">
        <v>7673</v>
      </c>
      <c r="M43" s="17" t="s">
        <v>937</v>
      </c>
      <c r="N43" s="17" t="s">
        <v>5709</v>
      </c>
      <c r="O43" s="17" t="s">
        <v>7674</v>
      </c>
      <c r="P43" s="17" t="str">
        <f>HYPERLINK("https://photon-sol.tinyastro.io/en/lp/G6BTuhWVaCcC9oYPAivdkFToUbhdpECAik5j1XP1pump?handle=676050794bc1b1657a56b", "View")</f>
        <v>View</v>
      </c>
    </row>
    <row r="44" spans="1:16" x14ac:dyDescent="0.25">
      <c r="A44" s="13" t="s">
        <v>280</v>
      </c>
      <c r="B44" s="14">
        <v>59950822</v>
      </c>
      <c r="C44" s="14">
        <v>59950822</v>
      </c>
      <c r="D44" s="14" t="s">
        <v>7546</v>
      </c>
      <c r="E44" s="14" t="s">
        <v>165</v>
      </c>
      <c r="F44" s="14" t="s">
        <v>7675</v>
      </c>
      <c r="G44" s="20" t="s">
        <v>7676</v>
      </c>
      <c r="H44" s="20" t="s">
        <v>7677</v>
      </c>
      <c r="I44" s="14" t="s">
        <v>88</v>
      </c>
      <c r="J44" s="14">
        <v>2</v>
      </c>
      <c r="K44" s="14">
        <v>2</v>
      </c>
      <c r="L44" s="14" t="s">
        <v>7678</v>
      </c>
      <c r="M44" s="14" t="s">
        <v>1448</v>
      </c>
      <c r="N44" s="14" t="s">
        <v>7679</v>
      </c>
      <c r="O44" s="14" t="s">
        <v>5180</v>
      </c>
      <c r="P44" s="14" t="str">
        <f>HYPERLINK("https://dexscreener.com/solana/A4K24HRdxpJcaBJYHkaLacB8PfxX8DkF7SLBkiKFpump", "View")</f>
        <v>View</v>
      </c>
    </row>
    <row r="45" spans="1:16" x14ac:dyDescent="0.25">
      <c r="A45" s="16" t="s">
        <v>7680</v>
      </c>
      <c r="B45" s="17">
        <v>83245788</v>
      </c>
      <c r="C45" s="17">
        <v>83245788</v>
      </c>
      <c r="D45" s="17" t="s">
        <v>7681</v>
      </c>
      <c r="E45" s="17" t="s">
        <v>7682</v>
      </c>
      <c r="F45" s="17" t="s">
        <v>7683</v>
      </c>
      <c r="G45" s="20" t="s">
        <v>7684</v>
      </c>
      <c r="H45" s="20" t="s">
        <v>7685</v>
      </c>
      <c r="I45" s="17" t="s">
        <v>88</v>
      </c>
      <c r="J45" s="17">
        <v>2</v>
      </c>
      <c r="K45" s="17">
        <v>2</v>
      </c>
      <c r="L45" s="17" t="s">
        <v>7686</v>
      </c>
      <c r="M45" s="17" t="s">
        <v>1434</v>
      </c>
      <c r="N45" s="17" t="s">
        <v>7687</v>
      </c>
      <c r="O45" s="17" t="s">
        <v>7688</v>
      </c>
      <c r="P45" s="17" t="str">
        <f>HYPERLINK("https://photon-sol.tinyastro.io/en/lp/GkgJUe3oAKi7mYC2oF9tX6cDAxXj18xpQ8Rwkoowpump?handle=676050794bc1b1657a56b", "View")</f>
        <v>View</v>
      </c>
    </row>
    <row r="46" spans="1:16" x14ac:dyDescent="0.25">
      <c r="A46" s="13" t="s">
        <v>7689</v>
      </c>
      <c r="B46" s="14">
        <v>23037941</v>
      </c>
      <c r="C46" s="14">
        <v>23037941</v>
      </c>
      <c r="D46" s="14" t="s">
        <v>7514</v>
      </c>
      <c r="E46" s="14" t="s">
        <v>1179</v>
      </c>
      <c r="F46" s="14" t="s">
        <v>3015</v>
      </c>
      <c r="G46" s="20" t="s">
        <v>2051</v>
      </c>
      <c r="H46" s="20" t="s">
        <v>7690</v>
      </c>
      <c r="I46" s="14" t="s">
        <v>88</v>
      </c>
      <c r="J46" s="14">
        <v>1</v>
      </c>
      <c r="K46" s="14">
        <v>1</v>
      </c>
      <c r="L46" s="14" t="s">
        <v>7691</v>
      </c>
      <c r="M46" s="14" t="s">
        <v>1448</v>
      </c>
      <c r="N46" s="14" t="s">
        <v>7692</v>
      </c>
      <c r="O46" s="14" t="s">
        <v>7693</v>
      </c>
      <c r="P46" s="14" t="str">
        <f>HYPERLINK("https://photon-sol.tinyastro.io/en/lp/7d8KoPHrEVCu4m8Wn6ZqrjGNbW2PNrTShXCnyaCvpump?handle=676050794bc1b1657a56b", "View")</f>
        <v>View</v>
      </c>
    </row>
    <row r="47" spans="1:16" x14ac:dyDescent="0.25">
      <c r="A47" s="16" t="s">
        <v>7694</v>
      </c>
      <c r="B47" s="17">
        <v>40671802</v>
      </c>
      <c r="C47" s="17">
        <v>40671802</v>
      </c>
      <c r="D47" s="17" t="s">
        <v>7514</v>
      </c>
      <c r="E47" s="17" t="s">
        <v>1179</v>
      </c>
      <c r="F47" s="17" t="s">
        <v>7695</v>
      </c>
      <c r="G47" s="15" t="s">
        <v>7696</v>
      </c>
      <c r="H47" s="15" t="s">
        <v>7697</v>
      </c>
      <c r="I47" s="17" t="s">
        <v>88</v>
      </c>
      <c r="J47" s="17">
        <v>1</v>
      </c>
      <c r="K47" s="17">
        <v>1</v>
      </c>
      <c r="L47" s="17" t="s">
        <v>7698</v>
      </c>
      <c r="M47" s="19" t="s">
        <v>1827</v>
      </c>
      <c r="N47" s="17" t="s">
        <v>7699</v>
      </c>
      <c r="O47" s="17" t="s">
        <v>7700</v>
      </c>
      <c r="P47" s="17" t="str">
        <f>HYPERLINK("https://photon-sol.tinyastro.io/en/lp/E88XfZFMAtBgeT7JgjYr5v1yRQS13NLdkDXrMkc4pump?handle=676050794bc1b1657a56b", "View")</f>
        <v>View</v>
      </c>
    </row>
    <row r="48" spans="1:16" x14ac:dyDescent="0.25">
      <c r="A48" s="13" t="s">
        <v>7701</v>
      </c>
      <c r="B48" s="14">
        <v>26887632</v>
      </c>
      <c r="C48" s="14">
        <v>26887632</v>
      </c>
      <c r="D48" s="14" t="s">
        <v>7603</v>
      </c>
      <c r="E48" s="14" t="s">
        <v>7702</v>
      </c>
      <c r="F48" s="14" t="s">
        <v>3104</v>
      </c>
      <c r="G48" s="20" t="s">
        <v>7703</v>
      </c>
      <c r="H48" s="20" t="s">
        <v>7704</v>
      </c>
      <c r="I48" s="14" t="s">
        <v>88</v>
      </c>
      <c r="J48" s="14">
        <v>1</v>
      </c>
      <c r="K48" s="14">
        <v>1</v>
      </c>
      <c r="L48" s="14" t="s">
        <v>7705</v>
      </c>
      <c r="M48" s="14" t="s">
        <v>398</v>
      </c>
      <c r="N48" s="14" t="s">
        <v>3908</v>
      </c>
      <c r="O48" s="14" t="s">
        <v>7706</v>
      </c>
      <c r="P48" s="14" t="str">
        <f>HYPERLINK("https://photon-sol.tinyastro.io/en/lp/8HPtUFrvyCGWamT4NnVjdLzSbu1V8kvkGZErt5xCpump?handle=676050794bc1b1657a56b", "View")</f>
        <v>View</v>
      </c>
    </row>
    <row r="49" spans="1:16" x14ac:dyDescent="0.25">
      <c r="A49" s="16" t="s">
        <v>7707</v>
      </c>
      <c r="B49" s="17">
        <v>36690558</v>
      </c>
      <c r="C49" s="17">
        <v>36690558</v>
      </c>
      <c r="D49" s="17" t="s">
        <v>7708</v>
      </c>
      <c r="E49" s="17" t="s">
        <v>7709</v>
      </c>
      <c r="F49" s="17" t="s">
        <v>7710</v>
      </c>
      <c r="G49" s="22" t="s">
        <v>2236</v>
      </c>
      <c r="H49" s="22" t="s">
        <v>7711</v>
      </c>
      <c r="I49" s="17" t="s">
        <v>88</v>
      </c>
      <c r="J49" s="17">
        <v>1</v>
      </c>
      <c r="K49" s="17">
        <v>2</v>
      </c>
      <c r="L49" s="17" t="s">
        <v>7712</v>
      </c>
      <c r="M49" s="17" t="s">
        <v>132</v>
      </c>
      <c r="N49" s="17" t="s">
        <v>7713</v>
      </c>
      <c r="O49" s="17" t="s">
        <v>7714</v>
      </c>
      <c r="P49" s="17" t="str">
        <f>HYPERLINK("https://photon-sol.tinyastro.io/en/lp/6Lwdj3zfRahbJvLCG5g8cqnfYLv8vSeSdS1rVDnkpump?handle=676050794bc1b1657a56b", "View")</f>
        <v>View</v>
      </c>
    </row>
    <row r="50" spans="1:16" x14ac:dyDescent="0.25">
      <c r="A50" s="13" t="s">
        <v>7715</v>
      </c>
      <c r="B50" s="14">
        <v>29519312</v>
      </c>
      <c r="C50" s="14">
        <v>29519312</v>
      </c>
      <c r="D50" s="14" t="s">
        <v>7589</v>
      </c>
      <c r="E50" s="14" t="s">
        <v>685</v>
      </c>
      <c r="F50" s="14" t="s">
        <v>7716</v>
      </c>
      <c r="G50" s="21" t="s">
        <v>7717</v>
      </c>
      <c r="H50" s="21" t="s">
        <v>7718</v>
      </c>
      <c r="I50" s="14" t="s">
        <v>88</v>
      </c>
      <c r="J50" s="14">
        <v>1</v>
      </c>
      <c r="K50" s="14">
        <v>9</v>
      </c>
      <c r="L50" s="14" t="s">
        <v>7719</v>
      </c>
      <c r="M50" s="14" t="s">
        <v>132</v>
      </c>
      <c r="N50" s="14" t="s">
        <v>7720</v>
      </c>
      <c r="O50" s="14" t="s">
        <v>7721</v>
      </c>
      <c r="P50" s="14" t="str">
        <f>HYPERLINK("https://photon-sol.tinyastro.io/en/lp/E7MzhPoCdDZuLUmwckqVkCtyWNpP1q3iEnn3vE3npump?handle=676050794bc1b1657a56b", "View")</f>
        <v>View</v>
      </c>
    </row>
    <row r="51" spans="1:16" x14ac:dyDescent="0.25">
      <c r="A51" s="16" t="s">
        <v>7722</v>
      </c>
      <c r="B51" s="17">
        <v>47257209</v>
      </c>
      <c r="C51" s="17">
        <v>47257209</v>
      </c>
      <c r="D51" s="17" t="s">
        <v>7723</v>
      </c>
      <c r="E51" s="17" t="s">
        <v>7724</v>
      </c>
      <c r="F51" s="17" t="s">
        <v>7725</v>
      </c>
      <c r="G51" s="22" t="s">
        <v>2275</v>
      </c>
      <c r="H51" s="22" t="s">
        <v>7726</v>
      </c>
      <c r="I51" s="17" t="s">
        <v>88</v>
      </c>
      <c r="J51" s="17">
        <v>3</v>
      </c>
      <c r="K51" s="17">
        <v>4</v>
      </c>
      <c r="L51" s="17" t="s">
        <v>7727</v>
      </c>
      <c r="M51" s="17" t="s">
        <v>745</v>
      </c>
      <c r="N51" s="17" t="s">
        <v>2263</v>
      </c>
      <c r="O51" s="17" t="s">
        <v>7728</v>
      </c>
      <c r="P51" s="17" t="str">
        <f>HYPERLINK("https://photon-sol.tinyastro.io/en/lp/43KLchW6FbbHrqYMkMgUDvyECd9vhKEYgVQ2AmxTpump?handle=676050794bc1b1657a56b", "View")</f>
        <v>View</v>
      </c>
    </row>
    <row r="52" spans="1:16" x14ac:dyDescent="0.25">
      <c r="A52" s="13" t="s">
        <v>7729</v>
      </c>
      <c r="B52" s="14">
        <v>23015923</v>
      </c>
      <c r="C52" s="14">
        <v>23015923</v>
      </c>
      <c r="D52" s="14" t="s">
        <v>7514</v>
      </c>
      <c r="E52" s="14" t="s">
        <v>219</v>
      </c>
      <c r="F52" s="14" t="s">
        <v>7730</v>
      </c>
      <c r="G52" s="22" t="s">
        <v>3243</v>
      </c>
      <c r="H52" s="22" t="s">
        <v>7731</v>
      </c>
      <c r="I52" s="14" t="s">
        <v>88</v>
      </c>
      <c r="J52" s="14">
        <v>1</v>
      </c>
      <c r="K52" s="14">
        <v>1</v>
      </c>
      <c r="L52" s="14" t="s">
        <v>7732</v>
      </c>
      <c r="M52" s="14" t="s">
        <v>7558</v>
      </c>
      <c r="N52" s="14" t="s">
        <v>7733</v>
      </c>
      <c r="O52" s="14" t="s">
        <v>7734</v>
      </c>
      <c r="P52" s="14" t="str">
        <f>HYPERLINK("https://dexscreener.com/solana/4P4J3fWmyvPzQX4TeRqf5hhYKVxKwuDQa2SMtMdwpump", "View")</f>
        <v>View</v>
      </c>
    </row>
    <row r="53" spans="1:16" x14ac:dyDescent="0.25">
      <c r="A53" s="16" t="s">
        <v>1906</v>
      </c>
      <c r="B53" s="17">
        <v>108861780</v>
      </c>
      <c r="C53" s="17">
        <v>108861780</v>
      </c>
      <c r="D53" s="17" t="s">
        <v>7735</v>
      </c>
      <c r="E53" s="17" t="s">
        <v>7736</v>
      </c>
      <c r="F53" s="17" t="s">
        <v>7737</v>
      </c>
      <c r="G53" s="22" t="s">
        <v>7738</v>
      </c>
      <c r="H53" s="22" t="s">
        <v>7739</v>
      </c>
      <c r="I53" s="17" t="s">
        <v>88</v>
      </c>
      <c r="J53" s="17">
        <v>3</v>
      </c>
      <c r="K53" s="17">
        <v>4</v>
      </c>
      <c r="L53" s="17" t="s">
        <v>7740</v>
      </c>
      <c r="M53" s="17" t="s">
        <v>1696</v>
      </c>
      <c r="N53" s="17" t="s">
        <v>507</v>
      </c>
      <c r="O53" s="17" t="s">
        <v>1912</v>
      </c>
      <c r="P53" s="17" t="str">
        <f>HYPERLINK("https://photon-sol.tinyastro.io/en/lp/HuNbZDt5jt4XJvTpTZSYXnz6g6VjyCWVTtQU3A4Apump?handle=676050794bc1b1657a56b", "View")</f>
        <v>View</v>
      </c>
    </row>
    <row r="54" spans="1:16" x14ac:dyDescent="0.25">
      <c r="A54" s="13" t="s">
        <v>261</v>
      </c>
      <c r="B54" s="14">
        <v>29984235</v>
      </c>
      <c r="C54" s="14">
        <v>29984235</v>
      </c>
      <c r="D54" s="14" t="s">
        <v>7514</v>
      </c>
      <c r="E54" s="14" t="s">
        <v>569</v>
      </c>
      <c r="F54" s="14" t="s">
        <v>7741</v>
      </c>
      <c r="G54" s="22" t="s">
        <v>7742</v>
      </c>
      <c r="H54" s="22" t="s">
        <v>7743</v>
      </c>
      <c r="I54" s="14" t="s">
        <v>88</v>
      </c>
      <c r="J54" s="14">
        <v>1</v>
      </c>
      <c r="K54" s="14">
        <v>1</v>
      </c>
      <c r="L54" s="14" t="s">
        <v>7744</v>
      </c>
      <c r="M54" s="14" t="s">
        <v>179</v>
      </c>
      <c r="N54" s="14" t="s">
        <v>7745</v>
      </c>
      <c r="O54" s="14" t="s">
        <v>7746</v>
      </c>
      <c r="P54" s="14" t="str">
        <f>HYPERLINK("https://dexscreener.com/solana/Ff9aC2oKtHkyP9tit1zQrL6Cd7bFKtx2E8BAbd91Nc7E", "View")</f>
        <v>View</v>
      </c>
    </row>
    <row r="55" spans="1:16" x14ac:dyDescent="0.25">
      <c r="A55" s="16" t="s">
        <v>7747</v>
      </c>
      <c r="B55" s="17">
        <v>14088106</v>
      </c>
      <c r="C55" s="17">
        <v>14088106</v>
      </c>
      <c r="D55" s="17" t="s">
        <v>7514</v>
      </c>
      <c r="E55" s="17" t="s">
        <v>219</v>
      </c>
      <c r="F55" s="17" t="s">
        <v>7748</v>
      </c>
      <c r="G55" s="22" t="s">
        <v>7749</v>
      </c>
      <c r="H55" s="22" t="s">
        <v>7750</v>
      </c>
      <c r="I55" s="17" t="s">
        <v>88</v>
      </c>
      <c r="J55" s="17">
        <v>1</v>
      </c>
      <c r="K55" s="17">
        <v>1</v>
      </c>
      <c r="L55" s="17" t="s">
        <v>7751</v>
      </c>
      <c r="M55" s="17" t="s">
        <v>179</v>
      </c>
      <c r="N55" s="17" t="s">
        <v>7752</v>
      </c>
      <c r="O55" s="17" t="s">
        <v>7753</v>
      </c>
      <c r="P55" s="17" t="str">
        <f>HYPERLINK("https://dexscreener.com/solana/BMocPvavt5CLXvJpQohTRbg17WhPMfkFxibHEQpSpump", "View")</f>
        <v>View</v>
      </c>
    </row>
    <row r="56" spans="1:16" x14ac:dyDescent="0.25">
      <c r="A56" s="13" t="s">
        <v>7754</v>
      </c>
      <c r="B56" s="14">
        <v>10197005</v>
      </c>
      <c r="C56" s="14">
        <v>10197005</v>
      </c>
      <c r="D56" s="14" t="s">
        <v>7514</v>
      </c>
      <c r="E56" s="14" t="s">
        <v>219</v>
      </c>
      <c r="F56" s="14" t="s">
        <v>7755</v>
      </c>
      <c r="G56" s="20" t="s">
        <v>7756</v>
      </c>
      <c r="H56" s="20" t="s">
        <v>7757</v>
      </c>
      <c r="I56" s="14" t="s">
        <v>88</v>
      </c>
      <c r="J56" s="14">
        <v>1</v>
      </c>
      <c r="K56" s="14">
        <v>1</v>
      </c>
      <c r="L56" s="14" t="s">
        <v>7758</v>
      </c>
      <c r="M56" s="14" t="s">
        <v>179</v>
      </c>
      <c r="N56" s="14" t="s">
        <v>7759</v>
      </c>
      <c r="O56" s="14" t="s">
        <v>7760</v>
      </c>
      <c r="P56" s="14" t="str">
        <f>HYPERLINK("https://dexscreener.com/solana/4LDT8u5BcVf2acdWJsqz45yaFsXBCsjY79ERLXX6pump", "View")</f>
        <v>View</v>
      </c>
    </row>
    <row r="57" spans="1:16" x14ac:dyDescent="0.25">
      <c r="A57" s="16" t="s">
        <v>7761</v>
      </c>
      <c r="B57" s="17">
        <v>33549491</v>
      </c>
      <c r="C57" s="17">
        <v>33549491</v>
      </c>
      <c r="D57" s="17" t="s">
        <v>883</v>
      </c>
      <c r="E57" s="17" t="s">
        <v>552</v>
      </c>
      <c r="F57" s="17" t="s">
        <v>7762</v>
      </c>
      <c r="G57" s="20" t="s">
        <v>2857</v>
      </c>
      <c r="H57" s="20" t="s">
        <v>3701</v>
      </c>
      <c r="I57" s="17" t="s">
        <v>88</v>
      </c>
      <c r="J57" s="17">
        <v>1</v>
      </c>
      <c r="K57" s="17">
        <v>1</v>
      </c>
      <c r="L57" s="17" t="s">
        <v>7763</v>
      </c>
      <c r="M57" s="17" t="s">
        <v>745</v>
      </c>
      <c r="N57" s="17" t="s">
        <v>1980</v>
      </c>
      <c r="O57" s="17" t="s">
        <v>7764</v>
      </c>
      <c r="P57" s="17" t="str">
        <f>HYPERLINK("https://photon-sol.tinyastro.io/en/lp/EMHkx7y9L9CqTsa9zKApoBayT7q5aVwJGK9HFEQ9pump?handle=676050794bc1b1657a56b", "View")</f>
        <v>View</v>
      </c>
    </row>
    <row r="58" spans="1:16" x14ac:dyDescent="0.25">
      <c r="A58" s="13" t="s">
        <v>7765</v>
      </c>
      <c r="B58" s="14">
        <v>82315007</v>
      </c>
      <c r="C58" s="14">
        <v>82315007</v>
      </c>
      <c r="D58" s="14" t="s">
        <v>7766</v>
      </c>
      <c r="E58" s="14" t="s">
        <v>7767</v>
      </c>
      <c r="F58" s="14" t="s">
        <v>7768</v>
      </c>
      <c r="G58" s="21" t="s">
        <v>7769</v>
      </c>
      <c r="H58" s="21" t="s">
        <v>7770</v>
      </c>
      <c r="I58" s="14" t="s">
        <v>88</v>
      </c>
      <c r="J58" s="14">
        <v>3</v>
      </c>
      <c r="K58" s="14">
        <v>4</v>
      </c>
      <c r="L58" s="14" t="s">
        <v>7771</v>
      </c>
      <c r="M58" s="14" t="s">
        <v>132</v>
      </c>
      <c r="N58" s="14" t="s">
        <v>7772</v>
      </c>
      <c r="O58" s="14" t="s">
        <v>7773</v>
      </c>
      <c r="P58" s="14" t="str">
        <f>HYPERLINK("https://photon-sol.tinyastro.io/en/lp/HaL8cPcEZgwLaCbwyf6aAPh7rhw7iHck22zFXSNjpump?handle=676050794bc1b1657a56b", "View")</f>
        <v>View</v>
      </c>
    </row>
    <row r="59" spans="1:16" x14ac:dyDescent="0.25">
      <c r="A59" s="16" t="s">
        <v>7774</v>
      </c>
      <c r="B59" s="17">
        <v>142213882</v>
      </c>
      <c r="C59" s="17">
        <v>142213882</v>
      </c>
      <c r="D59" s="17" t="s">
        <v>7775</v>
      </c>
      <c r="E59" s="17" t="s">
        <v>7776</v>
      </c>
      <c r="F59" s="17" t="s">
        <v>7777</v>
      </c>
      <c r="G59" s="22" t="s">
        <v>4180</v>
      </c>
      <c r="H59" s="22" t="s">
        <v>7778</v>
      </c>
      <c r="I59" s="17" t="s">
        <v>88</v>
      </c>
      <c r="J59" s="17">
        <v>2</v>
      </c>
      <c r="K59" s="17">
        <v>3</v>
      </c>
      <c r="L59" s="17" t="s">
        <v>7779</v>
      </c>
      <c r="M59" s="17" t="s">
        <v>364</v>
      </c>
      <c r="N59" s="17" t="s">
        <v>4193</v>
      </c>
      <c r="O59" s="17" t="s">
        <v>7780</v>
      </c>
      <c r="P59" s="17" t="str">
        <f>HYPERLINK("https://photon-sol.tinyastro.io/en/lp/HseW2A6sdFJwYpGx98z8d9FxmXxUUbczGtPdSPKwpump?handle=676050794bc1b1657a56b", "View")</f>
        <v>View</v>
      </c>
    </row>
    <row r="60" spans="1:16" x14ac:dyDescent="0.25">
      <c r="A60" s="13" t="s">
        <v>7781</v>
      </c>
      <c r="B60" s="14">
        <v>154737889</v>
      </c>
      <c r="C60" s="14">
        <v>89737889</v>
      </c>
      <c r="D60" s="14" t="s">
        <v>7782</v>
      </c>
      <c r="E60" s="14" t="s">
        <v>7783</v>
      </c>
      <c r="F60" s="14" t="s">
        <v>7784</v>
      </c>
      <c r="G60" s="20" t="s">
        <v>7785</v>
      </c>
      <c r="H60" s="20" t="s">
        <v>7786</v>
      </c>
      <c r="I60" s="14" t="s">
        <v>88</v>
      </c>
      <c r="J60" s="14">
        <v>4</v>
      </c>
      <c r="K60" s="14">
        <v>3</v>
      </c>
      <c r="L60" s="14" t="s">
        <v>7787</v>
      </c>
      <c r="M60" s="14" t="s">
        <v>117</v>
      </c>
      <c r="N60" s="14" t="s">
        <v>7788</v>
      </c>
      <c r="O60" s="14" t="s">
        <v>7789</v>
      </c>
      <c r="P60" s="14" t="str">
        <f>HYPERLINK("https://photon-sol.tinyastro.io/en/lp/AQ9e6g5PNJfRax1K4xFqWDeZAgmr21aSPYNvfaHVpump?handle=676050794bc1b1657a56b", "View")</f>
        <v>View</v>
      </c>
    </row>
    <row r="61" spans="1:16" x14ac:dyDescent="0.25">
      <c r="A61" s="16" t="s">
        <v>7790</v>
      </c>
      <c r="B61" s="17">
        <v>33469489</v>
      </c>
      <c r="C61" s="17">
        <v>33469489</v>
      </c>
      <c r="D61" s="17" t="s">
        <v>7791</v>
      </c>
      <c r="E61" s="17" t="s">
        <v>3488</v>
      </c>
      <c r="F61" s="17" t="s">
        <v>7792</v>
      </c>
      <c r="G61" s="20" t="s">
        <v>4695</v>
      </c>
      <c r="H61" s="20" t="s">
        <v>7793</v>
      </c>
      <c r="I61" s="17" t="s">
        <v>88</v>
      </c>
      <c r="J61" s="17">
        <v>1</v>
      </c>
      <c r="K61" s="17">
        <v>1</v>
      </c>
      <c r="L61" s="17" t="s">
        <v>7794</v>
      </c>
      <c r="M61" s="19" t="s">
        <v>1827</v>
      </c>
      <c r="N61" s="17" t="s">
        <v>2308</v>
      </c>
      <c r="O61" s="17" t="s">
        <v>7795</v>
      </c>
      <c r="P61" s="17" t="str">
        <f>HYPERLINK("https://photon-sol.tinyastro.io/en/lp/2Do1vBHzRSbe49cFCRewhNKUJVJoGLPjtUuszVF3pump?handle=676050794bc1b1657a56b", "View")</f>
        <v>View</v>
      </c>
    </row>
    <row r="62" spans="1:16" x14ac:dyDescent="0.25">
      <c r="A62" s="13" t="s">
        <v>7796</v>
      </c>
      <c r="B62" s="14">
        <v>27985897</v>
      </c>
      <c r="C62" s="14">
        <v>27985897</v>
      </c>
      <c r="D62" s="14" t="s">
        <v>883</v>
      </c>
      <c r="E62" s="14" t="s">
        <v>552</v>
      </c>
      <c r="F62" s="14" t="s">
        <v>2738</v>
      </c>
      <c r="G62" s="20" t="s">
        <v>7797</v>
      </c>
      <c r="H62" s="20" t="s">
        <v>7798</v>
      </c>
      <c r="I62" s="14" t="s">
        <v>88</v>
      </c>
      <c r="J62" s="14">
        <v>1</v>
      </c>
      <c r="K62" s="14">
        <v>1</v>
      </c>
      <c r="L62" s="14" t="s">
        <v>7799</v>
      </c>
      <c r="M62" s="14" t="s">
        <v>1448</v>
      </c>
      <c r="N62" s="14" t="s">
        <v>1667</v>
      </c>
      <c r="O62" s="14" t="s">
        <v>7800</v>
      </c>
      <c r="P62" s="14" t="str">
        <f>HYPERLINK("https://photon-sol.tinyastro.io/en/lp/25tmRouMX7XYpWJJEEDAVR5fijML6c7GyukABCSHpump?handle=676050794bc1b1657a56b", "View")</f>
        <v>View</v>
      </c>
    </row>
    <row r="63" spans="1:16" x14ac:dyDescent="0.25">
      <c r="A63" s="16" t="s">
        <v>7801</v>
      </c>
      <c r="B63" s="17">
        <v>33127270</v>
      </c>
      <c r="C63" s="17">
        <v>33127270</v>
      </c>
      <c r="D63" s="17" t="s">
        <v>883</v>
      </c>
      <c r="E63" s="17" t="s">
        <v>7802</v>
      </c>
      <c r="F63" s="17" t="s">
        <v>7803</v>
      </c>
      <c r="G63" s="15" t="s">
        <v>7804</v>
      </c>
      <c r="H63" s="15" t="s">
        <v>7805</v>
      </c>
      <c r="I63" s="17" t="s">
        <v>88</v>
      </c>
      <c r="J63" s="17">
        <v>1</v>
      </c>
      <c r="K63" s="17">
        <v>1</v>
      </c>
      <c r="L63" s="17" t="s">
        <v>7806</v>
      </c>
      <c r="M63" s="17" t="s">
        <v>1434</v>
      </c>
      <c r="N63" s="17" t="s">
        <v>7699</v>
      </c>
      <c r="O63" s="17" t="s">
        <v>7807</v>
      </c>
      <c r="P63" s="17" t="str">
        <f>HYPERLINK("https://photon-sol.tinyastro.io/en/lp/2WiVuUPE3NT3qJ1Tpg2zZkriwnaEXsByrgdgkhG6pump?handle=676050794bc1b1657a56b", "View")</f>
        <v>View</v>
      </c>
    </row>
    <row r="64" spans="1:16" x14ac:dyDescent="0.25">
      <c r="A64" s="13" t="s">
        <v>7808</v>
      </c>
      <c r="B64" s="14">
        <v>29577916</v>
      </c>
      <c r="C64" s="14">
        <v>29577916</v>
      </c>
      <c r="D64" s="14" t="s">
        <v>883</v>
      </c>
      <c r="E64" s="14" t="s">
        <v>2919</v>
      </c>
      <c r="F64" s="14" t="s">
        <v>7809</v>
      </c>
      <c r="G64" s="20" t="s">
        <v>7810</v>
      </c>
      <c r="H64" s="20" t="s">
        <v>7811</v>
      </c>
      <c r="I64" s="14" t="s">
        <v>88</v>
      </c>
      <c r="J64" s="14">
        <v>1</v>
      </c>
      <c r="K64" s="14">
        <v>1</v>
      </c>
      <c r="L64" s="14" t="s">
        <v>7812</v>
      </c>
      <c r="M64" s="14" t="s">
        <v>1448</v>
      </c>
      <c r="N64" s="14" t="s">
        <v>2308</v>
      </c>
      <c r="O64" s="14" t="s">
        <v>7813</v>
      </c>
      <c r="P64" s="14" t="str">
        <f>HYPERLINK("https://photon-sol.tinyastro.io/en/lp/3NFtb8weRkcHZZfuxjxJeVX17fhdGqGE2wCXkkXYpump?handle=676050794bc1b1657a56b", "View")</f>
        <v>View</v>
      </c>
    </row>
    <row r="65" spans="1:16" x14ac:dyDescent="0.25">
      <c r="A65" s="16" t="s">
        <v>7814</v>
      </c>
      <c r="B65" s="17">
        <v>65674848</v>
      </c>
      <c r="C65" s="17">
        <v>65674848</v>
      </c>
      <c r="D65" s="17" t="s">
        <v>1281</v>
      </c>
      <c r="E65" s="17" t="s">
        <v>7815</v>
      </c>
      <c r="F65" s="17" t="s">
        <v>7816</v>
      </c>
      <c r="G65" s="20" t="s">
        <v>7817</v>
      </c>
      <c r="H65" s="20" t="s">
        <v>5365</v>
      </c>
      <c r="I65" s="17" t="s">
        <v>88</v>
      </c>
      <c r="J65" s="17">
        <v>2</v>
      </c>
      <c r="K65" s="17">
        <v>2</v>
      </c>
      <c r="L65" s="17" t="s">
        <v>7818</v>
      </c>
      <c r="M65" s="19" t="s">
        <v>3626</v>
      </c>
      <c r="N65" s="17" t="s">
        <v>7819</v>
      </c>
      <c r="O65" s="17" t="s">
        <v>7820</v>
      </c>
      <c r="P65" s="17" t="str">
        <f>HYPERLINK("https://photon-sol.tinyastro.io/en/lp/J9HRRQ6qErUXonw1EZdt7Y7TJFYSCPTAPDATyfWqpump?handle=676050794bc1b1657a56b", "View")</f>
        <v>View</v>
      </c>
    </row>
    <row r="66" spans="1:16" x14ac:dyDescent="0.25">
      <c r="A66" s="13" t="s">
        <v>7821</v>
      </c>
      <c r="B66" s="14">
        <v>31250507</v>
      </c>
      <c r="C66" s="14">
        <v>31250507</v>
      </c>
      <c r="D66" s="14" t="s">
        <v>883</v>
      </c>
      <c r="E66" s="14" t="s">
        <v>1179</v>
      </c>
      <c r="F66" s="14" t="s">
        <v>7822</v>
      </c>
      <c r="G66" s="21" t="s">
        <v>7823</v>
      </c>
      <c r="H66" s="21" t="s">
        <v>7824</v>
      </c>
      <c r="I66" s="14" t="s">
        <v>88</v>
      </c>
      <c r="J66" s="14">
        <v>1</v>
      </c>
      <c r="K66" s="14">
        <v>1</v>
      </c>
      <c r="L66" s="14" t="s">
        <v>7825</v>
      </c>
      <c r="M66" s="19" t="s">
        <v>1849</v>
      </c>
      <c r="N66" s="14" t="s">
        <v>7826</v>
      </c>
      <c r="O66" s="14" t="s">
        <v>7827</v>
      </c>
      <c r="P66" s="14" t="str">
        <f>HYPERLINK("https://photon-sol.tinyastro.io/en/lp/Dqrb9v3dSapKtnQSpgaE7RNusPjYmRB6BQjqqrbJpump?handle=676050794bc1b1657a56b", "View")</f>
        <v>View</v>
      </c>
    </row>
    <row r="67" spans="1:16" x14ac:dyDescent="0.25">
      <c r="A67" s="16" t="s">
        <v>7828</v>
      </c>
      <c r="B67" s="17">
        <v>21246393</v>
      </c>
      <c r="C67" s="17">
        <v>21246393</v>
      </c>
      <c r="D67" s="17" t="s">
        <v>883</v>
      </c>
      <c r="E67" s="17" t="s">
        <v>7829</v>
      </c>
      <c r="F67" s="17" t="s">
        <v>7830</v>
      </c>
      <c r="G67" s="20" t="s">
        <v>7831</v>
      </c>
      <c r="H67" s="20" t="s">
        <v>7832</v>
      </c>
      <c r="I67" s="17" t="s">
        <v>88</v>
      </c>
      <c r="J67" s="17">
        <v>1</v>
      </c>
      <c r="K67" s="17">
        <v>1</v>
      </c>
      <c r="L67" s="17" t="s">
        <v>7833</v>
      </c>
      <c r="M67" s="19" t="s">
        <v>7834</v>
      </c>
      <c r="N67" s="17" t="s">
        <v>7835</v>
      </c>
      <c r="O67" s="17" t="s">
        <v>7836</v>
      </c>
      <c r="P67" s="17" t="str">
        <f>HYPERLINK("https://photon-sol.tinyastro.io/en/lp/CxRBg5BSRujbu1WEcHQrwHHWytVo62jdxzWqtDj5pump?handle=676050794bc1b1657a56b", "View")</f>
        <v>View</v>
      </c>
    </row>
    <row r="68" spans="1:16" x14ac:dyDescent="0.25">
      <c r="A68" s="13" t="s">
        <v>7837</v>
      </c>
      <c r="B68" s="14">
        <v>35620941</v>
      </c>
      <c r="C68" s="14">
        <v>35620941</v>
      </c>
      <c r="D68" s="14" t="s">
        <v>883</v>
      </c>
      <c r="E68" s="14" t="s">
        <v>951</v>
      </c>
      <c r="F68" s="14" t="s">
        <v>7838</v>
      </c>
      <c r="G68" s="20" t="s">
        <v>3623</v>
      </c>
      <c r="H68" s="20" t="s">
        <v>7839</v>
      </c>
      <c r="I68" s="14" t="s">
        <v>88</v>
      </c>
      <c r="J68" s="14">
        <v>1</v>
      </c>
      <c r="K68" s="14">
        <v>1</v>
      </c>
      <c r="L68" s="14" t="s">
        <v>7840</v>
      </c>
      <c r="M68" s="19" t="s">
        <v>2509</v>
      </c>
      <c r="N68" s="14" t="s">
        <v>3908</v>
      </c>
      <c r="O68" s="14" t="s">
        <v>7841</v>
      </c>
      <c r="P68" s="14" t="str">
        <f>HYPERLINK("https://photon-sol.tinyastro.io/en/lp/9UnbTHGCMMuMurzHoAWP3pJXZQUk7tk1rMzZgoEMpump?handle=676050794bc1b1657a56b", "View")</f>
        <v>View</v>
      </c>
    </row>
    <row r="69" spans="1:16" x14ac:dyDescent="0.25">
      <c r="A69" s="16" t="s">
        <v>7842</v>
      </c>
      <c r="B69" s="17">
        <v>36314913</v>
      </c>
      <c r="C69" s="17">
        <v>36314913</v>
      </c>
      <c r="D69" s="17" t="s">
        <v>7791</v>
      </c>
      <c r="E69" s="17" t="s">
        <v>7843</v>
      </c>
      <c r="F69" s="17" t="s">
        <v>7844</v>
      </c>
      <c r="G69" s="20" t="s">
        <v>7845</v>
      </c>
      <c r="H69" s="20" t="s">
        <v>7846</v>
      </c>
      <c r="I69" s="17" t="s">
        <v>88</v>
      </c>
      <c r="J69" s="17">
        <v>1</v>
      </c>
      <c r="K69" s="17">
        <v>1</v>
      </c>
      <c r="L69" s="17" t="s">
        <v>7847</v>
      </c>
      <c r="M69" s="19" t="s">
        <v>1827</v>
      </c>
      <c r="N69" s="17" t="s">
        <v>5809</v>
      </c>
      <c r="O69" s="17" t="s">
        <v>7848</v>
      </c>
      <c r="P69" s="17" t="str">
        <f>HYPERLINK("https://photon-sol.tinyastro.io/en/lp/J3UKhsf1sBb6NPsDdnRMDdLhDUie2ap34UReEMqHpump?handle=676050794bc1b1657a56b", "View")</f>
        <v>View</v>
      </c>
    </row>
    <row r="70" spans="1:16" x14ac:dyDescent="0.25">
      <c r="A70" s="13" t="s">
        <v>7849</v>
      </c>
      <c r="B70" s="14">
        <v>36465840</v>
      </c>
      <c r="C70" s="14">
        <v>36465840</v>
      </c>
      <c r="D70" s="14" t="s">
        <v>883</v>
      </c>
      <c r="E70" s="14" t="s">
        <v>7850</v>
      </c>
      <c r="F70" s="14" t="s">
        <v>1831</v>
      </c>
      <c r="G70" s="20" t="s">
        <v>4929</v>
      </c>
      <c r="H70" s="20" t="s">
        <v>7851</v>
      </c>
      <c r="I70" s="14" t="s">
        <v>88</v>
      </c>
      <c r="J70" s="14">
        <v>1</v>
      </c>
      <c r="K70" s="14">
        <v>1</v>
      </c>
      <c r="L70" s="14" t="s">
        <v>7852</v>
      </c>
      <c r="M70" s="19" t="s">
        <v>6781</v>
      </c>
      <c r="N70" s="14" t="s">
        <v>2585</v>
      </c>
      <c r="O70" s="14" t="s">
        <v>7853</v>
      </c>
      <c r="P70" s="14" t="str">
        <f>HYPERLINK("https://photon-sol.tinyastro.io/en/lp/Chxg8nWCpJwwM6NSkWR1R5hbKJB26FGbvCz1rqxdpump?handle=676050794bc1b1657a56b", "View")</f>
        <v>View</v>
      </c>
    </row>
    <row r="71" spans="1:16" x14ac:dyDescent="0.25">
      <c r="A71" s="16" t="s">
        <v>7854</v>
      </c>
      <c r="B71" s="17">
        <v>44565495</v>
      </c>
      <c r="C71" s="17">
        <v>44565495</v>
      </c>
      <c r="D71" s="17" t="s">
        <v>7791</v>
      </c>
      <c r="E71" s="17" t="s">
        <v>4153</v>
      </c>
      <c r="F71" s="17" t="s">
        <v>7855</v>
      </c>
      <c r="G71" s="20" t="s">
        <v>4962</v>
      </c>
      <c r="H71" s="20" t="s">
        <v>7856</v>
      </c>
      <c r="I71" s="17" t="s">
        <v>88</v>
      </c>
      <c r="J71" s="17">
        <v>1</v>
      </c>
      <c r="K71" s="17">
        <v>1</v>
      </c>
      <c r="L71" s="17" t="s">
        <v>7857</v>
      </c>
      <c r="M71" s="17" t="s">
        <v>1566</v>
      </c>
      <c r="N71" s="17" t="s">
        <v>2308</v>
      </c>
      <c r="O71" s="17" t="s">
        <v>7858</v>
      </c>
      <c r="P71" s="17" t="str">
        <f>HYPERLINK("https://photon-sol.tinyastro.io/en/lp/6CkRSk34aanxdmyrY6BdEpDuDn5bWj1F5wdgvfMJpump?handle=676050794bc1b1657a56b", "View")</f>
        <v>View</v>
      </c>
    </row>
    <row r="72" spans="1:16" x14ac:dyDescent="0.25">
      <c r="A72" s="13" t="s">
        <v>7859</v>
      </c>
      <c r="B72" s="14">
        <v>44322382</v>
      </c>
      <c r="C72" s="14">
        <v>44322382</v>
      </c>
      <c r="D72" s="14" t="s">
        <v>913</v>
      </c>
      <c r="E72" s="14" t="s">
        <v>7860</v>
      </c>
      <c r="F72" s="14" t="s">
        <v>7861</v>
      </c>
      <c r="G72" s="21" t="s">
        <v>7862</v>
      </c>
      <c r="H72" s="21" t="s">
        <v>7863</v>
      </c>
      <c r="I72" s="14" t="s">
        <v>88</v>
      </c>
      <c r="J72" s="14">
        <v>1</v>
      </c>
      <c r="K72" s="14">
        <v>2</v>
      </c>
      <c r="L72" s="14" t="s">
        <v>7864</v>
      </c>
      <c r="M72" s="14" t="s">
        <v>788</v>
      </c>
      <c r="N72" s="14" t="s">
        <v>7865</v>
      </c>
      <c r="O72" s="14" t="s">
        <v>7866</v>
      </c>
      <c r="P72" s="14" t="str">
        <f>HYPERLINK("https://photon-sol.tinyastro.io/en/lp/JrrfGbKSuctHyJU6iasT7HoRctEX6ta4iUw6VYQpump?handle=676050794bc1b1657a56b", "View")</f>
        <v>View</v>
      </c>
    </row>
    <row r="73" spans="1:16" x14ac:dyDescent="0.25">
      <c r="A73" s="16" t="s">
        <v>6516</v>
      </c>
      <c r="B73" s="17">
        <v>39929644</v>
      </c>
      <c r="C73" s="17">
        <v>39929644</v>
      </c>
      <c r="D73" s="17" t="s">
        <v>913</v>
      </c>
      <c r="E73" s="17" t="s">
        <v>6460</v>
      </c>
      <c r="F73" s="17" t="s">
        <v>7867</v>
      </c>
      <c r="G73" s="21" t="s">
        <v>7868</v>
      </c>
      <c r="H73" s="21" t="s">
        <v>7869</v>
      </c>
      <c r="I73" s="17" t="s">
        <v>88</v>
      </c>
      <c r="J73" s="17">
        <v>1</v>
      </c>
      <c r="K73" s="17">
        <v>2</v>
      </c>
      <c r="L73" s="17" t="s">
        <v>7870</v>
      </c>
      <c r="M73" s="17" t="s">
        <v>1566</v>
      </c>
      <c r="N73" s="17" t="s">
        <v>7871</v>
      </c>
      <c r="O73" s="17" t="s">
        <v>7872</v>
      </c>
      <c r="P73" s="17" t="str">
        <f>HYPERLINK("https://photon-sol.tinyastro.io/en/lp/4xK3xqSoM3HaET8H5KXbinWLGEG439BhL7GTJd9Ppump?handle=676050794bc1b1657a56b", "View")</f>
        <v>View</v>
      </c>
    </row>
    <row r="74" spans="1:16" x14ac:dyDescent="0.25">
      <c r="A74" s="13" t="s">
        <v>7873</v>
      </c>
      <c r="B74" s="14">
        <v>59809851</v>
      </c>
      <c r="C74" s="14">
        <v>59809851</v>
      </c>
      <c r="D74" s="14" t="s">
        <v>1281</v>
      </c>
      <c r="E74" s="14" t="s">
        <v>951</v>
      </c>
      <c r="F74" s="14" t="s">
        <v>7874</v>
      </c>
      <c r="G74" s="20" t="s">
        <v>7875</v>
      </c>
      <c r="H74" s="20" t="s">
        <v>7876</v>
      </c>
      <c r="I74" s="14" t="s">
        <v>88</v>
      </c>
      <c r="J74" s="14">
        <v>2</v>
      </c>
      <c r="K74" s="14">
        <v>2</v>
      </c>
      <c r="L74" s="14" t="s">
        <v>7877</v>
      </c>
      <c r="M74" s="14" t="s">
        <v>6235</v>
      </c>
      <c r="N74" s="14" t="s">
        <v>2308</v>
      </c>
      <c r="O74" s="14" t="s">
        <v>7878</v>
      </c>
      <c r="P74" s="14" t="str">
        <f>HYPERLINK("https://photon-sol.tinyastro.io/en/lp/H5N3ov8zMHzvP473ZHzSN1dGncKKPcZvtrLGo29Bpump?handle=676050794bc1b1657a56b", "View")</f>
        <v>View</v>
      </c>
    </row>
    <row r="75" spans="1:16" x14ac:dyDescent="0.25">
      <c r="A75" s="16" t="s">
        <v>7879</v>
      </c>
      <c r="B75" s="17">
        <v>37554540</v>
      </c>
      <c r="C75" s="17">
        <v>37554540</v>
      </c>
      <c r="D75" s="17" t="s">
        <v>883</v>
      </c>
      <c r="E75" s="17" t="s">
        <v>2117</v>
      </c>
      <c r="F75" s="17" t="s">
        <v>7880</v>
      </c>
      <c r="G75" s="20" t="s">
        <v>7881</v>
      </c>
      <c r="H75" s="20" t="s">
        <v>7882</v>
      </c>
      <c r="I75" s="17" t="s">
        <v>88</v>
      </c>
      <c r="J75" s="17">
        <v>1</v>
      </c>
      <c r="K75" s="17">
        <v>1</v>
      </c>
      <c r="L75" s="17" t="s">
        <v>7883</v>
      </c>
      <c r="M75" s="19" t="s">
        <v>3069</v>
      </c>
      <c r="N75" s="17" t="s">
        <v>5809</v>
      </c>
      <c r="O75" s="17" t="s">
        <v>7884</v>
      </c>
      <c r="P75" s="17" t="str">
        <f>HYPERLINK("https://photon-sol.tinyastro.io/en/lp/a5TdomJNzY8bWkcoFJd4ZgNq829ALH18i81MrYqpump?handle=676050794bc1b1657a56b", "View")</f>
        <v>View</v>
      </c>
    </row>
    <row r="76" spans="1:16" x14ac:dyDescent="0.25">
      <c r="A76" s="13" t="s">
        <v>7885</v>
      </c>
      <c r="B76" s="14">
        <v>46096444</v>
      </c>
      <c r="C76" s="14">
        <v>46096444</v>
      </c>
      <c r="D76" s="14" t="s">
        <v>7886</v>
      </c>
      <c r="E76" s="14" t="s">
        <v>7887</v>
      </c>
      <c r="F76" s="14" t="s">
        <v>7888</v>
      </c>
      <c r="G76" s="22" t="s">
        <v>7889</v>
      </c>
      <c r="H76" s="22" t="s">
        <v>7890</v>
      </c>
      <c r="I76" s="14" t="s">
        <v>88</v>
      </c>
      <c r="J76" s="14">
        <v>5</v>
      </c>
      <c r="K76" s="14">
        <v>5</v>
      </c>
      <c r="L76" s="14" t="s">
        <v>7891</v>
      </c>
      <c r="M76" s="14" t="s">
        <v>160</v>
      </c>
      <c r="N76" s="14" t="s">
        <v>7892</v>
      </c>
      <c r="O76" s="14" t="s">
        <v>7893</v>
      </c>
      <c r="P76" s="14" t="str">
        <f>HYPERLINK("https://photon-sol.tinyastro.io/en/lp/Gp7hF14qT6275Sz71bb5aaYXDTcngyFR5RPrjjuapump?handle=676050794bc1b1657a56b", "View")</f>
        <v>View</v>
      </c>
    </row>
    <row r="77" spans="1:16" x14ac:dyDescent="0.25">
      <c r="A77" s="16" t="s">
        <v>1095</v>
      </c>
      <c r="B77" s="17">
        <v>28882408</v>
      </c>
      <c r="C77" s="17">
        <v>28882408</v>
      </c>
      <c r="D77" s="17" t="s">
        <v>883</v>
      </c>
      <c r="E77" s="17" t="s">
        <v>1361</v>
      </c>
      <c r="F77" s="17" t="s">
        <v>7894</v>
      </c>
      <c r="G77" s="20" t="s">
        <v>7895</v>
      </c>
      <c r="H77" s="20" t="s">
        <v>7896</v>
      </c>
      <c r="I77" s="17" t="s">
        <v>88</v>
      </c>
      <c r="J77" s="17">
        <v>1</v>
      </c>
      <c r="K77" s="17">
        <v>1</v>
      </c>
      <c r="L77" s="17" t="s">
        <v>7897</v>
      </c>
      <c r="M77" s="17" t="s">
        <v>2984</v>
      </c>
      <c r="N77" s="17" t="s">
        <v>2585</v>
      </c>
      <c r="O77" s="17" t="s">
        <v>7898</v>
      </c>
      <c r="P77" s="17" t="str">
        <f>HYPERLINK("https://photon-sol.tinyastro.io/en/lp/Hi9KK1W5qyQqbgha9cKmCtKNPZjSixM32zx4erZipump?handle=676050794bc1b1657a56b", "View")</f>
        <v>View</v>
      </c>
    </row>
    <row r="78" spans="1:16" x14ac:dyDescent="0.25">
      <c r="A78" s="13" t="s">
        <v>7899</v>
      </c>
      <c r="B78" s="14">
        <v>28103968</v>
      </c>
      <c r="C78" s="14">
        <v>28103968</v>
      </c>
      <c r="D78" s="14" t="s">
        <v>913</v>
      </c>
      <c r="E78" s="14" t="s">
        <v>7900</v>
      </c>
      <c r="F78" s="14" t="s">
        <v>7901</v>
      </c>
      <c r="G78" s="22" t="s">
        <v>7902</v>
      </c>
      <c r="H78" s="22" t="s">
        <v>7903</v>
      </c>
      <c r="I78" s="14" t="s">
        <v>88</v>
      </c>
      <c r="J78" s="14">
        <v>1</v>
      </c>
      <c r="K78" s="14">
        <v>2</v>
      </c>
      <c r="L78" s="14" t="s">
        <v>7904</v>
      </c>
      <c r="M78" s="14" t="s">
        <v>3180</v>
      </c>
      <c r="N78" s="14" t="s">
        <v>7905</v>
      </c>
      <c r="O78" s="14" t="s">
        <v>7906</v>
      </c>
      <c r="P78" s="14" t="str">
        <f>HYPERLINK("https://photon-sol.tinyastro.io/en/lp/3LcDvRgQjekhz8dBCfsfCLSzxAKc32r6nAxoT8aXpump?handle=676050794bc1b1657a56b", "View")</f>
        <v>View</v>
      </c>
    </row>
    <row r="79" spans="1:16" x14ac:dyDescent="0.25">
      <c r="A79" s="16" t="s">
        <v>7907</v>
      </c>
      <c r="B79" s="17">
        <v>29474220</v>
      </c>
      <c r="C79" s="17">
        <v>29474220</v>
      </c>
      <c r="D79" s="17" t="s">
        <v>883</v>
      </c>
      <c r="E79" s="17" t="s">
        <v>7908</v>
      </c>
      <c r="F79" s="17" t="s">
        <v>7909</v>
      </c>
      <c r="G79" s="20" t="s">
        <v>7910</v>
      </c>
      <c r="H79" s="20" t="s">
        <v>7911</v>
      </c>
      <c r="I79" s="17" t="s">
        <v>88</v>
      </c>
      <c r="J79" s="17">
        <v>1</v>
      </c>
      <c r="K79" s="17">
        <v>1</v>
      </c>
      <c r="L79" s="17" t="s">
        <v>7912</v>
      </c>
      <c r="M79" s="19" t="s">
        <v>3626</v>
      </c>
      <c r="N79" s="17" t="s">
        <v>1731</v>
      </c>
      <c r="O79" s="17" t="s">
        <v>7913</v>
      </c>
      <c r="P79" s="17" t="str">
        <f>HYPERLINK("https://photon-sol.tinyastro.io/en/lp/3dWEJjc5m8hyKUCjWmDHCcDCvkSazPVC8PZT2JJvpump?handle=676050794bc1b1657a56b", "View")</f>
        <v>View</v>
      </c>
    </row>
    <row r="80" spans="1:16" x14ac:dyDescent="0.25">
      <c r="A80" s="13" t="s">
        <v>7914</v>
      </c>
      <c r="B80" s="14">
        <v>29980322</v>
      </c>
      <c r="C80" s="14">
        <v>29980322</v>
      </c>
      <c r="D80" s="14" t="s">
        <v>7886</v>
      </c>
      <c r="E80" s="14" t="s">
        <v>7915</v>
      </c>
      <c r="F80" s="14" t="s">
        <v>7916</v>
      </c>
      <c r="G80" s="21" t="s">
        <v>7917</v>
      </c>
      <c r="H80" s="21" t="s">
        <v>7918</v>
      </c>
      <c r="I80" s="14" t="s">
        <v>88</v>
      </c>
      <c r="J80" s="14">
        <v>1</v>
      </c>
      <c r="K80" s="14">
        <v>9</v>
      </c>
      <c r="L80" s="14" t="s">
        <v>7919</v>
      </c>
      <c r="M80" s="14" t="s">
        <v>1696</v>
      </c>
      <c r="N80" s="14" t="s">
        <v>7920</v>
      </c>
      <c r="O80" s="14" t="s">
        <v>7921</v>
      </c>
      <c r="P80" s="14" t="str">
        <f>HYPERLINK("https://photon-sol.tinyastro.io/en/lp/FnQMnE5aC59t3obZK1qfDKHVYKtU2tCPHN63ovuypump?handle=676050794bc1b1657a56b", "View")</f>
        <v>View</v>
      </c>
    </row>
    <row r="81" spans="1:16" x14ac:dyDescent="0.25">
      <c r="A81" s="16" t="s">
        <v>7922</v>
      </c>
      <c r="B81" s="17">
        <v>19376006</v>
      </c>
      <c r="C81" s="17">
        <v>19376006</v>
      </c>
      <c r="D81" s="17" t="s">
        <v>883</v>
      </c>
      <c r="E81" s="17" t="s">
        <v>7923</v>
      </c>
      <c r="F81" s="17" t="s">
        <v>7924</v>
      </c>
      <c r="G81" s="22" t="s">
        <v>7925</v>
      </c>
      <c r="H81" s="22" t="s">
        <v>7926</v>
      </c>
      <c r="I81" s="17" t="s">
        <v>88</v>
      </c>
      <c r="J81" s="17">
        <v>1</v>
      </c>
      <c r="K81" s="17">
        <v>1</v>
      </c>
      <c r="L81" s="17" t="s">
        <v>7927</v>
      </c>
      <c r="M81" s="17" t="s">
        <v>602</v>
      </c>
      <c r="N81" s="17" t="s">
        <v>7928</v>
      </c>
      <c r="O81" s="17" t="s">
        <v>7929</v>
      </c>
      <c r="P81" s="17" t="str">
        <f>HYPERLINK("https://photon-sol.tinyastro.io/en/lp/964ssiZnVnZJrjCDvCbBuwgsozW13gmGtJdPWTAwpump?handle=676050794bc1b1657a56b", "View")</f>
        <v>View</v>
      </c>
    </row>
    <row r="82" spans="1:16" x14ac:dyDescent="0.25">
      <c r="A82" s="13" t="s">
        <v>7930</v>
      </c>
      <c r="B82" s="14">
        <v>20782432</v>
      </c>
      <c r="C82" s="14">
        <v>20782432</v>
      </c>
      <c r="D82" s="14" t="s">
        <v>7791</v>
      </c>
      <c r="E82" s="14" t="s">
        <v>6630</v>
      </c>
      <c r="F82" s="14" t="s">
        <v>2758</v>
      </c>
      <c r="G82" s="20" t="s">
        <v>7931</v>
      </c>
      <c r="H82" s="20" t="s">
        <v>7932</v>
      </c>
      <c r="I82" s="14" t="s">
        <v>88</v>
      </c>
      <c r="J82" s="14">
        <v>1</v>
      </c>
      <c r="K82" s="14">
        <v>1</v>
      </c>
      <c r="L82" s="14" t="s">
        <v>7933</v>
      </c>
      <c r="M82" s="14" t="s">
        <v>160</v>
      </c>
      <c r="N82" s="14" t="s">
        <v>2130</v>
      </c>
      <c r="O82" s="14" t="s">
        <v>7934</v>
      </c>
      <c r="P82" s="14" t="str">
        <f>HYPERLINK("https://photon-sol.tinyastro.io/en/lp/J83JGjNQDAKFHoXQc4oSNKHKm3X2x3AUi1YA8wdRpump?handle=676050794bc1b1657a56b", "View")</f>
        <v>View</v>
      </c>
    </row>
    <row r="83" spans="1:16" x14ac:dyDescent="0.25">
      <c r="A83" s="16" t="s">
        <v>7935</v>
      </c>
      <c r="B83" s="17">
        <v>32838038</v>
      </c>
      <c r="C83" s="17">
        <v>32838038</v>
      </c>
      <c r="D83" s="17" t="s">
        <v>1281</v>
      </c>
      <c r="E83" s="17" t="s">
        <v>165</v>
      </c>
      <c r="F83" s="17" t="s">
        <v>7936</v>
      </c>
      <c r="G83" s="20" t="s">
        <v>7937</v>
      </c>
      <c r="H83" s="20" t="s">
        <v>7938</v>
      </c>
      <c r="I83" s="17" t="s">
        <v>88</v>
      </c>
      <c r="J83" s="17">
        <v>2</v>
      </c>
      <c r="K83" s="17">
        <v>2</v>
      </c>
      <c r="L83" s="17" t="s">
        <v>7939</v>
      </c>
      <c r="M83" s="17" t="s">
        <v>1610</v>
      </c>
      <c r="N83" s="17" t="s">
        <v>7940</v>
      </c>
      <c r="O83" s="17" t="s">
        <v>7941</v>
      </c>
      <c r="P83" s="17" t="str">
        <f>HYPERLINK("https://dexscreener.com/solana/DV5gbatSSygF1rpE5DuZeJfPoY9tVejw5WpcdDBPpump", "View")</f>
        <v>View</v>
      </c>
    </row>
    <row r="84" spans="1:16" x14ac:dyDescent="0.25">
      <c r="A84" s="13" t="s">
        <v>7942</v>
      </c>
      <c r="B84" s="14">
        <v>16468354</v>
      </c>
      <c r="C84" s="14">
        <v>16468354</v>
      </c>
      <c r="D84" s="14" t="s">
        <v>883</v>
      </c>
      <c r="E84" s="14" t="s">
        <v>569</v>
      </c>
      <c r="F84" s="14" t="s">
        <v>7943</v>
      </c>
      <c r="G84" s="22" t="s">
        <v>4989</v>
      </c>
      <c r="H84" s="22" t="s">
        <v>4946</v>
      </c>
      <c r="I84" s="14" t="s">
        <v>88</v>
      </c>
      <c r="J84" s="14">
        <v>1</v>
      </c>
      <c r="K84" s="14">
        <v>1</v>
      </c>
      <c r="L84" s="14" t="s">
        <v>7944</v>
      </c>
      <c r="M84" s="14" t="s">
        <v>602</v>
      </c>
      <c r="N84" s="14" t="s">
        <v>7945</v>
      </c>
      <c r="O84" s="14" t="s">
        <v>7946</v>
      </c>
      <c r="P84" s="14" t="str">
        <f>HYPERLINK("https://dexscreener.com/solana/ARygRrYJhXq7srvGyNV5ZKqH3VK3Yybce2Z6nreBpump", "View")</f>
        <v>View</v>
      </c>
    </row>
    <row r="85" spans="1:16" x14ac:dyDescent="0.25">
      <c r="A85" s="16" t="s">
        <v>7947</v>
      </c>
      <c r="B85" s="17">
        <v>26947626</v>
      </c>
      <c r="C85" s="17">
        <v>26947626</v>
      </c>
      <c r="D85" s="17" t="s">
        <v>7948</v>
      </c>
      <c r="E85" s="17" t="s">
        <v>7949</v>
      </c>
      <c r="F85" s="17" t="s">
        <v>7950</v>
      </c>
      <c r="G85" s="20" t="s">
        <v>7951</v>
      </c>
      <c r="H85" s="20" t="s">
        <v>7952</v>
      </c>
      <c r="I85" s="17" t="s">
        <v>88</v>
      </c>
      <c r="J85" s="17">
        <v>2</v>
      </c>
      <c r="K85" s="17">
        <v>2</v>
      </c>
      <c r="L85" s="17" t="s">
        <v>7953</v>
      </c>
      <c r="M85" s="17" t="s">
        <v>680</v>
      </c>
      <c r="N85" s="17" t="s">
        <v>507</v>
      </c>
      <c r="O85" s="17" t="s">
        <v>7954</v>
      </c>
      <c r="P85" s="17" t="str">
        <f>HYPERLINK("https://photon-sol.tinyastro.io/en/lp/1kYNEuCzkzR2aZAxxhWycdBmrWgtHL9vPpqZcGi9pqA?handle=676050794bc1b1657a56b", "View")</f>
        <v>View</v>
      </c>
    </row>
    <row r="86" spans="1:16" x14ac:dyDescent="0.25">
      <c r="A86" s="13" t="s">
        <v>7955</v>
      </c>
      <c r="B86" s="14">
        <v>15369052</v>
      </c>
      <c r="C86" s="14">
        <v>15369052</v>
      </c>
      <c r="D86" s="14" t="s">
        <v>883</v>
      </c>
      <c r="E86" s="14" t="s">
        <v>7956</v>
      </c>
      <c r="F86" s="14" t="s">
        <v>7957</v>
      </c>
      <c r="G86" s="20" t="s">
        <v>4382</v>
      </c>
      <c r="H86" s="20" t="s">
        <v>7958</v>
      </c>
      <c r="I86" s="14" t="s">
        <v>88</v>
      </c>
      <c r="J86" s="14">
        <v>1</v>
      </c>
      <c r="K86" s="14">
        <v>1</v>
      </c>
      <c r="L86" s="14" t="s">
        <v>7959</v>
      </c>
      <c r="M86" s="19" t="s">
        <v>2189</v>
      </c>
      <c r="N86" s="14" t="s">
        <v>1667</v>
      </c>
      <c r="O86" s="14" t="s">
        <v>7960</v>
      </c>
      <c r="P86" s="14" t="str">
        <f>HYPERLINK("https://photon-sol.tinyastro.io/en/lp/HwreCeDC7iYUaqFeQRGFSyK8qnTwZQquWVKhWBWPpump?handle=676050794bc1b1657a56b", "View")</f>
        <v>View</v>
      </c>
    </row>
    <row r="87" spans="1:16" x14ac:dyDescent="0.25">
      <c r="A87" s="16" t="s">
        <v>7961</v>
      </c>
      <c r="B87" s="17">
        <v>19523038</v>
      </c>
      <c r="C87" s="17">
        <v>19523038</v>
      </c>
      <c r="D87" s="17" t="s">
        <v>883</v>
      </c>
      <c r="E87" s="17" t="s">
        <v>2346</v>
      </c>
      <c r="F87" s="17" t="s">
        <v>7962</v>
      </c>
      <c r="G87" s="21" t="s">
        <v>7963</v>
      </c>
      <c r="H87" s="21" t="s">
        <v>7964</v>
      </c>
      <c r="I87" s="17" t="s">
        <v>88</v>
      </c>
      <c r="J87" s="17">
        <v>1</v>
      </c>
      <c r="K87" s="17">
        <v>1</v>
      </c>
      <c r="L87" s="17" t="s">
        <v>7965</v>
      </c>
      <c r="M87" s="17" t="s">
        <v>602</v>
      </c>
      <c r="N87" s="17" t="s">
        <v>7966</v>
      </c>
      <c r="O87" s="17" t="s">
        <v>7967</v>
      </c>
      <c r="P87" s="17" t="str">
        <f>HYPERLINK("https://photon-sol.tinyastro.io/en/lp/4eFHw54DV3cD6TmAPuGDo9L67kT8C4EaZ6Da5n4Ypump?handle=676050794bc1b1657a56b", "View")</f>
        <v>View</v>
      </c>
    </row>
    <row r="88" spans="1:16" x14ac:dyDescent="0.25">
      <c r="A88" s="13" t="s">
        <v>7968</v>
      </c>
      <c r="B88" s="14">
        <v>6245044</v>
      </c>
      <c r="C88" s="14">
        <v>6245044</v>
      </c>
      <c r="D88" s="14" t="s">
        <v>7791</v>
      </c>
      <c r="E88" s="14" t="s">
        <v>219</v>
      </c>
      <c r="F88" s="14" t="s">
        <v>7969</v>
      </c>
      <c r="G88" s="22" t="s">
        <v>4403</v>
      </c>
      <c r="H88" s="22" t="s">
        <v>7970</v>
      </c>
      <c r="I88" s="14" t="s">
        <v>88</v>
      </c>
      <c r="J88" s="14">
        <v>1</v>
      </c>
      <c r="K88" s="14">
        <v>1</v>
      </c>
      <c r="L88" s="14" t="s">
        <v>7971</v>
      </c>
      <c r="M88" s="14" t="s">
        <v>1705</v>
      </c>
      <c r="N88" s="14" t="s">
        <v>7972</v>
      </c>
      <c r="O88" s="14" t="s">
        <v>7973</v>
      </c>
      <c r="P88" s="14" t="str">
        <f>HYPERLINK("https://dexscreener.com/solana/BxBWLrR2qwkTqcyMqeCAAomi5SWu1HgJoiSJtD1vpump", "View")</f>
        <v>View</v>
      </c>
    </row>
    <row r="89" spans="1:16" x14ac:dyDescent="0.25">
      <c r="A89" s="16" t="s">
        <v>7974</v>
      </c>
      <c r="B89" s="17">
        <v>46704200</v>
      </c>
      <c r="C89" s="17">
        <v>46704200</v>
      </c>
      <c r="D89" s="17" t="s">
        <v>7975</v>
      </c>
      <c r="E89" s="17" t="s">
        <v>533</v>
      </c>
      <c r="F89" s="17" t="s">
        <v>6794</v>
      </c>
      <c r="G89" s="15" t="s">
        <v>7976</v>
      </c>
      <c r="H89" s="15" t="s">
        <v>7977</v>
      </c>
      <c r="I89" s="17" t="s">
        <v>88</v>
      </c>
      <c r="J89" s="17">
        <v>5</v>
      </c>
      <c r="K89" s="17">
        <v>2</v>
      </c>
      <c r="L89" s="17" t="s">
        <v>7978</v>
      </c>
      <c r="M89" s="17" t="s">
        <v>1610</v>
      </c>
      <c r="N89" s="17" t="s">
        <v>7979</v>
      </c>
      <c r="O89" s="17" t="s">
        <v>7980</v>
      </c>
      <c r="P89" s="17" t="str">
        <f>HYPERLINK("https://dexscreener.com/solana/9qra2v3rRm6BYdCgGyaxDQJ5gzwbTpWvrEWgaFwHpump", "View")</f>
        <v>View</v>
      </c>
    </row>
    <row r="90" spans="1:16" x14ac:dyDescent="0.25">
      <c r="A90" s="13" t="s">
        <v>7981</v>
      </c>
      <c r="B90" s="14">
        <v>28481543</v>
      </c>
      <c r="C90" s="14">
        <v>28481543</v>
      </c>
      <c r="D90" s="14" t="s">
        <v>7975</v>
      </c>
      <c r="E90" s="14" t="s">
        <v>219</v>
      </c>
      <c r="F90" s="14" t="s">
        <v>7982</v>
      </c>
      <c r="G90" s="21" t="s">
        <v>7983</v>
      </c>
      <c r="H90" s="21" t="s">
        <v>7984</v>
      </c>
      <c r="I90" s="14" t="s">
        <v>88</v>
      </c>
      <c r="J90" s="14">
        <v>1</v>
      </c>
      <c r="K90" s="14">
        <v>6</v>
      </c>
      <c r="L90" s="14" t="s">
        <v>7985</v>
      </c>
      <c r="M90" s="14" t="s">
        <v>117</v>
      </c>
      <c r="N90" s="14" t="s">
        <v>7986</v>
      </c>
      <c r="O90" s="14" t="s">
        <v>7987</v>
      </c>
      <c r="P90" s="14" t="str">
        <f>HYPERLINK("https://dexscreener.com/solana/Gw64W5Ef5G9zAerPzdMGW8LjMguAcerV3ApQjck1auk8", "View")</f>
        <v>View</v>
      </c>
    </row>
    <row r="91" spans="1:16" x14ac:dyDescent="0.25">
      <c r="A91" s="16" t="s">
        <v>7988</v>
      </c>
      <c r="B91" s="17">
        <v>19009398</v>
      </c>
      <c r="C91" s="17">
        <v>19009398</v>
      </c>
      <c r="D91" s="17" t="s">
        <v>883</v>
      </c>
      <c r="E91" s="17" t="s">
        <v>219</v>
      </c>
      <c r="F91" s="17" t="s">
        <v>7989</v>
      </c>
      <c r="G91" s="20" t="s">
        <v>7990</v>
      </c>
      <c r="H91" s="20" t="s">
        <v>7991</v>
      </c>
      <c r="I91" s="17" t="s">
        <v>88</v>
      </c>
      <c r="J91" s="17">
        <v>1</v>
      </c>
      <c r="K91" s="17">
        <v>1</v>
      </c>
      <c r="L91" s="17" t="s">
        <v>7992</v>
      </c>
      <c r="M91" s="17" t="s">
        <v>2695</v>
      </c>
      <c r="N91" s="17" t="s">
        <v>7993</v>
      </c>
      <c r="O91" s="17" t="s">
        <v>7994</v>
      </c>
      <c r="P91" s="17" t="str">
        <f>HYPERLINK("https://dexscreener.com/solana/GpLF6vGzZvn2ZPdVxP7m1LTuAndbiKrpAbnFNVSEpump", "View")</f>
        <v>View</v>
      </c>
    </row>
    <row r="92" spans="1:16" x14ac:dyDescent="0.25">
      <c r="A92" s="13" t="s">
        <v>7995</v>
      </c>
      <c r="B92" s="14">
        <v>50102934</v>
      </c>
      <c r="C92" s="14">
        <v>50102934</v>
      </c>
      <c r="D92" s="14" t="s">
        <v>7782</v>
      </c>
      <c r="E92" s="14" t="s">
        <v>7996</v>
      </c>
      <c r="F92" s="14" t="s">
        <v>7997</v>
      </c>
      <c r="G92" s="20" t="s">
        <v>7998</v>
      </c>
      <c r="H92" s="20" t="s">
        <v>7999</v>
      </c>
      <c r="I92" s="14" t="s">
        <v>88</v>
      </c>
      <c r="J92" s="14">
        <v>3</v>
      </c>
      <c r="K92" s="14">
        <v>4</v>
      </c>
      <c r="L92" s="14" t="s">
        <v>8000</v>
      </c>
      <c r="M92" s="14" t="s">
        <v>1448</v>
      </c>
      <c r="N92" s="14" t="s">
        <v>8001</v>
      </c>
      <c r="O92" s="14" t="s">
        <v>8002</v>
      </c>
      <c r="P92" s="14" t="str">
        <f>HYPERLINK("https://photon-sol.tinyastro.io/en/lp/BWaMsm4AaCEpMXV9iQsyZtwRemVBty5z4HS8oxbApump?handle=676050794bc1b1657a56b", "View")</f>
        <v>View</v>
      </c>
    </row>
    <row r="93" spans="1:16" x14ac:dyDescent="0.25">
      <c r="A93" s="16" t="s">
        <v>8003</v>
      </c>
      <c r="B93" s="17">
        <v>22791713</v>
      </c>
      <c r="C93" s="17">
        <v>22791713</v>
      </c>
      <c r="D93" s="17" t="s">
        <v>8004</v>
      </c>
      <c r="E93" s="17" t="s">
        <v>8005</v>
      </c>
      <c r="F93" s="17" t="s">
        <v>8006</v>
      </c>
      <c r="G93" s="22" t="s">
        <v>3852</v>
      </c>
      <c r="H93" s="22" t="s">
        <v>8007</v>
      </c>
      <c r="I93" s="17" t="s">
        <v>88</v>
      </c>
      <c r="J93" s="17">
        <v>3</v>
      </c>
      <c r="K93" s="17">
        <v>3</v>
      </c>
      <c r="L93" s="17" t="s">
        <v>8008</v>
      </c>
      <c r="M93" s="17" t="s">
        <v>2047</v>
      </c>
      <c r="N93" s="17" t="s">
        <v>8009</v>
      </c>
      <c r="O93" s="17" t="s">
        <v>8010</v>
      </c>
      <c r="P93" s="17" t="str">
        <f>HYPERLINK("https://photon-sol.tinyastro.io/en/lp/7QDiFTtzBei1dKcv627g8YUZ2Ti1WkVUrDQQcqQppump?handle=676050794bc1b1657a56b", "View")</f>
        <v>View</v>
      </c>
    </row>
    <row r="94" spans="1:16" x14ac:dyDescent="0.25">
      <c r="A94" s="13" t="s">
        <v>8011</v>
      </c>
      <c r="B94" s="14">
        <v>11279735</v>
      </c>
      <c r="C94" s="14">
        <v>11279735</v>
      </c>
      <c r="D94" s="14" t="s">
        <v>8012</v>
      </c>
      <c r="E94" s="14" t="s">
        <v>340</v>
      </c>
      <c r="F94" s="14" t="s">
        <v>6672</v>
      </c>
      <c r="G94" s="15" t="s">
        <v>8013</v>
      </c>
      <c r="H94" s="15" t="s">
        <v>8014</v>
      </c>
      <c r="I94" s="14" t="s">
        <v>88</v>
      </c>
      <c r="J94" s="14">
        <v>3</v>
      </c>
      <c r="K94" s="14">
        <v>1</v>
      </c>
      <c r="L94" s="14" t="s">
        <v>8015</v>
      </c>
      <c r="M94" s="19" t="s">
        <v>1721</v>
      </c>
      <c r="N94" s="14" t="s">
        <v>8016</v>
      </c>
      <c r="O94" s="14" t="s">
        <v>8017</v>
      </c>
      <c r="P94" s="14" t="str">
        <f>HYPERLINK("https://dexscreener.com/solana/CbBo33sSN6Q6fJ5zJUaXGzak6Q4xvmcUvGnFsqmfpump", "View")</f>
        <v>View</v>
      </c>
    </row>
    <row r="95" spans="1:16" x14ac:dyDescent="0.25">
      <c r="A95" s="16" t="s">
        <v>831</v>
      </c>
      <c r="B95" s="17">
        <v>18282811</v>
      </c>
      <c r="C95" s="17">
        <v>18282811</v>
      </c>
      <c r="D95" s="17" t="s">
        <v>8018</v>
      </c>
      <c r="E95" s="17" t="s">
        <v>1630</v>
      </c>
      <c r="F95" s="17" t="s">
        <v>8019</v>
      </c>
      <c r="G95" s="20" t="s">
        <v>8020</v>
      </c>
      <c r="H95" s="20" t="s">
        <v>8021</v>
      </c>
      <c r="I95" s="17" t="s">
        <v>88</v>
      </c>
      <c r="J95" s="17">
        <v>8</v>
      </c>
      <c r="K95" s="17">
        <v>1</v>
      </c>
      <c r="L95" s="17" t="s">
        <v>8022</v>
      </c>
      <c r="M95" s="17" t="s">
        <v>3180</v>
      </c>
      <c r="N95" s="17" t="s">
        <v>8023</v>
      </c>
      <c r="O95" s="17" t="s">
        <v>8024</v>
      </c>
      <c r="P95" s="17" t="str">
        <f>HYPERLINK("https://dexscreener.com/solana/8Y4p6DWMnZToNiyiLrbLU4K3XpLX5TM93VAvmokdpump", "View")</f>
        <v>View</v>
      </c>
    </row>
    <row r="96" spans="1:16" x14ac:dyDescent="0.25">
      <c r="A96" s="13" t="s">
        <v>8025</v>
      </c>
      <c r="B96" s="14">
        <v>33412564</v>
      </c>
      <c r="C96" s="14">
        <v>33412564</v>
      </c>
      <c r="D96" s="14" t="s">
        <v>883</v>
      </c>
      <c r="E96" s="14" t="s">
        <v>1179</v>
      </c>
      <c r="F96" s="14" t="s">
        <v>8026</v>
      </c>
      <c r="G96" s="21" t="s">
        <v>8027</v>
      </c>
      <c r="H96" s="21" t="s">
        <v>8028</v>
      </c>
      <c r="I96" s="14" t="s">
        <v>88</v>
      </c>
      <c r="J96" s="14">
        <v>1</v>
      </c>
      <c r="K96" s="14">
        <v>1</v>
      </c>
      <c r="L96" s="14" t="s">
        <v>8029</v>
      </c>
      <c r="M96" s="14" t="s">
        <v>2403</v>
      </c>
      <c r="N96" s="14" t="s">
        <v>8030</v>
      </c>
      <c r="O96" s="14" t="s">
        <v>8031</v>
      </c>
      <c r="P96" s="14" t="str">
        <f>HYPERLINK("https://photon-sol.tinyastro.io/en/lp/3aATtVmNwy9W6SawPHiFocRMLcVYWY1AQ5F4Y4ckPebD?handle=676050794bc1b1657a56b", "View")</f>
        <v>View</v>
      </c>
    </row>
    <row r="97" spans="1:16" x14ac:dyDescent="0.25">
      <c r="A97" s="16" t="s">
        <v>4091</v>
      </c>
      <c r="B97" s="17">
        <v>59471342</v>
      </c>
      <c r="C97" s="17">
        <v>59471342</v>
      </c>
      <c r="D97" s="17" t="s">
        <v>4738</v>
      </c>
      <c r="E97" s="17" t="s">
        <v>8032</v>
      </c>
      <c r="F97" s="17" t="s">
        <v>8033</v>
      </c>
      <c r="G97" s="20" t="s">
        <v>8034</v>
      </c>
      <c r="H97" s="20" t="s">
        <v>8035</v>
      </c>
      <c r="I97" s="17" t="s">
        <v>88</v>
      </c>
      <c r="J97" s="17">
        <v>3</v>
      </c>
      <c r="K97" s="17">
        <v>3</v>
      </c>
      <c r="L97" s="17" t="s">
        <v>8036</v>
      </c>
      <c r="M97" s="17" t="s">
        <v>1434</v>
      </c>
      <c r="N97" s="17" t="s">
        <v>8037</v>
      </c>
      <c r="O97" s="17" t="s">
        <v>4098</v>
      </c>
      <c r="P97" s="17" t="str">
        <f>HYPERLINK("https://photon-sol.tinyastro.io/en/lp/EXyyptR69K9bThvvPJbbjse4cUVgN6mPeoc9geQqpump?handle=676050794bc1b1657a56b", "View")</f>
        <v>View</v>
      </c>
    </row>
    <row r="98" spans="1:16" x14ac:dyDescent="0.25">
      <c r="A98" s="13" t="s">
        <v>8038</v>
      </c>
      <c r="B98" s="14">
        <v>35880571</v>
      </c>
      <c r="C98" s="14">
        <v>35880571</v>
      </c>
      <c r="D98" s="14" t="s">
        <v>883</v>
      </c>
      <c r="E98" s="14" t="s">
        <v>1236</v>
      </c>
      <c r="F98" s="14" t="s">
        <v>6365</v>
      </c>
      <c r="G98" s="20" t="s">
        <v>8039</v>
      </c>
      <c r="H98" s="20" t="s">
        <v>8040</v>
      </c>
      <c r="I98" s="14" t="s">
        <v>88</v>
      </c>
      <c r="J98" s="14">
        <v>1</v>
      </c>
      <c r="K98" s="14">
        <v>1</v>
      </c>
      <c r="L98" s="14" t="s">
        <v>8041</v>
      </c>
      <c r="M98" s="14" t="s">
        <v>3180</v>
      </c>
      <c r="N98" s="14" t="s">
        <v>507</v>
      </c>
      <c r="O98" s="14" t="s">
        <v>8042</v>
      </c>
      <c r="P98" s="14" t="str">
        <f>HYPERLINK("https://photon-sol.tinyastro.io/en/lp/AAKaSZxfnNGEuPLsV9jmTTZyEMrwYtfFMkALcQG448P3?handle=676050794bc1b1657a56b", "View")</f>
        <v>View</v>
      </c>
    </row>
    <row r="99" spans="1:16" x14ac:dyDescent="0.25">
      <c r="A99" s="16" t="s">
        <v>8043</v>
      </c>
      <c r="B99" s="17">
        <v>32214388</v>
      </c>
      <c r="C99" s="17">
        <v>32214388</v>
      </c>
      <c r="D99" s="17" t="s">
        <v>883</v>
      </c>
      <c r="E99" s="17" t="s">
        <v>8044</v>
      </c>
      <c r="F99" s="17" t="s">
        <v>8045</v>
      </c>
      <c r="G99" s="20" t="s">
        <v>4066</v>
      </c>
      <c r="H99" s="20" t="s">
        <v>8046</v>
      </c>
      <c r="I99" s="17" t="s">
        <v>88</v>
      </c>
      <c r="J99" s="17">
        <v>1</v>
      </c>
      <c r="K99" s="17">
        <v>1</v>
      </c>
      <c r="L99" s="17" t="s">
        <v>8047</v>
      </c>
      <c r="M99" s="17" t="s">
        <v>1434</v>
      </c>
      <c r="N99" s="17" t="s">
        <v>2763</v>
      </c>
      <c r="O99" s="17" t="s">
        <v>8048</v>
      </c>
      <c r="P99" s="17" t="str">
        <f>HYPERLINK("https://photon-sol.tinyastro.io/en/lp/sM27wMQJjx9EcPjtdDpHzKYZq5urZ268tvY1QdApump?handle=676050794bc1b1657a56b", "View")</f>
        <v>View</v>
      </c>
    </row>
    <row r="100" spans="1:16" x14ac:dyDescent="0.25">
      <c r="A100" s="13" t="s">
        <v>8049</v>
      </c>
      <c r="B100" s="14">
        <v>24545743</v>
      </c>
      <c r="C100" s="14">
        <v>24545743</v>
      </c>
      <c r="D100" s="14" t="s">
        <v>7775</v>
      </c>
      <c r="E100" s="14" t="s">
        <v>1630</v>
      </c>
      <c r="F100" s="14" t="s">
        <v>8050</v>
      </c>
      <c r="G100" s="22" t="s">
        <v>8051</v>
      </c>
      <c r="H100" s="22" t="s">
        <v>8052</v>
      </c>
      <c r="I100" s="14" t="s">
        <v>88</v>
      </c>
      <c r="J100" s="14">
        <v>3</v>
      </c>
      <c r="K100" s="14">
        <v>2</v>
      </c>
      <c r="L100" s="14" t="s">
        <v>8053</v>
      </c>
      <c r="M100" s="14" t="s">
        <v>1642</v>
      </c>
      <c r="N100" s="14" t="s">
        <v>8054</v>
      </c>
      <c r="O100" s="14" t="s">
        <v>8055</v>
      </c>
      <c r="P100" s="14" t="str">
        <f>HYPERLINK("https://dexscreener.com/solana/8dS6o1xgFe7eKRZY7SpefhsjbVuivhA3uwVuAERSpump", "View")</f>
        <v>View</v>
      </c>
    </row>
    <row r="101" spans="1:16" x14ac:dyDescent="0.25">
      <c r="A101" s="16" t="s">
        <v>8056</v>
      </c>
      <c r="B101" s="17">
        <v>3985864</v>
      </c>
      <c r="C101" s="17">
        <v>3985864</v>
      </c>
      <c r="D101" s="17" t="s">
        <v>883</v>
      </c>
      <c r="E101" s="17" t="s">
        <v>165</v>
      </c>
      <c r="F101" s="17" t="s">
        <v>8057</v>
      </c>
      <c r="G101" s="15" t="s">
        <v>8058</v>
      </c>
      <c r="H101" s="15" t="s">
        <v>8059</v>
      </c>
      <c r="I101" s="17" t="s">
        <v>88</v>
      </c>
      <c r="J101" s="17">
        <v>1</v>
      </c>
      <c r="K101" s="17">
        <v>1</v>
      </c>
      <c r="L101" s="17" t="s">
        <v>8060</v>
      </c>
      <c r="M101" s="17" t="s">
        <v>1610</v>
      </c>
      <c r="N101" s="17" t="s">
        <v>8061</v>
      </c>
      <c r="O101" s="17" t="s">
        <v>8062</v>
      </c>
      <c r="P101" s="17" t="str">
        <f>HYPERLINK("https://dexscreener.com/solana/9QD2oEzrMAnXkBkruNSKFnHzvPJ4bWkyrtVEwcyfpump", "View")</f>
        <v>View</v>
      </c>
    </row>
    <row r="102" spans="1:16" x14ac:dyDescent="0.25">
      <c r="A102" s="13" t="s">
        <v>8063</v>
      </c>
      <c r="B102" s="14">
        <v>39557052</v>
      </c>
      <c r="C102" s="14">
        <v>39557052</v>
      </c>
      <c r="D102" s="14" t="s">
        <v>8064</v>
      </c>
      <c r="E102" s="14" t="s">
        <v>8065</v>
      </c>
      <c r="F102" s="14" t="s">
        <v>8066</v>
      </c>
      <c r="G102" s="21" t="s">
        <v>8067</v>
      </c>
      <c r="H102" s="21" t="s">
        <v>8068</v>
      </c>
      <c r="I102" s="14" t="s">
        <v>88</v>
      </c>
      <c r="J102" s="14">
        <v>7</v>
      </c>
      <c r="K102" s="14">
        <v>20</v>
      </c>
      <c r="L102" s="14" t="s">
        <v>8069</v>
      </c>
      <c r="M102" s="14" t="s">
        <v>364</v>
      </c>
      <c r="N102" s="14" t="s">
        <v>8070</v>
      </c>
      <c r="O102" s="14" t="s">
        <v>8071</v>
      </c>
      <c r="P102" s="14" t="str">
        <f>HYPERLINK("https://photon-sol.tinyastro.io/en/lp/AgHg9Q1s9aUhU7YNMH7c5pvCghFVSFcnCEJ4ePKjrDZg?handle=676050794bc1b1657a56b", "View")</f>
        <v>View</v>
      </c>
    </row>
    <row r="103" spans="1:16" x14ac:dyDescent="0.25">
      <c r="A103" s="16" t="s">
        <v>8063</v>
      </c>
      <c r="B103" s="17">
        <v>32379252</v>
      </c>
      <c r="C103" s="17">
        <v>32379252</v>
      </c>
      <c r="D103" s="17" t="s">
        <v>883</v>
      </c>
      <c r="E103" s="17" t="s">
        <v>219</v>
      </c>
      <c r="F103" s="17" t="s">
        <v>6567</v>
      </c>
      <c r="G103" s="22" t="s">
        <v>8072</v>
      </c>
      <c r="H103" s="22" t="s">
        <v>8073</v>
      </c>
      <c r="I103" s="17" t="s">
        <v>88</v>
      </c>
      <c r="J103" s="17">
        <v>1</v>
      </c>
      <c r="K103" s="17">
        <v>1</v>
      </c>
      <c r="L103" s="17" t="s">
        <v>8074</v>
      </c>
      <c r="M103" s="17" t="s">
        <v>1448</v>
      </c>
      <c r="N103" s="17" t="s">
        <v>8075</v>
      </c>
      <c r="O103" s="17" t="s">
        <v>8076</v>
      </c>
      <c r="P103" s="17" t="str">
        <f>HYPERLINK("https://dexscreener.com/solana/79zER84VHcQKmmnsjaHtZ6T5sDFsejy9z6YWR5smpump", "View")</f>
        <v>View</v>
      </c>
    </row>
    <row r="104" spans="1:16" x14ac:dyDescent="0.25">
      <c r="A104" s="13" t="s">
        <v>8077</v>
      </c>
      <c r="B104" s="14">
        <v>35264884</v>
      </c>
      <c r="C104" s="14">
        <v>35264884</v>
      </c>
      <c r="D104" s="14" t="s">
        <v>883</v>
      </c>
      <c r="E104" s="14" t="s">
        <v>7204</v>
      </c>
      <c r="F104" s="14" t="s">
        <v>8078</v>
      </c>
      <c r="G104" s="20" t="s">
        <v>3061</v>
      </c>
      <c r="H104" s="20" t="s">
        <v>8079</v>
      </c>
      <c r="I104" s="14" t="s">
        <v>88</v>
      </c>
      <c r="J104" s="14">
        <v>1</v>
      </c>
      <c r="K104" s="14">
        <v>1</v>
      </c>
      <c r="L104" s="14" t="s">
        <v>8080</v>
      </c>
      <c r="M104" s="14" t="s">
        <v>1434</v>
      </c>
      <c r="N104" s="14" t="s">
        <v>1706</v>
      </c>
      <c r="O104" s="14" t="s">
        <v>8081</v>
      </c>
      <c r="P104" s="14" t="str">
        <f>HYPERLINK("https://photon-sol.tinyastro.io/en/lp/61f8haafArVqSMhhLzDY4inqfsiySVwJM93NYAjCpump?handle=676050794bc1b1657a56b", "View")</f>
        <v>View</v>
      </c>
    </row>
    <row r="105" spans="1:16" x14ac:dyDescent="0.25">
      <c r="A105" s="16" t="s">
        <v>1090</v>
      </c>
      <c r="B105" s="17">
        <v>19834443</v>
      </c>
      <c r="C105" s="17">
        <v>19834443</v>
      </c>
      <c r="D105" s="17" t="s">
        <v>883</v>
      </c>
      <c r="E105" s="17" t="s">
        <v>8082</v>
      </c>
      <c r="F105" s="17" t="s">
        <v>8083</v>
      </c>
      <c r="G105" s="20" t="s">
        <v>4007</v>
      </c>
      <c r="H105" s="20" t="s">
        <v>7839</v>
      </c>
      <c r="I105" s="17" t="s">
        <v>88</v>
      </c>
      <c r="J105" s="17">
        <v>1</v>
      </c>
      <c r="K105" s="17">
        <v>1</v>
      </c>
      <c r="L105" s="17" t="s">
        <v>8084</v>
      </c>
      <c r="M105" s="19" t="s">
        <v>3626</v>
      </c>
      <c r="N105" s="17" t="s">
        <v>8085</v>
      </c>
      <c r="O105" s="17" t="s">
        <v>1094</v>
      </c>
      <c r="P105" s="17" t="str">
        <f>HYPERLINK("https://photon-sol.tinyastro.io/en/lp/EHHAKzPZJhQy4fc7CTaJPFsetPgKnC6JNCdv6pqsQ7Ma?handle=676050794bc1b1657a56b", "View")</f>
        <v>View</v>
      </c>
    </row>
    <row r="106" spans="1:16" x14ac:dyDescent="0.25">
      <c r="A106" s="13" t="s">
        <v>8086</v>
      </c>
      <c r="B106" s="14">
        <v>25957736</v>
      </c>
      <c r="C106" s="14">
        <v>25957736</v>
      </c>
      <c r="D106" s="14" t="s">
        <v>913</v>
      </c>
      <c r="E106" s="14" t="s">
        <v>951</v>
      </c>
      <c r="F106" s="14" t="s">
        <v>8087</v>
      </c>
      <c r="G106" s="21" t="s">
        <v>8088</v>
      </c>
      <c r="H106" s="21" t="s">
        <v>8089</v>
      </c>
      <c r="I106" s="14" t="s">
        <v>88</v>
      </c>
      <c r="J106" s="14">
        <v>1</v>
      </c>
      <c r="K106" s="14">
        <v>2</v>
      </c>
      <c r="L106" s="14" t="s">
        <v>8090</v>
      </c>
      <c r="M106" s="14" t="s">
        <v>3269</v>
      </c>
      <c r="N106" s="14" t="s">
        <v>8091</v>
      </c>
      <c r="O106" s="14" t="s">
        <v>8092</v>
      </c>
      <c r="P106" s="14" t="str">
        <f>HYPERLINK("https://photon-sol.tinyastro.io/en/lp/FMBKDjA19kqDTikh9UPTeZc94j8ZGSNUTFs2pikG5Acd?handle=676050794bc1b1657a56b", "View")</f>
        <v>View</v>
      </c>
    </row>
    <row r="107" spans="1:16" x14ac:dyDescent="0.25">
      <c r="A107" s="16" t="s">
        <v>8093</v>
      </c>
      <c r="B107" s="17">
        <v>28022185</v>
      </c>
      <c r="C107" s="17">
        <v>28022185</v>
      </c>
      <c r="D107" s="17" t="s">
        <v>913</v>
      </c>
      <c r="E107" s="17" t="s">
        <v>3690</v>
      </c>
      <c r="F107" s="17" t="s">
        <v>8094</v>
      </c>
      <c r="G107" s="21" t="s">
        <v>8095</v>
      </c>
      <c r="H107" s="21" t="s">
        <v>8096</v>
      </c>
      <c r="I107" s="17" t="s">
        <v>88</v>
      </c>
      <c r="J107" s="17">
        <v>1</v>
      </c>
      <c r="K107" s="17">
        <v>2</v>
      </c>
      <c r="L107" s="17" t="s">
        <v>8097</v>
      </c>
      <c r="M107" s="17" t="s">
        <v>1705</v>
      </c>
      <c r="N107" s="17" t="s">
        <v>8098</v>
      </c>
      <c r="O107" s="17" t="s">
        <v>8099</v>
      </c>
      <c r="P107" s="17" t="str">
        <f>HYPERLINK("https://photon-sol.tinyastro.io/en/lp/BR8jp8W6H8ud2kY5ThmZZbTBZeAqjkXR8BshR2itpump?handle=676050794bc1b1657a56b", "View")</f>
        <v>View</v>
      </c>
    </row>
    <row r="108" spans="1:16" x14ac:dyDescent="0.25">
      <c r="A108" s="13" t="s">
        <v>8100</v>
      </c>
      <c r="B108" s="14">
        <v>41014153</v>
      </c>
      <c r="C108" s="14">
        <v>41014153</v>
      </c>
      <c r="D108" s="14" t="s">
        <v>913</v>
      </c>
      <c r="E108" s="14" t="s">
        <v>685</v>
      </c>
      <c r="F108" s="14" t="s">
        <v>1236</v>
      </c>
      <c r="G108" s="20" t="s">
        <v>4469</v>
      </c>
      <c r="H108" s="20" t="s">
        <v>7556</v>
      </c>
      <c r="I108" s="14" t="s">
        <v>88</v>
      </c>
      <c r="J108" s="14">
        <v>1</v>
      </c>
      <c r="K108" s="14">
        <v>2</v>
      </c>
      <c r="L108" s="14" t="s">
        <v>8101</v>
      </c>
      <c r="M108" s="14" t="s">
        <v>1448</v>
      </c>
      <c r="N108" s="14" t="s">
        <v>8102</v>
      </c>
      <c r="O108" s="14" t="s">
        <v>8103</v>
      </c>
      <c r="P108" s="14" t="str">
        <f>HYPERLINK("https://photon-sol.tinyastro.io/en/lp/3FZpufixjm8vsKGiR4iaQ8QqEa7YyKnnJFa2DpuDpump?handle=676050794bc1b1657a56b", "View")</f>
        <v>View</v>
      </c>
    </row>
    <row r="109" spans="1:16" x14ac:dyDescent="0.25">
      <c r="A109" s="16" t="s">
        <v>8104</v>
      </c>
      <c r="B109" s="17">
        <v>23998194</v>
      </c>
      <c r="C109" s="17">
        <v>23998194</v>
      </c>
      <c r="D109" s="17" t="s">
        <v>883</v>
      </c>
      <c r="E109" s="17" t="s">
        <v>685</v>
      </c>
      <c r="F109" s="17" t="s">
        <v>1860</v>
      </c>
      <c r="G109" s="20" t="s">
        <v>8105</v>
      </c>
      <c r="H109" s="20" t="s">
        <v>8106</v>
      </c>
      <c r="I109" s="17" t="s">
        <v>88</v>
      </c>
      <c r="J109" s="17">
        <v>1</v>
      </c>
      <c r="K109" s="17">
        <v>1</v>
      </c>
      <c r="L109" s="17" t="s">
        <v>8107</v>
      </c>
      <c r="M109" s="17" t="s">
        <v>1434</v>
      </c>
      <c r="N109" s="17" t="s">
        <v>264</v>
      </c>
      <c r="O109" s="17" t="s">
        <v>8108</v>
      </c>
      <c r="P109" s="17" t="str">
        <f>HYPERLINK("https://photon-sol.tinyastro.io/en/lp/BFLC4qgMJjWcMkqUG22M4uMw6NeVZp3d8N1644zupump?handle=676050794bc1b1657a56b", "View")</f>
        <v>View</v>
      </c>
    </row>
    <row r="110" spans="1:16" x14ac:dyDescent="0.25">
      <c r="A110" s="13" t="s">
        <v>920</v>
      </c>
      <c r="B110" s="14">
        <v>16052881</v>
      </c>
      <c r="C110" s="14">
        <v>16052881</v>
      </c>
      <c r="D110" s="14" t="s">
        <v>7975</v>
      </c>
      <c r="E110" s="14" t="s">
        <v>8109</v>
      </c>
      <c r="F110" s="14" t="s">
        <v>8110</v>
      </c>
      <c r="G110" s="21" t="s">
        <v>8111</v>
      </c>
      <c r="H110" s="21" t="s">
        <v>8112</v>
      </c>
      <c r="I110" s="14" t="s">
        <v>88</v>
      </c>
      <c r="J110" s="14">
        <v>5</v>
      </c>
      <c r="K110" s="14">
        <v>2</v>
      </c>
      <c r="L110" s="14" t="s">
        <v>8113</v>
      </c>
      <c r="M110" s="14" t="s">
        <v>2695</v>
      </c>
      <c r="N110" s="14" t="s">
        <v>8114</v>
      </c>
      <c r="O110" s="14" t="s">
        <v>925</v>
      </c>
      <c r="P110" s="14" t="str">
        <f>HYPERLINK("https://dexscreener.com/solana/Fgn3y5zLZTfi5UxP59yHbLmryWgWnHS4BFJHcsuVpump", "View")</f>
        <v>View</v>
      </c>
    </row>
    <row r="111" spans="1:16" x14ac:dyDescent="0.25">
      <c r="A111" s="16" t="s">
        <v>8115</v>
      </c>
      <c r="B111" s="17">
        <v>19811911</v>
      </c>
      <c r="C111" s="17">
        <v>19811911</v>
      </c>
      <c r="D111" s="17" t="s">
        <v>883</v>
      </c>
      <c r="E111" s="17" t="s">
        <v>8116</v>
      </c>
      <c r="F111" s="17" t="s">
        <v>8117</v>
      </c>
      <c r="G111" s="22" t="s">
        <v>8118</v>
      </c>
      <c r="H111" s="22" t="s">
        <v>8119</v>
      </c>
      <c r="I111" s="17" t="s">
        <v>88</v>
      </c>
      <c r="J111" s="17">
        <v>1</v>
      </c>
      <c r="K111" s="17">
        <v>1</v>
      </c>
      <c r="L111" s="17" t="s">
        <v>8120</v>
      </c>
      <c r="M111" s="19" t="s">
        <v>3076</v>
      </c>
      <c r="N111" s="17" t="s">
        <v>8121</v>
      </c>
      <c r="O111" s="17" t="s">
        <v>8122</v>
      </c>
      <c r="P111" s="17" t="str">
        <f>HYPERLINK("https://photon-sol.tinyastro.io/en/lp/4nbVWAUr71HbYkqfQwpSKfdbwbp8whQY36PmZQYbpump?handle=676050794bc1b1657a56b", "View")</f>
        <v>View</v>
      </c>
    </row>
    <row r="112" spans="1:16" x14ac:dyDescent="0.25">
      <c r="A112" s="13" t="s">
        <v>8123</v>
      </c>
      <c r="B112" s="14">
        <v>26335209</v>
      </c>
      <c r="C112" s="14">
        <v>26335209</v>
      </c>
      <c r="D112" s="14" t="s">
        <v>7791</v>
      </c>
      <c r="E112" s="14" t="s">
        <v>7682</v>
      </c>
      <c r="F112" s="14" t="s">
        <v>8124</v>
      </c>
      <c r="G112" s="20" t="s">
        <v>8125</v>
      </c>
      <c r="H112" s="20" t="s">
        <v>8126</v>
      </c>
      <c r="I112" s="14" t="s">
        <v>88</v>
      </c>
      <c r="J112" s="14">
        <v>1</v>
      </c>
      <c r="K112" s="14">
        <v>1</v>
      </c>
      <c r="L112" s="14" t="s">
        <v>8127</v>
      </c>
      <c r="M112" s="19" t="s">
        <v>3033</v>
      </c>
      <c r="N112" s="14" t="s">
        <v>507</v>
      </c>
      <c r="O112" s="14" t="s">
        <v>8128</v>
      </c>
      <c r="P112" s="14" t="str">
        <f>HYPERLINK("https://photon-sol.tinyastro.io/en/lp/BJ2t6q8awP7TWnahAXhF4oPFn2FhnCgYr3EJtkr9A2er?handle=676050794bc1b1657a56b", "View")</f>
        <v>View</v>
      </c>
    </row>
    <row r="113" spans="1:16" x14ac:dyDescent="0.25">
      <c r="A113" s="16" t="s">
        <v>8129</v>
      </c>
      <c r="B113" s="17">
        <v>30279135</v>
      </c>
      <c r="C113" s="17">
        <v>30279135</v>
      </c>
      <c r="D113" s="17" t="s">
        <v>7791</v>
      </c>
      <c r="E113" s="17" t="s">
        <v>454</v>
      </c>
      <c r="F113" s="17" t="s">
        <v>8130</v>
      </c>
      <c r="G113" s="20" t="s">
        <v>8131</v>
      </c>
      <c r="H113" s="20" t="s">
        <v>8132</v>
      </c>
      <c r="I113" s="17" t="s">
        <v>88</v>
      </c>
      <c r="J113" s="17">
        <v>1</v>
      </c>
      <c r="K113" s="17">
        <v>1</v>
      </c>
      <c r="L113" s="17" t="s">
        <v>8133</v>
      </c>
      <c r="M113" s="17" t="s">
        <v>602</v>
      </c>
      <c r="N113" s="17" t="s">
        <v>507</v>
      </c>
      <c r="O113" s="17" t="s">
        <v>8134</v>
      </c>
      <c r="P113" s="17" t="str">
        <f>HYPERLINK("https://photon-sol.tinyastro.io/en/lp/2oVeT8QjsnHgWdxaqBSkQDPpMPUDVCm31sh6wypT7tYU?handle=676050794bc1b1657a56b", "View")</f>
        <v>View</v>
      </c>
    </row>
    <row r="114" spans="1:16" x14ac:dyDescent="0.25">
      <c r="A114" s="13" t="s">
        <v>8135</v>
      </c>
      <c r="B114" s="14">
        <v>6493332</v>
      </c>
      <c r="C114" s="14">
        <v>6493332</v>
      </c>
      <c r="D114" s="14" t="s">
        <v>883</v>
      </c>
      <c r="E114" s="14" t="s">
        <v>219</v>
      </c>
      <c r="F114" s="14" t="s">
        <v>8136</v>
      </c>
      <c r="G114" s="20" t="s">
        <v>8137</v>
      </c>
      <c r="H114" s="20" t="s">
        <v>8138</v>
      </c>
      <c r="I114" s="14" t="s">
        <v>88</v>
      </c>
      <c r="J114" s="14">
        <v>1</v>
      </c>
      <c r="K114" s="14">
        <v>1</v>
      </c>
      <c r="L114" s="14" t="s">
        <v>8139</v>
      </c>
      <c r="M114" s="14" t="s">
        <v>3355</v>
      </c>
      <c r="N114" s="14" t="s">
        <v>8140</v>
      </c>
      <c r="O114" s="14" t="s">
        <v>8141</v>
      </c>
      <c r="P114" s="14" t="str">
        <f>HYPERLINK("https://dexscreener.com/solana/Bn4PNbFSeiifT4AP3SXoo8ybzuFTTzPmtWJK3Pq94RNv", "View")</f>
        <v>View</v>
      </c>
    </row>
    <row r="115" spans="1:16" x14ac:dyDescent="0.25">
      <c r="A115" s="16" t="s">
        <v>8142</v>
      </c>
      <c r="B115" s="17">
        <v>19966486</v>
      </c>
      <c r="C115" s="17">
        <v>19966486</v>
      </c>
      <c r="D115" s="17" t="s">
        <v>883</v>
      </c>
      <c r="E115" s="17" t="s">
        <v>569</v>
      </c>
      <c r="F115" s="17" t="s">
        <v>2327</v>
      </c>
      <c r="G115" s="15" t="s">
        <v>8143</v>
      </c>
      <c r="H115" s="15" t="s">
        <v>8144</v>
      </c>
      <c r="I115" s="17" t="s">
        <v>88</v>
      </c>
      <c r="J115" s="17">
        <v>1</v>
      </c>
      <c r="K115" s="17">
        <v>1</v>
      </c>
      <c r="L115" s="17" t="s">
        <v>8145</v>
      </c>
      <c r="M115" s="17" t="s">
        <v>680</v>
      </c>
      <c r="N115" s="17" t="s">
        <v>8146</v>
      </c>
      <c r="O115" s="17" t="s">
        <v>8147</v>
      </c>
      <c r="P115" s="17" t="str">
        <f>HYPERLINK("https://dexscreener.com/solana/4N6umHtz67BuwpMkNru8DP47yNBkqFrsCQw3GUvApump", "View")</f>
        <v>View</v>
      </c>
    </row>
    <row r="116" spans="1:16" x14ac:dyDescent="0.25">
      <c r="A116" s="13" t="s">
        <v>8148</v>
      </c>
      <c r="B116" s="14">
        <v>25830496</v>
      </c>
      <c r="C116" s="14">
        <v>25830496</v>
      </c>
      <c r="D116" s="14" t="s">
        <v>883</v>
      </c>
      <c r="E116" s="14" t="s">
        <v>8149</v>
      </c>
      <c r="F116" s="14" t="s">
        <v>8150</v>
      </c>
      <c r="G116" s="21" t="s">
        <v>8151</v>
      </c>
      <c r="H116" s="21" t="s">
        <v>8152</v>
      </c>
      <c r="I116" s="14" t="s">
        <v>88</v>
      </c>
      <c r="J116" s="14">
        <v>1</v>
      </c>
      <c r="K116" s="14">
        <v>1</v>
      </c>
      <c r="L116" s="14" t="s">
        <v>8153</v>
      </c>
      <c r="M116" s="14" t="s">
        <v>788</v>
      </c>
      <c r="N116" s="14" t="s">
        <v>8154</v>
      </c>
      <c r="O116" s="14" t="s">
        <v>8155</v>
      </c>
      <c r="P116" s="14" t="str">
        <f>HYPERLINK("https://photon-sol.tinyastro.io/en/lp/4y4zH37GfK9kSfayEtrUXDBxLmT9fRa9T6fPKmGDpump?handle=676050794bc1b1657a56b", "View")</f>
        <v>View</v>
      </c>
    </row>
    <row r="117" spans="1:16" x14ac:dyDescent="0.25">
      <c r="A117" s="16" t="s">
        <v>8156</v>
      </c>
      <c r="B117" s="17">
        <v>25641138</v>
      </c>
      <c r="C117" s="17">
        <v>25641138</v>
      </c>
      <c r="D117" s="17" t="s">
        <v>1281</v>
      </c>
      <c r="E117" s="17" t="s">
        <v>1380</v>
      </c>
      <c r="F117" s="17" t="s">
        <v>8157</v>
      </c>
      <c r="G117" s="15" t="s">
        <v>8158</v>
      </c>
      <c r="H117" s="15" t="s">
        <v>8159</v>
      </c>
      <c r="I117" s="17" t="s">
        <v>88</v>
      </c>
      <c r="J117" s="17">
        <v>2</v>
      </c>
      <c r="K117" s="17">
        <v>2</v>
      </c>
      <c r="L117" s="17" t="s">
        <v>8160</v>
      </c>
      <c r="M117" s="17" t="s">
        <v>5702</v>
      </c>
      <c r="N117" s="17" t="s">
        <v>8161</v>
      </c>
      <c r="O117" s="17" t="s">
        <v>8162</v>
      </c>
      <c r="P117" s="17" t="str">
        <f>HYPERLINK("https://dexscreener.com/solana/7fMp3AWSeaDX63wMZCR74q4qQFAvaKKgF5okLiNzpump", "View")</f>
        <v>View</v>
      </c>
    </row>
    <row r="118" spans="1:16" x14ac:dyDescent="0.25">
      <c r="A118" s="13" t="s">
        <v>8163</v>
      </c>
      <c r="B118" s="14">
        <v>17722586</v>
      </c>
      <c r="C118" s="14">
        <v>17722586</v>
      </c>
      <c r="D118" s="14" t="s">
        <v>883</v>
      </c>
      <c r="E118" s="14" t="s">
        <v>8164</v>
      </c>
      <c r="F118" s="14" t="s">
        <v>8165</v>
      </c>
      <c r="G118" s="20" t="s">
        <v>8166</v>
      </c>
      <c r="H118" s="20" t="s">
        <v>8167</v>
      </c>
      <c r="I118" s="14" t="s">
        <v>88</v>
      </c>
      <c r="J118" s="14">
        <v>1</v>
      </c>
      <c r="K118" s="14">
        <v>1</v>
      </c>
      <c r="L118" s="14" t="s">
        <v>8168</v>
      </c>
      <c r="M118" s="19" t="s">
        <v>2122</v>
      </c>
      <c r="N118" s="14" t="s">
        <v>8169</v>
      </c>
      <c r="O118" s="14" t="s">
        <v>8170</v>
      </c>
      <c r="P118" s="14" t="str">
        <f>HYPERLINK("https://photon-sol.tinyastro.io/en/lp/EY1Q2sHznXkQZ3iJSTwEai6q4p9SWHxTLkytonrnpump?handle=676050794bc1b1657a56b", "View")</f>
        <v>View</v>
      </c>
    </row>
    <row r="119" spans="1:16" x14ac:dyDescent="0.25">
      <c r="A119" s="16" t="s">
        <v>8171</v>
      </c>
      <c r="B119" s="17">
        <v>94931593</v>
      </c>
      <c r="C119" s="17">
        <v>94931593</v>
      </c>
      <c r="D119" s="17" t="s">
        <v>1281</v>
      </c>
      <c r="E119" s="17" t="s">
        <v>8172</v>
      </c>
      <c r="F119" s="17" t="s">
        <v>8173</v>
      </c>
      <c r="G119" s="22" t="s">
        <v>8174</v>
      </c>
      <c r="H119" s="22" t="s">
        <v>8175</v>
      </c>
      <c r="I119" s="17" t="s">
        <v>88</v>
      </c>
      <c r="J119" s="17">
        <v>2</v>
      </c>
      <c r="K119" s="17">
        <v>2</v>
      </c>
      <c r="L119" s="17" t="s">
        <v>8176</v>
      </c>
      <c r="M119" s="17" t="s">
        <v>6393</v>
      </c>
      <c r="N119" s="17" t="s">
        <v>8177</v>
      </c>
      <c r="O119" s="17" t="s">
        <v>8178</v>
      </c>
      <c r="P119" s="17" t="str">
        <f>HYPERLINK("https://photon-sol.tinyastro.io/en/lp/27WT4WAfX7uUYm4TQiztvM2ZPwHZJWxzkDLggxB4pump?handle=676050794bc1b1657a56b", "View")</f>
        <v>View</v>
      </c>
    </row>
    <row r="120" spans="1:16" x14ac:dyDescent="0.25">
      <c r="A120" s="13" t="s">
        <v>8179</v>
      </c>
      <c r="B120" s="14">
        <v>18519807</v>
      </c>
      <c r="C120" s="14">
        <v>18519807</v>
      </c>
      <c r="D120" s="14" t="s">
        <v>8012</v>
      </c>
      <c r="E120" s="14" t="s">
        <v>183</v>
      </c>
      <c r="F120" s="14" t="s">
        <v>8180</v>
      </c>
      <c r="G120" s="20" t="s">
        <v>8181</v>
      </c>
      <c r="H120" s="20" t="s">
        <v>8182</v>
      </c>
      <c r="I120" s="14" t="s">
        <v>88</v>
      </c>
      <c r="J120" s="14">
        <v>3</v>
      </c>
      <c r="K120" s="14">
        <v>1</v>
      </c>
      <c r="L120" s="14" t="s">
        <v>8183</v>
      </c>
      <c r="M120" s="14" t="s">
        <v>680</v>
      </c>
      <c r="N120" s="14" t="s">
        <v>507</v>
      </c>
      <c r="O120" s="14" t="s">
        <v>8184</v>
      </c>
      <c r="P120" s="14" t="str">
        <f>HYPERLINK("https://dexscreener.com/solana/AhPo2fs5cfUyDhG7cvR67wwKg9UeFsF7mng368EB4oCn", "View")</f>
        <v>View</v>
      </c>
    </row>
    <row r="121" spans="1:16" x14ac:dyDescent="0.25">
      <c r="A121" s="16" t="s">
        <v>8185</v>
      </c>
      <c r="B121" s="17">
        <v>47786165</v>
      </c>
      <c r="C121" s="17">
        <v>47786165</v>
      </c>
      <c r="D121" s="17" t="s">
        <v>883</v>
      </c>
      <c r="E121" s="17" t="s">
        <v>1179</v>
      </c>
      <c r="F121" s="17" t="s">
        <v>8186</v>
      </c>
      <c r="G121" s="22" t="s">
        <v>5534</v>
      </c>
      <c r="H121" s="22" t="s">
        <v>8187</v>
      </c>
      <c r="I121" s="17" t="s">
        <v>88</v>
      </c>
      <c r="J121" s="17">
        <v>1</v>
      </c>
      <c r="K121" s="17">
        <v>1</v>
      </c>
      <c r="L121" s="17" t="s">
        <v>8188</v>
      </c>
      <c r="M121" s="17" t="s">
        <v>1434</v>
      </c>
      <c r="N121" s="17" t="s">
        <v>2278</v>
      </c>
      <c r="O121" s="17" t="s">
        <v>8189</v>
      </c>
      <c r="P121" s="17" t="str">
        <f>HYPERLINK("https://photon-sol.tinyastro.io/en/lp/B3Fg1muvT58Pdvmbh8FUh9pdymXbfpEP7ANDcxpQpump?handle=676050794bc1b1657a56b", "View")</f>
        <v>View</v>
      </c>
    </row>
    <row r="122" spans="1:16" x14ac:dyDescent="0.25">
      <c r="A122" s="13" t="s">
        <v>8190</v>
      </c>
      <c r="B122" s="14">
        <v>43388085</v>
      </c>
      <c r="C122" s="14">
        <v>43388085</v>
      </c>
      <c r="D122" s="14" t="s">
        <v>8191</v>
      </c>
      <c r="E122" s="14" t="s">
        <v>8192</v>
      </c>
      <c r="F122" s="14" t="s">
        <v>8193</v>
      </c>
      <c r="G122" s="21" t="s">
        <v>8194</v>
      </c>
      <c r="H122" s="21" t="s">
        <v>8195</v>
      </c>
      <c r="I122" s="14" t="s">
        <v>88</v>
      </c>
      <c r="J122" s="14">
        <v>3</v>
      </c>
      <c r="K122" s="14">
        <v>2</v>
      </c>
      <c r="L122" s="14" t="s">
        <v>8196</v>
      </c>
      <c r="M122" s="14" t="s">
        <v>2672</v>
      </c>
      <c r="N122" s="14" t="s">
        <v>3598</v>
      </c>
      <c r="O122" s="14" t="s">
        <v>8197</v>
      </c>
      <c r="P122" s="14" t="str">
        <f>HYPERLINK("https://photon-sol.tinyastro.io/en/lp/4JbkQgCuij1ZhE9Pt2kMF7Xbq6vrpgq2j2F5aoMrpump?handle=676050794bc1b1657a56b", "View")</f>
        <v>View</v>
      </c>
    </row>
    <row r="123" spans="1:16" x14ac:dyDescent="0.25">
      <c r="A123" s="16" t="s">
        <v>7336</v>
      </c>
      <c r="B123" s="17">
        <v>50288017</v>
      </c>
      <c r="C123" s="17">
        <v>50288017</v>
      </c>
      <c r="D123" s="17" t="s">
        <v>1281</v>
      </c>
      <c r="E123" s="17" t="s">
        <v>183</v>
      </c>
      <c r="F123" s="17" t="s">
        <v>8198</v>
      </c>
      <c r="G123" s="21" t="s">
        <v>8199</v>
      </c>
      <c r="H123" s="21" t="s">
        <v>8200</v>
      </c>
      <c r="I123" s="17" t="s">
        <v>88</v>
      </c>
      <c r="J123" s="17">
        <v>2</v>
      </c>
      <c r="K123" s="17">
        <v>2</v>
      </c>
      <c r="L123" s="17" t="s">
        <v>8201</v>
      </c>
      <c r="M123" s="17" t="s">
        <v>1957</v>
      </c>
      <c r="N123" s="17" t="s">
        <v>8202</v>
      </c>
      <c r="O123" s="17" t="s">
        <v>7342</v>
      </c>
      <c r="P123" s="17" t="str">
        <f>HYPERLINK("https://dexscreener.com/solana/4aXBgz6gWMWu9CK8UUHNsBUcF3CXxy9TwSF4fwGmpump", "View")</f>
        <v>View</v>
      </c>
    </row>
    <row r="124" spans="1:16" x14ac:dyDescent="0.25">
      <c r="A124" s="13" t="s">
        <v>7336</v>
      </c>
      <c r="B124" s="14">
        <v>6005301</v>
      </c>
      <c r="C124" s="14">
        <v>6005301</v>
      </c>
      <c r="D124" s="14" t="s">
        <v>883</v>
      </c>
      <c r="E124" s="14" t="s">
        <v>165</v>
      </c>
      <c r="F124" s="14" t="s">
        <v>8203</v>
      </c>
      <c r="G124" s="20" t="s">
        <v>8204</v>
      </c>
      <c r="H124" s="20" t="s">
        <v>8205</v>
      </c>
      <c r="I124" s="14" t="s">
        <v>88</v>
      </c>
      <c r="J124" s="14">
        <v>1</v>
      </c>
      <c r="K124" s="14">
        <v>1</v>
      </c>
      <c r="L124" s="14" t="s">
        <v>8206</v>
      </c>
      <c r="M124" s="14" t="s">
        <v>1566</v>
      </c>
      <c r="N124" s="14" t="s">
        <v>8207</v>
      </c>
      <c r="O124" s="14" t="s">
        <v>8208</v>
      </c>
      <c r="P124" s="14" t="str">
        <f>HYPERLINK("https://dexscreener.com/solana/BMURJhACcf1VjzrGkqDr45uyTb15MpDWTUr9GoDUpump", "View")</f>
        <v>View</v>
      </c>
    </row>
    <row r="125" spans="1:16" x14ac:dyDescent="0.25">
      <c r="A125" s="16" t="s">
        <v>7390</v>
      </c>
      <c r="B125" s="17">
        <v>24150488</v>
      </c>
      <c r="C125" s="17">
        <v>24150488</v>
      </c>
      <c r="D125" s="17" t="s">
        <v>883</v>
      </c>
      <c r="E125" s="17" t="s">
        <v>8209</v>
      </c>
      <c r="F125" s="17" t="s">
        <v>8210</v>
      </c>
      <c r="G125" s="21" t="s">
        <v>8211</v>
      </c>
      <c r="H125" s="21" t="s">
        <v>8212</v>
      </c>
      <c r="I125" s="17" t="s">
        <v>88</v>
      </c>
      <c r="J125" s="17">
        <v>1</v>
      </c>
      <c r="K125" s="17">
        <v>1</v>
      </c>
      <c r="L125" s="17" t="s">
        <v>8213</v>
      </c>
      <c r="M125" s="17" t="s">
        <v>1434</v>
      </c>
      <c r="N125" s="17" t="s">
        <v>8214</v>
      </c>
      <c r="O125" s="17" t="s">
        <v>8215</v>
      </c>
      <c r="P125" s="17" t="str">
        <f>HYPERLINK("https://photon-sol.tinyastro.io/en/lp/ABkTrLfPEf8Yj5o6WB5xf5Pj322SbhZUzy1WxyvYpump?handle=676050794bc1b1657a56b", "View")</f>
        <v>View</v>
      </c>
    </row>
    <row r="126" spans="1:16" x14ac:dyDescent="0.25">
      <c r="A126" s="13" t="s">
        <v>8216</v>
      </c>
      <c r="B126" s="14">
        <v>20112487</v>
      </c>
      <c r="C126" s="14">
        <v>20112487</v>
      </c>
      <c r="D126" s="14" t="s">
        <v>883</v>
      </c>
      <c r="E126" s="14" t="s">
        <v>8217</v>
      </c>
      <c r="F126" s="14" t="s">
        <v>8218</v>
      </c>
      <c r="G126" s="22" t="s">
        <v>8219</v>
      </c>
      <c r="H126" s="22" t="s">
        <v>3222</v>
      </c>
      <c r="I126" s="14" t="s">
        <v>88</v>
      </c>
      <c r="J126" s="14">
        <v>1</v>
      </c>
      <c r="K126" s="14">
        <v>1</v>
      </c>
      <c r="L126" s="14" t="s">
        <v>8220</v>
      </c>
      <c r="M126" s="14" t="s">
        <v>602</v>
      </c>
      <c r="N126" s="14" t="s">
        <v>8221</v>
      </c>
      <c r="O126" s="14" t="s">
        <v>8222</v>
      </c>
      <c r="P126" s="14" t="str">
        <f>HYPERLINK("https://photon-sol.tinyastro.io/en/lp/7FeY74oYe3kXeiP7X42hJoi8acK1aFisGRP8SPs4pump?handle=676050794bc1b1657a56b", "View")</f>
        <v>View</v>
      </c>
    </row>
    <row r="127" spans="1:16" x14ac:dyDescent="0.25">
      <c r="A127" s="16" t="s">
        <v>8223</v>
      </c>
      <c r="B127" s="17">
        <v>7510921</v>
      </c>
      <c r="C127" s="17">
        <v>7510921</v>
      </c>
      <c r="D127" s="17" t="s">
        <v>883</v>
      </c>
      <c r="E127" s="17" t="s">
        <v>219</v>
      </c>
      <c r="F127" s="17" t="s">
        <v>8224</v>
      </c>
      <c r="G127" s="20" t="s">
        <v>8225</v>
      </c>
      <c r="H127" s="20" t="s">
        <v>8226</v>
      </c>
      <c r="I127" s="17" t="s">
        <v>88</v>
      </c>
      <c r="J127" s="17">
        <v>1</v>
      </c>
      <c r="K127" s="17">
        <v>1</v>
      </c>
      <c r="L127" s="17" t="s">
        <v>8227</v>
      </c>
      <c r="M127" s="17" t="s">
        <v>1434</v>
      </c>
      <c r="N127" s="17" t="s">
        <v>8228</v>
      </c>
      <c r="O127" s="17" t="s">
        <v>8229</v>
      </c>
      <c r="P127" s="17" t="str">
        <f>HYPERLINK("https://dexscreener.com/solana/En96UGmVX1ck8j3ZujAUsTjm89DNDgcnbjfPJ3DQpump", "View")</f>
        <v>View</v>
      </c>
    </row>
    <row r="128" spans="1:16" x14ac:dyDescent="0.25">
      <c r="A128" s="13" t="s">
        <v>8230</v>
      </c>
      <c r="B128" s="14">
        <v>24000210</v>
      </c>
      <c r="C128" s="14">
        <v>24000210</v>
      </c>
      <c r="D128" s="14" t="s">
        <v>1281</v>
      </c>
      <c r="E128" s="14" t="s">
        <v>165</v>
      </c>
      <c r="F128" s="14" t="s">
        <v>8231</v>
      </c>
      <c r="G128" s="20" t="s">
        <v>8232</v>
      </c>
      <c r="H128" s="20" t="s">
        <v>8233</v>
      </c>
      <c r="I128" s="14" t="s">
        <v>88</v>
      </c>
      <c r="J128" s="14">
        <v>2</v>
      </c>
      <c r="K128" s="14">
        <v>2</v>
      </c>
      <c r="L128" s="14" t="s">
        <v>8234</v>
      </c>
      <c r="M128" s="14" t="s">
        <v>1610</v>
      </c>
      <c r="N128" s="14" t="s">
        <v>8235</v>
      </c>
      <c r="O128" s="14" t="s">
        <v>8236</v>
      </c>
      <c r="P128" s="14" t="str">
        <f>HYPERLINK("https://dexscreener.com/solana/uq9z3BVmRw7RqZGzxHuP5PngvcPU7h1GTjuyCa2pump", "View")</f>
        <v>View</v>
      </c>
    </row>
    <row r="129" spans="1:16" x14ac:dyDescent="0.25">
      <c r="A129" s="16" t="s">
        <v>8237</v>
      </c>
      <c r="B129" s="17">
        <v>9683331</v>
      </c>
      <c r="C129" s="17">
        <v>9683331</v>
      </c>
      <c r="D129" s="17" t="s">
        <v>913</v>
      </c>
      <c r="E129" s="17" t="s">
        <v>165</v>
      </c>
      <c r="F129" s="17" t="s">
        <v>8238</v>
      </c>
      <c r="G129" s="21" t="s">
        <v>8239</v>
      </c>
      <c r="H129" s="21" t="s">
        <v>8240</v>
      </c>
      <c r="I129" s="17" t="s">
        <v>88</v>
      </c>
      <c r="J129" s="17">
        <v>1</v>
      </c>
      <c r="K129" s="17">
        <v>2</v>
      </c>
      <c r="L129" s="17" t="s">
        <v>8241</v>
      </c>
      <c r="M129" s="17" t="s">
        <v>179</v>
      </c>
      <c r="N129" s="17" t="s">
        <v>8242</v>
      </c>
      <c r="O129" s="17" t="s">
        <v>8243</v>
      </c>
      <c r="P129" s="17" t="str">
        <f>HYPERLINK("https://dexscreener.com/solana/DDx5JAMUxeLFx6u28f8FmxRnfdQkYVBYhqipPc8Kpump", "View")</f>
        <v>View</v>
      </c>
    </row>
    <row r="130" spans="1:16" x14ac:dyDescent="0.25">
      <c r="A130" s="13" t="s">
        <v>8244</v>
      </c>
      <c r="B130" s="14">
        <v>24108513</v>
      </c>
      <c r="C130" s="14">
        <v>24108513</v>
      </c>
      <c r="D130" s="14" t="s">
        <v>7791</v>
      </c>
      <c r="E130" s="14" t="s">
        <v>7584</v>
      </c>
      <c r="F130" s="14" t="s">
        <v>7651</v>
      </c>
      <c r="G130" s="22" t="s">
        <v>8245</v>
      </c>
      <c r="H130" s="22" t="s">
        <v>8246</v>
      </c>
      <c r="I130" s="14" t="s">
        <v>88</v>
      </c>
      <c r="J130" s="14">
        <v>1</v>
      </c>
      <c r="K130" s="14">
        <v>1</v>
      </c>
      <c r="L130" s="14" t="s">
        <v>8247</v>
      </c>
      <c r="M130" s="19" t="s">
        <v>2826</v>
      </c>
      <c r="N130" s="14" t="s">
        <v>3296</v>
      </c>
      <c r="O130" s="14" t="s">
        <v>8248</v>
      </c>
      <c r="P130" s="14" t="str">
        <f>HYPERLINK("https://photon-sol.tinyastro.io/en/lp/WLETaoWgumDjgsfy1dCvggoTQZkxSsivuduzYSdpump?handle=676050794bc1b1657a56b", "View")</f>
        <v>View</v>
      </c>
    </row>
    <row r="131" spans="1:16" x14ac:dyDescent="0.25">
      <c r="A131" s="16" t="s">
        <v>8249</v>
      </c>
      <c r="B131" s="17">
        <v>11677616</v>
      </c>
      <c r="C131" s="17">
        <v>11677616</v>
      </c>
      <c r="D131" s="17" t="s">
        <v>913</v>
      </c>
      <c r="E131" s="17" t="s">
        <v>8250</v>
      </c>
      <c r="F131" s="17" t="s">
        <v>8251</v>
      </c>
      <c r="G131" s="15" t="s">
        <v>8252</v>
      </c>
      <c r="H131" s="15" t="s">
        <v>8253</v>
      </c>
      <c r="I131" s="17" t="s">
        <v>88</v>
      </c>
      <c r="J131" s="17">
        <v>2</v>
      </c>
      <c r="K131" s="17">
        <v>1</v>
      </c>
      <c r="L131" s="17" t="s">
        <v>8254</v>
      </c>
      <c r="M131" s="17" t="s">
        <v>1434</v>
      </c>
      <c r="N131" s="17" t="s">
        <v>8255</v>
      </c>
      <c r="O131" s="17" t="s">
        <v>8256</v>
      </c>
      <c r="P131" s="17" t="str">
        <f>HYPERLINK("https://photon-sol.tinyastro.io/en/lp/5j2sn474JVJh2Emy2oUQGsaQQaBD2SVSt9GuQ69Jpump?handle=676050794bc1b1657a56b", "View")</f>
        <v>View</v>
      </c>
    </row>
    <row r="132" spans="1:16" x14ac:dyDescent="0.25">
      <c r="A132" s="13" t="s">
        <v>1645</v>
      </c>
      <c r="B132" s="14">
        <v>38438021</v>
      </c>
      <c r="C132" s="14">
        <v>38438021</v>
      </c>
      <c r="D132" s="14" t="s">
        <v>913</v>
      </c>
      <c r="E132" s="14" t="s">
        <v>8257</v>
      </c>
      <c r="F132" s="14" t="s">
        <v>4153</v>
      </c>
      <c r="G132" s="20" t="s">
        <v>8258</v>
      </c>
      <c r="H132" s="20" t="s">
        <v>8259</v>
      </c>
      <c r="I132" s="14" t="s">
        <v>88</v>
      </c>
      <c r="J132" s="14">
        <v>1</v>
      </c>
      <c r="K132" s="14">
        <v>2</v>
      </c>
      <c r="L132" s="14" t="s">
        <v>8260</v>
      </c>
      <c r="M132" s="14" t="s">
        <v>3180</v>
      </c>
      <c r="N132" s="14" t="s">
        <v>3188</v>
      </c>
      <c r="O132" s="14" t="s">
        <v>8261</v>
      </c>
      <c r="P132" s="14" t="str">
        <f>HYPERLINK("https://photon-sol.tinyastro.io/en/lp/7r4gPJ4jK6pA1cxcQpTkMqMGyuRFkeu3MqzDCsL3pump?handle=676050794bc1b1657a56b", "View")</f>
        <v>View</v>
      </c>
    </row>
    <row r="133" spans="1:16" x14ac:dyDescent="0.25">
      <c r="A133" s="16" t="s">
        <v>8262</v>
      </c>
      <c r="B133" s="17">
        <v>33174129</v>
      </c>
      <c r="C133" s="17">
        <v>33174129</v>
      </c>
      <c r="D133" s="17" t="s">
        <v>913</v>
      </c>
      <c r="E133" s="17" t="s">
        <v>8263</v>
      </c>
      <c r="F133" s="17" t="s">
        <v>8264</v>
      </c>
      <c r="G133" s="15" t="s">
        <v>8265</v>
      </c>
      <c r="H133" s="15" t="s">
        <v>4095</v>
      </c>
      <c r="I133" s="17" t="s">
        <v>88</v>
      </c>
      <c r="J133" s="17">
        <v>2</v>
      </c>
      <c r="K133" s="17">
        <v>1</v>
      </c>
      <c r="L133" s="17" t="s">
        <v>8266</v>
      </c>
      <c r="M133" s="17" t="s">
        <v>3171</v>
      </c>
      <c r="N133" s="17" t="s">
        <v>6489</v>
      </c>
      <c r="O133" s="17" t="s">
        <v>8267</v>
      </c>
      <c r="P133" s="17" t="str">
        <f>HYPERLINK("https://photon-sol.tinyastro.io/en/lp/6aC3PwS8LDdVQZCGcDb9PxDzziHHXUyezn9shhDSpump?handle=676050794bc1b1657a56b", "View")</f>
        <v>View</v>
      </c>
    </row>
    <row r="134" spans="1:16" x14ac:dyDescent="0.25">
      <c r="A134" s="13" t="s">
        <v>8268</v>
      </c>
      <c r="B134" s="14">
        <v>30798262</v>
      </c>
      <c r="C134" s="14">
        <v>30798262</v>
      </c>
      <c r="D134" s="14" t="s">
        <v>8269</v>
      </c>
      <c r="E134" s="14" t="s">
        <v>8270</v>
      </c>
      <c r="F134" s="14" t="s">
        <v>8271</v>
      </c>
      <c r="G134" s="22" t="s">
        <v>8272</v>
      </c>
      <c r="H134" s="22" t="s">
        <v>8273</v>
      </c>
      <c r="I134" s="14" t="s">
        <v>88</v>
      </c>
      <c r="J134" s="14">
        <v>1</v>
      </c>
      <c r="K134" s="14">
        <v>2</v>
      </c>
      <c r="L134" s="14" t="s">
        <v>8274</v>
      </c>
      <c r="M134" s="14" t="s">
        <v>117</v>
      </c>
      <c r="N134" s="14" t="s">
        <v>8275</v>
      </c>
      <c r="O134" s="14" t="s">
        <v>8276</v>
      </c>
      <c r="P134" s="14" t="str">
        <f>HYPERLINK("https://photon-sol.tinyastro.io/en/lp/2odV5BF8ZgmtRTa5kCbiJosfBzSnE9orZ6aj2oeupump?handle=676050794bc1b1657a56b", "View")</f>
        <v>View</v>
      </c>
    </row>
    <row r="135" spans="1:16" x14ac:dyDescent="0.25">
      <c r="A135" s="16" t="s">
        <v>8277</v>
      </c>
      <c r="B135" s="17">
        <v>39319778</v>
      </c>
      <c r="C135" s="17">
        <v>39319778</v>
      </c>
      <c r="D135" s="17" t="s">
        <v>1281</v>
      </c>
      <c r="E135" s="17" t="s">
        <v>8278</v>
      </c>
      <c r="F135" s="17" t="s">
        <v>1024</v>
      </c>
      <c r="G135" s="20" t="s">
        <v>8279</v>
      </c>
      <c r="H135" s="20" t="s">
        <v>8280</v>
      </c>
      <c r="I135" s="17" t="s">
        <v>88</v>
      </c>
      <c r="J135" s="17">
        <v>2</v>
      </c>
      <c r="K135" s="17">
        <v>2</v>
      </c>
      <c r="L135" s="17" t="s">
        <v>8281</v>
      </c>
      <c r="M135" s="17" t="s">
        <v>788</v>
      </c>
      <c r="N135" s="17" t="s">
        <v>507</v>
      </c>
      <c r="O135" s="17" t="s">
        <v>8282</v>
      </c>
      <c r="P135" s="17" t="str">
        <f>HYPERLINK("https://photon-sol.tinyastro.io/en/lp/76qJsxo4u6VtY3vLt3M3j7xpmquewqT4u7VR9DjYvz3w?handle=676050794bc1b1657a56b", "View")</f>
        <v>View</v>
      </c>
    </row>
    <row r="136" spans="1:16" x14ac:dyDescent="0.25">
      <c r="A136" s="13" t="s">
        <v>8283</v>
      </c>
      <c r="B136" s="14">
        <v>10713389</v>
      </c>
      <c r="C136" s="14">
        <v>10713389</v>
      </c>
      <c r="D136" s="14" t="s">
        <v>913</v>
      </c>
      <c r="E136" s="14" t="s">
        <v>1267</v>
      </c>
      <c r="F136" s="14" t="s">
        <v>8284</v>
      </c>
      <c r="G136" s="15" t="s">
        <v>8285</v>
      </c>
      <c r="H136" s="15" t="s">
        <v>8286</v>
      </c>
      <c r="I136" s="14" t="s">
        <v>88</v>
      </c>
      <c r="J136" s="14">
        <v>2</v>
      </c>
      <c r="K136" s="14">
        <v>1</v>
      </c>
      <c r="L136" s="14" t="s">
        <v>8287</v>
      </c>
      <c r="M136" s="14" t="s">
        <v>1957</v>
      </c>
      <c r="N136" s="14" t="s">
        <v>8288</v>
      </c>
      <c r="O136" s="14" t="s">
        <v>8289</v>
      </c>
      <c r="P136" s="14" t="str">
        <f>HYPERLINK("https://dexscreener.com/solana/BJyBRvQZst91TQWkwthJFqwufMyt9hhMQmHg2Kx3wCbu", "View")</f>
        <v>View</v>
      </c>
    </row>
    <row r="137" spans="1:16" x14ac:dyDescent="0.25">
      <c r="A137" s="16" t="s">
        <v>8290</v>
      </c>
      <c r="B137" s="17">
        <v>15049119</v>
      </c>
      <c r="C137" s="17">
        <v>15049119</v>
      </c>
      <c r="D137" s="17" t="s">
        <v>7948</v>
      </c>
      <c r="E137" s="17" t="s">
        <v>219</v>
      </c>
      <c r="F137" s="17" t="s">
        <v>8291</v>
      </c>
      <c r="G137" s="21" t="s">
        <v>8292</v>
      </c>
      <c r="H137" s="21" t="s">
        <v>8293</v>
      </c>
      <c r="I137" s="17" t="s">
        <v>88</v>
      </c>
      <c r="J137" s="17">
        <v>1</v>
      </c>
      <c r="K137" s="17">
        <v>3</v>
      </c>
      <c r="L137" s="17" t="s">
        <v>8294</v>
      </c>
      <c r="M137" s="17" t="s">
        <v>8295</v>
      </c>
      <c r="N137" s="17" t="s">
        <v>8296</v>
      </c>
      <c r="O137" s="17" t="s">
        <v>8297</v>
      </c>
      <c r="P137" s="17" t="str">
        <f>HYPERLINK("https://dexscreener.com/solana/2RxYYfGMgwGeF1Q6dMRXfmZzAV6j3cQvmjsBdsy9pump", "View")</f>
        <v>View</v>
      </c>
    </row>
    <row r="138" spans="1:16" x14ac:dyDescent="0.25">
      <c r="A138" s="13" t="s">
        <v>8298</v>
      </c>
      <c r="B138" s="14">
        <v>18274955</v>
      </c>
      <c r="C138" s="14">
        <v>18274955</v>
      </c>
      <c r="D138" s="14" t="s">
        <v>883</v>
      </c>
      <c r="E138" s="14" t="s">
        <v>2862</v>
      </c>
      <c r="F138" s="14" t="s">
        <v>8299</v>
      </c>
      <c r="G138" s="21" t="s">
        <v>8300</v>
      </c>
      <c r="H138" s="21" t="s">
        <v>8301</v>
      </c>
      <c r="I138" s="14" t="s">
        <v>88</v>
      </c>
      <c r="J138" s="14">
        <v>1</v>
      </c>
      <c r="K138" s="14">
        <v>1</v>
      </c>
      <c r="L138" s="14" t="s">
        <v>8302</v>
      </c>
      <c r="M138" s="14" t="s">
        <v>980</v>
      </c>
      <c r="N138" s="14" t="s">
        <v>8303</v>
      </c>
      <c r="O138" s="14" t="s">
        <v>8304</v>
      </c>
      <c r="P138" s="14" t="str">
        <f>HYPERLINK("https://photon-sol.tinyastro.io/en/lp/2fBagmngdKkpkQtvh2CgKWASq26kchSF97kRv93npump?handle=676050794bc1b1657a56b", "View")</f>
        <v>View</v>
      </c>
    </row>
    <row r="139" spans="1:16" x14ac:dyDescent="0.25">
      <c r="A139" s="16" t="s">
        <v>8305</v>
      </c>
      <c r="B139" s="17">
        <v>4587362</v>
      </c>
      <c r="C139" s="17">
        <v>4587362</v>
      </c>
      <c r="D139" s="17" t="s">
        <v>883</v>
      </c>
      <c r="E139" s="17" t="s">
        <v>1007</v>
      </c>
      <c r="F139" s="17" t="s">
        <v>7584</v>
      </c>
      <c r="G139" s="22" t="s">
        <v>8306</v>
      </c>
      <c r="H139" s="22" t="s">
        <v>8307</v>
      </c>
      <c r="I139" s="17" t="s">
        <v>88</v>
      </c>
      <c r="J139" s="17">
        <v>1</v>
      </c>
      <c r="K139" s="17">
        <v>1</v>
      </c>
      <c r="L139" s="17" t="s">
        <v>8308</v>
      </c>
      <c r="M139" s="17" t="s">
        <v>1566</v>
      </c>
      <c r="N139" s="17" t="s">
        <v>8309</v>
      </c>
      <c r="O139" s="17" t="s">
        <v>8310</v>
      </c>
      <c r="P139" s="17" t="str">
        <f>HYPERLINK("https://dexscreener.com/solana/7Pn1htyhP1ecSAtmDZyoJZzjCNhsMAFr37VeZkdvpump", "View")</f>
        <v>View</v>
      </c>
    </row>
    <row r="140" spans="1:16" x14ac:dyDescent="0.25">
      <c r="A140" s="13" t="s">
        <v>8311</v>
      </c>
      <c r="B140" s="14">
        <v>41386366</v>
      </c>
      <c r="C140" s="14">
        <v>41386366</v>
      </c>
      <c r="D140" s="14" t="s">
        <v>913</v>
      </c>
      <c r="E140" s="14" t="s">
        <v>8312</v>
      </c>
      <c r="F140" s="14" t="s">
        <v>3273</v>
      </c>
      <c r="G140" s="20" t="s">
        <v>6131</v>
      </c>
      <c r="H140" s="20" t="s">
        <v>8313</v>
      </c>
      <c r="I140" s="14" t="s">
        <v>88</v>
      </c>
      <c r="J140" s="14">
        <v>1</v>
      </c>
      <c r="K140" s="14">
        <v>2</v>
      </c>
      <c r="L140" s="14" t="s">
        <v>8314</v>
      </c>
      <c r="M140" s="19" t="s">
        <v>2239</v>
      </c>
      <c r="N140" s="14" t="s">
        <v>1980</v>
      </c>
      <c r="O140" s="14" t="s">
        <v>8315</v>
      </c>
      <c r="P140" s="14" t="str">
        <f>HYPERLINK("https://photon-sol.tinyastro.io/en/lp/EUSkjMF4SFzMVUfrdxGQpvtAV43EdJDv8tqmQzrypump?handle=676050794bc1b1657a56b", "View")</f>
        <v>View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7092-F8D7-4192-A4A7-3E31609650E8}">
  <dimension ref="A1:P3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HYPERLINK("https://gmgn.ai/sol/address/FpMt3dFhCydtRpP5jBgab4WzU8fh8Pau6ZbsesTwmLPG", "GMGN")</f>
        <v>GMGN</v>
      </c>
    </row>
    <row r="2" spans="1:14" x14ac:dyDescent="0.25">
      <c r="A2" s="3" t="s">
        <v>8316</v>
      </c>
      <c r="B2" s="3" t="s">
        <v>8317</v>
      </c>
      <c r="C2" s="3" t="s">
        <v>8318</v>
      </c>
      <c r="D2" s="3" t="s">
        <v>8319</v>
      </c>
      <c r="E2" s="3" t="s">
        <v>8320</v>
      </c>
      <c r="F2" s="3" t="s">
        <v>8321</v>
      </c>
      <c r="G2" s="3" t="s">
        <v>18</v>
      </c>
      <c r="H2" s="3">
        <v>19</v>
      </c>
      <c r="I2" s="3">
        <v>0</v>
      </c>
      <c r="J2" s="3" t="s">
        <v>414</v>
      </c>
      <c r="K2" s="3" t="s">
        <v>1434</v>
      </c>
      <c r="L2" s="3">
        <v>18</v>
      </c>
      <c r="M2" s="3">
        <v>7</v>
      </c>
      <c r="N2" s="3" t="str">
        <f>HYPERLINK("https://solscan.io/account/FpMt3dFhCydtRpP5jBgab4WzU8fh8Pau6ZbsesTwmLPG", "Solscan")</f>
        <v>Solscan</v>
      </c>
    </row>
    <row r="3" spans="1:14" x14ac:dyDescent="0.25">
      <c r="A3" s="1" t="s">
        <v>21</v>
      </c>
      <c r="B3" s="23" t="s">
        <v>8322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HYPERLINK("https://birdeye.so/profile/FpMt3dFhCydtRpP5jBgab4WzU8fh8Pau6ZbsesTwmLPG", "Birdeye")</f>
        <v>Birdeye</v>
      </c>
    </row>
    <row r="4" spans="1:14" x14ac:dyDescent="0.25">
      <c r="A4" s="1" t="s">
        <v>25</v>
      </c>
      <c r="B4" s="3" t="s">
        <v>8323</v>
      </c>
      <c r="C4" s="3"/>
      <c r="D4" s="3" t="s">
        <v>8324</v>
      </c>
      <c r="E4" s="3" t="s">
        <v>8325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8326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1</v>
      </c>
      <c r="E10" s="1">
        <v>11</v>
      </c>
      <c r="F10" s="1">
        <v>4</v>
      </c>
      <c r="G10" s="1">
        <v>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8328</v>
      </c>
      <c r="C11" s="1" t="s">
        <v>8329</v>
      </c>
      <c r="D11" s="1" t="s">
        <v>8328</v>
      </c>
      <c r="E11" s="1" t="s">
        <v>8330</v>
      </c>
      <c r="F11" s="1" t="s">
        <v>8331</v>
      </c>
      <c r="G11" s="1" t="s">
        <v>1779</v>
      </c>
      <c r="H11" s="3"/>
      <c r="I11" s="3" t="s">
        <v>50</v>
      </c>
      <c r="J11" s="3" t="s">
        <v>2007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8332</v>
      </c>
      <c r="C12" s="1" t="s">
        <v>4127</v>
      </c>
      <c r="D12" s="1" t="s">
        <v>1789</v>
      </c>
      <c r="E12" s="1" t="s">
        <v>8333</v>
      </c>
      <c r="F12" s="1" t="s">
        <v>8334</v>
      </c>
      <c r="G12" s="1" t="s">
        <v>1786</v>
      </c>
      <c r="H12" s="3"/>
      <c r="I12" s="3" t="s">
        <v>59</v>
      </c>
      <c r="J12" s="3" t="s">
        <v>1583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8335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8336</v>
      </c>
      <c r="B20" s="14">
        <v>21227360</v>
      </c>
      <c r="C20" s="14">
        <v>21227360</v>
      </c>
      <c r="D20" s="14" t="s">
        <v>4754</v>
      </c>
      <c r="E20" s="14" t="s">
        <v>2644</v>
      </c>
      <c r="F20" s="14" t="s">
        <v>8337</v>
      </c>
      <c r="G20" s="22" t="s">
        <v>8338</v>
      </c>
      <c r="H20" s="22" t="s">
        <v>8322</v>
      </c>
      <c r="I20" s="14" t="s">
        <v>88</v>
      </c>
      <c r="J20" s="14">
        <v>1</v>
      </c>
      <c r="K20" s="14">
        <v>1</v>
      </c>
      <c r="L20" s="14" t="s">
        <v>8339</v>
      </c>
      <c r="M20" s="14" t="s">
        <v>117</v>
      </c>
      <c r="N20" s="14" t="s">
        <v>507</v>
      </c>
      <c r="O20" s="14" t="s">
        <v>8340</v>
      </c>
      <c r="P20" s="14" t="str">
        <f>HYPERLINK("https://photon-sol.tinyastro.io/en/lp/BBd19woaVHU38BhkSLr3a6eJDhUWjEw8xCh71Zgdpump?handle=676050794bc1b1657a56b", "View")</f>
        <v>View</v>
      </c>
    </row>
    <row r="21" spans="1:16" x14ac:dyDescent="0.25">
      <c r="A21" s="16" t="s">
        <v>8341</v>
      </c>
      <c r="B21" s="17">
        <v>152882887</v>
      </c>
      <c r="C21" s="17">
        <v>152882887</v>
      </c>
      <c r="D21" s="17" t="s">
        <v>4754</v>
      </c>
      <c r="E21" s="17" t="s">
        <v>8342</v>
      </c>
      <c r="F21" s="17" t="s">
        <v>8343</v>
      </c>
      <c r="G21" s="20" t="s">
        <v>4707</v>
      </c>
      <c r="H21" s="20" t="s">
        <v>8344</v>
      </c>
      <c r="I21" s="17" t="s">
        <v>88</v>
      </c>
      <c r="J21" s="17">
        <v>1</v>
      </c>
      <c r="K21" s="17">
        <v>1</v>
      </c>
      <c r="L21" s="17" t="s">
        <v>8345</v>
      </c>
      <c r="M21" s="19" t="s">
        <v>3076</v>
      </c>
      <c r="N21" s="17" t="s">
        <v>2308</v>
      </c>
      <c r="O21" s="17" t="s">
        <v>8346</v>
      </c>
      <c r="P21" s="17" t="str">
        <f>HYPERLINK("https://photon-sol.tinyastro.io/en/lp/DQZWo5PfTq3BC13cpF3V2aQ2zWbAfiwYxUoEtLQnpump?handle=676050794bc1b1657a56b", "View")</f>
        <v>View</v>
      </c>
    </row>
    <row r="22" spans="1:16" x14ac:dyDescent="0.25">
      <c r="A22" s="13" t="s">
        <v>194</v>
      </c>
      <c r="B22" s="14">
        <v>153285714</v>
      </c>
      <c r="C22" s="14">
        <v>153285714</v>
      </c>
      <c r="D22" s="14" t="s">
        <v>4754</v>
      </c>
      <c r="E22" s="14" t="s">
        <v>8342</v>
      </c>
      <c r="F22" s="14" t="s">
        <v>8347</v>
      </c>
      <c r="G22" s="22" t="s">
        <v>4783</v>
      </c>
      <c r="H22" s="22" t="s">
        <v>8348</v>
      </c>
      <c r="I22" s="14" t="s">
        <v>88</v>
      </c>
      <c r="J22" s="14">
        <v>1</v>
      </c>
      <c r="K22" s="14">
        <v>1</v>
      </c>
      <c r="L22" s="14" t="s">
        <v>8349</v>
      </c>
      <c r="M22" s="19" t="s">
        <v>2993</v>
      </c>
      <c r="N22" s="14" t="s">
        <v>2223</v>
      </c>
      <c r="O22" s="14" t="s">
        <v>8350</v>
      </c>
      <c r="P22" s="14" t="str">
        <f>HYPERLINK("https://photon-sol.tinyastro.io/en/lp/G2Hy6wEe2XgdYmooXbLj7tVp7m4ztohc1iETJZLvpump?handle=676050794bc1b1657a56b", "View")</f>
        <v>View</v>
      </c>
    </row>
    <row r="23" spans="1:16" x14ac:dyDescent="0.25">
      <c r="A23" s="16" t="s">
        <v>8351</v>
      </c>
      <c r="B23" s="17">
        <v>153206960</v>
      </c>
      <c r="C23" s="17">
        <v>153206960</v>
      </c>
      <c r="D23" s="17" t="s">
        <v>4754</v>
      </c>
      <c r="E23" s="17" t="s">
        <v>8342</v>
      </c>
      <c r="F23" s="17" t="s">
        <v>8352</v>
      </c>
      <c r="G23" s="22" t="s">
        <v>8353</v>
      </c>
      <c r="H23" s="22" t="s">
        <v>8354</v>
      </c>
      <c r="I23" s="17" t="s">
        <v>88</v>
      </c>
      <c r="J23" s="17">
        <v>1</v>
      </c>
      <c r="K23" s="17">
        <v>1</v>
      </c>
      <c r="L23" s="17" t="s">
        <v>8355</v>
      </c>
      <c r="M23" s="19" t="s">
        <v>2937</v>
      </c>
      <c r="N23" s="17" t="s">
        <v>2223</v>
      </c>
      <c r="O23" s="17" t="s">
        <v>8356</v>
      </c>
      <c r="P23" s="17" t="str">
        <f>HYPERLINK("https://photon-sol.tinyastro.io/en/lp/A6DjbgmoZGXpTVL2zTz2ZrCcq4cXk1tigYrsGWztpump?handle=676050794bc1b1657a56b", "View")</f>
        <v>View</v>
      </c>
    </row>
    <row r="24" spans="1:16" x14ac:dyDescent="0.25">
      <c r="A24" s="13" t="s">
        <v>8357</v>
      </c>
      <c r="B24" s="14">
        <v>268212449</v>
      </c>
      <c r="C24" s="14">
        <v>268212449</v>
      </c>
      <c r="D24" s="14" t="s">
        <v>4754</v>
      </c>
      <c r="E24" s="14" t="s">
        <v>8358</v>
      </c>
      <c r="F24" s="14" t="s">
        <v>8359</v>
      </c>
      <c r="G24" s="22" t="s">
        <v>8360</v>
      </c>
      <c r="H24" s="22" t="s">
        <v>8361</v>
      </c>
      <c r="I24" s="14" t="s">
        <v>88</v>
      </c>
      <c r="J24" s="14">
        <v>1</v>
      </c>
      <c r="K24" s="14">
        <v>1</v>
      </c>
      <c r="L24" s="14" t="s">
        <v>8362</v>
      </c>
      <c r="M24" s="19" t="s">
        <v>2955</v>
      </c>
      <c r="N24" s="14" t="s">
        <v>1011</v>
      </c>
      <c r="O24" s="14" t="s">
        <v>8363</v>
      </c>
      <c r="P24" s="14" t="str">
        <f>HYPERLINK("https://photon-sol.tinyastro.io/en/lp/DnvsmLTFedL4t8kaCa3w76ejTnA8bv8n3z84tKxpump?handle=676050794bc1b1657a56b", "View")</f>
        <v>View</v>
      </c>
    </row>
    <row r="25" spans="1:16" x14ac:dyDescent="0.25">
      <c r="A25" s="16" t="s">
        <v>8364</v>
      </c>
      <c r="B25" s="17">
        <v>153262943</v>
      </c>
      <c r="C25" s="17">
        <v>153262943</v>
      </c>
      <c r="D25" s="17" t="s">
        <v>4754</v>
      </c>
      <c r="E25" s="17" t="s">
        <v>8342</v>
      </c>
      <c r="F25" s="17" t="s">
        <v>8365</v>
      </c>
      <c r="G25" s="22" t="s">
        <v>6575</v>
      </c>
      <c r="H25" s="22" t="s">
        <v>8366</v>
      </c>
      <c r="I25" s="17" t="s">
        <v>88</v>
      </c>
      <c r="J25" s="17">
        <v>1</v>
      </c>
      <c r="K25" s="17">
        <v>1</v>
      </c>
      <c r="L25" s="17" t="s">
        <v>8367</v>
      </c>
      <c r="M25" s="19" t="s">
        <v>3076</v>
      </c>
      <c r="N25" s="17" t="s">
        <v>2223</v>
      </c>
      <c r="O25" s="17" t="s">
        <v>8368</v>
      </c>
      <c r="P25" s="17" t="str">
        <f>HYPERLINK("https://photon-sol.tinyastro.io/en/lp/NuBXMJFHMkXNHKvzciMsyp6DwsqWa97c39xXz6Tpump?handle=676050794bc1b1657a56b", "View")</f>
        <v>View</v>
      </c>
    </row>
    <row r="26" spans="1:16" x14ac:dyDescent="0.25">
      <c r="A26" s="13" t="s">
        <v>8369</v>
      </c>
      <c r="B26" s="14">
        <v>153198814</v>
      </c>
      <c r="C26" s="14">
        <v>153198814</v>
      </c>
      <c r="D26" s="14" t="s">
        <v>4754</v>
      </c>
      <c r="E26" s="14" t="s">
        <v>8342</v>
      </c>
      <c r="F26" s="14" t="s">
        <v>8370</v>
      </c>
      <c r="G26" s="22" t="s">
        <v>2529</v>
      </c>
      <c r="H26" s="22" t="s">
        <v>8371</v>
      </c>
      <c r="I26" s="14" t="s">
        <v>88</v>
      </c>
      <c r="J26" s="14">
        <v>1</v>
      </c>
      <c r="K26" s="14">
        <v>1</v>
      </c>
      <c r="L26" s="14" t="s">
        <v>8372</v>
      </c>
      <c r="M26" s="19" t="s">
        <v>3069</v>
      </c>
      <c r="N26" s="14" t="s">
        <v>2223</v>
      </c>
      <c r="O26" s="14" t="s">
        <v>8373</v>
      </c>
      <c r="P26" s="14" t="str">
        <f>HYPERLINK("https://photon-sol.tinyastro.io/en/lp/5rTJz9xnbnTwmQjrvyLzLE4i1GKq5ZYuxHRF6EvCpump?handle=676050794bc1b1657a56b", "View")</f>
        <v>View</v>
      </c>
    </row>
    <row r="27" spans="1:16" x14ac:dyDescent="0.25">
      <c r="A27" s="16" t="s">
        <v>8374</v>
      </c>
      <c r="B27" s="17">
        <v>153271944</v>
      </c>
      <c r="C27" s="17">
        <v>153271944</v>
      </c>
      <c r="D27" s="17" t="s">
        <v>4754</v>
      </c>
      <c r="E27" s="17" t="s">
        <v>8342</v>
      </c>
      <c r="F27" s="17" t="s">
        <v>8375</v>
      </c>
      <c r="G27" s="22" t="s">
        <v>8376</v>
      </c>
      <c r="H27" s="22" t="s">
        <v>8377</v>
      </c>
      <c r="I27" s="17" t="s">
        <v>88</v>
      </c>
      <c r="J27" s="17">
        <v>1</v>
      </c>
      <c r="K27" s="17">
        <v>1</v>
      </c>
      <c r="L27" s="17" t="s">
        <v>8378</v>
      </c>
      <c r="M27" s="19" t="s">
        <v>2937</v>
      </c>
      <c r="N27" s="17" t="s">
        <v>2223</v>
      </c>
      <c r="O27" s="17" t="s">
        <v>8379</v>
      </c>
      <c r="P27" s="17" t="str">
        <f>HYPERLINK("https://photon-sol.tinyastro.io/en/lp/kZBD2XokGtPf7oAxQ66y6NXyMxzmrBXeA2icyeMpump?handle=676050794bc1b1657a56b", "View")</f>
        <v>View</v>
      </c>
    </row>
    <row r="28" spans="1:16" x14ac:dyDescent="0.25">
      <c r="A28" s="13" t="s">
        <v>8380</v>
      </c>
      <c r="B28" s="14">
        <v>152217689</v>
      </c>
      <c r="C28" s="14">
        <v>152217689</v>
      </c>
      <c r="D28" s="14" t="s">
        <v>4754</v>
      </c>
      <c r="E28" s="14" t="s">
        <v>8342</v>
      </c>
      <c r="F28" s="14" t="s">
        <v>8381</v>
      </c>
      <c r="G28" s="22" t="s">
        <v>8382</v>
      </c>
      <c r="H28" s="22" t="s">
        <v>8383</v>
      </c>
      <c r="I28" s="14" t="s">
        <v>88</v>
      </c>
      <c r="J28" s="14">
        <v>1</v>
      </c>
      <c r="K28" s="14">
        <v>1</v>
      </c>
      <c r="L28" s="14" t="s">
        <v>8384</v>
      </c>
      <c r="M28" s="19" t="s">
        <v>2486</v>
      </c>
      <c r="N28" s="14" t="s">
        <v>2263</v>
      </c>
      <c r="O28" s="14" t="s">
        <v>8385</v>
      </c>
      <c r="P28" s="14" t="str">
        <f>HYPERLINK("https://photon-sol.tinyastro.io/en/lp/75asWW7pWAZD7Lhue4Ygy4nrvjNBwwCrVDGYNQX2c5UY?handle=676050794bc1b1657a56b", "View")</f>
        <v>View</v>
      </c>
    </row>
    <row r="29" spans="1:16" x14ac:dyDescent="0.25">
      <c r="A29" s="16" t="s">
        <v>8386</v>
      </c>
      <c r="B29" s="17">
        <v>27683964</v>
      </c>
      <c r="C29" s="17">
        <v>27683964</v>
      </c>
      <c r="D29" s="17" t="s">
        <v>4754</v>
      </c>
      <c r="E29" s="17" t="s">
        <v>8387</v>
      </c>
      <c r="F29" s="17" t="s">
        <v>8388</v>
      </c>
      <c r="G29" s="20" t="s">
        <v>5305</v>
      </c>
      <c r="H29" s="20" t="s">
        <v>8389</v>
      </c>
      <c r="I29" s="17" t="s">
        <v>88</v>
      </c>
      <c r="J29" s="17">
        <v>1</v>
      </c>
      <c r="K29" s="17">
        <v>1</v>
      </c>
      <c r="L29" s="17" t="s">
        <v>8390</v>
      </c>
      <c r="M29" s="17" t="s">
        <v>1434</v>
      </c>
      <c r="N29" s="17" t="s">
        <v>8391</v>
      </c>
      <c r="O29" s="17" t="s">
        <v>8392</v>
      </c>
      <c r="P29" s="17" t="str">
        <f>HYPERLINK("https://photon-sol.tinyastro.io/en/lp/3WHscTXHnYuzUm94Q9jQK8UGQSTQwyfauf3t8oy4pump?handle=676050794bc1b1657a56b", "View")</f>
        <v>View</v>
      </c>
    </row>
    <row r="30" spans="1:16" x14ac:dyDescent="0.25">
      <c r="A30" s="13" t="s">
        <v>182</v>
      </c>
      <c r="B30" s="14">
        <v>21516144</v>
      </c>
      <c r="C30" s="14">
        <v>4303229</v>
      </c>
      <c r="D30" s="14" t="s">
        <v>4754</v>
      </c>
      <c r="E30" s="14" t="s">
        <v>2644</v>
      </c>
      <c r="F30" s="14" t="s">
        <v>8393</v>
      </c>
      <c r="G30" s="21" t="s">
        <v>8394</v>
      </c>
      <c r="H30" s="21" t="s">
        <v>8395</v>
      </c>
      <c r="I30" s="14" t="s">
        <v>88</v>
      </c>
      <c r="J30" s="14">
        <v>1</v>
      </c>
      <c r="K30" s="14">
        <v>1</v>
      </c>
      <c r="L30" s="14" t="s">
        <v>8396</v>
      </c>
      <c r="M30" s="14" t="s">
        <v>680</v>
      </c>
      <c r="N30" s="14" t="s">
        <v>8397</v>
      </c>
      <c r="O30" s="14" t="s">
        <v>188</v>
      </c>
      <c r="P30" s="14" t="str">
        <f>HYPERLINK("https://photon-sol.tinyastro.io/en/lp/FofgVUkAzbffK3mw8ZEwMof8Lbpx59KkXRV4exhkpump?handle=676050794bc1b1657a56b", "View")</f>
        <v>View</v>
      </c>
    </row>
    <row r="31" spans="1:16" x14ac:dyDescent="0.25">
      <c r="A31" s="16" t="s">
        <v>8398</v>
      </c>
      <c r="B31" s="17">
        <v>37962581</v>
      </c>
      <c r="C31" s="17">
        <v>37962581</v>
      </c>
      <c r="D31" s="17" t="s">
        <v>4754</v>
      </c>
      <c r="E31" s="17" t="s">
        <v>7943</v>
      </c>
      <c r="F31" s="17" t="s">
        <v>8399</v>
      </c>
      <c r="G31" s="22" t="s">
        <v>8400</v>
      </c>
      <c r="H31" s="22" t="s">
        <v>8401</v>
      </c>
      <c r="I31" s="17" t="s">
        <v>88</v>
      </c>
      <c r="J31" s="17">
        <v>1</v>
      </c>
      <c r="K31" s="17">
        <v>1</v>
      </c>
      <c r="L31" s="17" t="s">
        <v>8402</v>
      </c>
      <c r="M31" s="17" t="s">
        <v>937</v>
      </c>
      <c r="N31" s="17" t="s">
        <v>8403</v>
      </c>
      <c r="O31" s="17" t="s">
        <v>8404</v>
      </c>
      <c r="P31" s="17" t="str">
        <f>HYPERLINK("https://photon-sol.tinyastro.io/en/lp/7c1WtkUP7ub9mCEUbTd7SSRq3jT53p9Akoo5h6j4pump?handle=676050794bc1b1657a56b", "View")</f>
        <v>View</v>
      </c>
    </row>
    <row r="32" spans="1:16" x14ac:dyDescent="0.25">
      <c r="A32" s="13" t="s">
        <v>8405</v>
      </c>
      <c r="B32" s="14">
        <v>48788457</v>
      </c>
      <c r="C32" s="14">
        <v>48788457</v>
      </c>
      <c r="D32" s="14" t="s">
        <v>4805</v>
      </c>
      <c r="E32" s="14" t="s">
        <v>8406</v>
      </c>
      <c r="F32" s="14" t="s">
        <v>8407</v>
      </c>
      <c r="G32" s="22" t="s">
        <v>8408</v>
      </c>
      <c r="H32" s="22" t="s">
        <v>8409</v>
      </c>
      <c r="I32" s="14" t="s">
        <v>88</v>
      </c>
      <c r="J32" s="14">
        <v>2</v>
      </c>
      <c r="K32" s="14">
        <v>2</v>
      </c>
      <c r="L32" s="14" t="s">
        <v>8410</v>
      </c>
      <c r="M32" s="14" t="s">
        <v>1932</v>
      </c>
      <c r="N32" s="14" t="s">
        <v>8411</v>
      </c>
      <c r="O32" s="14" t="s">
        <v>8412</v>
      </c>
      <c r="P32" s="14" t="str">
        <f>HYPERLINK("https://photon-sol.tinyastro.io/en/lp/CQoAjBzKLCrhHjTqDLZkpWiiFVTcUZyfoiDXQ4PYpump?handle=676050794bc1b1657a56b", "View")</f>
        <v>View</v>
      </c>
    </row>
    <row r="33" spans="1:16" x14ac:dyDescent="0.25">
      <c r="A33" s="16" t="s">
        <v>8413</v>
      </c>
      <c r="B33" s="17">
        <v>21062480</v>
      </c>
      <c r="C33" s="17">
        <v>21062480</v>
      </c>
      <c r="D33" s="17" t="s">
        <v>5069</v>
      </c>
      <c r="E33" s="17" t="s">
        <v>8414</v>
      </c>
      <c r="F33" s="17" t="s">
        <v>8415</v>
      </c>
      <c r="G33" s="21" t="s">
        <v>8416</v>
      </c>
      <c r="H33" s="21" t="s">
        <v>8417</v>
      </c>
      <c r="I33" s="17" t="s">
        <v>88</v>
      </c>
      <c r="J33" s="17">
        <v>2</v>
      </c>
      <c r="K33" s="17">
        <v>4</v>
      </c>
      <c r="L33" s="17" t="s">
        <v>8418</v>
      </c>
      <c r="M33" s="17" t="s">
        <v>117</v>
      </c>
      <c r="N33" s="17" t="s">
        <v>8419</v>
      </c>
      <c r="O33" s="17" t="s">
        <v>8420</v>
      </c>
      <c r="P33" s="17" t="str">
        <f>HYPERLINK("https://photon-sol.tinyastro.io/en/lp/JSf4nPeF2Wet12reEukHjGmvRmPdkWLxRELdEn6pump?handle=676050794bc1b1657a56b", "View")</f>
        <v>View</v>
      </c>
    </row>
    <row r="34" spans="1:16" x14ac:dyDescent="0.25">
      <c r="A34" s="13" t="s">
        <v>8421</v>
      </c>
      <c r="B34" s="14">
        <v>9109782</v>
      </c>
      <c r="C34" s="14">
        <v>9109782</v>
      </c>
      <c r="D34" s="14" t="s">
        <v>4754</v>
      </c>
      <c r="E34" s="14" t="s">
        <v>219</v>
      </c>
      <c r="F34" s="14" t="s">
        <v>8422</v>
      </c>
      <c r="G34" s="21" t="s">
        <v>8423</v>
      </c>
      <c r="H34" s="21" t="s">
        <v>8424</v>
      </c>
      <c r="I34" s="14" t="s">
        <v>88</v>
      </c>
      <c r="J34" s="14">
        <v>1</v>
      </c>
      <c r="K34" s="14">
        <v>1</v>
      </c>
      <c r="L34" s="14" t="s">
        <v>8425</v>
      </c>
      <c r="M34" s="14" t="s">
        <v>179</v>
      </c>
      <c r="N34" s="14" t="s">
        <v>8426</v>
      </c>
      <c r="O34" s="14" t="s">
        <v>8427</v>
      </c>
      <c r="P34" s="14" t="str">
        <f>HYPERLINK("https://dexscreener.com/solana/418QJC9cHmUXYFDEg78bAZE765WS4PX9Kxwznx2Hpump", "View")</f>
        <v>View</v>
      </c>
    </row>
    <row r="35" spans="1:16" x14ac:dyDescent="0.25">
      <c r="A35" s="16" t="s">
        <v>8428</v>
      </c>
      <c r="B35" s="17">
        <v>45239051</v>
      </c>
      <c r="C35" s="17">
        <v>45239051</v>
      </c>
      <c r="D35" s="17" t="s">
        <v>4754</v>
      </c>
      <c r="E35" s="17" t="s">
        <v>1907</v>
      </c>
      <c r="F35" s="17" t="s">
        <v>8429</v>
      </c>
      <c r="G35" s="20" t="s">
        <v>2334</v>
      </c>
      <c r="H35" s="20" t="s">
        <v>8430</v>
      </c>
      <c r="I35" s="17" t="s">
        <v>88</v>
      </c>
      <c r="J35" s="17">
        <v>1</v>
      </c>
      <c r="K35" s="17">
        <v>1</v>
      </c>
      <c r="L35" s="17" t="s">
        <v>8431</v>
      </c>
      <c r="M35" s="19" t="s">
        <v>2364</v>
      </c>
      <c r="N35" s="17" t="s">
        <v>8432</v>
      </c>
      <c r="O35" s="17" t="s">
        <v>8433</v>
      </c>
      <c r="P35" s="17" t="str">
        <f>HYPERLINK("https://photon-sol.tinyastro.io/en/lp/C8Y2WqCM4XKQETd2WaFR63gK2T58YSBRAnGZtghUpump?handle=676050794bc1b1657a56b", "View")</f>
        <v>View</v>
      </c>
    </row>
    <row r="36" spans="1:16" x14ac:dyDescent="0.25">
      <c r="A36" s="13" t="s">
        <v>8434</v>
      </c>
      <c r="B36" s="14">
        <v>44113587</v>
      </c>
      <c r="C36" s="14">
        <v>44113587</v>
      </c>
      <c r="D36" s="14" t="s">
        <v>4754</v>
      </c>
      <c r="E36" s="14" t="s">
        <v>7943</v>
      </c>
      <c r="F36" s="14" t="s">
        <v>8435</v>
      </c>
      <c r="G36" s="22" t="s">
        <v>2623</v>
      </c>
      <c r="H36" s="22" t="s">
        <v>8436</v>
      </c>
      <c r="I36" s="14" t="s">
        <v>88</v>
      </c>
      <c r="J36" s="14">
        <v>1</v>
      </c>
      <c r="K36" s="14">
        <v>1</v>
      </c>
      <c r="L36" s="14" t="s">
        <v>8437</v>
      </c>
      <c r="M36" s="14" t="s">
        <v>5501</v>
      </c>
      <c r="N36" s="14" t="s">
        <v>5302</v>
      </c>
      <c r="O36" s="14" t="s">
        <v>8438</v>
      </c>
      <c r="P36" s="14" t="str">
        <f>HYPERLINK("https://photon-sol.tinyastro.io/en/lp/jC4jq2AgZQhV9UqJxs95GbpQWRs4t6Ntsew942Mpump?handle=676050794bc1b1657a56b", "View")</f>
        <v>View</v>
      </c>
    </row>
    <row r="37" spans="1:16" x14ac:dyDescent="0.25">
      <c r="A37" s="16" t="s">
        <v>359</v>
      </c>
      <c r="B37" s="17">
        <v>23022404</v>
      </c>
      <c r="C37" s="17">
        <v>23022404</v>
      </c>
      <c r="D37" s="17" t="s">
        <v>8439</v>
      </c>
      <c r="E37" s="17" t="s">
        <v>3167</v>
      </c>
      <c r="F37" s="17" t="s">
        <v>8440</v>
      </c>
      <c r="G37" s="21" t="s">
        <v>8441</v>
      </c>
      <c r="H37" s="21" t="s">
        <v>8442</v>
      </c>
      <c r="I37" s="17" t="s">
        <v>88</v>
      </c>
      <c r="J37" s="17">
        <v>2</v>
      </c>
      <c r="K37" s="17">
        <v>9</v>
      </c>
      <c r="L37" s="17" t="s">
        <v>8443</v>
      </c>
      <c r="M37" s="17" t="s">
        <v>1986</v>
      </c>
      <c r="N37" s="17" t="s">
        <v>8444</v>
      </c>
      <c r="O37" s="17" t="s">
        <v>366</v>
      </c>
      <c r="P37" s="17" t="str">
        <f>HYPERLINK("https://photon-sol.tinyastro.io/en/lp/FFUqMLqYuSjKr19r6NDpYSoHu5Qzg51cUmgwnSyipump?handle=676050794bc1b1657a56b", "View")</f>
        <v>View</v>
      </c>
    </row>
    <row r="38" spans="1:16" x14ac:dyDescent="0.25">
      <c r="A38" s="13" t="s">
        <v>6814</v>
      </c>
      <c r="B38" s="14">
        <v>34265242</v>
      </c>
      <c r="C38" s="14">
        <v>34265242</v>
      </c>
      <c r="D38" s="14" t="s">
        <v>4754</v>
      </c>
      <c r="E38" s="14" t="s">
        <v>7943</v>
      </c>
      <c r="F38" s="14" t="s">
        <v>8445</v>
      </c>
      <c r="G38" s="20" t="s">
        <v>3652</v>
      </c>
      <c r="H38" s="20" t="s">
        <v>8446</v>
      </c>
      <c r="I38" s="14" t="s">
        <v>88</v>
      </c>
      <c r="J38" s="14">
        <v>1</v>
      </c>
      <c r="K38" s="14">
        <v>1</v>
      </c>
      <c r="L38" s="14" t="s">
        <v>8447</v>
      </c>
      <c r="M38" s="14" t="s">
        <v>1610</v>
      </c>
      <c r="N38" s="14" t="s">
        <v>8448</v>
      </c>
      <c r="O38" s="14" t="s">
        <v>8449</v>
      </c>
      <c r="P38" s="14" t="str">
        <f>HYPERLINK("https://photon-sol.tinyastro.io/en/lp/3Zpn7YBPGa4yu7paHCT7UTC6ezSvnC4qZQMTeYJNpump?handle=676050794bc1b1657a56b", "View")</f>
        <v>View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464E-A51E-4F72-8ACD-2F46D3A577CA}">
  <dimension ref="A1:P3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HYPERLINK("https://gmgn.ai/sol/address/2qd2jvuzk5TMkKSpg8TcAuGCmm4YNdCSHhLEuM1BeEaz", "GMGN")</f>
        <v>GMGN</v>
      </c>
    </row>
    <row r="2" spans="1:14" x14ac:dyDescent="0.25">
      <c r="A2" s="3" t="s">
        <v>8450</v>
      </c>
      <c r="B2" s="3" t="s">
        <v>8451</v>
      </c>
      <c r="C2" s="3" t="s">
        <v>8452</v>
      </c>
      <c r="D2" s="3" t="s">
        <v>8453</v>
      </c>
      <c r="E2" s="3" t="s">
        <v>8454</v>
      </c>
      <c r="F2" s="3" t="s">
        <v>8455</v>
      </c>
      <c r="G2" s="3" t="s">
        <v>8455</v>
      </c>
      <c r="H2" s="3">
        <v>19</v>
      </c>
      <c r="I2" s="3">
        <v>0</v>
      </c>
      <c r="J2" s="3" t="s">
        <v>132</v>
      </c>
      <c r="K2" s="3" t="s">
        <v>3171</v>
      </c>
      <c r="L2" s="3">
        <v>11</v>
      </c>
      <c r="M2" s="3">
        <v>9</v>
      </c>
      <c r="N2" s="3" t="str">
        <f>HYPERLINK("https://solscan.io/account/2qd2jvuzk5TMkKSpg8TcAuGCmm4YNdCSHhLEuM1BeEaz", "Solscan")</f>
        <v>Solscan</v>
      </c>
    </row>
    <row r="3" spans="1:14" x14ac:dyDescent="0.25">
      <c r="A3" s="1" t="s">
        <v>21</v>
      </c>
      <c r="B3" s="4" t="s">
        <v>8456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HYPERLINK("https://birdeye.so/profile/2qd2jvuzk5TMkKSpg8TcAuGCmm4YNdCSHhLEuM1BeEaz", "Birdeye")</f>
        <v>Birdeye</v>
      </c>
    </row>
    <row r="4" spans="1:14" x14ac:dyDescent="0.25">
      <c r="A4" s="1" t="s">
        <v>25</v>
      </c>
      <c r="B4" s="3" t="s">
        <v>8457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8326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8458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0</v>
      </c>
      <c r="E10" s="1">
        <v>7</v>
      </c>
      <c r="F10" s="1">
        <v>5</v>
      </c>
      <c r="G10" s="1">
        <v>5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8328</v>
      </c>
      <c r="C11" s="1" t="s">
        <v>8328</v>
      </c>
      <c r="D11" s="1" t="s">
        <v>1779</v>
      </c>
      <c r="E11" s="1" t="s">
        <v>8459</v>
      </c>
      <c r="F11" s="1" t="s">
        <v>8460</v>
      </c>
      <c r="G11" s="1" t="s">
        <v>8460</v>
      </c>
      <c r="H11" s="3"/>
      <c r="I11" s="3" t="s">
        <v>50</v>
      </c>
      <c r="J11" s="3" t="s">
        <v>8461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8462</v>
      </c>
      <c r="C12" s="1" t="s">
        <v>8463</v>
      </c>
      <c r="D12" s="1" t="s">
        <v>1786</v>
      </c>
      <c r="E12" s="1" t="s">
        <v>8464</v>
      </c>
      <c r="F12" s="1" t="s">
        <v>8465</v>
      </c>
      <c r="G12" s="1" t="s">
        <v>8466</v>
      </c>
      <c r="H12" s="3"/>
      <c r="I12" s="3" t="s">
        <v>59</v>
      </c>
      <c r="J12" s="3" t="s">
        <v>8467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8461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8468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1699</v>
      </c>
      <c r="B20" s="14">
        <v>15940763</v>
      </c>
      <c r="C20" s="14">
        <v>15940763</v>
      </c>
      <c r="D20" s="14" t="s">
        <v>8469</v>
      </c>
      <c r="E20" s="14" t="s">
        <v>8470</v>
      </c>
      <c r="F20" s="14" t="s">
        <v>8471</v>
      </c>
      <c r="G20" s="22" t="s">
        <v>8472</v>
      </c>
      <c r="H20" s="22" t="s">
        <v>8473</v>
      </c>
      <c r="I20" s="14" t="s">
        <v>88</v>
      </c>
      <c r="J20" s="14">
        <v>2</v>
      </c>
      <c r="K20" s="14">
        <v>1</v>
      </c>
      <c r="L20" s="14" t="s">
        <v>8474</v>
      </c>
      <c r="M20" s="14" t="s">
        <v>5027</v>
      </c>
      <c r="N20" s="14" t="s">
        <v>8475</v>
      </c>
      <c r="O20" s="14" t="s">
        <v>8476</v>
      </c>
      <c r="P20" s="14" t="str">
        <f>HYPERLINK("https://photon-sol.tinyastro.io/en/lp/4ujouAR7AWi3z6r795C5m1WhdTZuN86tsxndL3yapump?handle=676050794bc1b1657a56b", "View")</f>
        <v>View</v>
      </c>
    </row>
    <row r="21" spans="1:16" x14ac:dyDescent="0.25">
      <c r="A21" s="16" t="s">
        <v>8477</v>
      </c>
      <c r="B21" s="17">
        <v>4114418</v>
      </c>
      <c r="C21" s="17">
        <v>4114418</v>
      </c>
      <c r="D21" s="17" t="s">
        <v>8478</v>
      </c>
      <c r="E21" s="17" t="s">
        <v>8479</v>
      </c>
      <c r="F21" s="17" t="s">
        <v>8480</v>
      </c>
      <c r="G21" s="20" t="s">
        <v>3426</v>
      </c>
      <c r="H21" s="20" t="s">
        <v>8456</v>
      </c>
      <c r="I21" s="17" t="s">
        <v>88</v>
      </c>
      <c r="J21" s="17">
        <v>3</v>
      </c>
      <c r="K21" s="17">
        <v>1</v>
      </c>
      <c r="L21" s="17" t="s">
        <v>8481</v>
      </c>
      <c r="M21" s="17" t="s">
        <v>1448</v>
      </c>
      <c r="N21" s="17" t="s">
        <v>8482</v>
      </c>
      <c r="O21" s="17" t="s">
        <v>8483</v>
      </c>
      <c r="P21" s="17" t="str">
        <f>HYPERLINK("https://dexscreener.com/solana/Ga3j8U26vf2VYk6pCFR8Pq2hmhZytFfQc53GsGKppump", "View")</f>
        <v>View</v>
      </c>
    </row>
    <row r="22" spans="1:16" x14ac:dyDescent="0.25">
      <c r="A22" s="13" t="s">
        <v>93</v>
      </c>
      <c r="B22" s="14">
        <v>7332167</v>
      </c>
      <c r="C22" s="14">
        <v>7332167</v>
      </c>
      <c r="D22" s="14" t="s">
        <v>8469</v>
      </c>
      <c r="E22" s="14" t="s">
        <v>8484</v>
      </c>
      <c r="F22" s="14" t="s">
        <v>8485</v>
      </c>
      <c r="G22" s="15" t="s">
        <v>8486</v>
      </c>
      <c r="H22" s="15" t="s">
        <v>8487</v>
      </c>
      <c r="I22" s="14" t="s">
        <v>88</v>
      </c>
      <c r="J22" s="14">
        <v>2</v>
      </c>
      <c r="K22" s="14">
        <v>1</v>
      </c>
      <c r="L22" s="14" t="s">
        <v>8488</v>
      </c>
      <c r="M22" s="14" t="s">
        <v>3171</v>
      </c>
      <c r="N22" s="14" t="s">
        <v>8489</v>
      </c>
      <c r="O22" s="14" t="s">
        <v>8490</v>
      </c>
      <c r="P22" s="14" t="str">
        <f>HYPERLINK("https://dexscreener.com/solana/CkDJ8d1SvoVAariA8YkH1uthoeHELyxHkfwDLv9pump", "View")</f>
        <v>View</v>
      </c>
    </row>
    <row r="23" spans="1:16" x14ac:dyDescent="0.25">
      <c r="A23" s="16" t="s">
        <v>2389</v>
      </c>
      <c r="B23" s="17">
        <v>3537521</v>
      </c>
      <c r="C23" s="17">
        <v>3537521</v>
      </c>
      <c r="D23" s="17" t="s">
        <v>8469</v>
      </c>
      <c r="E23" s="17" t="s">
        <v>8491</v>
      </c>
      <c r="F23" s="17" t="s">
        <v>8492</v>
      </c>
      <c r="G23" s="22" t="s">
        <v>4679</v>
      </c>
      <c r="H23" s="22" t="s">
        <v>8493</v>
      </c>
      <c r="I23" s="17" t="s">
        <v>88</v>
      </c>
      <c r="J23" s="17">
        <v>1</v>
      </c>
      <c r="K23" s="17">
        <v>1</v>
      </c>
      <c r="L23" s="17" t="s">
        <v>8494</v>
      </c>
      <c r="M23" s="17" t="s">
        <v>4922</v>
      </c>
      <c r="N23" s="17" t="s">
        <v>8495</v>
      </c>
      <c r="O23" s="17" t="s">
        <v>2396</v>
      </c>
      <c r="P23" s="17" t="str">
        <f>HYPERLINK("https://photon-sol.tinyastro.io/en/lp/GTKYRw79jMCdnyHQjeFJHZChbRSKHwUZfYY8E5acpump?handle=676050794bc1b1657a56b", "View")</f>
        <v>View</v>
      </c>
    </row>
    <row r="24" spans="1:16" x14ac:dyDescent="0.25">
      <c r="A24" s="13" t="s">
        <v>8496</v>
      </c>
      <c r="B24" s="14">
        <v>33869074</v>
      </c>
      <c r="C24" s="14">
        <v>33869074</v>
      </c>
      <c r="D24" s="14" t="s">
        <v>8469</v>
      </c>
      <c r="E24" s="14" t="s">
        <v>8491</v>
      </c>
      <c r="F24" s="14" t="s">
        <v>8497</v>
      </c>
      <c r="G24" s="22" t="s">
        <v>4818</v>
      </c>
      <c r="H24" s="22" t="s">
        <v>8498</v>
      </c>
      <c r="I24" s="14" t="s">
        <v>88</v>
      </c>
      <c r="J24" s="14">
        <v>1</v>
      </c>
      <c r="K24" s="14">
        <v>1</v>
      </c>
      <c r="L24" s="14" t="s">
        <v>8499</v>
      </c>
      <c r="M24" s="14" t="s">
        <v>602</v>
      </c>
      <c r="N24" s="14" t="s">
        <v>1011</v>
      </c>
      <c r="O24" s="14" t="s">
        <v>8500</v>
      </c>
      <c r="P24" s="14" t="str">
        <f>HYPERLINK("https://photon-sol.tinyastro.io/en/lp/FzZu8zgTvkhkYG7LLTZR2TC9B4X4shaimUvGnmgMpump?handle=676050794bc1b1657a56b", "View")</f>
        <v>View</v>
      </c>
    </row>
    <row r="25" spans="1:16" x14ac:dyDescent="0.25">
      <c r="A25" s="16" t="s">
        <v>8501</v>
      </c>
      <c r="B25" s="17">
        <v>1681710</v>
      </c>
      <c r="C25" s="17">
        <v>1681710</v>
      </c>
      <c r="D25" s="17" t="s">
        <v>8469</v>
      </c>
      <c r="E25" s="17" t="s">
        <v>8502</v>
      </c>
      <c r="F25" s="17" t="s">
        <v>8503</v>
      </c>
      <c r="G25" s="22" t="s">
        <v>8504</v>
      </c>
      <c r="H25" s="22" t="s">
        <v>8505</v>
      </c>
      <c r="I25" s="17" t="s">
        <v>88</v>
      </c>
      <c r="J25" s="17">
        <v>2</v>
      </c>
      <c r="K25" s="17">
        <v>1</v>
      </c>
      <c r="L25" s="17" t="s">
        <v>8506</v>
      </c>
      <c r="M25" s="17" t="s">
        <v>1448</v>
      </c>
      <c r="N25" s="17" t="s">
        <v>8507</v>
      </c>
      <c r="O25" s="17" t="s">
        <v>8508</v>
      </c>
      <c r="P25" s="17" t="str">
        <f>HYPERLINK("https://dexscreener.com/solana/E6N1aagrUTAqtAe6DnV4bctib37tCERbr2TPiHzrpump", "View")</f>
        <v>View</v>
      </c>
    </row>
    <row r="26" spans="1:16" x14ac:dyDescent="0.25">
      <c r="A26" s="13" t="s">
        <v>8509</v>
      </c>
      <c r="B26" s="14">
        <v>10156365</v>
      </c>
      <c r="C26" s="14">
        <v>10156365</v>
      </c>
      <c r="D26" s="14" t="s">
        <v>8469</v>
      </c>
      <c r="E26" s="14" t="s">
        <v>8510</v>
      </c>
      <c r="F26" s="14" t="s">
        <v>8511</v>
      </c>
      <c r="G26" s="20" t="s">
        <v>8512</v>
      </c>
      <c r="H26" s="20" t="s">
        <v>8513</v>
      </c>
      <c r="I26" s="14" t="s">
        <v>88</v>
      </c>
      <c r="J26" s="14">
        <v>2</v>
      </c>
      <c r="K26" s="14">
        <v>1</v>
      </c>
      <c r="L26" s="14" t="s">
        <v>8514</v>
      </c>
      <c r="M26" s="14" t="s">
        <v>602</v>
      </c>
      <c r="N26" s="14" t="s">
        <v>8515</v>
      </c>
      <c r="O26" s="14" t="s">
        <v>8516</v>
      </c>
      <c r="P26" s="14" t="str">
        <f>HYPERLINK("https://photon-sol.tinyastro.io/en/lp/AReHDp38ySrnQoSde2bK88uxUtsWsNSHbHfyzRvKpump?handle=676050794bc1b1657a56b", "View")</f>
        <v>View</v>
      </c>
    </row>
    <row r="27" spans="1:16" x14ac:dyDescent="0.25">
      <c r="A27" s="16" t="s">
        <v>297</v>
      </c>
      <c r="B27" s="17">
        <v>926540</v>
      </c>
      <c r="C27" s="17">
        <v>1036905</v>
      </c>
      <c r="D27" s="17" t="s">
        <v>7791</v>
      </c>
      <c r="E27" s="17" t="s">
        <v>8517</v>
      </c>
      <c r="F27" s="17" t="s">
        <v>8518</v>
      </c>
      <c r="G27" s="22" t="s">
        <v>8519</v>
      </c>
      <c r="H27" s="22" t="s">
        <v>8520</v>
      </c>
      <c r="I27" s="17" t="s">
        <v>88</v>
      </c>
      <c r="J27" s="17">
        <v>3</v>
      </c>
      <c r="K27" s="17">
        <v>4</v>
      </c>
      <c r="L27" s="17" t="s">
        <v>8521</v>
      </c>
      <c r="M27" s="17" t="s">
        <v>8522</v>
      </c>
      <c r="N27" s="17" t="s">
        <v>8523</v>
      </c>
      <c r="O27" s="17" t="s">
        <v>306</v>
      </c>
      <c r="P27" s="17" t="str">
        <f>HYPERLINK("https://dexscreener.com/solana/yG6bXPEFaUnGAEHHqH9H7t1VSfaK7YrggCqHy35pump", "View")</f>
        <v>View</v>
      </c>
    </row>
    <row r="28" spans="1:16" x14ac:dyDescent="0.25">
      <c r="A28" s="13" t="s">
        <v>6423</v>
      </c>
      <c r="B28" s="14">
        <v>3904100</v>
      </c>
      <c r="C28" s="14">
        <v>3904100</v>
      </c>
      <c r="D28" s="14" t="s">
        <v>8469</v>
      </c>
      <c r="E28" s="14" t="s">
        <v>8491</v>
      </c>
      <c r="F28" s="14" t="s">
        <v>8524</v>
      </c>
      <c r="G28" s="22" t="s">
        <v>2661</v>
      </c>
      <c r="H28" s="22" t="s">
        <v>6399</v>
      </c>
      <c r="I28" s="14" t="s">
        <v>88</v>
      </c>
      <c r="J28" s="14">
        <v>1</v>
      </c>
      <c r="K28" s="14">
        <v>2</v>
      </c>
      <c r="L28" s="14" t="s">
        <v>8525</v>
      </c>
      <c r="M28" s="14" t="s">
        <v>2047</v>
      </c>
      <c r="N28" s="14" t="s">
        <v>8526</v>
      </c>
      <c r="O28" s="14" t="s">
        <v>6431</v>
      </c>
      <c r="P28" s="14" t="str">
        <f>HYPERLINK("https://photon-sol.tinyastro.io/en/lp/9Q3no5oBzJW37TgcBP22F6SVZCtsc3G3RHELSbbgpump?handle=676050794bc1b1657a56b", "View")</f>
        <v>View</v>
      </c>
    </row>
    <row r="29" spans="1:16" x14ac:dyDescent="0.25">
      <c r="A29" s="16" t="s">
        <v>8527</v>
      </c>
      <c r="B29" s="17">
        <v>10979413</v>
      </c>
      <c r="C29" s="17">
        <v>10979413</v>
      </c>
      <c r="D29" s="17" t="s">
        <v>864</v>
      </c>
      <c r="E29" s="17" t="s">
        <v>8491</v>
      </c>
      <c r="F29" s="17" t="s">
        <v>8528</v>
      </c>
      <c r="G29" s="15" t="s">
        <v>8529</v>
      </c>
      <c r="H29" s="15" t="s">
        <v>8530</v>
      </c>
      <c r="I29" s="17" t="s">
        <v>88</v>
      </c>
      <c r="J29" s="17">
        <v>1</v>
      </c>
      <c r="K29" s="17">
        <v>1</v>
      </c>
      <c r="L29" s="17" t="s">
        <v>8531</v>
      </c>
      <c r="M29" s="17" t="s">
        <v>4297</v>
      </c>
      <c r="N29" s="17" t="s">
        <v>1240</v>
      </c>
      <c r="O29" s="17" t="s">
        <v>8532</v>
      </c>
      <c r="P29" s="17" t="str">
        <f>HYPERLINK("https://photon-sol.tinyastro.io/en/lp/7vFMckYWw31EhjrK9CSf7FtLm3wKwyuBNQodHHdMpump?handle=676050794bc1b1657a56b", "View")</f>
        <v>View</v>
      </c>
    </row>
    <row r="30" spans="1:16" x14ac:dyDescent="0.25">
      <c r="A30" s="13" t="s">
        <v>8527</v>
      </c>
      <c r="B30" s="14">
        <v>4309353</v>
      </c>
      <c r="C30" s="14">
        <v>4309353</v>
      </c>
      <c r="D30" s="14" t="s">
        <v>864</v>
      </c>
      <c r="E30" s="14" t="s">
        <v>8491</v>
      </c>
      <c r="F30" s="14" t="s">
        <v>5220</v>
      </c>
      <c r="G30" s="15" t="s">
        <v>8533</v>
      </c>
      <c r="H30" s="15" t="s">
        <v>8534</v>
      </c>
      <c r="I30" s="14" t="s">
        <v>88</v>
      </c>
      <c r="J30" s="14">
        <v>1</v>
      </c>
      <c r="K30" s="14">
        <v>1</v>
      </c>
      <c r="L30" s="14" t="s">
        <v>8535</v>
      </c>
      <c r="M30" s="14" t="s">
        <v>4297</v>
      </c>
      <c r="N30" s="14" t="s">
        <v>8536</v>
      </c>
      <c r="O30" s="14" t="s">
        <v>8537</v>
      </c>
      <c r="P30" s="14" t="str">
        <f>HYPERLINK("https://photon-sol.tinyastro.io/en/lp/4Ks9LNspmDEibfdfc5aaGbdAbaGFdzJRnTXFXPc1pump?handle=676050794bc1b1657a56b", "View")</f>
        <v>View</v>
      </c>
    </row>
    <row r="31" spans="1:16" x14ac:dyDescent="0.25">
      <c r="A31" s="16" t="s">
        <v>8538</v>
      </c>
      <c r="B31" s="17">
        <v>3983864</v>
      </c>
      <c r="C31" s="17">
        <v>3983864</v>
      </c>
      <c r="D31" s="17" t="s">
        <v>8469</v>
      </c>
      <c r="E31" s="17" t="s">
        <v>8539</v>
      </c>
      <c r="F31" s="17" t="s">
        <v>8540</v>
      </c>
      <c r="G31" s="20" t="s">
        <v>8541</v>
      </c>
      <c r="H31" s="20" t="s">
        <v>8542</v>
      </c>
      <c r="I31" s="17" t="s">
        <v>88</v>
      </c>
      <c r="J31" s="17">
        <v>1</v>
      </c>
      <c r="K31" s="17">
        <v>1</v>
      </c>
      <c r="L31" s="17" t="s">
        <v>8543</v>
      </c>
      <c r="M31" s="17" t="s">
        <v>1957</v>
      </c>
      <c r="N31" s="17" t="s">
        <v>8544</v>
      </c>
      <c r="O31" s="17" t="s">
        <v>8545</v>
      </c>
      <c r="P31" s="17" t="str">
        <f>HYPERLINK("https://dexscreener.com/solana/DueyXorV4VwtTF35PxUWBQXaZgm7ukyRcFMp6135pump", "View")</f>
        <v>View</v>
      </c>
    </row>
    <row r="32" spans="1:16" x14ac:dyDescent="0.25">
      <c r="A32" s="13" t="s">
        <v>320</v>
      </c>
      <c r="B32" s="14">
        <v>11014637</v>
      </c>
      <c r="C32" s="14">
        <v>11014637</v>
      </c>
      <c r="D32" s="14" t="s">
        <v>8546</v>
      </c>
      <c r="E32" s="14" t="s">
        <v>8547</v>
      </c>
      <c r="F32" s="14" t="s">
        <v>6030</v>
      </c>
      <c r="G32" s="15" t="s">
        <v>8548</v>
      </c>
      <c r="H32" s="15" t="s">
        <v>8549</v>
      </c>
      <c r="I32" s="14" t="s">
        <v>88</v>
      </c>
      <c r="J32" s="14">
        <v>1</v>
      </c>
      <c r="K32" s="14">
        <v>1</v>
      </c>
      <c r="L32" s="14" t="s">
        <v>8550</v>
      </c>
      <c r="M32" s="14" t="s">
        <v>656</v>
      </c>
      <c r="N32" s="14" t="s">
        <v>8551</v>
      </c>
      <c r="O32" s="14" t="s">
        <v>324</v>
      </c>
      <c r="P32" s="14" t="str">
        <f>HYPERLINK("https://dexscreener.com/solana/iByRAnwB6oHjphgaixPkKqno41ida9yqKwwmrsKpump", "View")</f>
        <v>View</v>
      </c>
    </row>
    <row r="33" spans="1:16" x14ac:dyDescent="0.25">
      <c r="A33" s="16" t="s">
        <v>312</v>
      </c>
      <c r="B33" s="17">
        <v>9681492</v>
      </c>
      <c r="C33" s="17">
        <v>9681492</v>
      </c>
      <c r="D33" s="17" t="s">
        <v>8552</v>
      </c>
      <c r="E33" s="17" t="s">
        <v>8491</v>
      </c>
      <c r="F33" s="17" t="s">
        <v>8553</v>
      </c>
      <c r="G33" s="21" t="s">
        <v>8554</v>
      </c>
      <c r="H33" s="21" t="s">
        <v>8555</v>
      </c>
      <c r="I33" s="17" t="s">
        <v>88</v>
      </c>
      <c r="J33" s="17">
        <v>1</v>
      </c>
      <c r="K33" s="17">
        <v>6</v>
      </c>
      <c r="L33" s="17" t="s">
        <v>8556</v>
      </c>
      <c r="M33" s="17" t="s">
        <v>656</v>
      </c>
      <c r="N33" s="17" t="s">
        <v>8557</v>
      </c>
      <c r="O33" s="17" t="s">
        <v>319</v>
      </c>
      <c r="P33" s="17" t="str">
        <f>HYPERLINK("https://photon-sol.tinyastro.io/en/lp/GPF3b1vrWJfpaNNAXqTDLLnSRHTMG6auWonK3LAWpump?handle=676050794bc1b1657a56b", "View")</f>
        <v>View</v>
      </c>
    </row>
    <row r="34" spans="1:16" x14ac:dyDescent="0.25">
      <c r="A34" s="13" t="s">
        <v>5030</v>
      </c>
      <c r="B34" s="14">
        <v>539710</v>
      </c>
      <c r="C34" s="14">
        <v>539710</v>
      </c>
      <c r="D34" s="14" t="s">
        <v>8469</v>
      </c>
      <c r="E34" s="14" t="s">
        <v>8558</v>
      </c>
      <c r="F34" s="14" t="s">
        <v>8559</v>
      </c>
      <c r="G34" s="21" t="s">
        <v>8560</v>
      </c>
      <c r="H34" s="21" t="s">
        <v>8561</v>
      </c>
      <c r="I34" s="14" t="s">
        <v>88</v>
      </c>
      <c r="J34" s="14">
        <v>2</v>
      </c>
      <c r="K34" s="14">
        <v>1</v>
      </c>
      <c r="L34" s="14" t="s">
        <v>8562</v>
      </c>
      <c r="M34" s="14" t="s">
        <v>1957</v>
      </c>
      <c r="N34" s="14" t="s">
        <v>8563</v>
      </c>
      <c r="O34" s="14" t="s">
        <v>6498</v>
      </c>
      <c r="P34" s="14" t="str">
        <f>HYPERLINK("https://dexscreener.com/solana/4J5HoZWoKcbo2JQxEEVCKRBfUQtEroY1QdRrKtZFpump", "View")</f>
        <v>View</v>
      </c>
    </row>
    <row r="35" spans="1:16" x14ac:dyDescent="0.25">
      <c r="A35" s="16" t="s">
        <v>5040</v>
      </c>
      <c r="B35" s="17">
        <v>6040982</v>
      </c>
      <c r="C35" s="17">
        <v>6040982</v>
      </c>
      <c r="D35" s="17" t="s">
        <v>8469</v>
      </c>
      <c r="E35" s="17" t="s">
        <v>8491</v>
      </c>
      <c r="F35" s="17" t="s">
        <v>8564</v>
      </c>
      <c r="G35" s="20" t="s">
        <v>8565</v>
      </c>
      <c r="H35" s="20" t="s">
        <v>4175</v>
      </c>
      <c r="I35" s="17" t="s">
        <v>88</v>
      </c>
      <c r="J35" s="17">
        <v>1</v>
      </c>
      <c r="K35" s="17">
        <v>1</v>
      </c>
      <c r="L35" s="17" t="s">
        <v>8566</v>
      </c>
      <c r="M35" s="17" t="s">
        <v>1986</v>
      </c>
      <c r="N35" s="17" t="s">
        <v>8567</v>
      </c>
      <c r="O35" s="17" t="s">
        <v>5044</v>
      </c>
      <c r="P35" s="17" t="str">
        <f>HYPERLINK("https://photon-sol.tinyastro.io/en/lp/7ZFmpe9zrBiNtjeU4C3U22hTTDTsndS9Lm1xu724pump?handle=676050794bc1b1657a56b", "View")</f>
        <v>View</v>
      </c>
    </row>
    <row r="36" spans="1:16" x14ac:dyDescent="0.25">
      <c r="A36" s="13" t="s">
        <v>297</v>
      </c>
      <c r="B36" s="14">
        <v>490398</v>
      </c>
      <c r="C36" s="14">
        <v>490398</v>
      </c>
      <c r="D36" s="14" t="s">
        <v>8469</v>
      </c>
      <c r="E36" s="14" t="s">
        <v>6581</v>
      </c>
      <c r="F36" s="14" t="s">
        <v>8568</v>
      </c>
      <c r="G36" s="20" t="s">
        <v>8569</v>
      </c>
      <c r="H36" s="20" t="s">
        <v>8570</v>
      </c>
      <c r="I36" s="14" t="s">
        <v>88</v>
      </c>
      <c r="J36" s="14">
        <v>1</v>
      </c>
      <c r="K36" s="14">
        <v>1</v>
      </c>
      <c r="L36" s="14" t="s">
        <v>8571</v>
      </c>
      <c r="M36" s="14" t="s">
        <v>2789</v>
      </c>
      <c r="N36" s="14" t="s">
        <v>8572</v>
      </c>
      <c r="O36" s="14" t="s">
        <v>333</v>
      </c>
      <c r="P36" s="14" t="str">
        <f>HYPERLINK("https://dexscreener.com/solana/GqfGQEhQXpKEnsc33fJo8RLjeQBkYvFzgLPDdBwZpump", "View")</f>
        <v>View</v>
      </c>
    </row>
    <row r="37" spans="1:16" x14ac:dyDescent="0.25">
      <c r="A37" s="16" t="s">
        <v>8573</v>
      </c>
      <c r="B37" s="17">
        <v>4705964</v>
      </c>
      <c r="C37" s="17">
        <v>4705964</v>
      </c>
      <c r="D37" s="17" t="s">
        <v>8469</v>
      </c>
      <c r="E37" s="17" t="s">
        <v>8574</v>
      </c>
      <c r="F37" s="17" t="s">
        <v>8575</v>
      </c>
      <c r="G37" s="15" t="s">
        <v>8576</v>
      </c>
      <c r="H37" s="15" t="s">
        <v>8577</v>
      </c>
      <c r="I37" s="17" t="s">
        <v>88</v>
      </c>
      <c r="J37" s="17">
        <v>1</v>
      </c>
      <c r="K37" s="17">
        <v>1</v>
      </c>
      <c r="L37" s="17" t="s">
        <v>8578</v>
      </c>
      <c r="M37" s="19" t="s">
        <v>3492</v>
      </c>
      <c r="N37" s="17" t="s">
        <v>8579</v>
      </c>
      <c r="O37" s="17" t="s">
        <v>8580</v>
      </c>
      <c r="P37" s="17" t="str">
        <f>HYPERLINK("https://photon-sol.tinyastro.io/en/lp/DxMUBUbs1EofR6pkkpoN9qSxS6euUgC9o8jNQSSpump?handle=676050794bc1b1657a56b", "View")</f>
        <v>View</v>
      </c>
    </row>
    <row r="38" spans="1:16" x14ac:dyDescent="0.25">
      <c r="A38" s="13" t="s">
        <v>8581</v>
      </c>
      <c r="B38" s="14">
        <v>3420485</v>
      </c>
      <c r="C38" s="14">
        <v>3420485</v>
      </c>
      <c r="D38" s="14" t="s">
        <v>8469</v>
      </c>
      <c r="E38" s="14" t="s">
        <v>8574</v>
      </c>
      <c r="F38" s="14" t="s">
        <v>8582</v>
      </c>
      <c r="G38" s="22" t="s">
        <v>3142</v>
      </c>
      <c r="H38" s="22" t="s">
        <v>8583</v>
      </c>
      <c r="I38" s="14" t="s">
        <v>88</v>
      </c>
      <c r="J38" s="14">
        <v>1</v>
      </c>
      <c r="K38" s="14">
        <v>1</v>
      </c>
      <c r="L38" s="14" t="s">
        <v>8584</v>
      </c>
      <c r="M38" s="14" t="s">
        <v>3180</v>
      </c>
      <c r="N38" s="14" t="s">
        <v>8585</v>
      </c>
      <c r="O38" s="14" t="s">
        <v>8586</v>
      </c>
      <c r="P38" s="14" t="str">
        <f>HYPERLINK("https://photon-sol.tinyastro.io/en/lp/GJmxFKMcQVVLmMuzUUaAC2izAQVjoW3McbjJu3V3pump?handle=676050794bc1b1657a56b", "View")</f>
        <v>View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07B1-7445-48AE-B445-2FE93FE56F96}">
  <dimension ref="A1:P152"/>
  <sheetViews>
    <sheetView workbookViewId="0"/>
  </sheetViews>
  <sheetFormatPr defaultRowHeight="15" x14ac:dyDescent="0.25"/>
  <cols>
    <col min="1" max="1" width="46" style="2" customWidth="1"/>
    <col min="2" max="2" width="16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HYPERLINK("https://gmgn.ai/sol/address/CDby5yqdWRUbtUyzaVqiqiQvBBaSFfciGMAz5hCTeDo4", "GMGN")</f>
        <v>GMGN</v>
      </c>
    </row>
    <row r="2" spans="1:14" x14ac:dyDescent="0.25">
      <c r="A2" s="3" t="s">
        <v>8587</v>
      </c>
      <c r="B2" s="3" t="s">
        <v>8588</v>
      </c>
      <c r="C2" s="3" t="s">
        <v>8589</v>
      </c>
      <c r="D2" s="3" t="s">
        <v>1999</v>
      </c>
      <c r="E2" s="3" t="s">
        <v>8590</v>
      </c>
      <c r="F2" s="3" t="s">
        <v>8591</v>
      </c>
      <c r="G2" s="3" t="s">
        <v>18</v>
      </c>
      <c r="H2" s="3">
        <v>133</v>
      </c>
      <c r="I2" s="3">
        <v>0</v>
      </c>
      <c r="J2" s="3" t="s">
        <v>4550</v>
      </c>
      <c r="K2" s="3" t="s">
        <v>3158</v>
      </c>
      <c r="L2" s="3">
        <v>123</v>
      </c>
      <c r="M2" s="3">
        <v>75</v>
      </c>
      <c r="N2" s="3" t="str">
        <f>HYPERLINK("https://solscan.io/account/CDby5yqdWRUbtUyzaVqiqiQvBBaSFfciGMAz5hCTeDo4", "Solscan")</f>
        <v>Solscan</v>
      </c>
    </row>
    <row r="3" spans="1:14" x14ac:dyDescent="0.25">
      <c r="A3" s="1" t="s">
        <v>21</v>
      </c>
      <c r="B3" s="23" t="s">
        <v>8592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HYPERLINK("https://birdeye.so/profile/CDby5yqdWRUbtUyzaVqiqiQvBBaSFfciGMAz5hCTeDo4", "Birdeye")</f>
        <v>Birdeye</v>
      </c>
    </row>
    <row r="4" spans="1:14" x14ac:dyDescent="0.25">
      <c r="A4" s="1" t="s">
        <v>25</v>
      </c>
      <c r="B4" s="23" t="s">
        <v>8593</v>
      </c>
      <c r="C4" s="3"/>
      <c r="D4" s="3" t="s">
        <v>8594</v>
      </c>
      <c r="E4" s="3" t="s">
        <v>8595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1785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38</v>
      </c>
      <c r="D10" s="1">
        <v>16</v>
      </c>
      <c r="E10" s="1">
        <v>36</v>
      </c>
      <c r="F10" s="1">
        <v>33</v>
      </c>
      <c r="G10" s="1">
        <v>8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8596</v>
      </c>
      <c r="C11" s="1" t="s">
        <v>4125</v>
      </c>
      <c r="D11" s="1" t="s">
        <v>8597</v>
      </c>
      <c r="E11" s="1" t="s">
        <v>8598</v>
      </c>
      <c r="F11" s="1" t="s">
        <v>8599</v>
      </c>
      <c r="G11" s="1" t="s">
        <v>8600</v>
      </c>
      <c r="H11" s="3"/>
      <c r="I11" s="3" t="s">
        <v>50</v>
      </c>
      <c r="J11" s="3" t="s">
        <v>8601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8602</v>
      </c>
      <c r="C12" s="1" t="s">
        <v>8603</v>
      </c>
      <c r="D12" s="1" t="s">
        <v>8604</v>
      </c>
      <c r="E12" s="1" t="s">
        <v>8605</v>
      </c>
      <c r="F12" s="1" t="s">
        <v>8606</v>
      </c>
      <c r="G12" s="1" t="s">
        <v>8607</v>
      </c>
      <c r="H12" s="3"/>
      <c r="I12" s="3" t="s">
        <v>59</v>
      </c>
      <c r="J12" s="3" t="s">
        <v>8461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8608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2842</v>
      </c>
      <c r="B20" s="14">
        <v>270547</v>
      </c>
      <c r="C20" s="14">
        <v>270547</v>
      </c>
      <c r="D20" s="14" t="s">
        <v>8609</v>
      </c>
      <c r="E20" s="14" t="s">
        <v>1007</v>
      </c>
      <c r="F20" s="14" t="s">
        <v>8610</v>
      </c>
      <c r="G20" s="21" t="s">
        <v>8611</v>
      </c>
      <c r="H20" s="21" t="s">
        <v>8612</v>
      </c>
      <c r="I20" s="14" t="s">
        <v>88</v>
      </c>
      <c r="J20" s="14">
        <v>1</v>
      </c>
      <c r="K20" s="14">
        <v>1</v>
      </c>
      <c r="L20" s="14" t="s">
        <v>8613</v>
      </c>
      <c r="M20" s="19" t="s">
        <v>2323</v>
      </c>
      <c r="N20" s="14" t="s">
        <v>8614</v>
      </c>
      <c r="O20" s="14" t="s">
        <v>8615</v>
      </c>
      <c r="P20" s="14" t="str">
        <f>HYPERLINK("https://dexscreener.com/solana/DRTeDJXZYYZxmq3tmgSPvLi3ef5E51cRH1KzzwXvC5M7", "View")</f>
        <v>View</v>
      </c>
    </row>
    <row r="21" spans="1:16" x14ac:dyDescent="0.25">
      <c r="A21" s="16" t="s">
        <v>8616</v>
      </c>
      <c r="B21" s="17">
        <v>65187500</v>
      </c>
      <c r="C21" s="17">
        <v>65187500</v>
      </c>
      <c r="D21" s="17" t="s">
        <v>8617</v>
      </c>
      <c r="E21" s="17" t="s">
        <v>8618</v>
      </c>
      <c r="F21" s="17" t="s">
        <v>8619</v>
      </c>
      <c r="G21" s="20" t="s">
        <v>1616</v>
      </c>
      <c r="H21" s="20" t="s">
        <v>8620</v>
      </c>
      <c r="I21" s="17" t="s">
        <v>88</v>
      </c>
      <c r="J21" s="17">
        <v>1</v>
      </c>
      <c r="K21" s="17">
        <v>1</v>
      </c>
      <c r="L21" s="17" t="s">
        <v>8621</v>
      </c>
      <c r="M21" s="19" t="s">
        <v>2189</v>
      </c>
      <c r="N21" s="17" t="s">
        <v>1011</v>
      </c>
      <c r="O21" s="17" t="s">
        <v>8622</v>
      </c>
      <c r="P21" s="17" t="str">
        <f>HYPERLINK("https://photon-sol.tinyastro.io/en/lp/7TRK4VkEFeWDyYRJQxswQ9gcsCsuASTdmmCS5Sogpump?handle=676050794bc1b1657a56b", "View")</f>
        <v>View</v>
      </c>
    </row>
    <row r="22" spans="1:16" x14ac:dyDescent="0.25">
      <c r="A22" s="13" t="s">
        <v>8623</v>
      </c>
      <c r="B22" s="14">
        <v>63099752</v>
      </c>
      <c r="C22" s="14">
        <v>63099752</v>
      </c>
      <c r="D22" s="14" t="s">
        <v>8624</v>
      </c>
      <c r="E22" s="14" t="s">
        <v>933</v>
      </c>
      <c r="F22" s="14" t="s">
        <v>8625</v>
      </c>
      <c r="G22" s="22" t="s">
        <v>3459</v>
      </c>
      <c r="H22" s="22" t="s">
        <v>8626</v>
      </c>
      <c r="I22" s="14" t="s">
        <v>88</v>
      </c>
      <c r="J22" s="14">
        <v>1</v>
      </c>
      <c r="K22" s="14">
        <v>1</v>
      </c>
      <c r="L22" s="14" t="s">
        <v>8627</v>
      </c>
      <c r="M22" s="19" t="s">
        <v>2937</v>
      </c>
      <c r="N22" s="14" t="s">
        <v>8628</v>
      </c>
      <c r="O22" s="14" t="s">
        <v>8629</v>
      </c>
      <c r="P22" s="14" t="str">
        <f>HYPERLINK("https://photon-sol.tinyastro.io/en/lp/CMTNpPgqu3bkxm6ggZcMWjksno8EW4zHAYvG7uXZpump?handle=676050794bc1b1657a56b", "View")</f>
        <v>View</v>
      </c>
    </row>
    <row r="23" spans="1:16" x14ac:dyDescent="0.25">
      <c r="A23" s="16" t="s">
        <v>8630</v>
      </c>
      <c r="B23" s="17">
        <v>63024194</v>
      </c>
      <c r="C23" s="17">
        <v>63024194</v>
      </c>
      <c r="D23" s="17" t="s">
        <v>8631</v>
      </c>
      <c r="E23" s="17" t="s">
        <v>8632</v>
      </c>
      <c r="F23" s="17" t="s">
        <v>8633</v>
      </c>
      <c r="G23" s="22" t="s">
        <v>8634</v>
      </c>
      <c r="H23" s="22" t="s">
        <v>8635</v>
      </c>
      <c r="I23" s="17" t="s">
        <v>88</v>
      </c>
      <c r="J23" s="17">
        <v>1</v>
      </c>
      <c r="K23" s="17">
        <v>1</v>
      </c>
      <c r="L23" s="17" t="s">
        <v>8636</v>
      </c>
      <c r="M23" s="19" t="s">
        <v>2525</v>
      </c>
      <c r="N23" s="17" t="s">
        <v>2316</v>
      </c>
      <c r="O23" s="17" t="s">
        <v>8637</v>
      </c>
      <c r="P23" s="17" t="str">
        <f>HYPERLINK("https://photon-sol.tinyastro.io/en/lp/8a83am9J1zTyuL8g8n8hb7DiWYB9bKVWmg55qtrppump?handle=676050794bc1b1657a56b", "View")</f>
        <v>View</v>
      </c>
    </row>
    <row r="24" spans="1:16" x14ac:dyDescent="0.25">
      <c r="A24" s="13" t="s">
        <v>8638</v>
      </c>
      <c r="B24" s="14">
        <v>91671554</v>
      </c>
      <c r="C24" s="14">
        <v>91671554</v>
      </c>
      <c r="D24" s="14" t="s">
        <v>8639</v>
      </c>
      <c r="E24" s="14" t="s">
        <v>8640</v>
      </c>
      <c r="F24" s="14" t="s">
        <v>8641</v>
      </c>
      <c r="G24" s="22" t="s">
        <v>8642</v>
      </c>
      <c r="H24" s="22" t="s">
        <v>8643</v>
      </c>
      <c r="I24" s="14" t="s">
        <v>88</v>
      </c>
      <c r="J24" s="14">
        <v>1</v>
      </c>
      <c r="K24" s="14">
        <v>1</v>
      </c>
      <c r="L24" s="14" t="s">
        <v>8644</v>
      </c>
      <c r="M24" s="19" t="s">
        <v>2937</v>
      </c>
      <c r="N24" s="14" t="s">
        <v>4634</v>
      </c>
      <c r="O24" s="14" t="s">
        <v>8645</v>
      </c>
      <c r="P24" s="14" t="str">
        <f>HYPERLINK("https://photon-sol.tinyastro.io/en/lp/3uvc6PNHgPHaW4xcfffs979hqttrc2QzcJyVhMAfpump?handle=676050794bc1b1657a56b", "View")</f>
        <v>View</v>
      </c>
    </row>
    <row r="25" spans="1:16" x14ac:dyDescent="0.25">
      <c r="A25" s="16" t="s">
        <v>8646</v>
      </c>
      <c r="B25" s="17">
        <v>85950413</v>
      </c>
      <c r="C25" s="17">
        <v>85950413</v>
      </c>
      <c r="D25" s="17" t="s">
        <v>8647</v>
      </c>
      <c r="E25" s="17" t="s">
        <v>8648</v>
      </c>
      <c r="F25" s="17" t="s">
        <v>8649</v>
      </c>
      <c r="G25" s="22" t="s">
        <v>8650</v>
      </c>
      <c r="H25" s="22" t="s">
        <v>8651</v>
      </c>
      <c r="I25" s="17" t="s">
        <v>88</v>
      </c>
      <c r="J25" s="17">
        <v>1</v>
      </c>
      <c r="K25" s="17">
        <v>1</v>
      </c>
      <c r="L25" s="17" t="s">
        <v>8652</v>
      </c>
      <c r="M25" s="19" t="s">
        <v>2955</v>
      </c>
      <c r="N25" s="17" t="s">
        <v>2316</v>
      </c>
      <c r="O25" s="17" t="s">
        <v>8653</v>
      </c>
      <c r="P25" s="17" t="str">
        <f>HYPERLINK("https://photon-sol.tinyastro.io/en/lp/3cXZAS1fwqUqQ4Wj7MHXHh47CDTKmgCMNq9g28qEpump?handle=676050794bc1b1657a56b", "View")</f>
        <v>View</v>
      </c>
    </row>
    <row r="26" spans="1:16" x14ac:dyDescent="0.25">
      <c r="A26" s="13" t="s">
        <v>8654</v>
      </c>
      <c r="B26" s="14">
        <v>61631155</v>
      </c>
      <c r="C26" s="14">
        <v>61631155</v>
      </c>
      <c r="D26" s="14" t="s">
        <v>8647</v>
      </c>
      <c r="E26" s="14" t="s">
        <v>8655</v>
      </c>
      <c r="F26" s="14" t="s">
        <v>8656</v>
      </c>
      <c r="G26" s="20" t="s">
        <v>8657</v>
      </c>
      <c r="H26" s="20" t="s">
        <v>8658</v>
      </c>
      <c r="I26" s="14" t="s">
        <v>88</v>
      </c>
      <c r="J26" s="14">
        <v>1</v>
      </c>
      <c r="K26" s="14">
        <v>1</v>
      </c>
      <c r="L26" s="14" t="s">
        <v>8659</v>
      </c>
      <c r="M26" s="19" t="s">
        <v>2525</v>
      </c>
      <c r="N26" s="14" t="s">
        <v>507</v>
      </c>
      <c r="O26" s="14" t="s">
        <v>8660</v>
      </c>
      <c r="P26" s="14" t="str">
        <f>HYPERLINK("https://photon-sol.tinyastro.io/en/lp/6NunKAsau8LGYSdNVe4zaZtLXqVmzbziLFhxZRdPpump?handle=676050794bc1b1657a56b", "View")</f>
        <v>View</v>
      </c>
    </row>
    <row r="27" spans="1:16" x14ac:dyDescent="0.25">
      <c r="A27" s="16" t="s">
        <v>8661</v>
      </c>
      <c r="B27" s="17">
        <v>59090909</v>
      </c>
      <c r="C27" s="17">
        <v>59090909</v>
      </c>
      <c r="D27" s="17" t="s">
        <v>8647</v>
      </c>
      <c r="E27" s="17" t="s">
        <v>8662</v>
      </c>
      <c r="F27" s="17" t="s">
        <v>8663</v>
      </c>
      <c r="G27" s="22" t="s">
        <v>4147</v>
      </c>
      <c r="H27" s="22" t="s">
        <v>8664</v>
      </c>
      <c r="I27" s="17" t="s">
        <v>88</v>
      </c>
      <c r="J27" s="17">
        <v>1</v>
      </c>
      <c r="K27" s="17">
        <v>1</v>
      </c>
      <c r="L27" s="17" t="s">
        <v>8665</v>
      </c>
      <c r="M27" s="19" t="s">
        <v>2993</v>
      </c>
      <c r="N27" s="17" t="s">
        <v>3908</v>
      </c>
      <c r="O27" s="17" t="s">
        <v>8666</v>
      </c>
      <c r="P27" s="17" t="str">
        <f>HYPERLINK("https://photon-sol.tinyastro.io/en/lp/DAsdNS8JVuVQErUbYdADM75LgBmKYumdsLtgxteXpump?handle=676050794bc1b1657a56b", "View")</f>
        <v>View</v>
      </c>
    </row>
    <row r="28" spans="1:16" x14ac:dyDescent="0.25">
      <c r="A28" s="13" t="s">
        <v>6371</v>
      </c>
      <c r="B28" s="14">
        <v>61112088</v>
      </c>
      <c r="C28" s="14">
        <v>61112088</v>
      </c>
      <c r="D28" s="14" t="s">
        <v>8647</v>
      </c>
      <c r="E28" s="14" t="s">
        <v>8667</v>
      </c>
      <c r="F28" s="14" t="s">
        <v>8668</v>
      </c>
      <c r="G28" s="21" t="s">
        <v>8157</v>
      </c>
      <c r="H28" s="21" t="s">
        <v>8669</v>
      </c>
      <c r="I28" s="14" t="s">
        <v>88</v>
      </c>
      <c r="J28" s="14">
        <v>1</v>
      </c>
      <c r="K28" s="14">
        <v>1</v>
      </c>
      <c r="L28" s="14" t="s">
        <v>8670</v>
      </c>
      <c r="M28" s="19" t="s">
        <v>2937</v>
      </c>
      <c r="N28" s="14" t="s">
        <v>507</v>
      </c>
      <c r="O28" s="14" t="s">
        <v>8671</v>
      </c>
      <c r="P28" s="14" t="str">
        <f>HYPERLINK("https://photon-sol.tinyastro.io/en/lp/3wWAQK8fAy3iRwsneeAFysDJyA33P6p7tABi3eTLKZP4?handle=676050794bc1b1657a56b", "View")</f>
        <v>View</v>
      </c>
    </row>
    <row r="29" spans="1:16" x14ac:dyDescent="0.25">
      <c r="A29" s="16" t="s">
        <v>8672</v>
      </c>
      <c r="B29" s="17">
        <v>62505000</v>
      </c>
      <c r="C29" s="17">
        <v>62505000</v>
      </c>
      <c r="D29" s="17" t="s">
        <v>8631</v>
      </c>
      <c r="E29" s="17" t="s">
        <v>8673</v>
      </c>
      <c r="F29" s="17" t="s">
        <v>8674</v>
      </c>
      <c r="G29" s="21" t="s">
        <v>8675</v>
      </c>
      <c r="H29" s="21" t="s">
        <v>8676</v>
      </c>
      <c r="I29" s="17" t="s">
        <v>88</v>
      </c>
      <c r="J29" s="17">
        <v>1</v>
      </c>
      <c r="K29" s="17">
        <v>1</v>
      </c>
      <c r="L29" s="17" t="s">
        <v>8677</v>
      </c>
      <c r="M29" s="19" t="s">
        <v>2486</v>
      </c>
      <c r="N29" s="17" t="s">
        <v>507</v>
      </c>
      <c r="O29" s="17" t="s">
        <v>8678</v>
      </c>
      <c r="P29" s="17" t="str">
        <f>HYPERLINK("https://photon-sol.tinyastro.io/en/lp/4QPeRnMrdNdPtTTg6YqQD1Qn6yyQ46ctGKTYYDndpump?handle=676050794bc1b1657a56b", "View")</f>
        <v>View</v>
      </c>
    </row>
    <row r="30" spans="1:16" x14ac:dyDescent="0.25">
      <c r="A30" s="13" t="s">
        <v>8679</v>
      </c>
      <c r="B30" s="14">
        <v>54024073</v>
      </c>
      <c r="C30" s="14">
        <v>54024073</v>
      </c>
      <c r="D30" s="14" t="s">
        <v>8647</v>
      </c>
      <c r="E30" s="14" t="s">
        <v>8680</v>
      </c>
      <c r="F30" s="14" t="s">
        <v>8681</v>
      </c>
      <c r="G30" s="20" t="s">
        <v>7533</v>
      </c>
      <c r="H30" s="20" t="s">
        <v>1599</v>
      </c>
      <c r="I30" s="14" t="s">
        <v>88</v>
      </c>
      <c r="J30" s="14">
        <v>1</v>
      </c>
      <c r="K30" s="14">
        <v>1</v>
      </c>
      <c r="L30" s="14" t="s">
        <v>8682</v>
      </c>
      <c r="M30" s="19" t="s">
        <v>2189</v>
      </c>
      <c r="N30" s="14" t="s">
        <v>1011</v>
      </c>
      <c r="O30" s="14" t="s">
        <v>8683</v>
      </c>
      <c r="P30" s="14" t="str">
        <f>HYPERLINK("https://photon-sol.tinyastro.io/en/lp/Ai3sknWs9ULV8Edfckz2gWqwkNb3JjzQ3DNBSWqvRQXh?handle=676050794bc1b1657a56b", "View")</f>
        <v>View</v>
      </c>
    </row>
    <row r="31" spans="1:16" x14ac:dyDescent="0.25">
      <c r="A31" s="16" t="s">
        <v>8684</v>
      </c>
      <c r="B31" s="17">
        <v>61112088</v>
      </c>
      <c r="C31" s="17">
        <v>61112088</v>
      </c>
      <c r="D31" s="17" t="s">
        <v>8685</v>
      </c>
      <c r="E31" s="17" t="s">
        <v>8686</v>
      </c>
      <c r="F31" s="17" t="s">
        <v>8687</v>
      </c>
      <c r="G31" s="21" t="s">
        <v>2862</v>
      </c>
      <c r="H31" s="21" t="s">
        <v>8688</v>
      </c>
      <c r="I31" s="17" t="s">
        <v>88</v>
      </c>
      <c r="J31" s="17">
        <v>1</v>
      </c>
      <c r="K31" s="17">
        <v>1</v>
      </c>
      <c r="L31" s="17" t="s">
        <v>8689</v>
      </c>
      <c r="M31" s="19" t="s">
        <v>2993</v>
      </c>
      <c r="N31" s="17" t="s">
        <v>3164</v>
      </c>
      <c r="O31" s="17" t="s">
        <v>8690</v>
      </c>
      <c r="P31" s="17" t="str">
        <f>HYPERLINK("https://photon-sol.tinyastro.io/en/lp/JE5zMmRGq4dhjeFxV9JsAcoDEgMQ3riGPXUBELsBpump?handle=676050794bc1b1657a56b", "View")</f>
        <v>View</v>
      </c>
    </row>
    <row r="32" spans="1:16" x14ac:dyDescent="0.25">
      <c r="A32" s="13" t="s">
        <v>4737</v>
      </c>
      <c r="B32" s="14">
        <v>58937500</v>
      </c>
      <c r="C32" s="14">
        <v>58937500</v>
      </c>
      <c r="D32" s="14" t="s">
        <v>8639</v>
      </c>
      <c r="E32" s="14" t="s">
        <v>8691</v>
      </c>
      <c r="F32" s="14" t="s">
        <v>8692</v>
      </c>
      <c r="G32" s="21" t="s">
        <v>8693</v>
      </c>
      <c r="H32" s="21" t="s">
        <v>8694</v>
      </c>
      <c r="I32" s="14" t="s">
        <v>88</v>
      </c>
      <c r="J32" s="14">
        <v>1</v>
      </c>
      <c r="K32" s="14">
        <v>1</v>
      </c>
      <c r="L32" s="14" t="s">
        <v>8695</v>
      </c>
      <c r="M32" s="14" t="s">
        <v>602</v>
      </c>
      <c r="N32" s="14" t="s">
        <v>8696</v>
      </c>
      <c r="O32" s="14" t="s">
        <v>4743</v>
      </c>
      <c r="P32" s="14" t="str">
        <f>HYPERLINK("https://photon-sol.tinyastro.io/en/lp/9vMVrZxpyzZGdDxvTiwjPuTco8VuXQFoZPzrUoPSpump?handle=676050794bc1b1657a56b", "View")</f>
        <v>View</v>
      </c>
    </row>
    <row r="33" spans="1:16" x14ac:dyDescent="0.25">
      <c r="A33" s="16" t="s">
        <v>8697</v>
      </c>
      <c r="B33" s="17">
        <v>63024194</v>
      </c>
      <c r="C33" s="17">
        <v>63024194</v>
      </c>
      <c r="D33" s="17" t="s">
        <v>8631</v>
      </c>
      <c r="E33" s="17" t="s">
        <v>933</v>
      </c>
      <c r="F33" s="17" t="s">
        <v>8698</v>
      </c>
      <c r="G33" s="21" t="s">
        <v>8699</v>
      </c>
      <c r="H33" s="21" t="s">
        <v>8700</v>
      </c>
      <c r="I33" s="17" t="s">
        <v>88</v>
      </c>
      <c r="J33" s="17">
        <v>1</v>
      </c>
      <c r="K33" s="17">
        <v>1</v>
      </c>
      <c r="L33" s="17" t="s">
        <v>8701</v>
      </c>
      <c r="M33" s="19" t="s">
        <v>3158</v>
      </c>
      <c r="N33" s="17" t="s">
        <v>8702</v>
      </c>
      <c r="O33" s="17" t="s">
        <v>8703</v>
      </c>
      <c r="P33" s="17" t="str">
        <f>HYPERLINK("https://photon-sol.tinyastro.io/en/lp/4ctFgiP8ewkiayWaqWGzArv1PjMNLQvDcqM6BvZ9pump?handle=676050794bc1b1657a56b", "View")</f>
        <v>View</v>
      </c>
    </row>
    <row r="34" spans="1:16" x14ac:dyDescent="0.25">
      <c r="A34" s="13" t="s">
        <v>8623</v>
      </c>
      <c r="B34" s="14">
        <v>54024073</v>
      </c>
      <c r="C34" s="14">
        <v>54024073</v>
      </c>
      <c r="D34" s="14" t="s">
        <v>8685</v>
      </c>
      <c r="E34" s="14" t="s">
        <v>8680</v>
      </c>
      <c r="F34" s="14" t="s">
        <v>8704</v>
      </c>
      <c r="G34" s="22" t="s">
        <v>4196</v>
      </c>
      <c r="H34" s="22" t="s">
        <v>8705</v>
      </c>
      <c r="I34" s="14" t="s">
        <v>88</v>
      </c>
      <c r="J34" s="14">
        <v>1</v>
      </c>
      <c r="K34" s="14">
        <v>1</v>
      </c>
      <c r="L34" s="14" t="s">
        <v>8706</v>
      </c>
      <c r="M34" s="19" t="s">
        <v>3000</v>
      </c>
      <c r="N34" s="14" t="s">
        <v>2316</v>
      </c>
      <c r="O34" s="14" t="s">
        <v>8707</v>
      </c>
      <c r="P34" s="14" t="str">
        <f>HYPERLINK("https://photon-sol.tinyastro.io/en/lp/GgJPREPbVQzuNnPpnTGhTC9Q28QMfE4qyV1Ewukmpump?handle=676050794bc1b1657a56b", "View")</f>
        <v>View</v>
      </c>
    </row>
    <row r="35" spans="1:16" x14ac:dyDescent="0.25">
      <c r="A35" s="16" t="s">
        <v>8708</v>
      </c>
      <c r="B35" s="17">
        <v>62094108</v>
      </c>
      <c r="C35" s="17">
        <v>62094108</v>
      </c>
      <c r="D35" s="17" t="s">
        <v>8685</v>
      </c>
      <c r="E35" s="17" t="s">
        <v>8680</v>
      </c>
      <c r="F35" s="17" t="s">
        <v>8709</v>
      </c>
      <c r="G35" s="22" t="s">
        <v>3757</v>
      </c>
      <c r="H35" s="22" t="s">
        <v>8710</v>
      </c>
      <c r="I35" s="17" t="s">
        <v>88</v>
      </c>
      <c r="J35" s="17">
        <v>1</v>
      </c>
      <c r="K35" s="17">
        <v>1</v>
      </c>
      <c r="L35" s="17" t="s">
        <v>8711</v>
      </c>
      <c r="M35" s="19" t="s">
        <v>2315</v>
      </c>
      <c r="N35" s="17" t="s">
        <v>2316</v>
      </c>
      <c r="O35" s="17" t="s">
        <v>8712</v>
      </c>
      <c r="P35" s="17" t="str">
        <f>HYPERLINK("https://photon-sol.tinyastro.io/en/lp/J89Sq5LARNT1mK2SHu8obr5U2JtTgR3JVc24TNbFpump?handle=676050794bc1b1657a56b", "View")</f>
        <v>View</v>
      </c>
    </row>
    <row r="36" spans="1:16" x14ac:dyDescent="0.25">
      <c r="A36" s="13" t="s">
        <v>8713</v>
      </c>
      <c r="B36" s="14">
        <v>61112088</v>
      </c>
      <c r="C36" s="14">
        <v>61112088</v>
      </c>
      <c r="D36" s="14" t="s">
        <v>8685</v>
      </c>
      <c r="E36" s="14" t="s">
        <v>8686</v>
      </c>
      <c r="F36" s="14" t="s">
        <v>8714</v>
      </c>
      <c r="G36" s="21" t="s">
        <v>8715</v>
      </c>
      <c r="H36" s="21" t="s">
        <v>8716</v>
      </c>
      <c r="I36" s="14" t="s">
        <v>88</v>
      </c>
      <c r="J36" s="14">
        <v>1</v>
      </c>
      <c r="K36" s="14">
        <v>1</v>
      </c>
      <c r="L36" s="14" t="s">
        <v>8717</v>
      </c>
      <c r="M36" s="19" t="s">
        <v>2509</v>
      </c>
      <c r="N36" s="14" t="s">
        <v>8718</v>
      </c>
      <c r="O36" s="14" t="s">
        <v>8719</v>
      </c>
      <c r="P36" s="14" t="str">
        <f>HYPERLINK("https://photon-sol.tinyastro.io/en/lp/7hUmL7xHWmwpYGdtVfQckPXgGuKxEBhywqZF4WPB5da7?handle=676050794bc1b1657a56b", "View")</f>
        <v>View</v>
      </c>
    </row>
    <row r="37" spans="1:16" x14ac:dyDescent="0.25">
      <c r="A37" s="16" t="s">
        <v>8720</v>
      </c>
      <c r="B37" s="17">
        <v>61112088</v>
      </c>
      <c r="C37" s="17">
        <v>61112088</v>
      </c>
      <c r="D37" s="17" t="s">
        <v>8721</v>
      </c>
      <c r="E37" s="17" t="s">
        <v>8686</v>
      </c>
      <c r="F37" s="17" t="s">
        <v>2785</v>
      </c>
      <c r="G37" s="21" t="s">
        <v>8722</v>
      </c>
      <c r="H37" s="21" t="s">
        <v>8723</v>
      </c>
      <c r="I37" s="17" t="s">
        <v>88</v>
      </c>
      <c r="J37" s="17">
        <v>1</v>
      </c>
      <c r="K37" s="17">
        <v>1</v>
      </c>
      <c r="L37" s="17" t="s">
        <v>8724</v>
      </c>
      <c r="M37" s="19" t="s">
        <v>1856</v>
      </c>
      <c r="N37" s="17" t="s">
        <v>7713</v>
      </c>
      <c r="O37" s="17" t="s">
        <v>8725</v>
      </c>
      <c r="P37" s="17" t="str">
        <f>HYPERLINK("https://photon-sol.tinyastro.io/en/lp/5ecf1RTtEJSrVjUhjT5uLCWF1v3bSMgxagvhYc9spump?handle=676050794bc1b1657a56b", "View")</f>
        <v>View</v>
      </c>
    </row>
    <row r="38" spans="1:16" x14ac:dyDescent="0.25">
      <c r="A38" s="13" t="s">
        <v>8726</v>
      </c>
      <c r="B38" s="14">
        <v>60996094</v>
      </c>
      <c r="C38" s="14">
        <v>60996094</v>
      </c>
      <c r="D38" s="14" t="s">
        <v>8639</v>
      </c>
      <c r="E38" s="14" t="s">
        <v>8727</v>
      </c>
      <c r="F38" s="14" t="s">
        <v>8728</v>
      </c>
      <c r="G38" s="20" t="s">
        <v>8729</v>
      </c>
      <c r="H38" s="20" t="s">
        <v>8730</v>
      </c>
      <c r="I38" s="14" t="s">
        <v>88</v>
      </c>
      <c r="J38" s="14">
        <v>1</v>
      </c>
      <c r="K38" s="14">
        <v>1</v>
      </c>
      <c r="L38" s="14" t="s">
        <v>8731</v>
      </c>
      <c r="M38" s="19" t="s">
        <v>2486</v>
      </c>
      <c r="N38" s="14" t="s">
        <v>2585</v>
      </c>
      <c r="O38" s="14" t="s">
        <v>8732</v>
      </c>
      <c r="P38" s="14" t="str">
        <f>HYPERLINK("https://photon-sol.tinyastro.io/en/lp/GxS1Uv83DwXYMVWxxnN5ZNUGtCfKyNMnww3Wx2ctpump?handle=676050794bc1b1657a56b", "View")</f>
        <v>View</v>
      </c>
    </row>
    <row r="39" spans="1:16" x14ac:dyDescent="0.25">
      <c r="A39" s="16" t="s">
        <v>8733</v>
      </c>
      <c r="B39" s="17">
        <v>59090909</v>
      </c>
      <c r="C39" s="17">
        <v>59090909</v>
      </c>
      <c r="D39" s="17" t="s">
        <v>8647</v>
      </c>
      <c r="E39" s="17" t="s">
        <v>8734</v>
      </c>
      <c r="F39" s="17" t="s">
        <v>7900</v>
      </c>
      <c r="G39" s="21" t="s">
        <v>7943</v>
      </c>
      <c r="H39" s="21" t="s">
        <v>8735</v>
      </c>
      <c r="I39" s="17" t="s">
        <v>88</v>
      </c>
      <c r="J39" s="17">
        <v>1</v>
      </c>
      <c r="K39" s="17">
        <v>1</v>
      </c>
      <c r="L39" s="17" t="s">
        <v>8736</v>
      </c>
      <c r="M39" s="19" t="s">
        <v>2993</v>
      </c>
      <c r="N39" s="17" t="s">
        <v>7713</v>
      </c>
      <c r="O39" s="17" t="s">
        <v>8737</v>
      </c>
      <c r="P39" s="17" t="str">
        <f>HYPERLINK("https://photon-sol.tinyastro.io/en/lp/EXUuK8NXYVAwipWro4z5JGEvQFTSbbDPCAKFXgn1pdE?handle=676050794bc1b1657a56b", "View")</f>
        <v>View</v>
      </c>
    </row>
    <row r="40" spans="1:16" x14ac:dyDescent="0.25">
      <c r="A40" s="13" t="s">
        <v>8738</v>
      </c>
      <c r="B40" s="14">
        <v>59090909</v>
      </c>
      <c r="C40" s="14">
        <v>59090909</v>
      </c>
      <c r="D40" s="14" t="s">
        <v>8739</v>
      </c>
      <c r="E40" s="14" t="s">
        <v>8740</v>
      </c>
      <c r="F40" s="14" t="s">
        <v>8741</v>
      </c>
      <c r="G40" s="22" t="s">
        <v>8742</v>
      </c>
      <c r="H40" s="22" t="s">
        <v>8743</v>
      </c>
      <c r="I40" s="14" t="s">
        <v>88</v>
      </c>
      <c r="J40" s="14">
        <v>1</v>
      </c>
      <c r="K40" s="14">
        <v>1</v>
      </c>
      <c r="L40" s="14" t="s">
        <v>8744</v>
      </c>
      <c r="M40" s="19" t="s">
        <v>2993</v>
      </c>
      <c r="N40" s="14" t="s">
        <v>2459</v>
      </c>
      <c r="O40" s="14" t="s">
        <v>8745</v>
      </c>
      <c r="P40" s="14" t="str">
        <f>HYPERLINK("https://photon-sol.tinyastro.io/en/lp/7SwHsMU98HKJauLHZ5Jvw7WMraABesPFoqrfAsPHpump?handle=676050794bc1b1657a56b", "View")</f>
        <v>View</v>
      </c>
    </row>
    <row r="41" spans="1:16" x14ac:dyDescent="0.25">
      <c r="A41" s="16" t="s">
        <v>8746</v>
      </c>
      <c r="B41" s="17">
        <v>60996094</v>
      </c>
      <c r="C41" s="17">
        <v>60996094</v>
      </c>
      <c r="D41" s="17" t="s">
        <v>8739</v>
      </c>
      <c r="E41" s="17" t="s">
        <v>8747</v>
      </c>
      <c r="F41" s="17" t="s">
        <v>8748</v>
      </c>
      <c r="G41" s="21" t="s">
        <v>8749</v>
      </c>
      <c r="H41" s="21" t="s">
        <v>8750</v>
      </c>
      <c r="I41" s="17" t="s">
        <v>88</v>
      </c>
      <c r="J41" s="17">
        <v>1</v>
      </c>
      <c r="K41" s="17">
        <v>1</v>
      </c>
      <c r="L41" s="17" t="s">
        <v>8751</v>
      </c>
      <c r="M41" s="19" t="s">
        <v>2189</v>
      </c>
      <c r="N41" s="17" t="s">
        <v>8752</v>
      </c>
      <c r="O41" s="17" t="s">
        <v>8753</v>
      </c>
      <c r="P41" s="17" t="str">
        <f>HYPERLINK("https://photon-sol.tinyastro.io/en/lp/6ET4HW2dTY7CZpDKxShm1Mt86NvnXyE4Hn3w2tHEpump?handle=676050794bc1b1657a56b", "View")</f>
        <v>View</v>
      </c>
    </row>
    <row r="42" spans="1:16" x14ac:dyDescent="0.25">
      <c r="A42" s="13" t="s">
        <v>8754</v>
      </c>
      <c r="B42" s="14">
        <v>60996094</v>
      </c>
      <c r="C42" s="14">
        <v>60996094</v>
      </c>
      <c r="D42" s="14" t="s">
        <v>8685</v>
      </c>
      <c r="E42" s="14" t="s">
        <v>8755</v>
      </c>
      <c r="F42" s="14" t="s">
        <v>8756</v>
      </c>
      <c r="G42" s="21" t="s">
        <v>8757</v>
      </c>
      <c r="H42" s="21" t="s">
        <v>8758</v>
      </c>
      <c r="I42" s="14" t="s">
        <v>88</v>
      </c>
      <c r="J42" s="14">
        <v>1</v>
      </c>
      <c r="K42" s="14">
        <v>1</v>
      </c>
      <c r="L42" s="14" t="s">
        <v>8759</v>
      </c>
      <c r="M42" s="19" t="s">
        <v>2486</v>
      </c>
      <c r="N42" s="14" t="s">
        <v>3384</v>
      </c>
      <c r="O42" s="14" t="s">
        <v>8760</v>
      </c>
      <c r="P42" s="14" t="str">
        <f>HYPERLINK("https://photon-sol.tinyastro.io/en/lp/8rvoBUYgd3pXKEfh1EY6vJnoWspsMebLgmufhQXFaYYG?handle=676050794bc1b1657a56b", "View")</f>
        <v>View</v>
      </c>
    </row>
    <row r="43" spans="1:16" x14ac:dyDescent="0.25">
      <c r="A43" s="16" t="s">
        <v>8761</v>
      </c>
      <c r="B43" s="17">
        <v>49711538</v>
      </c>
      <c r="C43" s="17">
        <v>49711538</v>
      </c>
      <c r="D43" s="17" t="s">
        <v>8762</v>
      </c>
      <c r="E43" s="17" t="s">
        <v>8510</v>
      </c>
      <c r="F43" s="17" t="s">
        <v>8763</v>
      </c>
      <c r="G43" s="22" t="s">
        <v>8764</v>
      </c>
      <c r="H43" s="22" t="s">
        <v>8765</v>
      </c>
      <c r="I43" s="17" t="s">
        <v>88</v>
      </c>
      <c r="J43" s="17">
        <v>1</v>
      </c>
      <c r="K43" s="17">
        <v>1</v>
      </c>
      <c r="L43" s="17" t="s">
        <v>8766</v>
      </c>
      <c r="M43" s="19" t="s">
        <v>3069</v>
      </c>
      <c r="N43" s="17" t="s">
        <v>8767</v>
      </c>
      <c r="O43" s="17" t="s">
        <v>8768</v>
      </c>
      <c r="P43" s="17" t="str">
        <f>HYPERLINK("https://photon-sol.tinyastro.io/en/lp/2yPfaQuvHtM7ztvjKnfRB6vPhtwwFF1AqzKVNaJoNiM1?handle=676050794bc1b1657a56b", "View")</f>
        <v>View</v>
      </c>
    </row>
    <row r="44" spans="1:16" x14ac:dyDescent="0.25">
      <c r="A44" s="13" t="s">
        <v>8769</v>
      </c>
      <c r="B44" s="14">
        <v>61791930</v>
      </c>
      <c r="C44" s="14">
        <v>61791930</v>
      </c>
      <c r="D44" s="14" t="s">
        <v>8770</v>
      </c>
      <c r="E44" s="14" t="s">
        <v>8771</v>
      </c>
      <c r="F44" s="14" t="s">
        <v>8772</v>
      </c>
      <c r="G44" s="21" t="s">
        <v>8773</v>
      </c>
      <c r="H44" s="21" t="s">
        <v>8774</v>
      </c>
      <c r="I44" s="14" t="s">
        <v>88</v>
      </c>
      <c r="J44" s="14">
        <v>1</v>
      </c>
      <c r="K44" s="14">
        <v>1</v>
      </c>
      <c r="L44" s="14" t="s">
        <v>8775</v>
      </c>
      <c r="M44" s="19" t="s">
        <v>2525</v>
      </c>
      <c r="N44" s="14" t="s">
        <v>7713</v>
      </c>
      <c r="O44" s="14" t="s">
        <v>8776</v>
      </c>
      <c r="P44" s="14" t="str">
        <f>HYPERLINK("https://photon-sol.tinyastro.io/en/lp/HTxyMvAL5wJLeb1AjhBtQm9CzxdSFziy1yq9aqLVpump?handle=676050794bc1b1657a56b", "View")</f>
        <v>View</v>
      </c>
    </row>
    <row r="45" spans="1:16" x14ac:dyDescent="0.25">
      <c r="A45" s="16" t="s">
        <v>8777</v>
      </c>
      <c r="B45" s="17">
        <v>61112088</v>
      </c>
      <c r="C45" s="17">
        <v>61112088</v>
      </c>
      <c r="D45" s="17" t="s">
        <v>8631</v>
      </c>
      <c r="E45" s="17" t="s">
        <v>8686</v>
      </c>
      <c r="F45" s="17" t="s">
        <v>8778</v>
      </c>
      <c r="G45" s="21" t="s">
        <v>8779</v>
      </c>
      <c r="H45" s="21" t="s">
        <v>8780</v>
      </c>
      <c r="I45" s="17" t="s">
        <v>88</v>
      </c>
      <c r="J45" s="17">
        <v>1</v>
      </c>
      <c r="K45" s="17">
        <v>1</v>
      </c>
      <c r="L45" s="17" t="s">
        <v>8781</v>
      </c>
      <c r="M45" s="19" t="s">
        <v>2486</v>
      </c>
      <c r="N45" s="17" t="s">
        <v>8782</v>
      </c>
      <c r="O45" s="17" t="s">
        <v>8783</v>
      </c>
      <c r="P45" s="17" t="str">
        <f>HYPERLINK("https://photon-sol.tinyastro.io/en/lp/5Fpoz1xn1dBCD5gLtajVafG8fjqtydLmYYPvz3Pxpump?handle=676050794bc1b1657a56b", "View")</f>
        <v>View</v>
      </c>
    </row>
    <row r="46" spans="1:16" x14ac:dyDescent="0.25">
      <c r="A46" s="13" t="s">
        <v>8784</v>
      </c>
      <c r="B46" s="14">
        <v>60342988</v>
      </c>
      <c r="C46" s="14">
        <v>60342988</v>
      </c>
      <c r="D46" s="14" t="s">
        <v>8762</v>
      </c>
      <c r="E46" s="14" t="s">
        <v>8686</v>
      </c>
      <c r="F46" s="14" t="s">
        <v>8785</v>
      </c>
      <c r="G46" s="21" t="s">
        <v>8786</v>
      </c>
      <c r="H46" s="21" t="s">
        <v>8787</v>
      </c>
      <c r="I46" s="14" t="s">
        <v>88</v>
      </c>
      <c r="J46" s="14">
        <v>1</v>
      </c>
      <c r="K46" s="14">
        <v>1</v>
      </c>
      <c r="L46" s="14" t="s">
        <v>8788</v>
      </c>
      <c r="M46" s="14" t="s">
        <v>1434</v>
      </c>
      <c r="N46" s="14" t="s">
        <v>8789</v>
      </c>
      <c r="O46" s="14" t="s">
        <v>8790</v>
      </c>
      <c r="P46" s="14" t="str">
        <f>HYPERLINK("https://photon-sol.tinyastro.io/en/lp/7hBjxCZyYmP7GzTLtaYw6uovHP1CXDayHg2LdPjVpump?handle=676050794bc1b1657a56b", "View")</f>
        <v>View</v>
      </c>
    </row>
    <row r="47" spans="1:16" x14ac:dyDescent="0.25">
      <c r="A47" s="16" t="s">
        <v>8791</v>
      </c>
      <c r="B47" s="17">
        <v>58936117</v>
      </c>
      <c r="C47" s="17">
        <v>58936117</v>
      </c>
      <c r="D47" s="17" t="s">
        <v>8631</v>
      </c>
      <c r="E47" s="17" t="s">
        <v>8792</v>
      </c>
      <c r="F47" s="17" t="s">
        <v>8793</v>
      </c>
      <c r="G47" s="21" t="s">
        <v>4059</v>
      </c>
      <c r="H47" s="21" t="s">
        <v>8794</v>
      </c>
      <c r="I47" s="17" t="s">
        <v>88</v>
      </c>
      <c r="J47" s="17">
        <v>1</v>
      </c>
      <c r="K47" s="17">
        <v>1</v>
      </c>
      <c r="L47" s="17" t="s">
        <v>8795</v>
      </c>
      <c r="M47" s="19" t="s">
        <v>2189</v>
      </c>
      <c r="N47" s="17" t="s">
        <v>8796</v>
      </c>
      <c r="O47" s="17" t="s">
        <v>8797</v>
      </c>
      <c r="P47" s="17" t="str">
        <f>HYPERLINK("https://photon-sol.tinyastro.io/en/lp/BcnQmjHhapKwGCeWTZD8R9gHHFLqPwx8EdxmXmJCpump?handle=676050794bc1b1657a56b", "View")</f>
        <v>View</v>
      </c>
    </row>
    <row r="48" spans="1:16" x14ac:dyDescent="0.25">
      <c r="A48" s="13" t="s">
        <v>8798</v>
      </c>
      <c r="B48" s="14">
        <v>59090909</v>
      </c>
      <c r="C48" s="14">
        <v>59090909</v>
      </c>
      <c r="D48" s="14" t="s">
        <v>8799</v>
      </c>
      <c r="E48" s="14" t="s">
        <v>8800</v>
      </c>
      <c r="F48" s="14" t="s">
        <v>8801</v>
      </c>
      <c r="G48" s="20" t="s">
        <v>3618</v>
      </c>
      <c r="H48" s="20" t="s">
        <v>5199</v>
      </c>
      <c r="I48" s="14" t="s">
        <v>88</v>
      </c>
      <c r="J48" s="14">
        <v>1</v>
      </c>
      <c r="K48" s="14">
        <v>1</v>
      </c>
      <c r="L48" s="14" t="s">
        <v>8802</v>
      </c>
      <c r="M48" s="19" t="s">
        <v>1827</v>
      </c>
      <c r="N48" s="14" t="s">
        <v>1011</v>
      </c>
      <c r="O48" s="14" t="s">
        <v>8803</v>
      </c>
      <c r="P48" s="14" t="str">
        <f>HYPERLINK("https://photon-sol.tinyastro.io/en/lp/2qDqvYA2Hr2k4LVyVaFrZZED4BguakjpybJKTg51pump?handle=676050794bc1b1657a56b", "View")</f>
        <v>View</v>
      </c>
    </row>
    <row r="49" spans="1:16" x14ac:dyDescent="0.25">
      <c r="A49" s="16" t="s">
        <v>8804</v>
      </c>
      <c r="B49" s="17">
        <v>63024194</v>
      </c>
      <c r="C49" s="17">
        <v>63024194</v>
      </c>
      <c r="D49" s="17" t="s">
        <v>8805</v>
      </c>
      <c r="E49" s="17" t="s">
        <v>8806</v>
      </c>
      <c r="F49" s="17" t="s">
        <v>8807</v>
      </c>
      <c r="G49" s="21" t="s">
        <v>8808</v>
      </c>
      <c r="H49" s="21" t="s">
        <v>8809</v>
      </c>
      <c r="I49" s="17" t="s">
        <v>88</v>
      </c>
      <c r="J49" s="17">
        <v>1</v>
      </c>
      <c r="K49" s="17">
        <v>1</v>
      </c>
      <c r="L49" s="17" t="s">
        <v>8810</v>
      </c>
      <c r="M49" s="19" t="s">
        <v>2189</v>
      </c>
      <c r="N49" s="17" t="s">
        <v>8811</v>
      </c>
      <c r="O49" s="17" t="s">
        <v>8812</v>
      </c>
      <c r="P49" s="17" t="str">
        <f>HYPERLINK("https://photon-sol.tinyastro.io/en/lp/5wpT2AWfaBmeD4jf78FGttJysr6coDFWs5YqJabLpump?handle=676050794bc1b1657a56b", "View")</f>
        <v>View</v>
      </c>
    </row>
    <row r="50" spans="1:16" x14ac:dyDescent="0.25">
      <c r="A50" s="13" t="s">
        <v>8813</v>
      </c>
      <c r="B50" s="14">
        <v>50929630</v>
      </c>
      <c r="C50" s="14">
        <v>50929630</v>
      </c>
      <c r="D50" s="14" t="s">
        <v>8631</v>
      </c>
      <c r="E50" s="14" t="s">
        <v>8814</v>
      </c>
      <c r="F50" s="14" t="s">
        <v>8815</v>
      </c>
      <c r="G50" s="20" t="s">
        <v>2760</v>
      </c>
      <c r="H50" s="20" t="s">
        <v>8816</v>
      </c>
      <c r="I50" s="14" t="s">
        <v>88</v>
      </c>
      <c r="J50" s="14">
        <v>1</v>
      </c>
      <c r="K50" s="14">
        <v>1</v>
      </c>
      <c r="L50" s="14" t="s">
        <v>8817</v>
      </c>
      <c r="M50" s="19" t="s">
        <v>2486</v>
      </c>
      <c r="N50" s="14" t="s">
        <v>1667</v>
      </c>
      <c r="O50" s="14" t="s">
        <v>8818</v>
      </c>
      <c r="P50" s="14" t="str">
        <f>HYPERLINK("https://photon-sol.tinyastro.io/en/lp/CYM5QjvJz6JmKJayMniJCPvPAz6JaDDwP3FbVcrUpump?handle=676050794bc1b1657a56b", "View")</f>
        <v>View</v>
      </c>
    </row>
    <row r="51" spans="1:16" x14ac:dyDescent="0.25">
      <c r="A51" s="16" t="s">
        <v>8819</v>
      </c>
      <c r="B51" s="17">
        <v>59216017</v>
      </c>
      <c r="C51" s="17">
        <v>59216017</v>
      </c>
      <c r="D51" s="17" t="s">
        <v>8631</v>
      </c>
      <c r="E51" s="17" t="s">
        <v>8820</v>
      </c>
      <c r="F51" s="17" t="s">
        <v>8821</v>
      </c>
      <c r="G51" s="22" t="s">
        <v>8822</v>
      </c>
      <c r="H51" s="22" t="s">
        <v>8823</v>
      </c>
      <c r="I51" s="17" t="s">
        <v>88</v>
      </c>
      <c r="J51" s="17">
        <v>1</v>
      </c>
      <c r="K51" s="17">
        <v>1</v>
      </c>
      <c r="L51" s="17" t="s">
        <v>8824</v>
      </c>
      <c r="M51" s="19" t="s">
        <v>2937</v>
      </c>
      <c r="N51" s="17" t="s">
        <v>1011</v>
      </c>
      <c r="O51" s="17" t="s">
        <v>8825</v>
      </c>
      <c r="P51" s="17" t="str">
        <f>HYPERLINK("https://photon-sol.tinyastro.io/en/lp/7EKgYC3QYvp1eiM5v1iephXvf4B7C6eVAqxBay7apump?handle=676050794bc1b1657a56b", "View")</f>
        <v>View</v>
      </c>
    </row>
    <row r="52" spans="1:16" x14ac:dyDescent="0.25">
      <c r="A52" s="13" t="s">
        <v>8826</v>
      </c>
      <c r="B52" s="14">
        <v>54024073</v>
      </c>
      <c r="C52" s="14">
        <v>54024073</v>
      </c>
      <c r="D52" s="14" t="s">
        <v>8685</v>
      </c>
      <c r="E52" s="14" t="s">
        <v>8827</v>
      </c>
      <c r="F52" s="14" t="s">
        <v>8828</v>
      </c>
      <c r="G52" s="22" t="s">
        <v>8829</v>
      </c>
      <c r="H52" s="22" t="s">
        <v>8830</v>
      </c>
      <c r="I52" s="14" t="s">
        <v>88</v>
      </c>
      <c r="J52" s="14">
        <v>1</v>
      </c>
      <c r="K52" s="14">
        <v>1</v>
      </c>
      <c r="L52" s="14" t="s">
        <v>8831</v>
      </c>
      <c r="M52" s="19" t="s">
        <v>2993</v>
      </c>
      <c r="N52" s="14" t="s">
        <v>8752</v>
      </c>
      <c r="O52" s="14" t="s">
        <v>8832</v>
      </c>
      <c r="P52" s="14" t="str">
        <f>HYPERLINK("https://photon-sol.tinyastro.io/en/lp/AwsA7gMGfJrXqkm7bZKFQGPMboPWDoo1jhBxVuLUpump?handle=676050794bc1b1657a56b", "View")</f>
        <v>View</v>
      </c>
    </row>
    <row r="53" spans="1:16" x14ac:dyDescent="0.25">
      <c r="A53" s="16" t="s">
        <v>8833</v>
      </c>
      <c r="B53" s="17">
        <v>61791930</v>
      </c>
      <c r="C53" s="17">
        <v>61791930</v>
      </c>
      <c r="D53" s="17" t="s">
        <v>8834</v>
      </c>
      <c r="E53" s="17" t="s">
        <v>8835</v>
      </c>
      <c r="F53" s="17" t="s">
        <v>3015</v>
      </c>
      <c r="G53" s="20" t="s">
        <v>8836</v>
      </c>
      <c r="H53" s="20" t="s">
        <v>8837</v>
      </c>
      <c r="I53" s="17" t="s">
        <v>88</v>
      </c>
      <c r="J53" s="17">
        <v>1</v>
      </c>
      <c r="K53" s="17">
        <v>1</v>
      </c>
      <c r="L53" s="17" t="s">
        <v>8838</v>
      </c>
      <c r="M53" s="19" t="s">
        <v>1856</v>
      </c>
      <c r="N53" s="17" t="s">
        <v>5809</v>
      </c>
      <c r="O53" s="17" t="s">
        <v>8839</v>
      </c>
      <c r="P53" s="17" t="str">
        <f>HYPERLINK("https://photon-sol.tinyastro.io/en/lp/DYnvLMsQunW2JHpfJRAwG4g7ozr3oYJsL5nG8qECpump?handle=676050794bc1b1657a56b", "View")</f>
        <v>View</v>
      </c>
    </row>
    <row r="54" spans="1:16" x14ac:dyDescent="0.25">
      <c r="A54" s="13" t="s">
        <v>8840</v>
      </c>
      <c r="B54" s="14">
        <v>58481982</v>
      </c>
      <c r="C54" s="14">
        <v>58481982</v>
      </c>
      <c r="D54" s="14" t="s">
        <v>8841</v>
      </c>
      <c r="E54" s="14" t="s">
        <v>8842</v>
      </c>
      <c r="F54" s="14" t="s">
        <v>8843</v>
      </c>
      <c r="G54" s="21" t="s">
        <v>8844</v>
      </c>
      <c r="H54" s="21" t="s">
        <v>8845</v>
      </c>
      <c r="I54" s="14" t="s">
        <v>88</v>
      </c>
      <c r="J54" s="14">
        <v>1</v>
      </c>
      <c r="K54" s="14">
        <v>1</v>
      </c>
      <c r="L54" s="14" t="s">
        <v>8846</v>
      </c>
      <c r="M54" s="19" t="s">
        <v>2993</v>
      </c>
      <c r="N54" s="14" t="s">
        <v>8847</v>
      </c>
      <c r="O54" s="14" t="s">
        <v>8848</v>
      </c>
      <c r="P54" s="14" t="str">
        <f>HYPERLINK("https://photon-sol.tinyastro.io/en/lp/BXEDLp7LmZwswbyFWMCDXvv4KSYLwwEXudFLHpUvpump?handle=676050794bc1b1657a56b", "View")</f>
        <v>View</v>
      </c>
    </row>
    <row r="55" spans="1:16" x14ac:dyDescent="0.25">
      <c r="A55" s="16" t="s">
        <v>8849</v>
      </c>
      <c r="B55" s="17">
        <v>61112088</v>
      </c>
      <c r="C55" s="17">
        <v>61112088</v>
      </c>
      <c r="D55" s="17" t="s">
        <v>8841</v>
      </c>
      <c r="E55" s="17" t="s">
        <v>8686</v>
      </c>
      <c r="F55" s="17" t="s">
        <v>3016</v>
      </c>
      <c r="G55" s="22" t="s">
        <v>8850</v>
      </c>
      <c r="H55" s="22" t="s">
        <v>8851</v>
      </c>
      <c r="I55" s="17" t="s">
        <v>88</v>
      </c>
      <c r="J55" s="17">
        <v>1</v>
      </c>
      <c r="K55" s="17">
        <v>1</v>
      </c>
      <c r="L55" s="17" t="s">
        <v>8852</v>
      </c>
      <c r="M55" s="19" t="s">
        <v>3076</v>
      </c>
      <c r="N55" s="17" t="s">
        <v>2316</v>
      </c>
      <c r="O55" s="17" t="s">
        <v>8853</v>
      </c>
      <c r="P55" s="17" t="str">
        <f>HYPERLINK("https://photon-sol.tinyastro.io/en/lp/4mvGLpZQAYxHTWdrDczfAvR7BtGSn47srJ5AFvR2pump?handle=676050794bc1b1657a56b", "View")</f>
        <v>View</v>
      </c>
    </row>
    <row r="56" spans="1:16" x14ac:dyDescent="0.25">
      <c r="A56" s="13" t="s">
        <v>6146</v>
      </c>
      <c r="B56" s="14">
        <v>61112088</v>
      </c>
      <c r="C56" s="14">
        <v>61112088</v>
      </c>
      <c r="D56" s="14" t="s">
        <v>8841</v>
      </c>
      <c r="E56" s="14" t="s">
        <v>8854</v>
      </c>
      <c r="F56" s="14" t="s">
        <v>8855</v>
      </c>
      <c r="G56" s="21" t="s">
        <v>8856</v>
      </c>
      <c r="H56" s="21" t="s">
        <v>8857</v>
      </c>
      <c r="I56" s="14" t="s">
        <v>88</v>
      </c>
      <c r="J56" s="14">
        <v>1</v>
      </c>
      <c r="K56" s="14">
        <v>1</v>
      </c>
      <c r="L56" s="14" t="s">
        <v>8858</v>
      </c>
      <c r="M56" s="19" t="s">
        <v>2525</v>
      </c>
      <c r="N56" s="14" t="s">
        <v>8098</v>
      </c>
      <c r="O56" s="14" t="s">
        <v>8859</v>
      </c>
      <c r="P56" s="14" t="str">
        <f>HYPERLINK("https://photon-sol.tinyastro.io/en/lp/rQKMLk9vDq7pjhcFey6UR4oQttR3cah233zA4Cepump?handle=676050794bc1b1657a56b", "View")</f>
        <v>View</v>
      </c>
    </row>
    <row r="57" spans="1:16" x14ac:dyDescent="0.25">
      <c r="A57" s="16" t="s">
        <v>8860</v>
      </c>
      <c r="B57" s="17">
        <v>88721591</v>
      </c>
      <c r="C57" s="17">
        <v>88721591</v>
      </c>
      <c r="D57" s="17" t="s">
        <v>8841</v>
      </c>
      <c r="E57" s="17" t="s">
        <v>8861</v>
      </c>
      <c r="F57" s="17" t="s">
        <v>8862</v>
      </c>
      <c r="G57" s="22" t="s">
        <v>2660</v>
      </c>
      <c r="H57" s="22" t="s">
        <v>8863</v>
      </c>
      <c r="I57" s="17" t="s">
        <v>88</v>
      </c>
      <c r="J57" s="17">
        <v>1</v>
      </c>
      <c r="K57" s="17">
        <v>1</v>
      </c>
      <c r="L57" s="17" t="s">
        <v>8864</v>
      </c>
      <c r="M57" s="19" t="s">
        <v>3158</v>
      </c>
      <c r="N57" s="17" t="s">
        <v>2557</v>
      </c>
      <c r="O57" s="17" t="s">
        <v>8865</v>
      </c>
      <c r="P57" s="17" t="str">
        <f>HYPERLINK("https://photon-sol.tinyastro.io/en/lp/8ZLasVo9eoqKuiuw28dsGUQ8aiBxhSPW5FDbwr4cp6VB?handle=676050794bc1b1657a56b", "View")</f>
        <v>View</v>
      </c>
    </row>
    <row r="58" spans="1:16" x14ac:dyDescent="0.25">
      <c r="A58" s="13" t="s">
        <v>8866</v>
      </c>
      <c r="B58" s="14">
        <v>63024194</v>
      </c>
      <c r="C58" s="14">
        <v>63024194</v>
      </c>
      <c r="D58" s="14" t="s">
        <v>8762</v>
      </c>
      <c r="E58" s="14" t="s">
        <v>8632</v>
      </c>
      <c r="F58" s="14" t="s">
        <v>8867</v>
      </c>
      <c r="G58" s="21" t="s">
        <v>8868</v>
      </c>
      <c r="H58" s="21" t="s">
        <v>8869</v>
      </c>
      <c r="I58" s="14" t="s">
        <v>88</v>
      </c>
      <c r="J58" s="14">
        <v>1</v>
      </c>
      <c r="K58" s="14">
        <v>1</v>
      </c>
      <c r="L58" s="14" t="s">
        <v>8870</v>
      </c>
      <c r="M58" s="14" t="s">
        <v>788</v>
      </c>
      <c r="N58" s="14" t="s">
        <v>8871</v>
      </c>
      <c r="O58" s="14" t="s">
        <v>8872</v>
      </c>
      <c r="P58" s="14" t="str">
        <f>HYPERLINK("https://photon-sol.tinyastro.io/en/lp/HfzGsxgb5oXoWoWw2UBxAVstCEDusV7RuGyotVsRpump?handle=676050794bc1b1657a56b", "View")</f>
        <v>View</v>
      </c>
    </row>
    <row r="59" spans="1:16" x14ac:dyDescent="0.25">
      <c r="A59" s="16" t="s">
        <v>8873</v>
      </c>
      <c r="B59" s="17">
        <v>60725730</v>
      </c>
      <c r="C59" s="17">
        <v>60725730</v>
      </c>
      <c r="D59" s="17" t="s">
        <v>8841</v>
      </c>
      <c r="E59" s="17" t="s">
        <v>8874</v>
      </c>
      <c r="F59" s="17" t="s">
        <v>7823</v>
      </c>
      <c r="G59" s="20" t="s">
        <v>8875</v>
      </c>
      <c r="H59" s="20" t="s">
        <v>8876</v>
      </c>
      <c r="I59" s="17" t="s">
        <v>88</v>
      </c>
      <c r="J59" s="17">
        <v>1</v>
      </c>
      <c r="K59" s="17">
        <v>1</v>
      </c>
      <c r="L59" s="17" t="s">
        <v>8877</v>
      </c>
      <c r="M59" s="19" t="s">
        <v>3000</v>
      </c>
      <c r="N59" s="17" t="s">
        <v>1667</v>
      </c>
      <c r="O59" s="17" t="s">
        <v>8878</v>
      </c>
      <c r="P59" s="17" t="str">
        <f>HYPERLINK("https://photon-sol.tinyastro.io/en/lp/DWViTFBQV2k7U8QhTdweA6EoUnepyYR96xwooTX6UpEA?handle=676050794bc1b1657a56b", "View")</f>
        <v>View</v>
      </c>
    </row>
    <row r="60" spans="1:16" x14ac:dyDescent="0.25">
      <c r="A60" s="13" t="s">
        <v>8879</v>
      </c>
      <c r="B60" s="14">
        <v>60725730</v>
      </c>
      <c r="C60" s="14">
        <v>60725730</v>
      </c>
      <c r="D60" s="14" t="s">
        <v>8841</v>
      </c>
      <c r="E60" s="14" t="s">
        <v>8686</v>
      </c>
      <c r="F60" s="14" t="s">
        <v>8880</v>
      </c>
      <c r="G60" s="21" t="s">
        <v>8881</v>
      </c>
      <c r="H60" s="21" t="s">
        <v>8882</v>
      </c>
      <c r="I60" s="14" t="s">
        <v>88</v>
      </c>
      <c r="J60" s="14">
        <v>1</v>
      </c>
      <c r="K60" s="14">
        <v>1</v>
      </c>
      <c r="L60" s="14" t="s">
        <v>8883</v>
      </c>
      <c r="M60" s="19" t="s">
        <v>2189</v>
      </c>
      <c r="N60" s="14" t="s">
        <v>8752</v>
      </c>
      <c r="O60" s="14" t="s">
        <v>8884</v>
      </c>
      <c r="P60" s="14" t="str">
        <f>HYPERLINK("https://photon-sol.tinyastro.io/en/lp/85y6NsB1me3G1ATBVkzuWURfyuAtEtAsCCUZdbVdpump?handle=676050794bc1b1657a56b", "View")</f>
        <v>View</v>
      </c>
    </row>
    <row r="61" spans="1:16" x14ac:dyDescent="0.25">
      <c r="A61" s="16" t="s">
        <v>8798</v>
      </c>
      <c r="B61" s="17">
        <v>59090909</v>
      </c>
      <c r="C61" s="17">
        <v>59090909</v>
      </c>
      <c r="D61" s="17" t="s">
        <v>8841</v>
      </c>
      <c r="E61" s="17" t="s">
        <v>8800</v>
      </c>
      <c r="F61" s="17" t="s">
        <v>8885</v>
      </c>
      <c r="G61" s="21" t="s">
        <v>8886</v>
      </c>
      <c r="H61" s="21" t="s">
        <v>8887</v>
      </c>
      <c r="I61" s="17" t="s">
        <v>88</v>
      </c>
      <c r="J61" s="17">
        <v>1</v>
      </c>
      <c r="K61" s="17">
        <v>1</v>
      </c>
      <c r="L61" s="17" t="s">
        <v>8888</v>
      </c>
      <c r="M61" s="19" t="s">
        <v>2189</v>
      </c>
      <c r="N61" s="17" t="s">
        <v>1011</v>
      </c>
      <c r="O61" s="17" t="s">
        <v>8889</v>
      </c>
      <c r="P61" s="17" t="str">
        <f>HYPERLINK("https://photon-sol.tinyastro.io/en/lp/4kczD6Km2XD8zmCiNRgp5eq6EimyG221yskSNmygpump?handle=676050794bc1b1657a56b", "View")</f>
        <v>View</v>
      </c>
    </row>
    <row r="62" spans="1:16" x14ac:dyDescent="0.25">
      <c r="A62" s="13" t="s">
        <v>8890</v>
      </c>
      <c r="B62" s="14">
        <v>57406008</v>
      </c>
      <c r="C62" s="14">
        <v>57406008</v>
      </c>
      <c r="D62" s="14" t="s">
        <v>8841</v>
      </c>
      <c r="E62" s="14" t="s">
        <v>8891</v>
      </c>
      <c r="F62" s="14" t="s">
        <v>8892</v>
      </c>
      <c r="G62" s="20" t="s">
        <v>8893</v>
      </c>
      <c r="H62" s="20" t="s">
        <v>8894</v>
      </c>
      <c r="I62" s="14" t="s">
        <v>88</v>
      </c>
      <c r="J62" s="14">
        <v>1</v>
      </c>
      <c r="K62" s="14">
        <v>1</v>
      </c>
      <c r="L62" s="14" t="s">
        <v>8895</v>
      </c>
      <c r="M62" s="19" t="s">
        <v>2189</v>
      </c>
      <c r="N62" s="14" t="s">
        <v>2608</v>
      </c>
      <c r="O62" s="14" t="s">
        <v>8896</v>
      </c>
      <c r="P62" s="14" t="str">
        <f>HYPERLINK("https://photon-sol.tinyastro.io/en/lp/3Lk1Pwq1dhyiJ9hbokVw7zedouPBHCVUhxRTG489Lc2Y?handle=676050794bc1b1657a56b", "View")</f>
        <v>View</v>
      </c>
    </row>
    <row r="63" spans="1:16" x14ac:dyDescent="0.25">
      <c r="A63" s="16" t="s">
        <v>8897</v>
      </c>
      <c r="B63" s="17">
        <v>59090909</v>
      </c>
      <c r="C63" s="17">
        <v>59090909</v>
      </c>
      <c r="D63" s="17" t="s">
        <v>8841</v>
      </c>
      <c r="E63" s="17" t="s">
        <v>8800</v>
      </c>
      <c r="F63" s="17" t="s">
        <v>8898</v>
      </c>
      <c r="G63" s="21" t="s">
        <v>8862</v>
      </c>
      <c r="H63" s="21" t="s">
        <v>8899</v>
      </c>
      <c r="I63" s="17" t="s">
        <v>88</v>
      </c>
      <c r="J63" s="17">
        <v>1</v>
      </c>
      <c r="K63" s="17">
        <v>1</v>
      </c>
      <c r="L63" s="17" t="s">
        <v>8900</v>
      </c>
      <c r="M63" s="19" t="s">
        <v>1856</v>
      </c>
      <c r="N63" s="17" t="s">
        <v>8901</v>
      </c>
      <c r="O63" s="17" t="s">
        <v>8902</v>
      </c>
      <c r="P63" s="17" t="str">
        <f>HYPERLINK("https://photon-sol.tinyastro.io/en/lp/4u78wkkEcFJ89Xnp61x7meJXcGmDngkMdTfTScRgpump?handle=676050794bc1b1657a56b", "View")</f>
        <v>View</v>
      </c>
    </row>
    <row r="64" spans="1:16" x14ac:dyDescent="0.25">
      <c r="A64" s="13" t="s">
        <v>8903</v>
      </c>
      <c r="B64" s="14">
        <v>54874334</v>
      </c>
      <c r="C64" s="14">
        <v>54874334</v>
      </c>
      <c r="D64" s="14" t="s">
        <v>8841</v>
      </c>
      <c r="E64" s="14" t="s">
        <v>8680</v>
      </c>
      <c r="F64" s="14" t="s">
        <v>8904</v>
      </c>
      <c r="G64" s="22" t="s">
        <v>8905</v>
      </c>
      <c r="H64" s="22" t="s">
        <v>8906</v>
      </c>
      <c r="I64" s="14" t="s">
        <v>88</v>
      </c>
      <c r="J64" s="14">
        <v>1</v>
      </c>
      <c r="K64" s="14">
        <v>1</v>
      </c>
      <c r="L64" s="14" t="s">
        <v>8907</v>
      </c>
      <c r="M64" s="19" t="s">
        <v>2937</v>
      </c>
      <c r="N64" s="14" t="s">
        <v>8752</v>
      </c>
      <c r="O64" s="14" t="s">
        <v>8908</v>
      </c>
      <c r="P64" s="14" t="str">
        <f>HYPERLINK("https://photon-sol.tinyastro.io/en/lp/DVSXhYDgtt9nUGwnrMzyN8tcsiz5WMS5wg5gxSFsjp9e?handle=676050794bc1b1657a56b", "View")</f>
        <v>View</v>
      </c>
    </row>
    <row r="65" spans="1:16" x14ac:dyDescent="0.25">
      <c r="A65" s="16" t="s">
        <v>8909</v>
      </c>
      <c r="B65" s="17">
        <v>61112088</v>
      </c>
      <c r="C65" s="17">
        <v>61112088</v>
      </c>
      <c r="D65" s="17" t="s">
        <v>8841</v>
      </c>
      <c r="E65" s="17" t="s">
        <v>8910</v>
      </c>
      <c r="F65" s="17" t="s">
        <v>8911</v>
      </c>
      <c r="G65" s="21" t="s">
        <v>8912</v>
      </c>
      <c r="H65" s="21" t="s">
        <v>8913</v>
      </c>
      <c r="I65" s="17" t="s">
        <v>88</v>
      </c>
      <c r="J65" s="17">
        <v>1</v>
      </c>
      <c r="K65" s="17">
        <v>1</v>
      </c>
      <c r="L65" s="17" t="s">
        <v>8914</v>
      </c>
      <c r="M65" s="19" t="s">
        <v>3000</v>
      </c>
      <c r="N65" s="17" t="s">
        <v>8915</v>
      </c>
      <c r="O65" s="17" t="s">
        <v>8916</v>
      </c>
      <c r="P65" s="17" t="str">
        <f>HYPERLINK("https://photon-sol.tinyastro.io/en/lp/7tPX9Nr3Y6CHVuBfwFEa8dTgd76WwoWrenUsqPU4pump?handle=676050794bc1b1657a56b", "View")</f>
        <v>View</v>
      </c>
    </row>
    <row r="66" spans="1:16" x14ac:dyDescent="0.25">
      <c r="A66" s="13" t="s">
        <v>8917</v>
      </c>
      <c r="B66" s="14">
        <v>63339749</v>
      </c>
      <c r="C66" s="14">
        <v>63339749</v>
      </c>
      <c r="D66" s="14" t="s">
        <v>8841</v>
      </c>
      <c r="E66" s="14" t="s">
        <v>8918</v>
      </c>
      <c r="F66" s="14" t="s">
        <v>8919</v>
      </c>
      <c r="G66" s="22" t="s">
        <v>8920</v>
      </c>
      <c r="H66" s="22" t="s">
        <v>8921</v>
      </c>
      <c r="I66" s="14" t="s">
        <v>88</v>
      </c>
      <c r="J66" s="14">
        <v>1</v>
      </c>
      <c r="K66" s="14">
        <v>1</v>
      </c>
      <c r="L66" s="14" t="s">
        <v>8922</v>
      </c>
      <c r="M66" s="19" t="s">
        <v>2525</v>
      </c>
      <c r="N66" s="14" t="s">
        <v>2459</v>
      </c>
      <c r="O66" s="14" t="s">
        <v>8923</v>
      </c>
      <c r="P66" s="14" t="str">
        <f>HYPERLINK("https://photon-sol.tinyastro.io/en/lp/AAzhF9d7dWWqkch3T89yw9aEq59PNE27oaaT9p8Kpump?handle=676050794bc1b1657a56b", "View")</f>
        <v>View</v>
      </c>
    </row>
    <row r="67" spans="1:16" x14ac:dyDescent="0.25">
      <c r="A67" s="16" t="s">
        <v>2880</v>
      </c>
      <c r="B67" s="17">
        <v>60996094</v>
      </c>
      <c r="C67" s="17">
        <v>60996094</v>
      </c>
      <c r="D67" s="17" t="s">
        <v>8841</v>
      </c>
      <c r="E67" s="17" t="s">
        <v>6733</v>
      </c>
      <c r="F67" s="17" t="s">
        <v>8924</v>
      </c>
      <c r="G67" s="22" t="s">
        <v>8925</v>
      </c>
      <c r="H67" s="22" t="s">
        <v>8926</v>
      </c>
      <c r="I67" s="17" t="s">
        <v>88</v>
      </c>
      <c r="J67" s="17">
        <v>1</v>
      </c>
      <c r="K67" s="17">
        <v>1</v>
      </c>
      <c r="L67" s="17" t="s">
        <v>8927</v>
      </c>
      <c r="M67" s="19" t="s">
        <v>3158</v>
      </c>
      <c r="N67" s="17" t="s">
        <v>2278</v>
      </c>
      <c r="O67" s="17" t="s">
        <v>8928</v>
      </c>
      <c r="P67" s="17" t="str">
        <f>HYPERLINK("https://photon-sol.tinyastro.io/en/lp/H29txsita4xdTbDB8cfWfsD7z4g7UgtUjHBvkdpApump?handle=676050794bc1b1657a56b", "View")</f>
        <v>View</v>
      </c>
    </row>
    <row r="68" spans="1:16" x14ac:dyDescent="0.25">
      <c r="A68" s="13" t="s">
        <v>8929</v>
      </c>
      <c r="B68" s="14">
        <v>60996094</v>
      </c>
      <c r="C68" s="14">
        <v>60996094</v>
      </c>
      <c r="D68" s="14" t="s">
        <v>8841</v>
      </c>
      <c r="E68" s="14" t="s">
        <v>8755</v>
      </c>
      <c r="F68" s="14" t="s">
        <v>7637</v>
      </c>
      <c r="G68" s="22" t="s">
        <v>3366</v>
      </c>
      <c r="H68" s="22" t="s">
        <v>8930</v>
      </c>
      <c r="I68" s="14" t="s">
        <v>88</v>
      </c>
      <c r="J68" s="14">
        <v>1</v>
      </c>
      <c r="K68" s="14">
        <v>1</v>
      </c>
      <c r="L68" s="14" t="s">
        <v>8931</v>
      </c>
      <c r="M68" s="19" t="s">
        <v>2937</v>
      </c>
      <c r="N68" s="14" t="s">
        <v>2316</v>
      </c>
      <c r="O68" s="14" t="s">
        <v>8932</v>
      </c>
      <c r="P68" s="14" t="str">
        <f>HYPERLINK("https://photon-sol.tinyastro.io/en/lp/56iVreYCT3E4Uz2H3mDYMEvaHKt5hSHr4m4YwYd2pump?handle=676050794bc1b1657a56b", "View")</f>
        <v>View</v>
      </c>
    </row>
    <row r="69" spans="1:16" x14ac:dyDescent="0.25">
      <c r="A69" s="16" t="s">
        <v>8933</v>
      </c>
      <c r="B69" s="17">
        <v>63445617</v>
      </c>
      <c r="C69" s="17">
        <v>63445617</v>
      </c>
      <c r="D69" s="17" t="s">
        <v>8934</v>
      </c>
      <c r="E69" s="17" t="s">
        <v>8935</v>
      </c>
      <c r="F69" s="17" t="s">
        <v>8936</v>
      </c>
      <c r="G69" s="21" t="s">
        <v>8937</v>
      </c>
      <c r="H69" s="21" t="s">
        <v>8938</v>
      </c>
      <c r="I69" s="17" t="s">
        <v>88</v>
      </c>
      <c r="J69" s="17">
        <v>1</v>
      </c>
      <c r="K69" s="17">
        <v>1</v>
      </c>
      <c r="L69" s="17" t="s">
        <v>8939</v>
      </c>
      <c r="M69" s="19" t="s">
        <v>3231</v>
      </c>
      <c r="N69" s="17" t="s">
        <v>8940</v>
      </c>
      <c r="O69" s="17" t="s">
        <v>8941</v>
      </c>
      <c r="P69" s="17" t="str">
        <f>HYPERLINK("https://photon-sol.tinyastro.io/en/lp/sjk6fNpHQEeWvk9sJrKEqTTLVZePbFqyeJSqB7kpump?handle=676050794bc1b1657a56b", "View")</f>
        <v>View</v>
      </c>
    </row>
    <row r="70" spans="1:16" x14ac:dyDescent="0.25">
      <c r="A70" s="13" t="s">
        <v>8942</v>
      </c>
      <c r="B70" s="14">
        <v>60605590</v>
      </c>
      <c r="C70" s="14">
        <v>60605590</v>
      </c>
      <c r="D70" s="14" t="s">
        <v>8841</v>
      </c>
      <c r="E70" s="14" t="s">
        <v>8943</v>
      </c>
      <c r="F70" s="14" t="s">
        <v>8944</v>
      </c>
      <c r="G70" s="20" t="s">
        <v>8945</v>
      </c>
      <c r="H70" s="20" t="s">
        <v>8946</v>
      </c>
      <c r="I70" s="14" t="s">
        <v>88</v>
      </c>
      <c r="J70" s="14">
        <v>1</v>
      </c>
      <c r="K70" s="14">
        <v>1</v>
      </c>
      <c r="L70" s="14" t="s">
        <v>8947</v>
      </c>
      <c r="M70" s="19" t="s">
        <v>2853</v>
      </c>
      <c r="N70" s="14" t="s">
        <v>1667</v>
      </c>
      <c r="O70" s="14" t="s">
        <v>8948</v>
      </c>
      <c r="P70" s="14" t="str">
        <f>HYPERLINK("https://photon-sol.tinyastro.io/en/lp/CYxwBfFhwBUnKvosnSSRubm3VqttmwrqS6Ef5Y1Tpump?handle=676050794bc1b1657a56b", "View")</f>
        <v>View</v>
      </c>
    </row>
    <row r="71" spans="1:16" x14ac:dyDescent="0.25">
      <c r="A71" s="16" t="s">
        <v>8949</v>
      </c>
      <c r="B71" s="17">
        <v>59341138</v>
      </c>
      <c r="C71" s="17">
        <v>59341138</v>
      </c>
      <c r="D71" s="17" t="s">
        <v>8841</v>
      </c>
      <c r="E71" s="17" t="s">
        <v>8950</v>
      </c>
      <c r="F71" s="17" t="s">
        <v>8951</v>
      </c>
      <c r="G71" s="20" t="s">
        <v>2078</v>
      </c>
      <c r="H71" s="20" t="s">
        <v>8952</v>
      </c>
      <c r="I71" s="17" t="s">
        <v>88</v>
      </c>
      <c r="J71" s="17">
        <v>1</v>
      </c>
      <c r="K71" s="17">
        <v>1</v>
      </c>
      <c r="L71" s="17" t="s">
        <v>8953</v>
      </c>
      <c r="M71" s="19" t="s">
        <v>1940</v>
      </c>
      <c r="N71" s="17" t="s">
        <v>2585</v>
      </c>
      <c r="O71" s="17" t="s">
        <v>8954</v>
      </c>
      <c r="P71" s="17" t="str">
        <f>HYPERLINK("https://photon-sol.tinyastro.io/en/lp/DtNVDPeJ5yH1apSHTYNfXPjPTVYg3zgJk2CESJj6pump?handle=676050794bc1b1657a56b", "View")</f>
        <v>View</v>
      </c>
    </row>
    <row r="72" spans="1:16" x14ac:dyDescent="0.25">
      <c r="A72" s="13" t="s">
        <v>8955</v>
      </c>
      <c r="B72" s="14">
        <v>78368185</v>
      </c>
      <c r="C72" s="14">
        <v>78368185</v>
      </c>
      <c r="D72" s="14" t="s">
        <v>8841</v>
      </c>
      <c r="E72" s="14" t="s">
        <v>8956</v>
      </c>
      <c r="F72" s="14" t="s">
        <v>8957</v>
      </c>
      <c r="G72" s="21" t="s">
        <v>8958</v>
      </c>
      <c r="H72" s="21" t="s">
        <v>8959</v>
      </c>
      <c r="I72" s="14" t="s">
        <v>88</v>
      </c>
      <c r="J72" s="14">
        <v>1</v>
      </c>
      <c r="K72" s="14">
        <v>1</v>
      </c>
      <c r="L72" s="14" t="s">
        <v>8960</v>
      </c>
      <c r="M72" s="19" t="s">
        <v>1619</v>
      </c>
      <c r="N72" s="14" t="s">
        <v>8961</v>
      </c>
      <c r="O72" s="14" t="s">
        <v>8962</v>
      </c>
      <c r="P72" s="14" t="str">
        <f>HYPERLINK("https://photon-sol.tinyastro.io/en/lp/DVp3pRSS6a8Tgf2RafQTjcgttN3gbMKdbktYB2Uhpump?handle=676050794bc1b1657a56b", "View")</f>
        <v>View</v>
      </c>
    </row>
    <row r="73" spans="1:16" x14ac:dyDescent="0.25">
      <c r="A73" s="16" t="s">
        <v>8963</v>
      </c>
      <c r="B73" s="17">
        <v>48091063</v>
      </c>
      <c r="C73" s="17">
        <v>48091063</v>
      </c>
      <c r="D73" s="17" t="s">
        <v>8841</v>
      </c>
      <c r="E73" s="17" t="s">
        <v>8964</v>
      </c>
      <c r="F73" s="17" t="s">
        <v>8965</v>
      </c>
      <c r="G73" s="22" t="s">
        <v>8966</v>
      </c>
      <c r="H73" s="22" t="s">
        <v>8967</v>
      </c>
      <c r="I73" s="17" t="s">
        <v>88</v>
      </c>
      <c r="J73" s="17">
        <v>1</v>
      </c>
      <c r="K73" s="17">
        <v>1</v>
      </c>
      <c r="L73" s="17" t="s">
        <v>8968</v>
      </c>
      <c r="M73" s="19" t="s">
        <v>3076</v>
      </c>
      <c r="N73" s="17" t="s">
        <v>1980</v>
      </c>
      <c r="O73" s="17" t="s">
        <v>8969</v>
      </c>
      <c r="P73" s="17" t="str">
        <f>HYPERLINK("https://photon-sol.tinyastro.io/en/lp/9vKbZaoyAvdfbT8i9voZG4uBcoqpHijHaNDc18MDpump?handle=676050794bc1b1657a56b", "View")</f>
        <v>View</v>
      </c>
    </row>
    <row r="74" spans="1:16" x14ac:dyDescent="0.25">
      <c r="A74" s="13" t="s">
        <v>8970</v>
      </c>
      <c r="B74" s="14">
        <v>2658974</v>
      </c>
      <c r="C74" s="14">
        <v>2658974</v>
      </c>
      <c r="D74" s="14" t="s">
        <v>8762</v>
      </c>
      <c r="E74" s="14" t="s">
        <v>1457</v>
      </c>
      <c r="F74" s="14" t="s">
        <v>8971</v>
      </c>
      <c r="G74" s="15" t="s">
        <v>8972</v>
      </c>
      <c r="H74" s="15" t="s">
        <v>8973</v>
      </c>
      <c r="I74" s="14" t="s">
        <v>88</v>
      </c>
      <c r="J74" s="14">
        <v>1</v>
      </c>
      <c r="K74" s="14">
        <v>1</v>
      </c>
      <c r="L74" s="14" t="s">
        <v>8974</v>
      </c>
      <c r="M74" s="19" t="s">
        <v>1730</v>
      </c>
      <c r="N74" s="14" t="s">
        <v>8975</v>
      </c>
      <c r="O74" s="14" t="s">
        <v>8976</v>
      </c>
      <c r="P74" s="14" t="str">
        <f>HYPERLINK("https://dexscreener.com/solana/5DyDEtnf47iGNgb1Tqxc34BtPXo4M6Ta8L8cacMZpump", "View")</f>
        <v>View</v>
      </c>
    </row>
    <row r="75" spans="1:16" x14ac:dyDescent="0.25">
      <c r="A75" s="16" t="s">
        <v>8977</v>
      </c>
      <c r="B75" s="17">
        <v>5853995</v>
      </c>
      <c r="C75" s="17">
        <v>5853995</v>
      </c>
      <c r="D75" s="17" t="s">
        <v>8762</v>
      </c>
      <c r="E75" s="17" t="s">
        <v>1457</v>
      </c>
      <c r="F75" s="17" t="s">
        <v>8978</v>
      </c>
      <c r="G75" s="15" t="s">
        <v>8979</v>
      </c>
      <c r="H75" s="15" t="s">
        <v>8980</v>
      </c>
      <c r="I75" s="17" t="s">
        <v>88</v>
      </c>
      <c r="J75" s="17">
        <v>1</v>
      </c>
      <c r="K75" s="17">
        <v>1</v>
      </c>
      <c r="L75" s="17" t="s">
        <v>8981</v>
      </c>
      <c r="M75" s="17" t="s">
        <v>1434</v>
      </c>
      <c r="N75" s="17" t="s">
        <v>8982</v>
      </c>
      <c r="O75" s="17" t="s">
        <v>8983</v>
      </c>
      <c r="P75" s="17" t="str">
        <f>HYPERLINK("https://dexscreener.com/solana/4LWcsKw2sfWwngQQMPx6N5zrSqKe7wffrn86vHVqpump", "View")</f>
        <v>View</v>
      </c>
    </row>
    <row r="76" spans="1:16" x14ac:dyDescent="0.25">
      <c r="A76" s="13" t="s">
        <v>8984</v>
      </c>
      <c r="B76" s="14">
        <v>61994046</v>
      </c>
      <c r="C76" s="14">
        <v>61994046</v>
      </c>
      <c r="D76" s="14" t="s">
        <v>8841</v>
      </c>
      <c r="E76" s="14" t="s">
        <v>8985</v>
      </c>
      <c r="F76" s="14" t="s">
        <v>8648</v>
      </c>
      <c r="G76" s="20" t="s">
        <v>5305</v>
      </c>
      <c r="H76" s="20" t="s">
        <v>8986</v>
      </c>
      <c r="I76" s="14" t="s">
        <v>88</v>
      </c>
      <c r="J76" s="14">
        <v>1</v>
      </c>
      <c r="K76" s="14">
        <v>1</v>
      </c>
      <c r="L76" s="14" t="s">
        <v>8987</v>
      </c>
      <c r="M76" s="19" t="s">
        <v>2525</v>
      </c>
      <c r="N76" s="14" t="s">
        <v>3908</v>
      </c>
      <c r="O76" s="14" t="s">
        <v>8988</v>
      </c>
      <c r="P76" s="14" t="str">
        <f>HYPERLINK("https://photon-sol.tinyastro.io/en/lp/Ay7gPx3hYtQF44ymStaDLQWNbBsAdsrFksLYk3zZpWSS?handle=676050794bc1b1657a56b", "View")</f>
        <v>View</v>
      </c>
    </row>
    <row r="77" spans="1:16" x14ac:dyDescent="0.25">
      <c r="A77" s="16" t="s">
        <v>8989</v>
      </c>
      <c r="B77" s="17">
        <v>60725730</v>
      </c>
      <c r="C77" s="17">
        <v>60725730</v>
      </c>
      <c r="D77" s="17" t="s">
        <v>8841</v>
      </c>
      <c r="E77" s="17" t="s">
        <v>8990</v>
      </c>
      <c r="F77" s="17" t="s">
        <v>8116</v>
      </c>
      <c r="G77" s="22" t="s">
        <v>8991</v>
      </c>
      <c r="H77" s="22" t="s">
        <v>8992</v>
      </c>
      <c r="I77" s="17" t="s">
        <v>88</v>
      </c>
      <c r="J77" s="17">
        <v>1</v>
      </c>
      <c r="K77" s="17">
        <v>1</v>
      </c>
      <c r="L77" s="17" t="s">
        <v>8993</v>
      </c>
      <c r="M77" s="19" t="s">
        <v>2993</v>
      </c>
      <c r="N77" s="17" t="s">
        <v>2316</v>
      </c>
      <c r="O77" s="17" t="s">
        <v>8994</v>
      </c>
      <c r="P77" s="17" t="str">
        <f>HYPERLINK("https://photon-sol.tinyastro.io/en/lp/9ycHXuZDiP9J5mhckA4Ei6PF7dYKa1MNMKKy7UaGpump?handle=676050794bc1b1657a56b", "View")</f>
        <v>View</v>
      </c>
    </row>
    <row r="78" spans="1:16" x14ac:dyDescent="0.25">
      <c r="A78" s="13" t="s">
        <v>8995</v>
      </c>
      <c r="B78" s="14">
        <v>61112088</v>
      </c>
      <c r="C78" s="14">
        <v>61112088</v>
      </c>
      <c r="D78" s="14" t="s">
        <v>8841</v>
      </c>
      <c r="E78" s="14" t="s">
        <v>8996</v>
      </c>
      <c r="F78" s="14" t="s">
        <v>8997</v>
      </c>
      <c r="G78" s="21" t="s">
        <v>2482</v>
      </c>
      <c r="H78" s="21" t="s">
        <v>8998</v>
      </c>
      <c r="I78" s="14" t="s">
        <v>88</v>
      </c>
      <c r="J78" s="14">
        <v>1</v>
      </c>
      <c r="K78" s="14">
        <v>1</v>
      </c>
      <c r="L78" s="14" t="s">
        <v>8999</v>
      </c>
      <c r="M78" s="19" t="s">
        <v>2486</v>
      </c>
      <c r="N78" s="14" t="s">
        <v>3164</v>
      </c>
      <c r="O78" s="14" t="s">
        <v>9000</v>
      </c>
      <c r="P78" s="14" t="str">
        <f>HYPERLINK("https://photon-sol.tinyastro.io/en/lp/4nEBepbFQDWW56jDbMbU6YmKVKvjTQTbv5RN86u1pump?handle=676050794bc1b1657a56b", "View")</f>
        <v>View</v>
      </c>
    </row>
    <row r="79" spans="1:16" x14ac:dyDescent="0.25">
      <c r="A79" s="16" t="s">
        <v>9001</v>
      </c>
      <c r="B79" s="17">
        <v>58937500</v>
      </c>
      <c r="C79" s="17">
        <v>58937500</v>
      </c>
      <c r="D79" s="17" t="s">
        <v>8841</v>
      </c>
      <c r="E79" s="17" t="s">
        <v>9002</v>
      </c>
      <c r="F79" s="17" t="s">
        <v>9003</v>
      </c>
      <c r="G79" s="20" t="s">
        <v>9004</v>
      </c>
      <c r="H79" s="20" t="s">
        <v>9005</v>
      </c>
      <c r="I79" s="17" t="s">
        <v>88</v>
      </c>
      <c r="J79" s="17">
        <v>1</v>
      </c>
      <c r="K79" s="17">
        <v>1</v>
      </c>
      <c r="L79" s="17" t="s">
        <v>9006</v>
      </c>
      <c r="M79" s="19" t="s">
        <v>2379</v>
      </c>
      <c r="N79" s="17" t="s">
        <v>1011</v>
      </c>
      <c r="O79" s="17" t="s">
        <v>9007</v>
      </c>
      <c r="P79" s="17" t="str">
        <f>HYPERLINK("https://photon-sol.tinyastro.io/en/lp/4hGMvkMuSvquza8y4PmHzMKxQ7fSV3U5MJvUAPVCpump?handle=676050794bc1b1657a56b", "View")</f>
        <v>View</v>
      </c>
    </row>
    <row r="80" spans="1:16" x14ac:dyDescent="0.25">
      <c r="A80" s="13" t="s">
        <v>7610</v>
      </c>
      <c r="B80" s="14">
        <v>59341138</v>
      </c>
      <c r="C80" s="14">
        <v>59341138</v>
      </c>
      <c r="D80" s="14" t="s">
        <v>8841</v>
      </c>
      <c r="E80" s="14" t="s">
        <v>9008</v>
      </c>
      <c r="F80" s="14" t="s">
        <v>9009</v>
      </c>
      <c r="G80" s="22" t="s">
        <v>6036</v>
      </c>
      <c r="H80" s="22" t="s">
        <v>9010</v>
      </c>
      <c r="I80" s="14" t="s">
        <v>88</v>
      </c>
      <c r="J80" s="14">
        <v>1</v>
      </c>
      <c r="K80" s="14">
        <v>1</v>
      </c>
      <c r="L80" s="14" t="s">
        <v>9011</v>
      </c>
      <c r="M80" s="19" t="s">
        <v>3076</v>
      </c>
      <c r="N80" s="14" t="s">
        <v>9012</v>
      </c>
      <c r="O80" s="14" t="s">
        <v>9013</v>
      </c>
      <c r="P80" s="14" t="str">
        <f>HYPERLINK("https://photon-sol.tinyastro.io/en/lp/EYjmfokaKHYr8kVkbmXHLS9MEqbHg77MtzdzBSpkpump?handle=676050794bc1b1657a56b", "View")</f>
        <v>View</v>
      </c>
    </row>
    <row r="81" spans="1:16" x14ac:dyDescent="0.25">
      <c r="A81" s="16" t="s">
        <v>9014</v>
      </c>
      <c r="B81" s="17">
        <v>63024194</v>
      </c>
      <c r="C81" s="17">
        <v>63024194</v>
      </c>
      <c r="D81" s="17" t="s">
        <v>8841</v>
      </c>
      <c r="E81" s="17" t="s">
        <v>8632</v>
      </c>
      <c r="F81" s="17" t="s">
        <v>9015</v>
      </c>
      <c r="G81" s="21" t="s">
        <v>9016</v>
      </c>
      <c r="H81" s="21" t="s">
        <v>9017</v>
      </c>
      <c r="I81" s="17" t="s">
        <v>88</v>
      </c>
      <c r="J81" s="17">
        <v>1</v>
      </c>
      <c r="K81" s="17">
        <v>1</v>
      </c>
      <c r="L81" s="17" t="s">
        <v>9018</v>
      </c>
      <c r="M81" s="19" t="s">
        <v>2315</v>
      </c>
      <c r="N81" s="17" t="s">
        <v>7713</v>
      </c>
      <c r="O81" s="17" t="s">
        <v>9019</v>
      </c>
      <c r="P81" s="17" t="str">
        <f>HYPERLINK("https://photon-sol.tinyastro.io/en/lp/AuZrxnrNt8oRjR2eCUdB5myKMmPhTwcfKz3mRwuCpump?handle=676050794bc1b1657a56b", "View")</f>
        <v>View</v>
      </c>
    </row>
    <row r="82" spans="1:16" x14ac:dyDescent="0.25">
      <c r="A82" s="13" t="s">
        <v>9020</v>
      </c>
      <c r="B82" s="14">
        <v>63234221</v>
      </c>
      <c r="C82" s="14">
        <v>63234221</v>
      </c>
      <c r="D82" s="14" t="s">
        <v>8841</v>
      </c>
      <c r="E82" s="14" t="s">
        <v>9021</v>
      </c>
      <c r="F82" s="14" t="s">
        <v>9022</v>
      </c>
      <c r="G82" s="22" t="s">
        <v>9023</v>
      </c>
      <c r="H82" s="22" t="s">
        <v>9024</v>
      </c>
      <c r="I82" s="14" t="s">
        <v>88</v>
      </c>
      <c r="J82" s="14">
        <v>1</v>
      </c>
      <c r="K82" s="14">
        <v>1</v>
      </c>
      <c r="L82" s="14" t="s">
        <v>9025</v>
      </c>
      <c r="M82" s="19" t="s">
        <v>3076</v>
      </c>
      <c r="N82" s="14" t="s">
        <v>1011</v>
      </c>
      <c r="O82" s="14" t="s">
        <v>9026</v>
      </c>
      <c r="P82" s="14" t="str">
        <f>HYPERLINK("https://photon-sol.tinyastro.io/en/lp/artnVfevgrJbxSpw7QnCkmpnxhRVAG5oTu1y2TayWEw?handle=676050794bc1b1657a56b", "View")</f>
        <v>View</v>
      </c>
    </row>
    <row r="83" spans="1:16" x14ac:dyDescent="0.25">
      <c r="A83" s="16" t="s">
        <v>6662</v>
      </c>
      <c r="B83" s="17">
        <v>63445617</v>
      </c>
      <c r="C83" s="17">
        <v>63445617</v>
      </c>
      <c r="D83" s="17" t="s">
        <v>8841</v>
      </c>
      <c r="E83" s="17" t="s">
        <v>9027</v>
      </c>
      <c r="F83" s="17" t="s">
        <v>9028</v>
      </c>
      <c r="G83" s="22" t="s">
        <v>9029</v>
      </c>
      <c r="H83" s="22" t="s">
        <v>9030</v>
      </c>
      <c r="I83" s="17" t="s">
        <v>88</v>
      </c>
      <c r="J83" s="17">
        <v>1</v>
      </c>
      <c r="K83" s="17">
        <v>1</v>
      </c>
      <c r="L83" s="17" t="s">
        <v>9031</v>
      </c>
      <c r="M83" s="19" t="s">
        <v>3069</v>
      </c>
      <c r="N83" s="17" t="s">
        <v>9032</v>
      </c>
      <c r="O83" s="17" t="s">
        <v>6669</v>
      </c>
      <c r="P83" s="17" t="str">
        <f>HYPERLINK("https://photon-sol.tinyastro.io/en/lp/AmCxWKcuoDckZmrDjn4psvXakWoTu7mCgLYfhNimpump?handle=676050794bc1b1657a56b", "View")</f>
        <v>View</v>
      </c>
    </row>
    <row r="84" spans="1:16" x14ac:dyDescent="0.25">
      <c r="A84" s="13" t="s">
        <v>9033</v>
      </c>
      <c r="B84" s="14">
        <v>59090909</v>
      </c>
      <c r="C84" s="14">
        <v>59090909</v>
      </c>
      <c r="D84" s="14" t="s">
        <v>8841</v>
      </c>
      <c r="E84" s="14" t="s">
        <v>8387</v>
      </c>
      <c r="F84" s="14" t="s">
        <v>9034</v>
      </c>
      <c r="G84" s="20" t="s">
        <v>1664</v>
      </c>
      <c r="H84" s="20" t="s">
        <v>9035</v>
      </c>
      <c r="I84" s="14" t="s">
        <v>88</v>
      </c>
      <c r="J84" s="14">
        <v>1</v>
      </c>
      <c r="K84" s="14">
        <v>1</v>
      </c>
      <c r="L84" s="14" t="s">
        <v>9036</v>
      </c>
      <c r="M84" s="19" t="s">
        <v>2379</v>
      </c>
      <c r="N84" s="14" t="s">
        <v>1667</v>
      </c>
      <c r="O84" s="14" t="s">
        <v>9037</v>
      </c>
      <c r="P84" s="14" t="str">
        <f>HYPERLINK("https://photon-sol.tinyastro.io/en/lp/44CKEAHvDAZvYPxThn3e71oUm26JUnj3W6P6XeGTpump?handle=676050794bc1b1657a56b", "View")</f>
        <v>View</v>
      </c>
    </row>
    <row r="85" spans="1:16" x14ac:dyDescent="0.25">
      <c r="A85" s="16" t="s">
        <v>9038</v>
      </c>
      <c r="B85" s="17">
        <v>63312500</v>
      </c>
      <c r="C85" s="17">
        <v>63312500</v>
      </c>
      <c r="D85" s="17" t="s">
        <v>8841</v>
      </c>
      <c r="E85" s="17" t="s">
        <v>9039</v>
      </c>
      <c r="F85" s="17" t="s">
        <v>9040</v>
      </c>
      <c r="G85" s="21" t="s">
        <v>9041</v>
      </c>
      <c r="H85" s="21" t="s">
        <v>9042</v>
      </c>
      <c r="I85" s="17" t="s">
        <v>88</v>
      </c>
      <c r="J85" s="17">
        <v>1</v>
      </c>
      <c r="K85" s="17">
        <v>1</v>
      </c>
      <c r="L85" s="17" t="s">
        <v>9043</v>
      </c>
      <c r="M85" s="19" t="s">
        <v>3158</v>
      </c>
      <c r="N85" s="17" t="s">
        <v>9044</v>
      </c>
      <c r="O85" s="17" t="s">
        <v>9045</v>
      </c>
      <c r="P85" s="17" t="str">
        <f>HYPERLINK("https://photon-sol.tinyastro.io/en/lp/DXMWiFYCd8RQmpncdtuFgYrdNkRbndNEu3KbVkWnpump?handle=676050794bc1b1657a56b", "View")</f>
        <v>View</v>
      </c>
    </row>
    <row r="86" spans="1:16" x14ac:dyDescent="0.25">
      <c r="A86" s="13" t="s">
        <v>9046</v>
      </c>
      <c r="B86" s="14">
        <v>59875000</v>
      </c>
      <c r="C86" s="14">
        <v>59875000</v>
      </c>
      <c r="D86" s="14" t="s">
        <v>8841</v>
      </c>
      <c r="E86" s="14" t="s">
        <v>9047</v>
      </c>
      <c r="F86" s="14" t="s">
        <v>9048</v>
      </c>
      <c r="G86" s="21" t="s">
        <v>9049</v>
      </c>
      <c r="H86" s="21" t="s">
        <v>9050</v>
      </c>
      <c r="I86" s="14" t="s">
        <v>88</v>
      </c>
      <c r="J86" s="14">
        <v>1</v>
      </c>
      <c r="K86" s="14">
        <v>1</v>
      </c>
      <c r="L86" s="14" t="s">
        <v>9051</v>
      </c>
      <c r="M86" s="19" t="s">
        <v>3158</v>
      </c>
      <c r="N86" s="14" t="s">
        <v>3164</v>
      </c>
      <c r="O86" s="14" t="s">
        <v>9052</v>
      </c>
      <c r="P86" s="14" t="str">
        <f>HYPERLINK("https://photon-sol.tinyastro.io/en/lp/F36vFScA7M14HxHaEx37ANakG6J8c3FqQ2ZxGN3opump?handle=676050794bc1b1657a56b", "View")</f>
        <v>View</v>
      </c>
    </row>
    <row r="87" spans="1:16" x14ac:dyDescent="0.25">
      <c r="A87" s="16" t="s">
        <v>9053</v>
      </c>
      <c r="B87" s="17">
        <v>63024194</v>
      </c>
      <c r="C87" s="17">
        <v>63024194</v>
      </c>
      <c r="D87" s="17" t="s">
        <v>8934</v>
      </c>
      <c r="E87" s="17" t="s">
        <v>8632</v>
      </c>
      <c r="F87" s="17" t="s">
        <v>9054</v>
      </c>
      <c r="G87" s="21" t="s">
        <v>9055</v>
      </c>
      <c r="H87" s="21" t="s">
        <v>9056</v>
      </c>
      <c r="I87" s="17" t="s">
        <v>88</v>
      </c>
      <c r="J87" s="17">
        <v>1</v>
      </c>
      <c r="K87" s="17">
        <v>1</v>
      </c>
      <c r="L87" s="17" t="s">
        <v>9057</v>
      </c>
      <c r="M87" s="19" t="s">
        <v>2189</v>
      </c>
      <c r="N87" s="17" t="s">
        <v>9058</v>
      </c>
      <c r="O87" s="17" t="s">
        <v>9059</v>
      </c>
      <c r="P87" s="17" t="str">
        <f>HYPERLINK("https://photon-sol.tinyastro.io/en/lp/5M4cf2BL7DFmfyUyHASpeBqRzUvZvBQJoNGJbdDKpump?handle=676050794bc1b1657a56b", "View")</f>
        <v>View</v>
      </c>
    </row>
    <row r="88" spans="1:16" x14ac:dyDescent="0.25">
      <c r="A88" s="13" t="s">
        <v>9060</v>
      </c>
      <c r="B88" s="14">
        <v>64743377</v>
      </c>
      <c r="C88" s="14">
        <v>64743377</v>
      </c>
      <c r="D88" s="14" t="s">
        <v>8841</v>
      </c>
      <c r="E88" s="14" t="s">
        <v>8727</v>
      </c>
      <c r="F88" s="14" t="s">
        <v>9061</v>
      </c>
      <c r="G88" s="22" t="s">
        <v>5058</v>
      </c>
      <c r="H88" s="22" t="s">
        <v>9062</v>
      </c>
      <c r="I88" s="14" t="s">
        <v>88</v>
      </c>
      <c r="J88" s="14">
        <v>1</v>
      </c>
      <c r="K88" s="14">
        <v>1</v>
      </c>
      <c r="L88" s="14" t="s">
        <v>9063</v>
      </c>
      <c r="M88" s="19" t="s">
        <v>3158</v>
      </c>
      <c r="N88" s="14" t="s">
        <v>1011</v>
      </c>
      <c r="O88" s="14" t="s">
        <v>9064</v>
      </c>
      <c r="P88" s="14" t="str">
        <f>HYPERLINK("https://photon-sol.tinyastro.io/en/lp/G2iLywZCoviVDMES7TSnPCEHAWvMk18EpdjTiS6vAU2N?handle=676050794bc1b1657a56b", "View")</f>
        <v>View</v>
      </c>
    </row>
    <row r="89" spans="1:16" x14ac:dyDescent="0.25">
      <c r="A89" s="16" t="s">
        <v>1006</v>
      </c>
      <c r="B89" s="17">
        <v>64338783</v>
      </c>
      <c r="C89" s="17">
        <v>64338783</v>
      </c>
      <c r="D89" s="17" t="s">
        <v>8841</v>
      </c>
      <c r="E89" s="17" t="s">
        <v>9065</v>
      </c>
      <c r="F89" s="17" t="s">
        <v>9066</v>
      </c>
      <c r="G89" s="21" t="s">
        <v>9067</v>
      </c>
      <c r="H89" s="21" t="s">
        <v>9068</v>
      </c>
      <c r="I89" s="17" t="s">
        <v>88</v>
      </c>
      <c r="J89" s="17">
        <v>1</v>
      </c>
      <c r="K89" s="17">
        <v>1</v>
      </c>
      <c r="L89" s="17" t="s">
        <v>9069</v>
      </c>
      <c r="M89" s="19" t="s">
        <v>3158</v>
      </c>
      <c r="N89" s="17" t="s">
        <v>6919</v>
      </c>
      <c r="O89" s="17" t="s">
        <v>9070</v>
      </c>
      <c r="P89" s="17" t="str">
        <f>HYPERLINK("https://photon-sol.tinyastro.io/en/lp/AXJh9XJvkKVTSCq99c6GxTGQ1nwtwGTJvM9igaSAhw5?handle=676050794bc1b1657a56b", "View")</f>
        <v>View</v>
      </c>
    </row>
    <row r="90" spans="1:16" x14ac:dyDescent="0.25">
      <c r="A90" s="13" t="s">
        <v>9071</v>
      </c>
      <c r="B90" s="14">
        <v>59216017</v>
      </c>
      <c r="C90" s="14">
        <v>59216017</v>
      </c>
      <c r="D90" s="14" t="s">
        <v>8841</v>
      </c>
      <c r="E90" s="14" t="s">
        <v>9072</v>
      </c>
      <c r="F90" s="14" t="s">
        <v>9073</v>
      </c>
      <c r="G90" s="21" t="s">
        <v>9074</v>
      </c>
      <c r="H90" s="21" t="s">
        <v>9075</v>
      </c>
      <c r="I90" s="14" t="s">
        <v>88</v>
      </c>
      <c r="J90" s="14">
        <v>1</v>
      </c>
      <c r="K90" s="14">
        <v>1</v>
      </c>
      <c r="L90" s="14" t="s">
        <v>9076</v>
      </c>
      <c r="M90" s="19" t="s">
        <v>2993</v>
      </c>
      <c r="N90" s="14" t="s">
        <v>9077</v>
      </c>
      <c r="O90" s="14" t="s">
        <v>9078</v>
      </c>
      <c r="P90" s="14" t="str">
        <f>HYPERLINK("https://photon-sol.tinyastro.io/en/lp/7FisD5QTeFBCd2vbAVs5PQ89vefLqz9Qhaqja6XRpump?handle=676050794bc1b1657a56b", "View")</f>
        <v>View</v>
      </c>
    </row>
    <row r="91" spans="1:16" x14ac:dyDescent="0.25">
      <c r="A91" s="16" t="s">
        <v>9079</v>
      </c>
      <c r="B91" s="17">
        <v>19482833</v>
      </c>
      <c r="C91" s="17">
        <v>19482833</v>
      </c>
      <c r="D91" s="17" t="s">
        <v>8841</v>
      </c>
      <c r="E91" s="17" t="s">
        <v>9080</v>
      </c>
      <c r="F91" s="17" t="s">
        <v>9081</v>
      </c>
      <c r="G91" s="15" t="s">
        <v>9082</v>
      </c>
      <c r="H91" s="15" t="s">
        <v>9083</v>
      </c>
      <c r="I91" s="17" t="s">
        <v>88</v>
      </c>
      <c r="J91" s="17">
        <v>1</v>
      </c>
      <c r="K91" s="17">
        <v>1</v>
      </c>
      <c r="L91" s="17" t="s">
        <v>9084</v>
      </c>
      <c r="M91" s="17" t="s">
        <v>1434</v>
      </c>
      <c r="N91" s="17" t="s">
        <v>9085</v>
      </c>
      <c r="O91" s="17" t="s">
        <v>9086</v>
      </c>
      <c r="P91" s="17" t="str">
        <f>HYPERLINK("https://photon-sol.tinyastro.io/en/lp/CMPu4jqvZmNG49VVm7EBdDHxWuqfuZievRn6m7LNpump?handle=676050794bc1b1657a56b", "View")</f>
        <v>View</v>
      </c>
    </row>
    <row r="92" spans="1:16" x14ac:dyDescent="0.25">
      <c r="A92" s="13" t="s">
        <v>9087</v>
      </c>
      <c r="B92" s="14">
        <v>59216017</v>
      </c>
      <c r="C92" s="14">
        <v>59216017</v>
      </c>
      <c r="D92" s="14" t="s">
        <v>8841</v>
      </c>
      <c r="E92" s="14" t="s">
        <v>6801</v>
      </c>
      <c r="F92" s="14" t="s">
        <v>9088</v>
      </c>
      <c r="G92" s="22" t="s">
        <v>6752</v>
      </c>
      <c r="H92" s="22" t="s">
        <v>9089</v>
      </c>
      <c r="I92" s="14" t="s">
        <v>88</v>
      </c>
      <c r="J92" s="14">
        <v>1</v>
      </c>
      <c r="K92" s="14">
        <v>1</v>
      </c>
      <c r="L92" s="14" t="s">
        <v>9090</v>
      </c>
      <c r="M92" s="19" t="s">
        <v>3076</v>
      </c>
      <c r="N92" s="14" t="s">
        <v>8752</v>
      </c>
      <c r="O92" s="14" t="s">
        <v>9091</v>
      </c>
      <c r="P92" s="14" t="str">
        <f>HYPERLINK("https://photon-sol.tinyastro.io/en/lp/41CDhCLk98age6CBZzvrBEbKBnequm1Ht2sGpAfLpump?handle=676050794bc1b1657a56b", "View")</f>
        <v>View</v>
      </c>
    </row>
    <row r="93" spans="1:16" x14ac:dyDescent="0.25">
      <c r="A93" s="16" t="s">
        <v>9092</v>
      </c>
      <c r="B93" s="17">
        <v>51527102</v>
      </c>
      <c r="C93" s="17">
        <v>51527102</v>
      </c>
      <c r="D93" s="17" t="s">
        <v>8841</v>
      </c>
      <c r="E93" s="17" t="s">
        <v>9093</v>
      </c>
      <c r="F93" s="17" t="s">
        <v>9094</v>
      </c>
      <c r="G93" s="22" t="s">
        <v>9095</v>
      </c>
      <c r="H93" s="22" t="s">
        <v>9096</v>
      </c>
      <c r="I93" s="17" t="s">
        <v>88</v>
      </c>
      <c r="J93" s="17">
        <v>1</v>
      </c>
      <c r="K93" s="17">
        <v>1</v>
      </c>
      <c r="L93" s="17" t="s">
        <v>9097</v>
      </c>
      <c r="M93" s="19" t="s">
        <v>2486</v>
      </c>
      <c r="N93" s="17" t="s">
        <v>3296</v>
      </c>
      <c r="O93" s="17" t="s">
        <v>9098</v>
      </c>
      <c r="P93" s="17" t="str">
        <f>HYPERLINK("https://photon-sol.tinyastro.io/en/lp/Ay7j7Z9usczEuL4j4xZJR5xuNyffrXCSbaRHwWndpump?handle=676050794bc1b1657a56b", "View")</f>
        <v>View</v>
      </c>
    </row>
    <row r="94" spans="1:16" x14ac:dyDescent="0.25">
      <c r="A94" s="13" t="s">
        <v>9099</v>
      </c>
      <c r="B94" s="14">
        <v>61112088</v>
      </c>
      <c r="C94" s="14">
        <v>61112088</v>
      </c>
      <c r="D94" s="14" t="s">
        <v>8841</v>
      </c>
      <c r="E94" s="14" t="s">
        <v>9100</v>
      </c>
      <c r="F94" s="14" t="s">
        <v>9101</v>
      </c>
      <c r="G94" s="21" t="s">
        <v>9102</v>
      </c>
      <c r="H94" s="21" t="s">
        <v>9103</v>
      </c>
      <c r="I94" s="14" t="s">
        <v>88</v>
      </c>
      <c r="J94" s="14">
        <v>1</v>
      </c>
      <c r="K94" s="14">
        <v>1</v>
      </c>
      <c r="L94" s="14" t="s">
        <v>9104</v>
      </c>
      <c r="M94" s="14" t="s">
        <v>5445</v>
      </c>
      <c r="N94" s="14" t="s">
        <v>3607</v>
      </c>
      <c r="O94" s="14" t="s">
        <v>9105</v>
      </c>
      <c r="P94" s="14" t="str">
        <f>HYPERLINK("https://photon-sol.tinyastro.io/en/lp/HCm8qH78iE7U74n4bseHbLWxapF6peza5Yr7D2REpump?handle=676050794bc1b1657a56b", "View")</f>
        <v>View</v>
      </c>
    </row>
    <row r="95" spans="1:16" x14ac:dyDescent="0.25">
      <c r="A95" s="16" t="s">
        <v>9106</v>
      </c>
      <c r="B95" s="17">
        <v>62608173</v>
      </c>
      <c r="C95" s="17">
        <v>62608173</v>
      </c>
      <c r="D95" s="17" t="s">
        <v>8841</v>
      </c>
      <c r="E95" s="17" t="s">
        <v>9107</v>
      </c>
      <c r="F95" s="17" t="s">
        <v>9108</v>
      </c>
      <c r="G95" s="20" t="s">
        <v>9109</v>
      </c>
      <c r="H95" s="20" t="s">
        <v>9110</v>
      </c>
      <c r="I95" s="17" t="s">
        <v>88</v>
      </c>
      <c r="J95" s="17">
        <v>1</v>
      </c>
      <c r="K95" s="17">
        <v>1</v>
      </c>
      <c r="L95" s="17" t="s">
        <v>9111</v>
      </c>
      <c r="M95" s="19" t="s">
        <v>2239</v>
      </c>
      <c r="N95" s="17" t="s">
        <v>3188</v>
      </c>
      <c r="O95" s="17" t="s">
        <v>9112</v>
      </c>
      <c r="P95" s="17" t="str">
        <f>HYPERLINK("https://photon-sol.tinyastro.io/en/lp/2xahh1cSxn4uF8S3HtxkjCEgVKStZUgyaAzZcoT5pump?handle=676050794bc1b1657a56b", "View")</f>
        <v>View</v>
      </c>
    </row>
    <row r="96" spans="1:16" x14ac:dyDescent="0.25">
      <c r="A96" s="13" t="s">
        <v>9113</v>
      </c>
      <c r="B96" s="14">
        <v>60996094</v>
      </c>
      <c r="C96" s="14">
        <v>60996094</v>
      </c>
      <c r="D96" s="14" t="s">
        <v>8841</v>
      </c>
      <c r="E96" s="14" t="s">
        <v>8727</v>
      </c>
      <c r="F96" s="14" t="s">
        <v>6815</v>
      </c>
      <c r="G96" s="21" t="s">
        <v>6435</v>
      </c>
      <c r="H96" s="21" t="s">
        <v>9114</v>
      </c>
      <c r="I96" s="14" t="s">
        <v>88</v>
      </c>
      <c r="J96" s="14">
        <v>1</v>
      </c>
      <c r="K96" s="14">
        <v>1</v>
      </c>
      <c r="L96" s="14" t="s">
        <v>9115</v>
      </c>
      <c r="M96" s="19" t="s">
        <v>3158</v>
      </c>
      <c r="N96" s="14" t="s">
        <v>1011</v>
      </c>
      <c r="O96" s="14" t="s">
        <v>9116</v>
      </c>
      <c r="P96" s="14" t="str">
        <f>HYPERLINK("https://photon-sol.tinyastro.io/en/lp/29G1xZRSHJyXYHkDnPKiac8t4RVD1vWydewqaCh9pump?handle=676050794bc1b1657a56b", "View")</f>
        <v>View</v>
      </c>
    </row>
    <row r="97" spans="1:16" x14ac:dyDescent="0.25">
      <c r="A97" s="16" t="s">
        <v>9117</v>
      </c>
      <c r="B97" s="17">
        <v>63024194</v>
      </c>
      <c r="C97" s="17">
        <v>63024194</v>
      </c>
      <c r="D97" s="17" t="s">
        <v>8841</v>
      </c>
      <c r="E97" s="17" t="s">
        <v>9118</v>
      </c>
      <c r="F97" s="17" t="s">
        <v>9119</v>
      </c>
      <c r="G97" s="20" t="s">
        <v>9120</v>
      </c>
      <c r="H97" s="20" t="s">
        <v>9121</v>
      </c>
      <c r="I97" s="17" t="s">
        <v>88</v>
      </c>
      <c r="J97" s="17">
        <v>1</v>
      </c>
      <c r="K97" s="17">
        <v>1</v>
      </c>
      <c r="L97" s="17" t="s">
        <v>9122</v>
      </c>
      <c r="M97" s="19" t="s">
        <v>1948</v>
      </c>
      <c r="N97" s="17" t="s">
        <v>3188</v>
      </c>
      <c r="O97" s="17" t="s">
        <v>9123</v>
      </c>
      <c r="P97" s="17" t="str">
        <f>HYPERLINK("https://photon-sol.tinyastro.io/en/lp/xzFziDxAg3BkspgGGHacu2GQRRpr2C4JtNkkcxNpump?handle=676050794bc1b1657a56b", "View")</f>
        <v>View</v>
      </c>
    </row>
    <row r="98" spans="1:16" x14ac:dyDescent="0.25">
      <c r="A98" s="13" t="s">
        <v>5310</v>
      </c>
      <c r="B98" s="14">
        <v>58937500</v>
      </c>
      <c r="C98" s="14">
        <v>58937500</v>
      </c>
      <c r="D98" s="14" t="s">
        <v>8841</v>
      </c>
      <c r="E98" s="14" t="s">
        <v>9124</v>
      </c>
      <c r="F98" s="14" t="s">
        <v>9125</v>
      </c>
      <c r="G98" s="21" t="s">
        <v>9126</v>
      </c>
      <c r="H98" s="21" t="s">
        <v>9127</v>
      </c>
      <c r="I98" s="14" t="s">
        <v>88</v>
      </c>
      <c r="J98" s="14">
        <v>1</v>
      </c>
      <c r="K98" s="14">
        <v>1</v>
      </c>
      <c r="L98" s="14" t="s">
        <v>9128</v>
      </c>
      <c r="M98" s="19" t="s">
        <v>3076</v>
      </c>
      <c r="N98" s="14" t="s">
        <v>9129</v>
      </c>
      <c r="O98" s="14" t="s">
        <v>5314</v>
      </c>
      <c r="P98" s="14" t="str">
        <f>HYPERLINK("https://photon-sol.tinyastro.io/en/lp/4Cr1JQHduEPaVN9qE9PiErfNaqwZjLyg3QmegBLGpump?handle=676050794bc1b1657a56b", "View")</f>
        <v>View</v>
      </c>
    </row>
    <row r="99" spans="1:16" x14ac:dyDescent="0.25">
      <c r="A99" s="16" t="s">
        <v>9130</v>
      </c>
      <c r="B99" s="17">
        <v>57406008</v>
      </c>
      <c r="C99" s="17">
        <v>57406008</v>
      </c>
      <c r="D99" s="17" t="s">
        <v>9131</v>
      </c>
      <c r="E99" s="17" t="s">
        <v>7524</v>
      </c>
      <c r="F99" s="17" t="s">
        <v>9132</v>
      </c>
      <c r="G99" s="21" t="s">
        <v>9133</v>
      </c>
      <c r="H99" s="21" t="s">
        <v>9134</v>
      </c>
      <c r="I99" s="17" t="s">
        <v>88</v>
      </c>
      <c r="J99" s="17">
        <v>1</v>
      </c>
      <c r="K99" s="17">
        <v>1</v>
      </c>
      <c r="L99" s="17" t="s">
        <v>9135</v>
      </c>
      <c r="M99" s="17" t="s">
        <v>1448</v>
      </c>
      <c r="N99" s="17" t="s">
        <v>9136</v>
      </c>
      <c r="O99" s="17" t="s">
        <v>9137</v>
      </c>
      <c r="P99" s="17" t="str">
        <f>HYPERLINK("https://photon-sol.tinyastro.io/en/lp/6kc11KwEgT4fzubPEFvw8WCgLcVxV2Sk5Xx3eembpump?handle=676050794bc1b1657a56b", "View")</f>
        <v>View</v>
      </c>
    </row>
    <row r="100" spans="1:16" x14ac:dyDescent="0.25">
      <c r="A100" s="13" t="s">
        <v>9138</v>
      </c>
      <c r="B100" s="14">
        <v>63024194</v>
      </c>
      <c r="C100" s="14">
        <v>63024194</v>
      </c>
      <c r="D100" s="14" t="s">
        <v>8841</v>
      </c>
      <c r="E100" s="14" t="s">
        <v>9139</v>
      </c>
      <c r="F100" s="14" t="s">
        <v>9140</v>
      </c>
      <c r="G100" s="21" t="s">
        <v>9141</v>
      </c>
      <c r="H100" s="21" t="s">
        <v>9142</v>
      </c>
      <c r="I100" s="14" t="s">
        <v>88</v>
      </c>
      <c r="J100" s="14">
        <v>1</v>
      </c>
      <c r="K100" s="14">
        <v>1</v>
      </c>
      <c r="L100" s="14" t="s">
        <v>9143</v>
      </c>
      <c r="M100" s="19" t="s">
        <v>1827</v>
      </c>
      <c r="N100" s="14" t="s">
        <v>9144</v>
      </c>
      <c r="O100" s="14" t="s">
        <v>9145</v>
      </c>
      <c r="P100" s="14" t="str">
        <f>HYPERLINK("https://photon-sol.tinyastro.io/en/lp/AE3k8gxT5NKJymNRHWTDiEnJRrxthxC4wM2QXjoipump?handle=676050794bc1b1657a56b", "View")</f>
        <v>View</v>
      </c>
    </row>
    <row r="101" spans="1:16" x14ac:dyDescent="0.25">
      <c r="A101" s="16" t="s">
        <v>9146</v>
      </c>
      <c r="B101" s="17">
        <v>61611115</v>
      </c>
      <c r="C101" s="17">
        <v>61611115</v>
      </c>
      <c r="D101" s="17" t="s">
        <v>8841</v>
      </c>
      <c r="E101" s="17" t="s">
        <v>9147</v>
      </c>
      <c r="F101" s="17" t="s">
        <v>9148</v>
      </c>
      <c r="G101" s="20" t="s">
        <v>9149</v>
      </c>
      <c r="H101" s="20" t="s">
        <v>9150</v>
      </c>
      <c r="I101" s="17" t="s">
        <v>88</v>
      </c>
      <c r="J101" s="17">
        <v>1</v>
      </c>
      <c r="K101" s="17">
        <v>1</v>
      </c>
      <c r="L101" s="17" t="s">
        <v>9151</v>
      </c>
      <c r="M101" s="19" t="s">
        <v>9152</v>
      </c>
      <c r="N101" s="17" t="s">
        <v>2585</v>
      </c>
      <c r="O101" s="17" t="s">
        <v>9153</v>
      </c>
      <c r="P101" s="17" t="str">
        <f>HYPERLINK("https://photon-sol.tinyastro.io/en/lp/AxD13aWrTtaYkG7QKWWbvxheyrnqaJ1xMiUVJr4Lpump?handle=676050794bc1b1657a56b", "View")</f>
        <v>View</v>
      </c>
    </row>
    <row r="102" spans="1:16" x14ac:dyDescent="0.25">
      <c r="A102" s="13" t="s">
        <v>199</v>
      </c>
      <c r="B102" s="14">
        <v>91066431</v>
      </c>
      <c r="C102" s="14">
        <v>91066431</v>
      </c>
      <c r="D102" s="14" t="s">
        <v>8841</v>
      </c>
      <c r="E102" s="14" t="s">
        <v>1853</v>
      </c>
      <c r="F102" s="14" t="s">
        <v>9154</v>
      </c>
      <c r="G102" s="22" t="s">
        <v>6383</v>
      </c>
      <c r="H102" s="22" t="s">
        <v>9155</v>
      </c>
      <c r="I102" s="14" t="s">
        <v>88</v>
      </c>
      <c r="J102" s="14">
        <v>1</v>
      </c>
      <c r="K102" s="14">
        <v>1</v>
      </c>
      <c r="L102" s="14" t="s">
        <v>9156</v>
      </c>
      <c r="M102" s="19" t="s">
        <v>3076</v>
      </c>
      <c r="N102" s="14" t="s">
        <v>9157</v>
      </c>
      <c r="O102" s="14" t="s">
        <v>9158</v>
      </c>
      <c r="P102" s="14" t="str">
        <f>HYPERLINK("https://photon-sol.tinyastro.io/en/lp/6mjvhJv1dpsHs9tt6kix1YQVmRcTkf1d5EFS3uZgXdDn?handle=676050794bc1b1657a56b", "View")</f>
        <v>View</v>
      </c>
    </row>
    <row r="103" spans="1:16" x14ac:dyDescent="0.25">
      <c r="A103" s="16" t="s">
        <v>1463</v>
      </c>
      <c r="B103" s="17">
        <v>86516158</v>
      </c>
      <c r="C103" s="17">
        <v>86516158</v>
      </c>
      <c r="D103" s="17" t="s">
        <v>8841</v>
      </c>
      <c r="E103" s="17" t="s">
        <v>9159</v>
      </c>
      <c r="F103" s="17" t="s">
        <v>9160</v>
      </c>
      <c r="G103" s="22" t="s">
        <v>7213</v>
      </c>
      <c r="H103" s="22" t="s">
        <v>9161</v>
      </c>
      <c r="I103" s="17" t="s">
        <v>88</v>
      </c>
      <c r="J103" s="17">
        <v>1</v>
      </c>
      <c r="K103" s="17">
        <v>1</v>
      </c>
      <c r="L103" s="17" t="s">
        <v>9162</v>
      </c>
      <c r="M103" s="19" t="s">
        <v>2955</v>
      </c>
      <c r="N103" s="17" t="s">
        <v>8752</v>
      </c>
      <c r="O103" s="17" t="s">
        <v>9163</v>
      </c>
      <c r="P103" s="17" t="str">
        <f>HYPERLINK("https://photon-sol.tinyastro.io/en/lp/HvR3SbcEQqQu1P7FRnPBSPrK29PS4UAbEsgoKb1Tpump?handle=676050794bc1b1657a56b", "View")</f>
        <v>View</v>
      </c>
    </row>
    <row r="104" spans="1:16" x14ac:dyDescent="0.25">
      <c r="A104" s="13" t="s">
        <v>9164</v>
      </c>
      <c r="B104" s="14">
        <v>86249508</v>
      </c>
      <c r="C104" s="14">
        <v>86249508</v>
      </c>
      <c r="D104" s="14" t="s">
        <v>8841</v>
      </c>
      <c r="E104" s="14" t="s">
        <v>9159</v>
      </c>
      <c r="F104" s="14" t="s">
        <v>9165</v>
      </c>
      <c r="G104" s="21" t="s">
        <v>9166</v>
      </c>
      <c r="H104" s="21" t="s">
        <v>9167</v>
      </c>
      <c r="I104" s="14" t="s">
        <v>88</v>
      </c>
      <c r="J104" s="14">
        <v>1</v>
      </c>
      <c r="K104" s="14">
        <v>1</v>
      </c>
      <c r="L104" s="14" t="s">
        <v>9168</v>
      </c>
      <c r="M104" s="19" t="s">
        <v>3158</v>
      </c>
      <c r="N104" s="14" t="s">
        <v>3164</v>
      </c>
      <c r="O104" s="14" t="s">
        <v>9169</v>
      </c>
      <c r="P104" s="14" t="str">
        <f>HYPERLINK("https://photon-sol.tinyastro.io/en/lp/ARumG62Z9QGNtNsVAzgUTNjzjxyqJ8axAidg7ZPnpump?handle=676050794bc1b1657a56b", "View")</f>
        <v>View</v>
      </c>
    </row>
    <row r="105" spans="1:16" x14ac:dyDescent="0.25">
      <c r="A105" s="16" t="s">
        <v>9170</v>
      </c>
      <c r="B105" s="17">
        <v>59786394</v>
      </c>
      <c r="C105" s="17">
        <v>59786394</v>
      </c>
      <c r="D105" s="17" t="s">
        <v>8609</v>
      </c>
      <c r="E105" s="17" t="s">
        <v>9102</v>
      </c>
      <c r="F105" s="17" t="s">
        <v>9171</v>
      </c>
      <c r="G105" s="21" t="s">
        <v>9172</v>
      </c>
      <c r="H105" s="21" t="s">
        <v>9173</v>
      </c>
      <c r="I105" s="17" t="s">
        <v>88</v>
      </c>
      <c r="J105" s="17">
        <v>1</v>
      </c>
      <c r="K105" s="17">
        <v>1</v>
      </c>
      <c r="L105" s="17" t="s">
        <v>9174</v>
      </c>
      <c r="M105" s="17" t="s">
        <v>1448</v>
      </c>
      <c r="N105" s="17" t="s">
        <v>9175</v>
      </c>
      <c r="O105" s="17" t="s">
        <v>9176</v>
      </c>
      <c r="P105" s="17" t="str">
        <f>HYPERLINK("https://photon-sol.tinyastro.io/en/lp/DrB5zvFT7k416h8d2dMsfv312sSnsxraKHEW1Hg5pump?handle=676050794bc1b1657a56b", "View")</f>
        <v>View</v>
      </c>
    </row>
    <row r="106" spans="1:16" x14ac:dyDescent="0.25">
      <c r="A106" s="13" t="s">
        <v>9177</v>
      </c>
      <c r="B106" s="14">
        <v>61112088</v>
      </c>
      <c r="C106" s="14">
        <v>61112088</v>
      </c>
      <c r="D106" s="14" t="s">
        <v>9178</v>
      </c>
      <c r="E106" s="14" t="s">
        <v>9179</v>
      </c>
      <c r="F106" s="14" t="s">
        <v>9180</v>
      </c>
      <c r="G106" s="20" t="s">
        <v>9181</v>
      </c>
      <c r="H106" s="20" t="s">
        <v>9182</v>
      </c>
      <c r="I106" s="14" t="s">
        <v>88</v>
      </c>
      <c r="J106" s="14">
        <v>1</v>
      </c>
      <c r="K106" s="14">
        <v>1</v>
      </c>
      <c r="L106" s="14" t="s">
        <v>9183</v>
      </c>
      <c r="M106" s="14" t="s">
        <v>1448</v>
      </c>
      <c r="N106" s="14" t="s">
        <v>2308</v>
      </c>
      <c r="O106" s="14" t="s">
        <v>9184</v>
      </c>
      <c r="P106" s="14" t="str">
        <f>HYPERLINK("https://photon-sol.tinyastro.io/en/lp/Dof6EJ7qk7CZMr5FwGGguBi57FTXWicDo7Bw6pFppump?handle=676050794bc1b1657a56b", "View")</f>
        <v>View</v>
      </c>
    </row>
    <row r="107" spans="1:16" x14ac:dyDescent="0.25">
      <c r="A107" s="16" t="s">
        <v>9185</v>
      </c>
      <c r="B107" s="17">
        <v>63024194</v>
      </c>
      <c r="C107" s="17">
        <v>63024194</v>
      </c>
      <c r="D107" s="17" t="s">
        <v>9186</v>
      </c>
      <c r="E107" s="17" t="s">
        <v>9187</v>
      </c>
      <c r="F107" s="17" t="s">
        <v>1069</v>
      </c>
      <c r="G107" s="22" t="s">
        <v>9188</v>
      </c>
      <c r="H107" s="22" t="s">
        <v>9189</v>
      </c>
      <c r="I107" s="17" t="s">
        <v>88</v>
      </c>
      <c r="J107" s="17">
        <v>1</v>
      </c>
      <c r="K107" s="17">
        <v>1</v>
      </c>
      <c r="L107" s="17" t="s">
        <v>9190</v>
      </c>
      <c r="M107" s="19" t="s">
        <v>3158</v>
      </c>
      <c r="N107" s="17" t="s">
        <v>2316</v>
      </c>
      <c r="O107" s="17" t="s">
        <v>9191</v>
      </c>
      <c r="P107" s="17" t="str">
        <f>HYPERLINK("https://photon-sol.tinyastro.io/en/lp/6F98EAJA6bywghJVSifcwBuZCxhEa524MPdxxgAypump?handle=676050794bc1b1657a56b", "View")</f>
        <v>View</v>
      </c>
    </row>
    <row r="108" spans="1:16" x14ac:dyDescent="0.25">
      <c r="A108" s="13" t="s">
        <v>7452</v>
      </c>
      <c r="B108" s="14">
        <v>60720157</v>
      </c>
      <c r="C108" s="14">
        <v>60720157</v>
      </c>
      <c r="D108" s="14" t="s">
        <v>9192</v>
      </c>
      <c r="E108" s="14" t="s">
        <v>9193</v>
      </c>
      <c r="F108" s="14" t="s">
        <v>9194</v>
      </c>
      <c r="G108" s="21" t="s">
        <v>9195</v>
      </c>
      <c r="H108" s="21" t="s">
        <v>9196</v>
      </c>
      <c r="I108" s="14" t="s">
        <v>88</v>
      </c>
      <c r="J108" s="14">
        <v>1</v>
      </c>
      <c r="K108" s="14">
        <v>1</v>
      </c>
      <c r="L108" s="14" t="s">
        <v>9197</v>
      </c>
      <c r="M108" s="19" t="s">
        <v>3000</v>
      </c>
      <c r="N108" s="14" t="s">
        <v>507</v>
      </c>
      <c r="O108" s="14" t="s">
        <v>9198</v>
      </c>
      <c r="P108" s="14" t="str">
        <f>HYPERLINK("https://photon-sol.tinyastro.io/en/lp/2cVo1vP8kNCQG7Yc6SZqViWbJG2H5FTyHdF5hexNpump?handle=676050794bc1b1657a56b", "View")</f>
        <v>View</v>
      </c>
    </row>
    <row r="109" spans="1:16" x14ac:dyDescent="0.25">
      <c r="A109" s="16" t="s">
        <v>9199</v>
      </c>
      <c r="B109" s="17">
        <v>55607143</v>
      </c>
      <c r="C109" s="17">
        <v>55607143</v>
      </c>
      <c r="D109" s="17" t="s">
        <v>9200</v>
      </c>
      <c r="E109" s="17" t="s">
        <v>9201</v>
      </c>
      <c r="F109" s="17" t="s">
        <v>2091</v>
      </c>
      <c r="G109" s="15" t="s">
        <v>9202</v>
      </c>
      <c r="H109" s="15" t="s">
        <v>9203</v>
      </c>
      <c r="I109" s="17" t="s">
        <v>88</v>
      </c>
      <c r="J109" s="17">
        <v>1</v>
      </c>
      <c r="K109" s="17">
        <v>1</v>
      </c>
      <c r="L109" s="17" t="s">
        <v>9204</v>
      </c>
      <c r="M109" s="17" t="s">
        <v>788</v>
      </c>
      <c r="N109" s="17" t="s">
        <v>9205</v>
      </c>
      <c r="O109" s="17" t="s">
        <v>9206</v>
      </c>
      <c r="P109" s="17" t="str">
        <f>HYPERLINK("https://photon-sol.tinyastro.io/en/lp/AmqbYGJbek51L1Y4CafnAKGJMPjVVpYHuFZjv5KFpump?handle=676050794bc1b1657a56b", "View")</f>
        <v>View</v>
      </c>
    </row>
    <row r="110" spans="1:16" x14ac:dyDescent="0.25">
      <c r="A110" s="13" t="s">
        <v>9207</v>
      </c>
      <c r="B110" s="14">
        <v>20194941</v>
      </c>
      <c r="C110" s="14">
        <v>20194941</v>
      </c>
      <c r="D110" s="14" t="s">
        <v>9208</v>
      </c>
      <c r="E110" s="14" t="s">
        <v>569</v>
      </c>
      <c r="F110" s="14" t="s">
        <v>9209</v>
      </c>
      <c r="G110" s="21" t="s">
        <v>9210</v>
      </c>
      <c r="H110" s="21" t="s">
        <v>9211</v>
      </c>
      <c r="I110" s="14" t="s">
        <v>88</v>
      </c>
      <c r="J110" s="14">
        <v>1</v>
      </c>
      <c r="K110" s="14">
        <v>1</v>
      </c>
      <c r="L110" s="14" t="s">
        <v>9212</v>
      </c>
      <c r="M110" s="19" t="s">
        <v>3492</v>
      </c>
      <c r="N110" s="14" t="s">
        <v>9213</v>
      </c>
      <c r="O110" s="14" t="s">
        <v>9214</v>
      </c>
      <c r="P110" s="14" t="str">
        <f>HYPERLINK("https://dexscreener.com/solana/HAFXFg7SSFauCP1A1bq4XadC3ywR6kz14mdmz3nvpump", "View")</f>
        <v>View</v>
      </c>
    </row>
    <row r="111" spans="1:16" x14ac:dyDescent="0.25">
      <c r="A111" s="16" t="s">
        <v>5126</v>
      </c>
      <c r="B111" s="17">
        <v>56440217</v>
      </c>
      <c r="C111" s="17">
        <v>56440217</v>
      </c>
      <c r="D111" s="17" t="s">
        <v>9215</v>
      </c>
      <c r="E111" s="17" t="s">
        <v>9216</v>
      </c>
      <c r="F111" s="17" t="s">
        <v>9217</v>
      </c>
      <c r="G111" s="22" t="s">
        <v>9218</v>
      </c>
      <c r="H111" s="22" t="s">
        <v>8592</v>
      </c>
      <c r="I111" s="17" t="s">
        <v>88</v>
      </c>
      <c r="J111" s="17">
        <v>1</v>
      </c>
      <c r="K111" s="17">
        <v>1</v>
      </c>
      <c r="L111" s="17" t="s">
        <v>9219</v>
      </c>
      <c r="M111" s="19" t="s">
        <v>3000</v>
      </c>
      <c r="N111" s="17" t="s">
        <v>3296</v>
      </c>
      <c r="O111" s="17" t="s">
        <v>9220</v>
      </c>
      <c r="P111" s="17" t="str">
        <f>HYPERLINK("https://photon-sol.tinyastro.io/en/lp/C4u7qk6dAp385M9ijp3YvsZPGeXzU6X6QrxwXVwzpump?handle=676050794bc1b1657a56b", "View")</f>
        <v>View</v>
      </c>
    </row>
    <row r="112" spans="1:16" x14ac:dyDescent="0.25">
      <c r="A112" s="13" t="s">
        <v>9221</v>
      </c>
      <c r="B112" s="14">
        <v>58180970</v>
      </c>
      <c r="C112" s="14">
        <v>58180970</v>
      </c>
      <c r="D112" s="14" t="s">
        <v>9192</v>
      </c>
      <c r="E112" s="14" t="s">
        <v>9222</v>
      </c>
      <c r="F112" s="14" t="s">
        <v>9223</v>
      </c>
      <c r="G112" s="21" t="s">
        <v>9224</v>
      </c>
      <c r="H112" s="21" t="s">
        <v>9225</v>
      </c>
      <c r="I112" s="14" t="s">
        <v>88</v>
      </c>
      <c r="J112" s="14">
        <v>1</v>
      </c>
      <c r="K112" s="14">
        <v>1</v>
      </c>
      <c r="L112" s="14" t="s">
        <v>9226</v>
      </c>
      <c r="M112" s="19" t="s">
        <v>3000</v>
      </c>
      <c r="N112" s="14" t="s">
        <v>9227</v>
      </c>
      <c r="O112" s="14" t="s">
        <v>9228</v>
      </c>
      <c r="P112" s="14" t="str">
        <f>HYPERLINK("https://photon-sol.tinyastro.io/en/lp/46DfKYkvPKqosZY7MR2bK4pdBhzDxnNSZf6ggnHXpump?handle=676050794bc1b1657a56b", "View")</f>
        <v>View</v>
      </c>
    </row>
    <row r="113" spans="1:16" x14ac:dyDescent="0.25">
      <c r="A113" s="16" t="s">
        <v>9229</v>
      </c>
      <c r="B113" s="17">
        <v>59216017</v>
      </c>
      <c r="C113" s="17">
        <v>59216017</v>
      </c>
      <c r="D113" s="17" t="s">
        <v>9192</v>
      </c>
      <c r="E113" s="17" t="s">
        <v>2042</v>
      </c>
      <c r="F113" s="17" t="s">
        <v>8698</v>
      </c>
      <c r="G113" s="21" t="s">
        <v>9230</v>
      </c>
      <c r="H113" s="21" t="s">
        <v>9231</v>
      </c>
      <c r="I113" s="17" t="s">
        <v>88</v>
      </c>
      <c r="J113" s="17">
        <v>1</v>
      </c>
      <c r="K113" s="17">
        <v>1</v>
      </c>
      <c r="L113" s="17" t="s">
        <v>9232</v>
      </c>
      <c r="M113" s="19" t="s">
        <v>3158</v>
      </c>
      <c r="N113" s="17" t="s">
        <v>9233</v>
      </c>
      <c r="O113" s="17" t="s">
        <v>9234</v>
      </c>
      <c r="P113" s="17" t="str">
        <f>HYPERLINK("https://photon-sol.tinyastro.io/en/lp/BAgk93ESgfqBScWNex7kUMuFWx9iNvLrjyxw1awDpump?handle=676050794bc1b1657a56b", "View")</f>
        <v>View</v>
      </c>
    </row>
    <row r="114" spans="1:16" x14ac:dyDescent="0.25">
      <c r="A114" s="13" t="s">
        <v>9235</v>
      </c>
      <c r="B114" s="14">
        <v>1618369</v>
      </c>
      <c r="C114" s="14">
        <v>1618369</v>
      </c>
      <c r="D114" s="14" t="s">
        <v>9236</v>
      </c>
      <c r="E114" s="14" t="s">
        <v>1007</v>
      </c>
      <c r="F114" s="14" t="s">
        <v>9237</v>
      </c>
      <c r="G114" s="21" t="s">
        <v>9238</v>
      </c>
      <c r="H114" s="21" t="s">
        <v>9239</v>
      </c>
      <c r="I114" s="14" t="s">
        <v>88</v>
      </c>
      <c r="J114" s="14">
        <v>1</v>
      </c>
      <c r="K114" s="14">
        <v>1</v>
      </c>
      <c r="L114" s="14" t="s">
        <v>9240</v>
      </c>
      <c r="M114" s="19" t="s">
        <v>2915</v>
      </c>
      <c r="N114" s="14" t="s">
        <v>9241</v>
      </c>
      <c r="O114" s="14" t="s">
        <v>9242</v>
      </c>
      <c r="P114" s="14" t="str">
        <f>HYPERLINK("https://dexscreener.com/solana/3xhDkG9BgTBnwM5D3PACpJxwtmJ1Py9LzpvmkD67pump", "View")</f>
        <v>View</v>
      </c>
    </row>
    <row r="115" spans="1:16" x14ac:dyDescent="0.25">
      <c r="A115" s="16" t="s">
        <v>9243</v>
      </c>
      <c r="B115" s="17">
        <v>60996094</v>
      </c>
      <c r="C115" s="17">
        <v>60996094</v>
      </c>
      <c r="D115" s="17" t="s">
        <v>9192</v>
      </c>
      <c r="E115" s="17" t="s">
        <v>9244</v>
      </c>
      <c r="F115" s="17" t="s">
        <v>9245</v>
      </c>
      <c r="G115" s="20" t="s">
        <v>9246</v>
      </c>
      <c r="H115" s="20" t="s">
        <v>9247</v>
      </c>
      <c r="I115" s="17" t="s">
        <v>88</v>
      </c>
      <c r="J115" s="17">
        <v>1</v>
      </c>
      <c r="K115" s="17">
        <v>1</v>
      </c>
      <c r="L115" s="17" t="s">
        <v>9248</v>
      </c>
      <c r="M115" s="19" t="s">
        <v>2486</v>
      </c>
      <c r="N115" s="17" t="s">
        <v>3188</v>
      </c>
      <c r="O115" s="17" t="s">
        <v>9249</v>
      </c>
      <c r="P115" s="17" t="str">
        <f>HYPERLINK("https://photon-sol.tinyastro.io/en/lp/GCw5JF4LVZpp7wu584DH7XiTrFEPqEVqvuZ3mgBcpump?handle=676050794bc1b1657a56b", "View")</f>
        <v>View</v>
      </c>
    </row>
    <row r="116" spans="1:16" x14ac:dyDescent="0.25">
      <c r="A116" s="13" t="s">
        <v>9250</v>
      </c>
      <c r="B116" s="14">
        <v>60996094</v>
      </c>
      <c r="C116" s="14">
        <v>60996094</v>
      </c>
      <c r="D116" s="14" t="s">
        <v>9251</v>
      </c>
      <c r="E116" s="14" t="s">
        <v>9252</v>
      </c>
      <c r="F116" s="14" t="s">
        <v>9253</v>
      </c>
      <c r="G116" s="20" t="s">
        <v>9254</v>
      </c>
      <c r="H116" s="20" t="s">
        <v>9255</v>
      </c>
      <c r="I116" s="14" t="s">
        <v>88</v>
      </c>
      <c r="J116" s="14">
        <v>1</v>
      </c>
      <c r="K116" s="14">
        <v>1</v>
      </c>
      <c r="L116" s="14" t="s">
        <v>9256</v>
      </c>
      <c r="M116" s="19" t="s">
        <v>1948</v>
      </c>
      <c r="N116" s="14" t="s">
        <v>3188</v>
      </c>
      <c r="O116" s="14" t="s">
        <v>9257</v>
      </c>
      <c r="P116" s="14" t="str">
        <f>HYPERLINK("https://photon-sol.tinyastro.io/en/lp/75LPrjPFFHoBvAUiRC4HH1UC6urTzLDd93sM9cAipump?handle=676050794bc1b1657a56b", "View")</f>
        <v>View</v>
      </c>
    </row>
    <row r="117" spans="1:16" x14ac:dyDescent="0.25">
      <c r="A117" s="16" t="s">
        <v>9258</v>
      </c>
      <c r="B117" s="17">
        <v>61391509</v>
      </c>
      <c r="C117" s="17">
        <v>61391509</v>
      </c>
      <c r="D117" s="17" t="s">
        <v>9251</v>
      </c>
      <c r="E117" s="17" t="s">
        <v>9259</v>
      </c>
      <c r="F117" s="17" t="s">
        <v>9260</v>
      </c>
      <c r="G117" s="20" t="s">
        <v>9261</v>
      </c>
      <c r="H117" s="20" t="s">
        <v>9262</v>
      </c>
      <c r="I117" s="17" t="s">
        <v>88</v>
      </c>
      <c r="J117" s="17">
        <v>1</v>
      </c>
      <c r="K117" s="17">
        <v>1</v>
      </c>
      <c r="L117" s="17" t="s">
        <v>9263</v>
      </c>
      <c r="M117" s="19" t="s">
        <v>1948</v>
      </c>
      <c r="N117" s="17" t="s">
        <v>1011</v>
      </c>
      <c r="O117" s="17" t="s">
        <v>9264</v>
      </c>
      <c r="P117" s="17" t="str">
        <f>HYPERLINK("https://photon-sol.tinyastro.io/en/lp/dgX3btUShLa3NxwCE5b7VJoxV4fuxyXzmXVojLZpump?handle=676050794bc1b1657a56b", "View")</f>
        <v>View</v>
      </c>
    </row>
    <row r="118" spans="1:16" x14ac:dyDescent="0.25">
      <c r="A118" s="13" t="s">
        <v>9265</v>
      </c>
      <c r="B118" s="14">
        <v>45480982</v>
      </c>
      <c r="C118" s="14">
        <v>45480982</v>
      </c>
      <c r="D118" s="14" t="s">
        <v>9192</v>
      </c>
      <c r="E118" s="14" t="s">
        <v>3838</v>
      </c>
      <c r="F118" s="14" t="s">
        <v>9266</v>
      </c>
      <c r="G118" s="20" t="s">
        <v>9267</v>
      </c>
      <c r="H118" s="20" t="s">
        <v>9268</v>
      </c>
      <c r="I118" s="14" t="s">
        <v>88</v>
      </c>
      <c r="J118" s="14">
        <v>1</v>
      </c>
      <c r="K118" s="14">
        <v>1</v>
      </c>
      <c r="L118" s="14" t="s">
        <v>9269</v>
      </c>
      <c r="M118" s="19" t="s">
        <v>2315</v>
      </c>
      <c r="N118" s="14" t="s">
        <v>3188</v>
      </c>
      <c r="O118" s="14" t="s">
        <v>9270</v>
      </c>
      <c r="P118" s="14" t="str">
        <f>HYPERLINK("https://photon-sol.tinyastro.io/en/lp/FJEvnM7b4tFS8yochq6hksvTAxWWspW8ao9JHK3pump?handle=676050794bc1b1657a56b", "View")</f>
        <v>View</v>
      </c>
    </row>
    <row r="119" spans="1:16" x14ac:dyDescent="0.25">
      <c r="A119" s="16" t="s">
        <v>9271</v>
      </c>
      <c r="B119" s="17">
        <v>61994048</v>
      </c>
      <c r="C119" s="17">
        <v>61994048</v>
      </c>
      <c r="D119" s="17" t="s">
        <v>9192</v>
      </c>
      <c r="E119" s="17" t="s">
        <v>6356</v>
      </c>
      <c r="F119" s="17" t="s">
        <v>9272</v>
      </c>
      <c r="G119" s="20" t="s">
        <v>9273</v>
      </c>
      <c r="H119" s="20" t="s">
        <v>9274</v>
      </c>
      <c r="I119" s="17" t="s">
        <v>88</v>
      </c>
      <c r="J119" s="17">
        <v>1</v>
      </c>
      <c r="K119" s="17">
        <v>1</v>
      </c>
      <c r="L119" s="17" t="s">
        <v>9275</v>
      </c>
      <c r="M119" s="19" t="s">
        <v>2379</v>
      </c>
      <c r="N119" s="17" t="s">
        <v>1667</v>
      </c>
      <c r="O119" s="17" t="s">
        <v>9276</v>
      </c>
      <c r="P119" s="17" t="str">
        <f>HYPERLINK("https://photon-sol.tinyastro.io/en/lp/GumJXLrrnpzuBKYkVmw56f1fmVtoBFHH7YNgNc47pump?handle=676050794bc1b1657a56b", "View")</f>
        <v>View</v>
      </c>
    </row>
    <row r="120" spans="1:16" x14ac:dyDescent="0.25">
      <c r="A120" s="13" t="s">
        <v>9277</v>
      </c>
      <c r="B120" s="14">
        <v>61994048</v>
      </c>
      <c r="C120" s="14">
        <v>61994048</v>
      </c>
      <c r="D120" s="14" t="s">
        <v>9192</v>
      </c>
      <c r="E120" s="14" t="s">
        <v>9278</v>
      </c>
      <c r="F120" s="14" t="s">
        <v>9279</v>
      </c>
      <c r="G120" s="21" t="s">
        <v>9280</v>
      </c>
      <c r="H120" s="21" t="s">
        <v>9281</v>
      </c>
      <c r="I120" s="14" t="s">
        <v>88</v>
      </c>
      <c r="J120" s="14">
        <v>1</v>
      </c>
      <c r="K120" s="14">
        <v>1</v>
      </c>
      <c r="L120" s="14" t="s">
        <v>9282</v>
      </c>
      <c r="M120" s="19" t="s">
        <v>2525</v>
      </c>
      <c r="N120" s="14" t="s">
        <v>3598</v>
      </c>
      <c r="O120" s="14" t="s">
        <v>9283</v>
      </c>
      <c r="P120" s="14" t="str">
        <f>HYPERLINK("https://photon-sol.tinyastro.io/en/lp/FvDxfTfHatmzX6N9QeLfkHoSRHrkuKsr892gAzd2pump?handle=676050794bc1b1657a56b", "View")</f>
        <v>View</v>
      </c>
    </row>
    <row r="121" spans="1:16" x14ac:dyDescent="0.25">
      <c r="A121" s="16" t="s">
        <v>9284</v>
      </c>
      <c r="B121" s="17">
        <v>89008264</v>
      </c>
      <c r="C121" s="17">
        <v>89008264</v>
      </c>
      <c r="D121" s="17" t="s">
        <v>9192</v>
      </c>
      <c r="E121" s="17" t="s">
        <v>9285</v>
      </c>
      <c r="F121" s="17" t="s">
        <v>9286</v>
      </c>
      <c r="G121" s="20" t="s">
        <v>9287</v>
      </c>
      <c r="H121" s="20" t="s">
        <v>9288</v>
      </c>
      <c r="I121" s="17" t="s">
        <v>88</v>
      </c>
      <c r="J121" s="17">
        <v>1</v>
      </c>
      <c r="K121" s="17">
        <v>1</v>
      </c>
      <c r="L121" s="17" t="s">
        <v>9289</v>
      </c>
      <c r="M121" s="17" t="s">
        <v>1434</v>
      </c>
      <c r="N121" s="17" t="s">
        <v>3188</v>
      </c>
      <c r="O121" s="17" t="s">
        <v>9290</v>
      </c>
      <c r="P121" s="17" t="str">
        <f>HYPERLINK("https://photon-sol.tinyastro.io/en/lp/J4gxsdjbSXAyeyYMDPnBg5L6UiMdx2eD4mKKmZfcpump?handle=676050794bc1b1657a56b", "View")</f>
        <v>View</v>
      </c>
    </row>
    <row r="122" spans="1:16" x14ac:dyDescent="0.25">
      <c r="A122" s="13" t="s">
        <v>9291</v>
      </c>
      <c r="B122" s="14">
        <v>1824811</v>
      </c>
      <c r="C122" s="14">
        <v>1824811</v>
      </c>
      <c r="D122" s="14" t="s">
        <v>9292</v>
      </c>
      <c r="E122" s="14" t="s">
        <v>1007</v>
      </c>
      <c r="F122" s="14" t="s">
        <v>3489</v>
      </c>
      <c r="G122" s="20" t="s">
        <v>9293</v>
      </c>
      <c r="H122" s="20" t="s">
        <v>2180</v>
      </c>
      <c r="I122" s="14" t="s">
        <v>88</v>
      </c>
      <c r="J122" s="14">
        <v>1</v>
      </c>
      <c r="K122" s="14">
        <v>1</v>
      </c>
      <c r="L122" s="14" t="s">
        <v>9294</v>
      </c>
      <c r="M122" s="14" t="s">
        <v>1434</v>
      </c>
      <c r="N122" s="14" t="s">
        <v>9295</v>
      </c>
      <c r="O122" s="14" t="s">
        <v>9296</v>
      </c>
      <c r="P122" s="14" t="str">
        <f>HYPERLINK("https://dexscreener.com/solana/yy7YgSrLgteSWm2sTRFAxkRztJ3fUjAGrzn1tQU94wG", "View")</f>
        <v>View</v>
      </c>
    </row>
    <row r="123" spans="1:16" x14ac:dyDescent="0.25">
      <c r="A123" s="16" t="s">
        <v>9297</v>
      </c>
      <c r="B123" s="17">
        <v>91824370</v>
      </c>
      <c r="C123" s="17">
        <v>91824370</v>
      </c>
      <c r="D123" s="17" t="s">
        <v>9192</v>
      </c>
      <c r="E123" s="17" t="s">
        <v>2390</v>
      </c>
      <c r="F123" s="17" t="s">
        <v>9298</v>
      </c>
      <c r="G123" s="22" t="s">
        <v>9299</v>
      </c>
      <c r="H123" s="22" t="s">
        <v>9300</v>
      </c>
      <c r="I123" s="17" t="s">
        <v>88</v>
      </c>
      <c r="J123" s="17">
        <v>1</v>
      </c>
      <c r="K123" s="17">
        <v>1</v>
      </c>
      <c r="L123" s="17" t="s">
        <v>9301</v>
      </c>
      <c r="M123" s="17" t="s">
        <v>1448</v>
      </c>
      <c r="N123" s="17" t="s">
        <v>9302</v>
      </c>
      <c r="O123" s="17" t="s">
        <v>9303</v>
      </c>
      <c r="P123" s="17" t="str">
        <f>HYPERLINK("https://photon-sol.tinyastro.io/en/lp/GS3jFKXex4PtJE6jMMMdbpdSc5eYsDy7s9XsLPFapump?handle=676050794bc1b1657a56b", "View")</f>
        <v>View</v>
      </c>
    </row>
    <row r="124" spans="1:16" x14ac:dyDescent="0.25">
      <c r="A124" s="13" t="s">
        <v>9304</v>
      </c>
      <c r="B124" s="14">
        <v>1845987</v>
      </c>
      <c r="C124" s="14">
        <v>1845987</v>
      </c>
      <c r="D124" s="14" t="s">
        <v>9292</v>
      </c>
      <c r="E124" s="14" t="s">
        <v>1007</v>
      </c>
      <c r="F124" s="14" t="s">
        <v>9305</v>
      </c>
      <c r="G124" s="21" t="s">
        <v>9306</v>
      </c>
      <c r="H124" s="21" t="s">
        <v>9307</v>
      </c>
      <c r="I124" s="14" t="s">
        <v>88</v>
      </c>
      <c r="J124" s="14">
        <v>1</v>
      </c>
      <c r="K124" s="14">
        <v>1</v>
      </c>
      <c r="L124" s="14" t="s">
        <v>9308</v>
      </c>
      <c r="M124" s="19" t="s">
        <v>370</v>
      </c>
      <c r="N124" s="14" t="s">
        <v>9309</v>
      </c>
      <c r="O124" s="14" t="s">
        <v>9310</v>
      </c>
      <c r="P124" s="14" t="str">
        <f>HYPERLINK("https://dexscreener.com/solana/EuoSVMZbNMfTLVE9rRWtZe7ksCEXgJNW84a2P4LCpump", "View")</f>
        <v>View</v>
      </c>
    </row>
    <row r="125" spans="1:16" x14ac:dyDescent="0.25">
      <c r="A125" s="16" t="s">
        <v>9311</v>
      </c>
      <c r="B125" s="17">
        <v>57406008</v>
      </c>
      <c r="C125" s="17">
        <v>57406008</v>
      </c>
      <c r="D125" s="17" t="s">
        <v>9312</v>
      </c>
      <c r="E125" s="17" t="s">
        <v>9313</v>
      </c>
      <c r="F125" s="17" t="s">
        <v>9314</v>
      </c>
      <c r="G125" s="22" t="s">
        <v>9315</v>
      </c>
      <c r="H125" s="22" t="s">
        <v>9316</v>
      </c>
      <c r="I125" s="17" t="s">
        <v>88</v>
      </c>
      <c r="J125" s="17">
        <v>1</v>
      </c>
      <c r="K125" s="17">
        <v>1</v>
      </c>
      <c r="L125" s="17" t="s">
        <v>9317</v>
      </c>
      <c r="M125" s="19" t="s">
        <v>3076</v>
      </c>
      <c r="N125" s="17" t="s">
        <v>2316</v>
      </c>
      <c r="O125" s="17" t="s">
        <v>9318</v>
      </c>
      <c r="P125" s="17" t="str">
        <f>HYPERLINK("https://photon-sol.tinyastro.io/en/lp/r6KcppXziRaCxY4ykn8DnBwX8Ls32W9b2AGHiVmpump?handle=676050794bc1b1657a56b", "View")</f>
        <v>View</v>
      </c>
    </row>
    <row r="126" spans="1:16" x14ac:dyDescent="0.25">
      <c r="A126" s="13" t="s">
        <v>9319</v>
      </c>
      <c r="B126" s="14">
        <v>60266870</v>
      </c>
      <c r="C126" s="14">
        <v>60266870</v>
      </c>
      <c r="D126" s="14" t="s">
        <v>9320</v>
      </c>
      <c r="E126" s="14" t="s">
        <v>9321</v>
      </c>
      <c r="F126" s="14" t="s">
        <v>9322</v>
      </c>
      <c r="G126" s="21" t="s">
        <v>9323</v>
      </c>
      <c r="H126" s="21" t="s">
        <v>9324</v>
      </c>
      <c r="I126" s="14" t="s">
        <v>88</v>
      </c>
      <c r="J126" s="14">
        <v>1</v>
      </c>
      <c r="K126" s="14">
        <v>1</v>
      </c>
      <c r="L126" s="14" t="s">
        <v>9325</v>
      </c>
      <c r="M126" s="19" t="s">
        <v>2993</v>
      </c>
      <c r="N126" s="14" t="s">
        <v>3598</v>
      </c>
      <c r="O126" s="14" t="s">
        <v>9326</v>
      </c>
      <c r="P126" s="14" t="str">
        <f>HYPERLINK("https://photon-sol.tinyastro.io/en/lp/5osg7Uy1NFGEQWs8v4D7RiCiuTsHUVNrk8pWct6upump?handle=676050794bc1b1657a56b", "View")</f>
        <v>View</v>
      </c>
    </row>
    <row r="127" spans="1:16" x14ac:dyDescent="0.25">
      <c r="A127" s="16" t="s">
        <v>9327</v>
      </c>
      <c r="B127" s="17">
        <v>60996094</v>
      </c>
      <c r="C127" s="17">
        <v>60996094</v>
      </c>
      <c r="D127" s="17" t="s">
        <v>9192</v>
      </c>
      <c r="E127" s="17" t="s">
        <v>8727</v>
      </c>
      <c r="F127" s="17" t="s">
        <v>9328</v>
      </c>
      <c r="G127" s="20" t="s">
        <v>7563</v>
      </c>
      <c r="H127" s="20" t="s">
        <v>9329</v>
      </c>
      <c r="I127" s="17" t="s">
        <v>88</v>
      </c>
      <c r="J127" s="17">
        <v>1</v>
      </c>
      <c r="K127" s="17">
        <v>1</v>
      </c>
      <c r="L127" s="17" t="s">
        <v>9330</v>
      </c>
      <c r="M127" s="19" t="s">
        <v>2937</v>
      </c>
      <c r="N127" s="17" t="s">
        <v>2585</v>
      </c>
      <c r="O127" s="17" t="s">
        <v>9331</v>
      </c>
      <c r="P127" s="17" t="str">
        <f>HYPERLINK("https://photon-sol.tinyastro.io/en/lp/F4QE68GriXbEZis179nSCTvNpi7nKpoVu65hrhknpump?handle=676050794bc1b1657a56b", "View")</f>
        <v>View</v>
      </c>
    </row>
    <row r="128" spans="1:16" x14ac:dyDescent="0.25">
      <c r="A128" s="13" t="s">
        <v>1221</v>
      </c>
      <c r="B128" s="14">
        <v>63024194</v>
      </c>
      <c r="C128" s="14">
        <v>63024194</v>
      </c>
      <c r="D128" s="14" t="s">
        <v>9192</v>
      </c>
      <c r="E128" s="14" t="s">
        <v>7322</v>
      </c>
      <c r="F128" s="14" t="s">
        <v>9332</v>
      </c>
      <c r="G128" s="21" t="s">
        <v>9333</v>
      </c>
      <c r="H128" s="21" t="s">
        <v>9334</v>
      </c>
      <c r="I128" s="14" t="s">
        <v>88</v>
      </c>
      <c r="J128" s="14">
        <v>1</v>
      </c>
      <c r="K128" s="14">
        <v>1</v>
      </c>
      <c r="L128" s="14" t="s">
        <v>9335</v>
      </c>
      <c r="M128" s="19" t="s">
        <v>3076</v>
      </c>
      <c r="N128" s="14" t="s">
        <v>9336</v>
      </c>
      <c r="O128" s="14" t="s">
        <v>9337</v>
      </c>
      <c r="P128" s="14" t="str">
        <f>HYPERLINK("https://photon-sol.tinyastro.io/en/lp/BaJdPWwxuSe3eiUZJKybPDeu2ZheVHfciEJkF1uRpump?handle=676050794bc1b1657a56b", "View")</f>
        <v>View</v>
      </c>
    </row>
    <row r="129" spans="1:16" x14ac:dyDescent="0.25">
      <c r="A129" s="16" t="s">
        <v>9338</v>
      </c>
      <c r="B129" s="17">
        <v>62694611</v>
      </c>
      <c r="C129" s="17">
        <v>62694611</v>
      </c>
      <c r="D129" s="17" t="s">
        <v>9192</v>
      </c>
      <c r="E129" s="17" t="s">
        <v>9339</v>
      </c>
      <c r="F129" s="17" t="s">
        <v>9340</v>
      </c>
      <c r="G129" s="21" t="s">
        <v>9341</v>
      </c>
      <c r="H129" s="21" t="s">
        <v>9342</v>
      </c>
      <c r="I129" s="17" t="s">
        <v>88</v>
      </c>
      <c r="J129" s="17">
        <v>1</v>
      </c>
      <c r="K129" s="17">
        <v>1</v>
      </c>
      <c r="L129" s="17" t="s">
        <v>9343</v>
      </c>
      <c r="M129" s="19" t="s">
        <v>3076</v>
      </c>
      <c r="N129" s="17" t="s">
        <v>9344</v>
      </c>
      <c r="O129" s="17" t="s">
        <v>9345</v>
      </c>
      <c r="P129" s="17" t="str">
        <f>HYPERLINK("https://photon-sol.tinyastro.io/en/lp/HWReY8brdF1Lo5hwg9mcya4HgyBWRVEF2emGFaUCpump?handle=676050794bc1b1657a56b", "View")</f>
        <v>View</v>
      </c>
    </row>
    <row r="130" spans="1:16" x14ac:dyDescent="0.25">
      <c r="A130" s="13" t="s">
        <v>9346</v>
      </c>
      <c r="B130" s="14">
        <v>60996094</v>
      </c>
      <c r="C130" s="14">
        <v>60996094</v>
      </c>
      <c r="D130" s="14" t="s">
        <v>9192</v>
      </c>
      <c r="E130" s="14" t="s">
        <v>8727</v>
      </c>
      <c r="F130" s="14" t="s">
        <v>8944</v>
      </c>
      <c r="G130" s="22" t="s">
        <v>3320</v>
      </c>
      <c r="H130" s="22" t="s">
        <v>9347</v>
      </c>
      <c r="I130" s="14" t="s">
        <v>88</v>
      </c>
      <c r="J130" s="14">
        <v>1</v>
      </c>
      <c r="K130" s="14">
        <v>1</v>
      </c>
      <c r="L130" s="14" t="s">
        <v>9348</v>
      </c>
      <c r="M130" s="19" t="s">
        <v>2486</v>
      </c>
      <c r="N130" s="14" t="s">
        <v>1011</v>
      </c>
      <c r="O130" s="14" t="s">
        <v>9349</v>
      </c>
      <c r="P130" s="14" t="str">
        <f>HYPERLINK("https://photon-sol.tinyastro.io/en/lp/6jDMhGx3tnhhwHWnpbKxB1xXTLDbRhbAAjKdzQPSpump?handle=676050794bc1b1657a56b", "View")</f>
        <v>View</v>
      </c>
    </row>
    <row r="131" spans="1:16" x14ac:dyDescent="0.25">
      <c r="A131" s="16" t="s">
        <v>9350</v>
      </c>
      <c r="B131" s="17">
        <v>64978821</v>
      </c>
      <c r="C131" s="17">
        <v>64978821</v>
      </c>
      <c r="D131" s="17" t="s">
        <v>9192</v>
      </c>
      <c r="E131" s="17" t="s">
        <v>9351</v>
      </c>
      <c r="F131" s="17" t="s">
        <v>9352</v>
      </c>
      <c r="G131" s="21" t="s">
        <v>9353</v>
      </c>
      <c r="H131" s="21" t="s">
        <v>9354</v>
      </c>
      <c r="I131" s="17" t="s">
        <v>88</v>
      </c>
      <c r="J131" s="17">
        <v>1</v>
      </c>
      <c r="K131" s="17">
        <v>1</v>
      </c>
      <c r="L131" s="17" t="s">
        <v>9355</v>
      </c>
      <c r="M131" s="17" t="s">
        <v>1434</v>
      </c>
      <c r="N131" s="17" t="s">
        <v>8702</v>
      </c>
      <c r="O131" s="17" t="s">
        <v>9356</v>
      </c>
      <c r="P131" s="17" t="str">
        <f>HYPERLINK("https://photon-sol.tinyastro.io/en/lp/4skbHJr8PEfEYeydAADG4Yj4SgpiqgsjNenTv4apadnJ?handle=676050794bc1b1657a56b", "View")</f>
        <v>View</v>
      </c>
    </row>
    <row r="132" spans="1:16" x14ac:dyDescent="0.25">
      <c r="A132" s="13" t="s">
        <v>9357</v>
      </c>
      <c r="B132" s="14">
        <v>85719857</v>
      </c>
      <c r="C132" s="14">
        <v>85719857</v>
      </c>
      <c r="D132" s="14" t="s">
        <v>9192</v>
      </c>
      <c r="E132" s="14" t="s">
        <v>9358</v>
      </c>
      <c r="F132" s="14" t="s">
        <v>9359</v>
      </c>
      <c r="G132" s="20" t="s">
        <v>9360</v>
      </c>
      <c r="H132" s="20" t="s">
        <v>9361</v>
      </c>
      <c r="I132" s="14" t="s">
        <v>88</v>
      </c>
      <c r="J132" s="14">
        <v>1</v>
      </c>
      <c r="K132" s="14">
        <v>1</v>
      </c>
      <c r="L132" s="14" t="s">
        <v>9362</v>
      </c>
      <c r="M132" s="19" t="s">
        <v>2937</v>
      </c>
      <c r="N132" s="14" t="s">
        <v>1011</v>
      </c>
      <c r="O132" s="14" t="s">
        <v>9363</v>
      </c>
      <c r="P132" s="14" t="str">
        <f>HYPERLINK("https://photon-sol.tinyastro.io/en/lp/H6jd9FoLMt97B2mqGNx42dPY8cCY67qheKccR3Kgpump?handle=676050794bc1b1657a56b", "View")</f>
        <v>View</v>
      </c>
    </row>
    <row r="133" spans="1:16" x14ac:dyDescent="0.25">
      <c r="A133" s="16" t="s">
        <v>8223</v>
      </c>
      <c r="B133" s="17">
        <v>83892946539098</v>
      </c>
      <c r="C133" s="17">
        <v>0</v>
      </c>
      <c r="D133" s="17" t="s">
        <v>9364</v>
      </c>
      <c r="E133" s="17" t="s">
        <v>1007</v>
      </c>
      <c r="F133" s="17" t="s">
        <v>96</v>
      </c>
      <c r="G133" s="18" t="s">
        <v>9365</v>
      </c>
      <c r="H133" s="18" t="s">
        <v>98</v>
      </c>
      <c r="I133" s="17" t="s">
        <v>9366</v>
      </c>
      <c r="J133" s="17">
        <v>1</v>
      </c>
      <c r="K133" s="17">
        <v>0</v>
      </c>
      <c r="L133" s="17" t="s">
        <v>9367</v>
      </c>
      <c r="M133" s="19" t="s">
        <v>101</v>
      </c>
      <c r="N133" s="17" t="s">
        <v>9368</v>
      </c>
      <c r="O133" s="17" t="s">
        <v>9369</v>
      </c>
      <c r="P133" s="17" t="str">
        <f>HYPERLINK("https://dexscreener.com/solana/FAZXbk6XKNHWPFmPH3etNk9qHnpFDQKdagFUz2qPTYJX", "View")</f>
        <v>View</v>
      </c>
    </row>
    <row r="134" spans="1:16" x14ac:dyDescent="0.25">
      <c r="A134" s="13" t="s">
        <v>8223</v>
      </c>
      <c r="B134" s="14">
        <v>95777569376216</v>
      </c>
      <c r="C134" s="14">
        <v>0</v>
      </c>
      <c r="D134" s="14" t="s">
        <v>9364</v>
      </c>
      <c r="E134" s="14" t="s">
        <v>1007</v>
      </c>
      <c r="F134" s="14" t="s">
        <v>96</v>
      </c>
      <c r="G134" s="18" t="s">
        <v>9365</v>
      </c>
      <c r="H134" s="18" t="s">
        <v>98</v>
      </c>
      <c r="I134" s="14" t="s">
        <v>9370</v>
      </c>
      <c r="J134" s="14">
        <v>1</v>
      </c>
      <c r="K134" s="14">
        <v>0</v>
      </c>
      <c r="L134" s="14" t="s">
        <v>9371</v>
      </c>
      <c r="M134" s="19" t="s">
        <v>101</v>
      </c>
      <c r="N134" s="14" t="s">
        <v>9372</v>
      </c>
      <c r="O134" s="14" t="s">
        <v>9373</v>
      </c>
      <c r="P134" s="14" t="str">
        <f>HYPERLINK("https://dexscreener.com/solana/KoxsyspL7ujYg1vbYj3FQc31yj4v7cAJAfYGkZ6cf1j", "View")</f>
        <v>View</v>
      </c>
    </row>
    <row r="135" spans="1:16" x14ac:dyDescent="0.25">
      <c r="A135" s="16" t="s">
        <v>9374</v>
      </c>
      <c r="B135" s="17">
        <v>30028888</v>
      </c>
      <c r="C135" s="17">
        <v>30028888</v>
      </c>
      <c r="D135" s="17" t="s">
        <v>8762</v>
      </c>
      <c r="E135" s="17" t="s">
        <v>9375</v>
      </c>
      <c r="F135" s="17" t="s">
        <v>9376</v>
      </c>
      <c r="G135" s="15" t="s">
        <v>9377</v>
      </c>
      <c r="H135" s="15" t="s">
        <v>9378</v>
      </c>
      <c r="I135" s="17" t="s">
        <v>88</v>
      </c>
      <c r="J135" s="17">
        <v>1</v>
      </c>
      <c r="K135" s="17">
        <v>1</v>
      </c>
      <c r="L135" s="17" t="s">
        <v>9379</v>
      </c>
      <c r="M135" s="17" t="s">
        <v>364</v>
      </c>
      <c r="N135" s="17" t="s">
        <v>2069</v>
      </c>
      <c r="O135" s="17" t="s">
        <v>9380</v>
      </c>
      <c r="P135" s="17" t="str">
        <f>HYPERLINK("https://photon-sol.tinyastro.io/en/lp/DRipaydsEUQ31tbTcNiDSeMgvdJnu35qwDN2j7Bypump?handle=676050794bc1b1657a56b", "View")</f>
        <v>View</v>
      </c>
    </row>
    <row r="136" spans="1:16" x14ac:dyDescent="0.25">
      <c r="A136" s="13" t="s">
        <v>9381</v>
      </c>
      <c r="B136" s="14">
        <v>59090909</v>
      </c>
      <c r="C136" s="14">
        <v>59090909</v>
      </c>
      <c r="D136" s="14" t="s">
        <v>9192</v>
      </c>
      <c r="E136" s="14" t="s">
        <v>9382</v>
      </c>
      <c r="F136" s="14" t="s">
        <v>9383</v>
      </c>
      <c r="G136" s="20" t="s">
        <v>2400</v>
      </c>
      <c r="H136" s="20" t="s">
        <v>9384</v>
      </c>
      <c r="I136" s="14" t="s">
        <v>88</v>
      </c>
      <c r="J136" s="14">
        <v>1</v>
      </c>
      <c r="K136" s="14">
        <v>1</v>
      </c>
      <c r="L136" s="14" t="s">
        <v>9385</v>
      </c>
      <c r="M136" s="14" t="s">
        <v>1448</v>
      </c>
      <c r="N136" s="14" t="s">
        <v>2308</v>
      </c>
      <c r="O136" s="14" t="s">
        <v>9386</v>
      </c>
      <c r="P136" s="14" t="str">
        <f>HYPERLINK("https://photon-sol.tinyastro.io/en/lp/8Eo48VHMPPTcYdycPsHyZ6KBuS5aoJ89ruvom9Ghpump?handle=676050794bc1b1657a56b", "View")</f>
        <v>View</v>
      </c>
    </row>
    <row r="137" spans="1:16" x14ac:dyDescent="0.25">
      <c r="A137" s="16" t="s">
        <v>9387</v>
      </c>
      <c r="B137" s="17">
        <v>39342</v>
      </c>
      <c r="C137" s="17">
        <v>39342</v>
      </c>
      <c r="D137" s="17" t="s">
        <v>9388</v>
      </c>
      <c r="E137" s="17" t="s">
        <v>4141</v>
      </c>
      <c r="F137" s="17" t="s">
        <v>96</v>
      </c>
      <c r="G137" s="15" t="s">
        <v>9389</v>
      </c>
      <c r="H137" s="15" t="s">
        <v>22</v>
      </c>
      <c r="I137" s="17" t="s">
        <v>88</v>
      </c>
      <c r="J137" s="17">
        <v>1</v>
      </c>
      <c r="K137" s="17">
        <v>1</v>
      </c>
      <c r="L137" s="17" t="s">
        <v>9390</v>
      </c>
      <c r="M137" s="17" t="s">
        <v>602</v>
      </c>
      <c r="N137" s="17" t="s">
        <v>1175</v>
      </c>
      <c r="O137" s="17" t="s">
        <v>9391</v>
      </c>
      <c r="P137" s="17" t="str">
        <f>HYPERLINK("https://photon-sol.tinyastro.io/en/lp/YGenE1pFHnmaUVpPr9FVLCPcpRRWtLXU98QwEhppump?handle=676050794bc1b1657a56b", "View")</f>
        <v>View</v>
      </c>
    </row>
    <row r="138" spans="1:16" x14ac:dyDescent="0.25">
      <c r="A138" s="13" t="s">
        <v>9392</v>
      </c>
      <c r="B138" s="14">
        <v>58481982</v>
      </c>
      <c r="C138" s="14">
        <v>58481982</v>
      </c>
      <c r="D138" s="14" t="s">
        <v>9192</v>
      </c>
      <c r="E138" s="14" t="s">
        <v>9393</v>
      </c>
      <c r="F138" s="14" t="s">
        <v>9394</v>
      </c>
      <c r="G138" s="22" t="s">
        <v>9395</v>
      </c>
      <c r="H138" s="22" t="s">
        <v>9396</v>
      </c>
      <c r="I138" s="14" t="s">
        <v>88</v>
      </c>
      <c r="J138" s="14">
        <v>1</v>
      </c>
      <c r="K138" s="14">
        <v>1</v>
      </c>
      <c r="L138" s="14" t="s">
        <v>9397</v>
      </c>
      <c r="M138" s="19" t="s">
        <v>3158</v>
      </c>
      <c r="N138" s="14" t="s">
        <v>1011</v>
      </c>
      <c r="O138" s="14" t="s">
        <v>9398</v>
      </c>
      <c r="P138" s="14" t="str">
        <f>HYPERLINK("https://photon-sol.tinyastro.io/en/lp/6AJS1Pa3cDkRvqLH2hhNQygPxD2VVPpePSjJEG36pump?handle=676050794bc1b1657a56b", "View")</f>
        <v>View</v>
      </c>
    </row>
    <row r="139" spans="1:16" x14ac:dyDescent="0.25">
      <c r="A139" s="16" t="s">
        <v>9399</v>
      </c>
      <c r="B139" s="17">
        <v>61112088</v>
      </c>
      <c r="C139" s="17">
        <v>61112088</v>
      </c>
      <c r="D139" s="17" t="s">
        <v>9192</v>
      </c>
      <c r="E139" s="17" t="s">
        <v>9400</v>
      </c>
      <c r="F139" s="17" t="s">
        <v>7005</v>
      </c>
      <c r="G139" s="20" t="s">
        <v>9401</v>
      </c>
      <c r="H139" s="20" t="s">
        <v>9402</v>
      </c>
      <c r="I139" s="17" t="s">
        <v>88</v>
      </c>
      <c r="J139" s="17">
        <v>1</v>
      </c>
      <c r="K139" s="17">
        <v>1</v>
      </c>
      <c r="L139" s="17" t="s">
        <v>9403</v>
      </c>
      <c r="M139" s="19" t="s">
        <v>3158</v>
      </c>
      <c r="N139" s="17" t="s">
        <v>1011</v>
      </c>
      <c r="O139" s="17" t="s">
        <v>9404</v>
      </c>
      <c r="P139" s="17" t="str">
        <f>HYPERLINK("https://photon-sol.tinyastro.io/en/lp/E6ATAeNeMrVR8ZRq1RLxVD928qUb5ZEUm24iZmwzpump?handle=676050794bc1b1657a56b", "View")</f>
        <v>View</v>
      </c>
    </row>
    <row r="140" spans="1:16" x14ac:dyDescent="0.25">
      <c r="A140" s="13" t="s">
        <v>9405</v>
      </c>
      <c r="B140" s="14">
        <v>61112088</v>
      </c>
      <c r="C140" s="14">
        <v>61112088</v>
      </c>
      <c r="D140" s="14" t="s">
        <v>9192</v>
      </c>
      <c r="E140" s="14" t="s">
        <v>9406</v>
      </c>
      <c r="F140" s="14" t="s">
        <v>9407</v>
      </c>
      <c r="G140" s="22" t="s">
        <v>3387</v>
      </c>
      <c r="H140" s="22" t="s">
        <v>9408</v>
      </c>
      <c r="I140" s="14" t="s">
        <v>88</v>
      </c>
      <c r="J140" s="14">
        <v>1</v>
      </c>
      <c r="K140" s="14">
        <v>1</v>
      </c>
      <c r="L140" s="14" t="s">
        <v>9409</v>
      </c>
      <c r="M140" s="19" t="s">
        <v>3158</v>
      </c>
      <c r="N140" s="14" t="s">
        <v>2316</v>
      </c>
      <c r="O140" s="14" t="s">
        <v>9410</v>
      </c>
      <c r="P140" s="14" t="str">
        <f>HYPERLINK("https://photon-sol.tinyastro.io/en/lp/9VTpyFs4KReQzJcAAfbcX4BQ3KPUH7BT9kd3vQdAvcuz?handle=676050794bc1b1657a56b", "View")</f>
        <v>View</v>
      </c>
    </row>
    <row r="141" spans="1:16" x14ac:dyDescent="0.25">
      <c r="A141" s="16" t="s">
        <v>9411</v>
      </c>
      <c r="B141" s="17">
        <v>12814671</v>
      </c>
      <c r="C141" s="17">
        <v>12814671</v>
      </c>
      <c r="D141" s="17" t="s">
        <v>9388</v>
      </c>
      <c r="E141" s="17" t="s">
        <v>2902</v>
      </c>
      <c r="F141" s="17" t="s">
        <v>6434</v>
      </c>
      <c r="G141" s="21" t="s">
        <v>9412</v>
      </c>
      <c r="H141" s="21" t="s">
        <v>9413</v>
      </c>
      <c r="I141" s="17" t="s">
        <v>88</v>
      </c>
      <c r="J141" s="17">
        <v>1</v>
      </c>
      <c r="K141" s="17">
        <v>1</v>
      </c>
      <c r="L141" s="17" t="s">
        <v>9414</v>
      </c>
      <c r="M141" s="17" t="s">
        <v>253</v>
      </c>
      <c r="N141" s="17" t="s">
        <v>9415</v>
      </c>
      <c r="O141" s="17" t="s">
        <v>9416</v>
      </c>
      <c r="P141" s="17" t="str">
        <f>HYPERLINK("https://photon-sol.tinyastro.io/en/lp/CZLMX2FuqNbEHzdYuammbt1YDHhuzGewQMv53Ynzpump?handle=676050794bc1b1657a56b", "View")</f>
        <v>View</v>
      </c>
    </row>
    <row r="142" spans="1:16" x14ac:dyDescent="0.25">
      <c r="A142" s="13" t="s">
        <v>9417</v>
      </c>
      <c r="B142" s="14">
        <v>58300584</v>
      </c>
      <c r="C142" s="14">
        <v>58300584</v>
      </c>
      <c r="D142" s="14" t="s">
        <v>9192</v>
      </c>
      <c r="E142" s="14" t="s">
        <v>9418</v>
      </c>
      <c r="F142" s="14" t="s">
        <v>9419</v>
      </c>
      <c r="G142" s="20" t="s">
        <v>9420</v>
      </c>
      <c r="H142" s="20" t="s">
        <v>9421</v>
      </c>
      <c r="I142" s="14" t="s">
        <v>88</v>
      </c>
      <c r="J142" s="14">
        <v>1</v>
      </c>
      <c r="K142" s="14">
        <v>1</v>
      </c>
      <c r="L142" s="14" t="s">
        <v>9422</v>
      </c>
      <c r="M142" s="19" t="s">
        <v>1849</v>
      </c>
      <c r="N142" s="14" t="s">
        <v>2585</v>
      </c>
      <c r="O142" s="14" t="s">
        <v>9423</v>
      </c>
      <c r="P142" s="14" t="str">
        <f>HYPERLINK("https://photon-sol.tinyastro.io/en/lp/DDiXHfQocPzNXzZeRvykGc5kDYNVcsxERfKziJ9Npump?handle=676050794bc1b1657a56b", "View")</f>
        <v>View</v>
      </c>
    </row>
    <row r="143" spans="1:16" x14ac:dyDescent="0.25">
      <c r="A143" s="16" t="s">
        <v>9424</v>
      </c>
      <c r="B143" s="17">
        <v>2742415</v>
      </c>
      <c r="C143" s="17">
        <v>2742415</v>
      </c>
      <c r="D143" s="17" t="s">
        <v>9425</v>
      </c>
      <c r="E143" s="17" t="s">
        <v>1457</v>
      </c>
      <c r="F143" s="17" t="s">
        <v>8727</v>
      </c>
      <c r="G143" s="22" t="s">
        <v>3524</v>
      </c>
      <c r="H143" s="22" t="s">
        <v>9426</v>
      </c>
      <c r="I143" s="17" t="s">
        <v>88</v>
      </c>
      <c r="J143" s="17">
        <v>1</v>
      </c>
      <c r="K143" s="17">
        <v>1</v>
      </c>
      <c r="L143" s="17" t="s">
        <v>9427</v>
      </c>
      <c r="M143" s="17" t="s">
        <v>1434</v>
      </c>
      <c r="N143" s="17" t="s">
        <v>9428</v>
      </c>
      <c r="O143" s="17" t="s">
        <v>9429</v>
      </c>
      <c r="P143" s="17" t="str">
        <f>HYPERLINK("https://dexscreener.com/solana/BGa9RyRutfEPBQkxQJaMsYXAqUwmbFtvmiiZVMkCpump", "View")</f>
        <v>View</v>
      </c>
    </row>
    <row r="144" spans="1:16" x14ac:dyDescent="0.25">
      <c r="A144" s="13" t="s">
        <v>9430</v>
      </c>
      <c r="B144" s="14">
        <v>91671554</v>
      </c>
      <c r="C144" s="14">
        <v>91671554</v>
      </c>
      <c r="D144" s="14" t="s">
        <v>9192</v>
      </c>
      <c r="E144" s="14" t="s">
        <v>8640</v>
      </c>
      <c r="F144" s="14" t="s">
        <v>9431</v>
      </c>
      <c r="G144" s="21" t="s">
        <v>9432</v>
      </c>
      <c r="H144" s="21" t="s">
        <v>9433</v>
      </c>
      <c r="I144" s="14" t="s">
        <v>88</v>
      </c>
      <c r="J144" s="14">
        <v>1</v>
      </c>
      <c r="K144" s="14">
        <v>1</v>
      </c>
      <c r="L144" s="14" t="s">
        <v>9434</v>
      </c>
      <c r="M144" s="19" t="s">
        <v>2955</v>
      </c>
      <c r="N144" s="14" t="s">
        <v>8940</v>
      </c>
      <c r="O144" s="14" t="s">
        <v>9435</v>
      </c>
      <c r="P144" s="14" t="str">
        <f>HYPERLINK("https://photon-sol.tinyastro.io/en/lp/FAuy3oJbJxGVQJ5m7e32HUToZ2MTdVQvW57mMrvcpump?handle=676050794bc1b1657a56b", "View")</f>
        <v>View</v>
      </c>
    </row>
    <row r="145" spans="1:16" x14ac:dyDescent="0.25">
      <c r="A145" s="16" t="s">
        <v>9436</v>
      </c>
      <c r="B145" s="17">
        <v>86219950</v>
      </c>
      <c r="C145" s="17">
        <v>86219950</v>
      </c>
      <c r="D145" s="17" t="s">
        <v>9192</v>
      </c>
      <c r="E145" s="17" t="s">
        <v>9437</v>
      </c>
      <c r="F145" s="17" t="s">
        <v>9438</v>
      </c>
      <c r="G145" s="20" t="s">
        <v>9254</v>
      </c>
      <c r="H145" s="20" t="s">
        <v>9439</v>
      </c>
      <c r="I145" s="17" t="s">
        <v>88</v>
      </c>
      <c r="J145" s="17">
        <v>1</v>
      </c>
      <c r="K145" s="17">
        <v>1</v>
      </c>
      <c r="L145" s="17" t="s">
        <v>9440</v>
      </c>
      <c r="M145" s="19" t="s">
        <v>2379</v>
      </c>
      <c r="N145" s="17" t="s">
        <v>2585</v>
      </c>
      <c r="O145" s="17" t="s">
        <v>9441</v>
      </c>
      <c r="P145" s="17" t="str">
        <f>HYPERLINK("https://photon-sol.tinyastro.io/en/lp/43VQH7YgNTF5JBpB34XXFDoa2YgfzAWKsUGKkvGhURTR?handle=676050794bc1b1657a56b", "View")</f>
        <v>View</v>
      </c>
    </row>
    <row r="146" spans="1:16" x14ac:dyDescent="0.25">
      <c r="A146" s="13" t="s">
        <v>9442</v>
      </c>
      <c r="B146" s="14">
        <v>60996094</v>
      </c>
      <c r="C146" s="14">
        <v>60996094</v>
      </c>
      <c r="D146" s="14" t="s">
        <v>9192</v>
      </c>
      <c r="E146" s="14" t="s">
        <v>9443</v>
      </c>
      <c r="F146" s="14" t="s">
        <v>9444</v>
      </c>
      <c r="G146" s="21" t="s">
        <v>9323</v>
      </c>
      <c r="H146" s="21" t="s">
        <v>9445</v>
      </c>
      <c r="I146" s="14" t="s">
        <v>88</v>
      </c>
      <c r="J146" s="14">
        <v>1</v>
      </c>
      <c r="K146" s="14">
        <v>1</v>
      </c>
      <c r="L146" s="14" t="s">
        <v>9446</v>
      </c>
      <c r="M146" s="19" t="s">
        <v>3076</v>
      </c>
      <c r="N146" s="14" t="s">
        <v>8940</v>
      </c>
      <c r="O146" s="14" t="s">
        <v>9447</v>
      </c>
      <c r="P146" s="14" t="str">
        <f>HYPERLINK("https://photon-sol.tinyastro.io/en/lp/8d9HKEQBA2B4Qp3rgyGssiRA2xn7h5yoWsWYFAEpByeU?handle=676050794bc1b1657a56b", "View")</f>
        <v>View</v>
      </c>
    </row>
    <row r="147" spans="1:16" x14ac:dyDescent="0.25">
      <c r="A147" s="16" t="s">
        <v>9448</v>
      </c>
      <c r="B147" s="17">
        <v>60996094</v>
      </c>
      <c r="C147" s="17">
        <v>60996094</v>
      </c>
      <c r="D147" s="17" t="s">
        <v>9192</v>
      </c>
      <c r="E147" s="17" t="s">
        <v>9449</v>
      </c>
      <c r="F147" s="17" t="s">
        <v>9450</v>
      </c>
      <c r="G147" s="21" t="s">
        <v>3029</v>
      </c>
      <c r="H147" s="21" t="s">
        <v>9451</v>
      </c>
      <c r="I147" s="17" t="s">
        <v>88</v>
      </c>
      <c r="J147" s="17">
        <v>1</v>
      </c>
      <c r="K147" s="17">
        <v>1</v>
      </c>
      <c r="L147" s="17" t="s">
        <v>9452</v>
      </c>
      <c r="M147" s="19" t="s">
        <v>2955</v>
      </c>
      <c r="N147" s="17" t="s">
        <v>8940</v>
      </c>
      <c r="O147" s="17" t="s">
        <v>9453</v>
      </c>
      <c r="P147" s="17" t="str">
        <f>HYPERLINK("https://photon-sol.tinyastro.io/en/lp/435G4ELi2WigrQ94X3A6HKBDCC9pZxWjew2pmfH884YR?handle=676050794bc1b1657a56b", "View")</f>
        <v>View</v>
      </c>
    </row>
    <row r="148" spans="1:16" x14ac:dyDescent="0.25">
      <c r="A148" s="13" t="s">
        <v>1418</v>
      </c>
      <c r="B148" s="14">
        <v>61112088</v>
      </c>
      <c r="C148" s="14">
        <v>61112088</v>
      </c>
      <c r="D148" s="14" t="s">
        <v>9192</v>
      </c>
      <c r="E148" s="14" t="s">
        <v>9400</v>
      </c>
      <c r="F148" s="14" t="s">
        <v>9454</v>
      </c>
      <c r="G148" s="22" t="s">
        <v>9455</v>
      </c>
      <c r="H148" s="22" t="s">
        <v>9456</v>
      </c>
      <c r="I148" s="14" t="s">
        <v>88</v>
      </c>
      <c r="J148" s="14">
        <v>1</v>
      </c>
      <c r="K148" s="14">
        <v>1</v>
      </c>
      <c r="L148" s="14" t="s">
        <v>9457</v>
      </c>
      <c r="M148" s="19" t="s">
        <v>2239</v>
      </c>
      <c r="N148" s="14" t="s">
        <v>2316</v>
      </c>
      <c r="O148" s="14" t="s">
        <v>9458</v>
      </c>
      <c r="P148" s="14" t="str">
        <f>HYPERLINK("https://photon-sol.tinyastro.io/en/lp/ETzbfRqFr9jedXffRbKFGD4napeVkvtyQz2ruf6Epump?handle=676050794bc1b1657a56b", "View")</f>
        <v>View</v>
      </c>
    </row>
    <row r="149" spans="1:16" x14ac:dyDescent="0.25">
      <c r="A149" s="16" t="s">
        <v>8357</v>
      </c>
      <c r="B149" s="17">
        <v>61994048</v>
      </c>
      <c r="C149" s="17">
        <v>61994048</v>
      </c>
      <c r="D149" s="17" t="s">
        <v>9192</v>
      </c>
      <c r="E149" s="17" t="s">
        <v>9459</v>
      </c>
      <c r="F149" s="17" t="s">
        <v>9460</v>
      </c>
      <c r="G149" s="21" t="s">
        <v>9461</v>
      </c>
      <c r="H149" s="21" t="s">
        <v>9462</v>
      </c>
      <c r="I149" s="17" t="s">
        <v>88</v>
      </c>
      <c r="J149" s="17">
        <v>1</v>
      </c>
      <c r="K149" s="17">
        <v>1</v>
      </c>
      <c r="L149" s="17" t="s">
        <v>9463</v>
      </c>
      <c r="M149" s="19" t="s">
        <v>2525</v>
      </c>
      <c r="N149" s="17" t="s">
        <v>8915</v>
      </c>
      <c r="O149" s="17" t="s">
        <v>9464</v>
      </c>
      <c r="P149" s="17" t="str">
        <f>HYPERLINK("https://photon-sol.tinyastro.io/en/lp/BLtk68PkPr3TwR8WMsrL7hRKTBunUJinDRmGojPLpump?handle=676050794bc1b1657a56b", "View")</f>
        <v>View</v>
      </c>
    </row>
    <row r="150" spans="1:16" x14ac:dyDescent="0.25">
      <c r="A150" s="13" t="s">
        <v>9465</v>
      </c>
      <c r="B150" s="14">
        <v>88972108</v>
      </c>
      <c r="C150" s="14">
        <v>88972108</v>
      </c>
      <c r="D150" s="14" t="s">
        <v>9192</v>
      </c>
      <c r="E150" s="14" t="s">
        <v>9466</v>
      </c>
      <c r="F150" s="14" t="s">
        <v>9467</v>
      </c>
      <c r="G150" s="20" t="s">
        <v>5681</v>
      </c>
      <c r="H150" s="20" t="s">
        <v>9468</v>
      </c>
      <c r="I150" s="14" t="s">
        <v>88</v>
      </c>
      <c r="J150" s="14">
        <v>1</v>
      </c>
      <c r="K150" s="14">
        <v>1</v>
      </c>
      <c r="L150" s="14" t="s">
        <v>9469</v>
      </c>
      <c r="M150" s="19" t="s">
        <v>2486</v>
      </c>
      <c r="N150" s="14" t="s">
        <v>1011</v>
      </c>
      <c r="O150" s="14" t="s">
        <v>9470</v>
      </c>
      <c r="P150" s="14" t="str">
        <f>HYPERLINK("https://photon-sol.tinyastro.io/en/lp/DVbN3YhR9nfbuebN3hkokZh7st7uFv6rpcKazEobpump?handle=676050794bc1b1657a56b", "View")</f>
        <v>View</v>
      </c>
    </row>
    <row r="151" spans="1:16" x14ac:dyDescent="0.25">
      <c r="A151" s="16" t="s">
        <v>9471</v>
      </c>
      <c r="B151" s="17">
        <v>88972108</v>
      </c>
      <c r="C151" s="17">
        <v>88972108</v>
      </c>
      <c r="D151" s="17" t="s">
        <v>9192</v>
      </c>
      <c r="E151" s="17" t="s">
        <v>9472</v>
      </c>
      <c r="F151" s="17" t="s">
        <v>9473</v>
      </c>
      <c r="G151" s="20" t="s">
        <v>9474</v>
      </c>
      <c r="H151" s="20" t="s">
        <v>9475</v>
      </c>
      <c r="I151" s="17" t="s">
        <v>88</v>
      </c>
      <c r="J151" s="17">
        <v>1</v>
      </c>
      <c r="K151" s="17">
        <v>1</v>
      </c>
      <c r="L151" s="17" t="s">
        <v>9476</v>
      </c>
      <c r="M151" s="19" t="s">
        <v>1856</v>
      </c>
      <c r="N151" s="17" t="s">
        <v>2585</v>
      </c>
      <c r="O151" s="17" t="s">
        <v>9477</v>
      </c>
      <c r="P151" s="17" t="str">
        <f>HYPERLINK("https://photon-sol.tinyastro.io/en/lp/Eo26JGv6CjECGe6Gt8Vqv76PknPg3v8TjbWV9D7Tpump?handle=676050794bc1b1657a56b", "View")</f>
        <v>View</v>
      </c>
    </row>
    <row r="152" spans="1:16" x14ac:dyDescent="0.25">
      <c r="A152" s="13" t="s">
        <v>8148</v>
      </c>
      <c r="B152" s="14">
        <v>59341138</v>
      </c>
      <c r="C152" s="14">
        <v>59341138</v>
      </c>
      <c r="D152" s="14" t="s">
        <v>9478</v>
      </c>
      <c r="E152" s="14" t="s">
        <v>9260</v>
      </c>
      <c r="F152" s="14" t="s">
        <v>9479</v>
      </c>
      <c r="G152" s="21" t="s">
        <v>9480</v>
      </c>
      <c r="H152" s="21" t="s">
        <v>9481</v>
      </c>
      <c r="I152" s="14" t="s">
        <v>88</v>
      </c>
      <c r="J152" s="14">
        <v>1</v>
      </c>
      <c r="K152" s="14">
        <v>1</v>
      </c>
      <c r="L152" s="14" t="s">
        <v>9482</v>
      </c>
      <c r="M152" s="19" t="s">
        <v>2122</v>
      </c>
      <c r="N152" s="14" t="s">
        <v>7713</v>
      </c>
      <c r="O152" s="14" t="s">
        <v>8155</v>
      </c>
      <c r="P152" s="14" t="str">
        <f>HYPERLINK("https://photon-sol.tinyastro.io/en/lp/4y4zH37GfK9kSfayEtrUXDBxLmT9fRa9T6fPKmGDpump?handle=676050794bc1b1657a56b", "View")</f>
        <v>View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0E05-0C42-4FBB-A0F6-06D1EFFDCDA5}">
  <dimension ref="A1:P41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HYPERLINK("https://gmgn.ai/sol/address/C4Gad31EVQjzmVo5Cs78ierb7k32PcuXa1DNeoiALzbY", "GMGN")</f>
        <v>GMGN</v>
      </c>
    </row>
    <row r="2" spans="1:14" x14ac:dyDescent="0.25">
      <c r="A2" s="3" t="s">
        <v>9483</v>
      </c>
      <c r="B2" s="3" t="s">
        <v>9484</v>
      </c>
      <c r="C2" s="3" t="s">
        <v>7493</v>
      </c>
      <c r="D2" s="3" t="s">
        <v>8453</v>
      </c>
      <c r="E2" s="3" t="s">
        <v>9485</v>
      </c>
      <c r="F2" s="3" t="s">
        <v>8455</v>
      </c>
      <c r="G2" s="3" t="s">
        <v>18</v>
      </c>
      <c r="H2" s="3">
        <v>22</v>
      </c>
      <c r="I2" s="3">
        <v>0</v>
      </c>
      <c r="J2" s="3" t="s">
        <v>699</v>
      </c>
      <c r="K2" s="3" t="s">
        <v>1932</v>
      </c>
      <c r="L2" s="3">
        <v>3</v>
      </c>
      <c r="M2" s="3">
        <v>33</v>
      </c>
      <c r="N2" s="3" t="str">
        <f>HYPERLINK("https://solscan.io/account/C4Gad31EVQjzmVo5Cs78ierb7k32PcuXa1DNeoiALzbY", "Solscan")</f>
        <v>Solscan</v>
      </c>
    </row>
    <row r="3" spans="1:14" x14ac:dyDescent="0.25">
      <c r="A3" s="1" t="s">
        <v>21</v>
      </c>
      <c r="B3" s="23" t="s">
        <v>9486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HYPERLINK("https://birdeye.so/profile/C4Gad31EVQjzmVo5Cs78ierb7k32PcuXa1DNeoiALzbY", "Birdeye")</f>
        <v>Birdeye</v>
      </c>
    </row>
    <row r="4" spans="1:14" x14ac:dyDescent="0.25">
      <c r="A4" s="1" t="s">
        <v>25</v>
      </c>
      <c r="B4" s="3" t="s">
        <v>2004</v>
      </c>
      <c r="C4" s="3"/>
      <c r="D4" s="3" t="s">
        <v>4715</v>
      </c>
      <c r="E4" s="3" t="s">
        <v>9487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9488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2</v>
      </c>
      <c r="D10" s="1">
        <v>2</v>
      </c>
      <c r="E10" s="1">
        <v>10</v>
      </c>
      <c r="F10" s="1">
        <v>6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9489</v>
      </c>
      <c r="D11" s="1" t="s">
        <v>9489</v>
      </c>
      <c r="E11" s="1" t="s">
        <v>9490</v>
      </c>
      <c r="F11" s="1" t="s">
        <v>9491</v>
      </c>
      <c r="G11" s="1" t="s">
        <v>9489</v>
      </c>
      <c r="H11" s="3"/>
      <c r="I11" s="3" t="s">
        <v>50</v>
      </c>
      <c r="J11" s="3" t="s">
        <v>1570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9492</v>
      </c>
      <c r="D12" s="1" t="s">
        <v>9493</v>
      </c>
      <c r="E12" s="1" t="s">
        <v>9494</v>
      </c>
      <c r="F12" s="1" t="s">
        <v>9495</v>
      </c>
      <c r="G12" s="1" t="s">
        <v>9496</v>
      </c>
      <c r="H12" s="3"/>
      <c r="I12" s="3" t="s">
        <v>59</v>
      </c>
      <c r="J12" s="3" t="s">
        <v>1777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1777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9497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9498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135</v>
      </c>
      <c r="B20" s="14">
        <v>4419018</v>
      </c>
      <c r="C20" s="14">
        <v>4419018</v>
      </c>
      <c r="D20" s="14" t="s">
        <v>9499</v>
      </c>
      <c r="E20" s="14" t="s">
        <v>9500</v>
      </c>
      <c r="F20" s="14" t="s">
        <v>9501</v>
      </c>
      <c r="G20" s="22" t="s">
        <v>8740</v>
      </c>
      <c r="H20" s="22" t="s">
        <v>9502</v>
      </c>
      <c r="I20" s="14" t="s">
        <v>88</v>
      </c>
      <c r="J20" s="14">
        <v>13</v>
      </c>
      <c r="K20" s="14">
        <v>10</v>
      </c>
      <c r="L20" s="14" t="s">
        <v>9503</v>
      </c>
      <c r="M20" s="14" t="s">
        <v>160</v>
      </c>
      <c r="N20" s="14" t="s">
        <v>9504</v>
      </c>
      <c r="O20" s="14" t="s">
        <v>143</v>
      </c>
      <c r="P20" s="14" t="str">
        <f>HYPERLINK("https://dexscreener.com/solana/DDxS3mzbFiwPgmpK7j573MDvD7EQj5stPHZ8K8Wppump", "View")</f>
        <v>View</v>
      </c>
    </row>
    <row r="21" spans="1:16" x14ac:dyDescent="0.25">
      <c r="A21" s="16" t="s">
        <v>111</v>
      </c>
      <c r="B21" s="17">
        <v>3950082</v>
      </c>
      <c r="C21" s="17">
        <v>3950082</v>
      </c>
      <c r="D21" s="17" t="s">
        <v>9505</v>
      </c>
      <c r="E21" s="17" t="s">
        <v>2407</v>
      </c>
      <c r="F21" s="17" t="s">
        <v>9506</v>
      </c>
      <c r="G21" s="21" t="s">
        <v>9507</v>
      </c>
      <c r="H21" s="21" t="s">
        <v>9508</v>
      </c>
      <c r="I21" s="17" t="s">
        <v>88</v>
      </c>
      <c r="J21" s="17">
        <v>1</v>
      </c>
      <c r="K21" s="17">
        <v>10</v>
      </c>
      <c r="L21" s="17" t="s">
        <v>9509</v>
      </c>
      <c r="M21" s="17" t="s">
        <v>179</v>
      </c>
      <c r="N21" s="17" t="s">
        <v>9510</v>
      </c>
      <c r="O21" s="17" t="s">
        <v>119</v>
      </c>
      <c r="P21" s="17" t="str">
        <f>HYPERLINK("https://photon-sol.tinyastro.io/en/lp/D5S1nXXaMnJui8rCnMbP1GZQnL9TxzbF92hXvgkVpump?handle=676050794bc1b1657a56b", "View")</f>
        <v>View</v>
      </c>
    </row>
    <row r="22" spans="1:16" x14ac:dyDescent="0.25">
      <c r="A22" s="13" t="s">
        <v>9511</v>
      </c>
      <c r="B22" s="14">
        <v>994597</v>
      </c>
      <c r="C22" s="14">
        <v>994597</v>
      </c>
      <c r="D22" s="14" t="s">
        <v>1646</v>
      </c>
      <c r="E22" s="14" t="s">
        <v>2200</v>
      </c>
      <c r="F22" s="14" t="s">
        <v>9512</v>
      </c>
      <c r="G22" s="22" t="s">
        <v>8966</v>
      </c>
      <c r="H22" s="22" t="s">
        <v>9513</v>
      </c>
      <c r="I22" s="14" t="s">
        <v>88</v>
      </c>
      <c r="J22" s="14">
        <v>1</v>
      </c>
      <c r="K22" s="14">
        <v>2</v>
      </c>
      <c r="L22" s="14" t="s">
        <v>9514</v>
      </c>
      <c r="M22" s="14" t="s">
        <v>1566</v>
      </c>
      <c r="N22" s="14" t="s">
        <v>9515</v>
      </c>
      <c r="O22" s="14" t="s">
        <v>9516</v>
      </c>
      <c r="P22" s="14" t="str">
        <f>HYPERLINK("https://dexscreener.com/solana/4bj1v8h1AdRiLvpUBTzPk1pKDCB6eSTFyZ9G1c8g8ayE", "View")</f>
        <v>View</v>
      </c>
    </row>
    <row r="23" spans="1:16" x14ac:dyDescent="0.25">
      <c r="A23" s="16" t="s">
        <v>4862</v>
      </c>
      <c r="B23" s="17">
        <v>1390746</v>
      </c>
      <c r="C23" s="17">
        <v>1390746</v>
      </c>
      <c r="D23" s="17" t="s">
        <v>1595</v>
      </c>
      <c r="E23" s="17" t="s">
        <v>2200</v>
      </c>
      <c r="F23" s="17" t="s">
        <v>9517</v>
      </c>
      <c r="G23" s="20" t="s">
        <v>9518</v>
      </c>
      <c r="H23" s="20" t="s">
        <v>9519</v>
      </c>
      <c r="I23" s="17" t="s">
        <v>88</v>
      </c>
      <c r="J23" s="17">
        <v>1</v>
      </c>
      <c r="K23" s="17">
        <v>1</v>
      </c>
      <c r="L23" s="17" t="s">
        <v>9520</v>
      </c>
      <c r="M23" s="17" t="s">
        <v>3180</v>
      </c>
      <c r="N23" s="17" t="s">
        <v>9521</v>
      </c>
      <c r="O23" s="17" t="s">
        <v>4866</v>
      </c>
      <c r="P23" s="17" t="str">
        <f>HYPERLINK("https://dexscreener.com/solana/5JyTUrL9ZBvyA1dwUSw9XLZwkDLFjFHfm1ghVd9Vpump", "View")</f>
        <v>View</v>
      </c>
    </row>
    <row r="24" spans="1:16" x14ac:dyDescent="0.25">
      <c r="A24" s="13" t="s">
        <v>125</v>
      </c>
      <c r="B24" s="14">
        <v>691326</v>
      </c>
      <c r="C24" s="14">
        <v>591325</v>
      </c>
      <c r="D24" s="14" t="s">
        <v>9522</v>
      </c>
      <c r="E24" s="14" t="s">
        <v>9523</v>
      </c>
      <c r="F24" s="14" t="s">
        <v>9524</v>
      </c>
      <c r="G24" s="21" t="s">
        <v>9525</v>
      </c>
      <c r="H24" s="21" t="s">
        <v>9526</v>
      </c>
      <c r="I24" s="14" t="s">
        <v>88</v>
      </c>
      <c r="J24" s="14">
        <v>12</v>
      </c>
      <c r="K24" s="14">
        <v>10</v>
      </c>
      <c r="L24" s="14" t="s">
        <v>9527</v>
      </c>
      <c r="M24" s="14" t="s">
        <v>5061</v>
      </c>
      <c r="N24" s="14" t="s">
        <v>9528</v>
      </c>
      <c r="O24" s="14" t="s">
        <v>134</v>
      </c>
      <c r="P24" s="14" t="str">
        <f>HYPERLINK("https://dexscreener.com/solana/CBdCxKo9QavR9hfShgpEBG3zekorAeD7W1jfq2o3pump", "View")</f>
        <v>View</v>
      </c>
    </row>
    <row r="25" spans="1:16" x14ac:dyDescent="0.25">
      <c r="A25" s="16" t="s">
        <v>6587</v>
      </c>
      <c r="B25" s="17">
        <v>3809510</v>
      </c>
      <c r="C25" s="17">
        <v>3809510</v>
      </c>
      <c r="D25" s="17" t="s">
        <v>9529</v>
      </c>
      <c r="E25" s="17" t="s">
        <v>7656</v>
      </c>
      <c r="F25" s="17" t="s">
        <v>9530</v>
      </c>
      <c r="G25" s="22" t="s">
        <v>9531</v>
      </c>
      <c r="H25" s="22" t="s">
        <v>9532</v>
      </c>
      <c r="I25" s="17" t="s">
        <v>88</v>
      </c>
      <c r="J25" s="17">
        <v>4</v>
      </c>
      <c r="K25" s="17">
        <v>5</v>
      </c>
      <c r="L25" s="17" t="s">
        <v>9533</v>
      </c>
      <c r="M25" s="17" t="s">
        <v>9534</v>
      </c>
      <c r="N25" s="17" t="s">
        <v>9535</v>
      </c>
      <c r="O25" s="17" t="s">
        <v>6595</v>
      </c>
      <c r="P25" s="17" t="str">
        <f>HYPERLINK("https://dexscreener.com/solana/Fof1DyVSYiQGCnT3uTbmq8kQMPdwL35x1bD82NaTs9mM", "View")</f>
        <v>View</v>
      </c>
    </row>
    <row r="26" spans="1:16" x14ac:dyDescent="0.25">
      <c r="A26" s="13" t="s">
        <v>9536</v>
      </c>
      <c r="B26" s="14">
        <v>1771290</v>
      </c>
      <c r="C26" s="14">
        <v>1771290</v>
      </c>
      <c r="D26" s="14" t="s">
        <v>9537</v>
      </c>
      <c r="E26" s="14" t="s">
        <v>569</v>
      </c>
      <c r="F26" s="14" t="s">
        <v>9538</v>
      </c>
      <c r="G26" s="21" t="s">
        <v>9539</v>
      </c>
      <c r="H26" s="21" t="s">
        <v>9540</v>
      </c>
      <c r="I26" s="14" t="s">
        <v>88</v>
      </c>
      <c r="J26" s="14">
        <v>1</v>
      </c>
      <c r="K26" s="14">
        <v>4</v>
      </c>
      <c r="L26" s="14" t="s">
        <v>9541</v>
      </c>
      <c r="M26" s="14" t="s">
        <v>4922</v>
      </c>
      <c r="N26" s="14" t="s">
        <v>9542</v>
      </c>
      <c r="O26" s="14" t="s">
        <v>9543</v>
      </c>
      <c r="P26" s="14" t="str">
        <f>HYPERLINK("https://dexscreener.com/solana/4C5xVRgUnA9jB1LSqEfv5XpPHth7SQrSyMCfqZaMJncm", "View")</f>
        <v>View</v>
      </c>
    </row>
    <row r="27" spans="1:16" x14ac:dyDescent="0.25">
      <c r="A27" s="16" t="s">
        <v>9544</v>
      </c>
      <c r="B27" s="17">
        <v>1757970</v>
      </c>
      <c r="C27" s="17">
        <v>1757970</v>
      </c>
      <c r="D27" s="17" t="s">
        <v>9545</v>
      </c>
      <c r="E27" s="17" t="s">
        <v>1267</v>
      </c>
      <c r="F27" s="17" t="s">
        <v>9546</v>
      </c>
      <c r="G27" s="21" t="s">
        <v>9547</v>
      </c>
      <c r="H27" s="21" t="s">
        <v>580</v>
      </c>
      <c r="I27" s="17" t="s">
        <v>88</v>
      </c>
      <c r="J27" s="17">
        <v>2</v>
      </c>
      <c r="K27" s="17">
        <v>6</v>
      </c>
      <c r="L27" s="17" t="s">
        <v>9548</v>
      </c>
      <c r="M27" s="17" t="s">
        <v>179</v>
      </c>
      <c r="N27" s="17" t="s">
        <v>9549</v>
      </c>
      <c r="O27" s="17" t="s">
        <v>9550</v>
      </c>
      <c r="P27" s="17" t="str">
        <f>HYPERLINK("https://dexscreener.com/solana/4QeK5x94xw6PrqJE6jjsVhswXN8qvsgCeqVyfokgpump", "View")</f>
        <v>View</v>
      </c>
    </row>
    <row r="28" spans="1:16" x14ac:dyDescent="0.25">
      <c r="A28" s="13" t="s">
        <v>9551</v>
      </c>
      <c r="B28" s="14">
        <v>1553879</v>
      </c>
      <c r="C28" s="14">
        <v>1553879</v>
      </c>
      <c r="D28" s="14" t="s">
        <v>9552</v>
      </c>
      <c r="E28" s="14" t="s">
        <v>9553</v>
      </c>
      <c r="F28" s="14" t="s">
        <v>8306</v>
      </c>
      <c r="G28" s="15" t="s">
        <v>2449</v>
      </c>
      <c r="H28" s="15" t="s">
        <v>9554</v>
      </c>
      <c r="I28" s="14" t="s">
        <v>88</v>
      </c>
      <c r="J28" s="14">
        <v>1</v>
      </c>
      <c r="K28" s="14">
        <v>1</v>
      </c>
      <c r="L28" s="14" t="s">
        <v>9555</v>
      </c>
      <c r="M28" s="14" t="s">
        <v>1434</v>
      </c>
      <c r="N28" s="14" t="s">
        <v>9556</v>
      </c>
      <c r="O28" s="14" t="s">
        <v>9557</v>
      </c>
      <c r="P28" s="14" t="str">
        <f>HYPERLINK("https://photon-sol.tinyastro.io/en/lp/DNToJp8mxGSvkn7xiFJASueMkQXng4CAXafFvGHARXDc?handle=676050794bc1b1657a56b", "View")</f>
        <v>View</v>
      </c>
    </row>
    <row r="29" spans="1:16" x14ac:dyDescent="0.25">
      <c r="A29" s="16" t="s">
        <v>5075</v>
      </c>
      <c r="B29" s="17">
        <v>2623461</v>
      </c>
      <c r="C29" s="17">
        <v>2623461</v>
      </c>
      <c r="D29" s="17" t="s">
        <v>9537</v>
      </c>
      <c r="E29" s="17" t="s">
        <v>1457</v>
      </c>
      <c r="F29" s="17" t="s">
        <v>3733</v>
      </c>
      <c r="G29" s="15" t="s">
        <v>9558</v>
      </c>
      <c r="H29" s="15" t="s">
        <v>9559</v>
      </c>
      <c r="I29" s="17" t="s">
        <v>88</v>
      </c>
      <c r="J29" s="17">
        <v>4</v>
      </c>
      <c r="K29" s="17">
        <v>1</v>
      </c>
      <c r="L29" s="17" t="s">
        <v>9560</v>
      </c>
      <c r="M29" s="17" t="s">
        <v>2047</v>
      </c>
      <c r="N29" s="17" t="s">
        <v>9561</v>
      </c>
      <c r="O29" s="17" t="s">
        <v>5081</v>
      </c>
      <c r="P29" s="17" t="str">
        <f>HYPERLINK("https://dexscreener.com/solana/8ogBUvzZNPzo7FcsGHi6LCVBHrmL94ZVz7DynnTRpump", "View")</f>
        <v>View</v>
      </c>
    </row>
    <row r="30" spans="1:16" x14ac:dyDescent="0.25">
      <c r="A30" s="13" t="s">
        <v>9562</v>
      </c>
      <c r="B30" s="14">
        <v>752726</v>
      </c>
      <c r="C30" s="14">
        <v>752726</v>
      </c>
      <c r="D30" s="14" t="s">
        <v>1813</v>
      </c>
      <c r="E30" s="14" t="s">
        <v>5572</v>
      </c>
      <c r="F30" s="14" t="s">
        <v>3570</v>
      </c>
      <c r="G30" s="20" t="s">
        <v>9563</v>
      </c>
      <c r="H30" s="20" t="s">
        <v>9564</v>
      </c>
      <c r="I30" s="14" t="s">
        <v>88</v>
      </c>
      <c r="J30" s="14">
        <v>1</v>
      </c>
      <c r="K30" s="14">
        <v>1</v>
      </c>
      <c r="L30" s="14" t="s">
        <v>9565</v>
      </c>
      <c r="M30" s="14" t="s">
        <v>1705</v>
      </c>
      <c r="N30" s="14" t="s">
        <v>9566</v>
      </c>
      <c r="O30" s="14" t="s">
        <v>9567</v>
      </c>
      <c r="P30" s="14" t="str">
        <f>HYPERLINK("https://dexscreener.com/solana/91xG2naB6sSnfL5xRuqtXyfk3nKA1mj4xvzMcbfEpump", "View")</f>
        <v>View</v>
      </c>
    </row>
    <row r="31" spans="1:16" x14ac:dyDescent="0.25">
      <c r="A31" s="16" t="s">
        <v>9568</v>
      </c>
      <c r="B31" s="17">
        <v>2133401</v>
      </c>
      <c r="C31" s="17">
        <v>2133401</v>
      </c>
      <c r="D31" s="17" t="s">
        <v>9569</v>
      </c>
      <c r="E31" s="17" t="s">
        <v>3819</v>
      </c>
      <c r="F31" s="17" t="s">
        <v>9570</v>
      </c>
      <c r="G31" s="22" t="s">
        <v>6111</v>
      </c>
      <c r="H31" s="22" t="s">
        <v>9571</v>
      </c>
      <c r="I31" s="17" t="s">
        <v>88</v>
      </c>
      <c r="J31" s="17">
        <v>1</v>
      </c>
      <c r="K31" s="17">
        <v>2</v>
      </c>
      <c r="L31" s="17" t="s">
        <v>9572</v>
      </c>
      <c r="M31" s="17" t="s">
        <v>3180</v>
      </c>
      <c r="N31" s="17" t="s">
        <v>9573</v>
      </c>
      <c r="O31" s="17" t="s">
        <v>9574</v>
      </c>
      <c r="P31" s="17" t="str">
        <f>HYPERLINK("https://photon-sol.tinyastro.io/en/lp/cZAdM85JveqWcmFmzEEYLFDjkkdQoS7PVVskcefpump?handle=676050794bc1b1657a56b", "View")</f>
        <v>View</v>
      </c>
    </row>
    <row r="32" spans="1:16" x14ac:dyDescent="0.25">
      <c r="A32" s="13" t="s">
        <v>9575</v>
      </c>
      <c r="B32" s="14">
        <v>254708</v>
      </c>
      <c r="C32" s="14">
        <v>254708</v>
      </c>
      <c r="D32" s="14" t="s">
        <v>9576</v>
      </c>
      <c r="E32" s="14" t="s">
        <v>9577</v>
      </c>
      <c r="F32" s="14" t="s">
        <v>8006</v>
      </c>
      <c r="G32" s="22" t="s">
        <v>9578</v>
      </c>
      <c r="H32" s="22" t="s">
        <v>9579</v>
      </c>
      <c r="I32" s="14" t="s">
        <v>88</v>
      </c>
      <c r="J32" s="14">
        <v>5</v>
      </c>
      <c r="K32" s="14">
        <v>6</v>
      </c>
      <c r="L32" s="14" t="s">
        <v>9580</v>
      </c>
      <c r="M32" s="14" t="s">
        <v>1478</v>
      </c>
      <c r="N32" s="14" t="s">
        <v>9581</v>
      </c>
      <c r="O32" s="14" t="s">
        <v>9582</v>
      </c>
      <c r="P32" s="14" t="str">
        <f>HYPERLINK("https://dexscreener.com/solana/6MAWnfagDCzqmHQh88FVt9F1zzLqXpwGJpaL7zUTpump", "View")</f>
        <v>View</v>
      </c>
    </row>
    <row r="33" spans="1:16" x14ac:dyDescent="0.25">
      <c r="A33" s="16" t="s">
        <v>9583</v>
      </c>
      <c r="B33" s="17">
        <v>27945</v>
      </c>
      <c r="C33" s="17">
        <v>27945</v>
      </c>
      <c r="D33" s="17" t="s">
        <v>1813</v>
      </c>
      <c r="E33" s="17" t="s">
        <v>569</v>
      </c>
      <c r="F33" s="17" t="s">
        <v>9584</v>
      </c>
      <c r="G33" s="22" t="s">
        <v>2580</v>
      </c>
      <c r="H33" s="22" t="s">
        <v>9585</v>
      </c>
      <c r="I33" s="17" t="s">
        <v>88</v>
      </c>
      <c r="J33" s="17">
        <v>1</v>
      </c>
      <c r="K33" s="17">
        <v>1</v>
      </c>
      <c r="L33" s="17" t="s">
        <v>9586</v>
      </c>
      <c r="M33" s="17" t="s">
        <v>3171</v>
      </c>
      <c r="N33" s="17" t="s">
        <v>9587</v>
      </c>
      <c r="O33" s="17" t="s">
        <v>9588</v>
      </c>
      <c r="P33" s="17" t="str">
        <f>HYPERLINK("https://dexscreener.com/solana/Gu3LDkn7Vx3bmCzLafYNKcDxv2mH7YN44NJZFXnypump", "View")</f>
        <v>View</v>
      </c>
    </row>
    <row r="34" spans="1:16" x14ac:dyDescent="0.25">
      <c r="A34" s="13" t="s">
        <v>9589</v>
      </c>
      <c r="B34" s="14">
        <v>2671011</v>
      </c>
      <c r="C34" s="14">
        <v>2671011</v>
      </c>
      <c r="D34" s="14" t="s">
        <v>9590</v>
      </c>
      <c r="E34" s="14" t="s">
        <v>569</v>
      </c>
      <c r="F34" s="14" t="s">
        <v>9591</v>
      </c>
      <c r="G34" s="22" t="s">
        <v>9592</v>
      </c>
      <c r="H34" s="22" t="s">
        <v>2872</v>
      </c>
      <c r="I34" s="14" t="s">
        <v>88</v>
      </c>
      <c r="J34" s="14">
        <v>1</v>
      </c>
      <c r="K34" s="14">
        <v>3</v>
      </c>
      <c r="L34" s="14" t="s">
        <v>9593</v>
      </c>
      <c r="M34" s="14" t="s">
        <v>1957</v>
      </c>
      <c r="N34" s="14" t="s">
        <v>9594</v>
      </c>
      <c r="O34" s="14" t="s">
        <v>9595</v>
      </c>
      <c r="P34" s="14" t="str">
        <f>HYPERLINK("https://dexscreener.com/solana/F93dc9CPunC1R7GX7eHWQ3zKEgixoGruaxLVyV83pump", "View")</f>
        <v>View</v>
      </c>
    </row>
    <row r="35" spans="1:16" x14ac:dyDescent="0.25">
      <c r="A35" s="16" t="s">
        <v>9596</v>
      </c>
      <c r="B35" s="17">
        <v>471870</v>
      </c>
      <c r="C35" s="17">
        <v>471870</v>
      </c>
      <c r="D35" s="17" t="s">
        <v>1813</v>
      </c>
      <c r="E35" s="17" t="s">
        <v>2200</v>
      </c>
      <c r="F35" s="17" t="s">
        <v>9597</v>
      </c>
      <c r="G35" s="20" t="s">
        <v>3537</v>
      </c>
      <c r="H35" s="20" t="s">
        <v>9598</v>
      </c>
      <c r="I35" s="17" t="s">
        <v>88</v>
      </c>
      <c r="J35" s="17">
        <v>1</v>
      </c>
      <c r="K35" s="17">
        <v>1</v>
      </c>
      <c r="L35" s="17" t="s">
        <v>9599</v>
      </c>
      <c r="M35" s="17" t="s">
        <v>1434</v>
      </c>
      <c r="N35" s="17" t="s">
        <v>9600</v>
      </c>
      <c r="O35" s="17" t="s">
        <v>9601</v>
      </c>
      <c r="P35" s="17" t="str">
        <f>HYPERLINK("https://dexscreener.com/solana/86fFGwkuMBvH4C8Dbtaw3rgqPUqSY7GeWySTN3D9pump", "View")</f>
        <v>View</v>
      </c>
    </row>
    <row r="36" spans="1:16" x14ac:dyDescent="0.25">
      <c r="A36" s="13" t="s">
        <v>1075</v>
      </c>
      <c r="B36" s="14">
        <v>1450516</v>
      </c>
      <c r="C36" s="14">
        <v>1450516</v>
      </c>
      <c r="D36" s="14" t="s">
        <v>1813</v>
      </c>
      <c r="E36" s="14" t="s">
        <v>1007</v>
      </c>
      <c r="F36" s="14" t="s">
        <v>2758</v>
      </c>
      <c r="G36" s="20" t="s">
        <v>9602</v>
      </c>
      <c r="H36" s="20" t="s">
        <v>9603</v>
      </c>
      <c r="I36" s="14" t="s">
        <v>88</v>
      </c>
      <c r="J36" s="14">
        <v>1</v>
      </c>
      <c r="K36" s="14">
        <v>1</v>
      </c>
      <c r="L36" s="14" t="s">
        <v>9604</v>
      </c>
      <c r="M36" s="19" t="s">
        <v>2239</v>
      </c>
      <c r="N36" s="14" t="s">
        <v>9605</v>
      </c>
      <c r="O36" s="14" t="s">
        <v>9606</v>
      </c>
      <c r="P36" s="14" t="str">
        <f>HYPERLINK("https://dexscreener.com/solana/7zarEzk4rXBVukPoU8wtNYbHnqaRXEkj1cijb8s4pump", "View")</f>
        <v>View</v>
      </c>
    </row>
    <row r="37" spans="1:16" x14ac:dyDescent="0.25">
      <c r="A37" s="16" t="s">
        <v>497</v>
      </c>
      <c r="B37" s="17">
        <v>1900522</v>
      </c>
      <c r="C37" s="17">
        <v>1900522</v>
      </c>
      <c r="D37" s="17" t="s">
        <v>9607</v>
      </c>
      <c r="E37" s="17" t="s">
        <v>569</v>
      </c>
      <c r="F37" s="17" t="s">
        <v>9608</v>
      </c>
      <c r="G37" s="22" t="s">
        <v>9609</v>
      </c>
      <c r="H37" s="22" t="s">
        <v>9610</v>
      </c>
      <c r="I37" s="17" t="s">
        <v>88</v>
      </c>
      <c r="J37" s="17">
        <v>2</v>
      </c>
      <c r="K37" s="17">
        <v>3</v>
      </c>
      <c r="L37" s="17" t="s">
        <v>9611</v>
      </c>
      <c r="M37" s="17" t="s">
        <v>6183</v>
      </c>
      <c r="N37" s="17" t="s">
        <v>9612</v>
      </c>
      <c r="O37" s="17" t="s">
        <v>501</v>
      </c>
      <c r="P37" s="17" t="str">
        <f>HYPERLINK("https://dexscreener.com/solana/7xn2T1x7xw5quHmzy2YvFWyFUNwp75fsw5bxiXGRpump", "View")</f>
        <v>View</v>
      </c>
    </row>
    <row r="38" spans="1:16" x14ac:dyDescent="0.25">
      <c r="A38" s="13" t="s">
        <v>5256</v>
      </c>
      <c r="B38" s="14">
        <v>535813</v>
      </c>
      <c r="C38" s="14">
        <v>535813</v>
      </c>
      <c r="D38" s="14" t="s">
        <v>9613</v>
      </c>
      <c r="E38" s="14" t="s">
        <v>2390</v>
      </c>
      <c r="F38" s="14" t="s">
        <v>9614</v>
      </c>
      <c r="G38" s="20" t="s">
        <v>9615</v>
      </c>
      <c r="H38" s="20" t="s">
        <v>9616</v>
      </c>
      <c r="I38" s="14" t="s">
        <v>88</v>
      </c>
      <c r="J38" s="14">
        <v>4</v>
      </c>
      <c r="K38" s="14">
        <v>2</v>
      </c>
      <c r="L38" s="14" t="s">
        <v>9617</v>
      </c>
      <c r="M38" s="14" t="s">
        <v>680</v>
      </c>
      <c r="N38" s="14" t="s">
        <v>9618</v>
      </c>
      <c r="O38" s="14" t="s">
        <v>5261</v>
      </c>
      <c r="P38" s="14" t="str">
        <f>HYPERLINK("https://dexscreener.com/solana/hf8aYwMK2cYv7t4uUhUAqpdwTS3sja2z9RJMQZ2pump", "View")</f>
        <v>View</v>
      </c>
    </row>
    <row r="39" spans="1:16" x14ac:dyDescent="0.25">
      <c r="A39" s="16" t="s">
        <v>9619</v>
      </c>
      <c r="B39" s="17">
        <v>570843</v>
      </c>
      <c r="C39" s="17">
        <v>570843</v>
      </c>
      <c r="D39" s="17" t="s">
        <v>9569</v>
      </c>
      <c r="E39" s="17" t="s">
        <v>9620</v>
      </c>
      <c r="F39" s="17" t="s">
        <v>9621</v>
      </c>
      <c r="G39" s="22" t="s">
        <v>2597</v>
      </c>
      <c r="H39" s="22" t="s">
        <v>9622</v>
      </c>
      <c r="I39" s="17" t="s">
        <v>88</v>
      </c>
      <c r="J39" s="17">
        <v>1</v>
      </c>
      <c r="K39" s="17">
        <v>2</v>
      </c>
      <c r="L39" s="17" t="s">
        <v>9623</v>
      </c>
      <c r="M39" s="17" t="s">
        <v>680</v>
      </c>
      <c r="N39" s="17" t="s">
        <v>9624</v>
      </c>
      <c r="O39" s="17" t="s">
        <v>9625</v>
      </c>
      <c r="P39" s="17" t="str">
        <f>HYPERLINK("https://dexscreener.com/solana/32h846XXTSWGUaaKHMC5b2e39n1nwJD6UtDBppX5p4E9", "View")</f>
        <v>View</v>
      </c>
    </row>
    <row r="40" spans="1:16" x14ac:dyDescent="0.25">
      <c r="A40" s="13" t="s">
        <v>9626</v>
      </c>
      <c r="B40" s="14">
        <v>1432351</v>
      </c>
      <c r="C40" s="14">
        <v>1432351</v>
      </c>
      <c r="D40" s="14" t="s">
        <v>9569</v>
      </c>
      <c r="E40" s="14" t="s">
        <v>2200</v>
      </c>
      <c r="F40" s="14" t="s">
        <v>9627</v>
      </c>
      <c r="G40" s="22" t="s">
        <v>2531</v>
      </c>
      <c r="H40" s="22" t="s">
        <v>9628</v>
      </c>
      <c r="I40" s="14" t="s">
        <v>88</v>
      </c>
      <c r="J40" s="14">
        <v>1</v>
      </c>
      <c r="K40" s="14">
        <v>2</v>
      </c>
      <c r="L40" s="14" t="s">
        <v>9629</v>
      </c>
      <c r="M40" s="14" t="s">
        <v>4922</v>
      </c>
      <c r="N40" s="14" t="s">
        <v>6252</v>
      </c>
      <c r="O40" s="14" t="s">
        <v>9630</v>
      </c>
      <c r="P40" s="14" t="str">
        <f>HYPERLINK("https://dexscreener.com/solana/2jrLcdWgkfkGpYPMUs94b9ER8nYBbWECwiF2mBjmpump", "View")</f>
        <v>View</v>
      </c>
    </row>
    <row r="41" spans="1:16" x14ac:dyDescent="0.25">
      <c r="A41" s="16" t="s">
        <v>9631</v>
      </c>
      <c r="B41" s="17">
        <v>660813</v>
      </c>
      <c r="C41" s="17">
        <v>660813</v>
      </c>
      <c r="D41" s="17" t="s">
        <v>1813</v>
      </c>
      <c r="E41" s="17" t="s">
        <v>2200</v>
      </c>
      <c r="F41" s="17" t="s">
        <v>4107</v>
      </c>
      <c r="G41" s="20" t="s">
        <v>1523</v>
      </c>
      <c r="H41" s="20" t="s">
        <v>9632</v>
      </c>
      <c r="I41" s="17" t="s">
        <v>88</v>
      </c>
      <c r="J41" s="17">
        <v>1</v>
      </c>
      <c r="K41" s="17">
        <v>1</v>
      </c>
      <c r="L41" s="17" t="s">
        <v>9633</v>
      </c>
      <c r="M41" s="17" t="s">
        <v>1566</v>
      </c>
      <c r="N41" s="17" t="s">
        <v>9634</v>
      </c>
      <c r="O41" s="17" t="s">
        <v>9635</v>
      </c>
      <c r="P41" s="17" t="str">
        <f>HYPERLINK("https://dexscreener.com/solana/86NLM27huRHcSRDZEs4iPUNhUTAxoXHQqHSWRcDbpump", "View")</f>
        <v>View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29A3-DB90-4B0C-906C-9C1FF16D9084}">
  <dimension ref="A1:P2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HYPERLINK("https://gmgn.ai/sol/address/EwmkKJ3erM3pckey5gF37Yu7ySA6K6FwNx5NzUBiWnzU", "GMGN")</f>
        <v>GMGN</v>
      </c>
    </row>
    <row r="2" spans="1:14" x14ac:dyDescent="0.25">
      <c r="A2" s="3" t="s">
        <v>9636</v>
      </c>
      <c r="B2" s="3" t="s">
        <v>9637</v>
      </c>
      <c r="C2" s="3" t="s">
        <v>9638</v>
      </c>
      <c r="D2" s="3" t="s">
        <v>1999</v>
      </c>
      <c r="E2" s="3" t="s">
        <v>9639</v>
      </c>
      <c r="F2" s="3" t="s">
        <v>9640</v>
      </c>
      <c r="G2" s="3" t="s">
        <v>18</v>
      </c>
      <c r="H2" s="3">
        <v>6</v>
      </c>
      <c r="I2" s="3">
        <v>0</v>
      </c>
      <c r="J2" s="3" t="s">
        <v>132</v>
      </c>
      <c r="K2" s="3" t="s">
        <v>1526</v>
      </c>
      <c r="L2" s="3">
        <v>4</v>
      </c>
      <c r="M2" s="3">
        <v>3</v>
      </c>
      <c r="N2" s="3" t="str">
        <f>HYPERLINK("https://solscan.io/account/EwmkKJ3erM3pckey5gF37Yu7ySA6K6FwNx5NzUBiWnzU", "Solscan")</f>
        <v>Solscan</v>
      </c>
    </row>
    <row r="3" spans="1:14" x14ac:dyDescent="0.25">
      <c r="A3" s="1" t="s">
        <v>21</v>
      </c>
      <c r="B3" s="23" t="s">
        <v>9641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HYPERLINK("https://birdeye.so/profile/EwmkKJ3erM3pckey5gF37Yu7ySA6K6FwNx5NzUBiWnzU", "Birdeye")</f>
        <v>Birdeye</v>
      </c>
    </row>
    <row r="4" spans="1:14" x14ac:dyDescent="0.25">
      <c r="A4" s="1" t="s">
        <v>25</v>
      </c>
      <c r="B4" s="23" t="s">
        <v>4264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2</v>
      </c>
      <c r="D10" s="1">
        <v>1</v>
      </c>
      <c r="E10" s="1">
        <v>0</v>
      </c>
      <c r="F10" s="1">
        <v>3</v>
      </c>
      <c r="G10" s="1">
        <v>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9642</v>
      </c>
      <c r="D11" s="1" t="s">
        <v>4363</v>
      </c>
      <c r="E11" s="1" t="s">
        <v>1779</v>
      </c>
      <c r="F11" s="1" t="s">
        <v>9643</v>
      </c>
      <c r="G11" s="1" t="s">
        <v>1779</v>
      </c>
      <c r="H11" s="3"/>
      <c r="I11" s="3" t="s">
        <v>50</v>
      </c>
      <c r="J11" s="3" t="s">
        <v>1570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1778</v>
      </c>
      <c r="D12" s="1" t="s">
        <v>9644</v>
      </c>
      <c r="E12" s="1" t="s">
        <v>1786</v>
      </c>
      <c r="F12" s="1" t="s">
        <v>9645</v>
      </c>
      <c r="G12" s="1" t="s">
        <v>1786</v>
      </c>
      <c r="H12" s="3"/>
      <c r="I12" s="3" t="s">
        <v>59</v>
      </c>
      <c r="J12" s="3" t="s">
        <v>1583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9646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9647</v>
      </c>
      <c r="B20" s="14">
        <v>423618</v>
      </c>
      <c r="C20" s="14">
        <v>423618</v>
      </c>
      <c r="D20" s="14" t="s">
        <v>9648</v>
      </c>
      <c r="E20" s="14" t="s">
        <v>5467</v>
      </c>
      <c r="F20" s="14" t="s">
        <v>9649</v>
      </c>
      <c r="G20" s="20" t="s">
        <v>2863</v>
      </c>
      <c r="H20" s="20" t="s">
        <v>9650</v>
      </c>
      <c r="I20" s="14" t="s">
        <v>88</v>
      </c>
      <c r="J20" s="14">
        <v>1</v>
      </c>
      <c r="K20" s="14">
        <v>1</v>
      </c>
      <c r="L20" s="14" t="s">
        <v>9651</v>
      </c>
      <c r="M20" s="14" t="s">
        <v>680</v>
      </c>
      <c r="N20" s="14" t="s">
        <v>9652</v>
      </c>
      <c r="O20" s="14" t="s">
        <v>9653</v>
      </c>
      <c r="P20" s="14" t="str">
        <f>HYPERLINK("https://dexscreener.com/solana/3UhxA8jBKYEhJQxG9VzNYFFGkZ5brZtWMuTvbb4rpump", "View")</f>
        <v>View</v>
      </c>
    </row>
    <row r="21" spans="1:16" x14ac:dyDescent="0.25">
      <c r="A21" s="16" t="s">
        <v>4858</v>
      </c>
      <c r="B21" s="17">
        <v>1392058</v>
      </c>
      <c r="C21" s="17">
        <v>1392058</v>
      </c>
      <c r="D21" s="17" t="s">
        <v>9654</v>
      </c>
      <c r="E21" s="17" t="s">
        <v>9655</v>
      </c>
      <c r="F21" s="17" t="s">
        <v>9656</v>
      </c>
      <c r="G21" s="21" t="s">
        <v>9657</v>
      </c>
      <c r="H21" s="21" t="s">
        <v>9658</v>
      </c>
      <c r="I21" s="17" t="s">
        <v>88</v>
      </c>
      <c r="J21" s="17">
        <v>1</v>
      </c>
      <c r="K21" s="17">
        <v>7</v>
      </c>
      <c r="L21" s="17" t="s">
        <v>9659</v>
      </c>
      <c r="M21" s="17" t="s">
        <v>1986</v>
      </c>
      <c r="N21" s="17" t="s">
        <v>9660</v>
      </c>
      <c r="O21" s="17" t="s">
        <v>4861</v>
      </c>
      <c r="P21" s="17" t="str">
        <f>HYPERLINK("https://photon-sol.tinyastro.io/en/lp/2W5pZVbUQcFdhhezzNbuwEvYK5ZYpc3yebGLkkm8pump?handle=676050794bc1b1657a56b", "View")</f>
        <v>View</v>
      </c>
    </row>
    <row r="22" spans="1:16" x14ac:dyDescent="0.25">
      <c r="A22" s="13" t="s">
        <v>9661</v>
      </c>
      <c r="B22" s="14">
        <v>1221521</v>
      </c>
      <c r="C22" s="14">
        <v>1221521</v>
      </c>
      <c r="D22" s="14" t="s">
        <v>9662</v>
      </c>
      <c r="E22" s="14" t="s">
        <v>5652</v>
      </c>
      <c r="F22" s="14" t="s">
        <v>5472</v>
      </c>
      <c r="G22" s="20" t="s">
        <v>3611</v>
      </c>
      <c r="H22" s="20" t="s">
        <v>9663</v>
      </c>
      <c r="I22" s="14" t="s">
        <v>88</v>
      </c>
      <c r="J22" s="14">
        <v>1</v>
      </c>
      <c r="K22" s="14">
        <v>1</v>
      </c>
      <c r="L22" s="14" t="s">
        <v>9664</v>
      </c>
      <c r="M22" s="14" t="s">
        <v>1448</v>
      </c>
      <c r="N22" s="14" t="s">
        <v>9665</v>
      </c>
      <c r="O22" s="14" t="s">
        <v>9666</v>
      </c>
      <c r="P22" s="14" t="str">
        <f>HYPERLINK("https://photon-sol.tinyastro.io/en/lp/D79P9ULAfjFg8WxUvroDWpe5sXz4WsiFRRQcUVtwpump?handle=676050794bc1b1657a56b", "View")</f>
        <v>View</v>
      </c>
    </row>
    <row r="23" spans="1:16" x14ac:dyDescent="0.25">
      <c r="A23" s="16" t="s">
        <v>9667</v>
      </c>
      <c r="B23" s="17">
        <v>1010119</v>
      </c>
      <c r="C23" s="17">
        <v>1010119</v>
      </c>
      <c r="D23" s="17" t="s">
        <v>9668</v>
      </c>
      <c r="E23" s="17" t="s">
        <v>9669</v>
      </c>
      <c r="F23" s="17" t="s">
        <v>9670</v>
      </c>
      <c r="G23" s="21" t="s">
        <v>9671</v>
      </c>
      <c r="H23" s="21" t="s">
        <v>9672</v>
      </c>
      <c r="I23" s="17" t="s">
        <v>88</v>
      </c>
      <c r="J23" s="17">
        <v>1</v>
      </c>
      <c r="K23" s="17">
        <v>3</v>
      </c>
      <c r="L23" s="17" t="s">
        <v>9673</v>
      </c>
      <c r="M23" s="17" t="s">
        <v>5445</v>
      </c>
      <c r="N23" s="17" t="s">
        <v>9674</v>
      </c>
      <c r="O23" s="17" t="s">
        <v>9675</v>
      </c>
      <c r="P23" s="17" t="str">
        <f>HYPERLINK("https://photon-sol.tinyastro.io/en/lp/AminyTTRX9HEMBNFdB7afYPUjZQJ4tpAGvv1VRXzpump?handle=676050794bc1b1657a56b", "View")</f>
        <v>View</v>
      </c>
    </row>
    <row r="24" spans="1:16" x14ac:dyDescent="0.25">
      <c r="A24" s="13" t="s">
        <v>9667</v>
      </c>
      <c r="B24" s="14">
        <v>2707046</v>
      </c>
      <c r="C24" s="14">
        <v>2707046</v>
      </c>
      <c r="D24" s="14" t="s">
        <v>9662</v>
      </c>
      <c r="E24" s="14" t="s">
        <v>9676</v>
      </c>
      <c r="F24" s="14" t="s">
        <v>3510</v>
      </c>
      <c r="G24" s="20" t="s">
        <v>4101</v>
      </c>
      <c r="H24" s="20" t="s">
        <v>9677</v>
      </c>
      <c r="I24" s="14" t="s">
        <v>88</v>
      </c>
      <c r="J24" s="14">
        <v>1</v>
      </c>
      <c r="K24" s="14">
        <v>1</v>
      </c>
      <c r="L24" s="14" t="s">
        <v>9678</v>
      </c>
      <c r="M24" s="19" t="s">
        <v>3231</v>
      </c>
      <c r="N24" s="14" t="s">
        <v>9679</v>
      </c>
      <c r="O24" s="14" t="s">
        <v>9680</v>
      </c>
      <c r="P24" s="14" t="str">
        <f>HYPERLINK("https://photon-sol.tinyastro.io/en/lp/76NV425Uwe7Phw9pBXkAv65Mf4VVp87UHY8bGQ7qpump?handle=676050794bc1b1657a56b", "View")</f>
        <v>View</v>
      </c>
    </row>
    <row r="25" spans="1:16" x14ac:dyDescent="0.25">
      <c r="A25" s="16" t="s">
        <v>9681</v>
      </c>
      <c r="B25" s="17">
        <v>232670</v>
      </c>
      <c r="C25" s="17">
        <v>232670</v>
      </c>
      <c r="D25" s="17" t="s">
        <v>9682</v>
      </c>
      <c r="E25" s="17" t="s">
        <v>5467</v>
      </c>
      <c r="F25" s="17" t="s">
        <v>4216</v>
      </c>
      <c r="G25" s="21" t="s">
        <v>9683</v>
      </c>
      <c r="H25" s="21" t="s">
        <v>9684</v>
      </c>
      <c r="I25" s="17" t="s">
        <v>88</v>
      </c>
      <c r="J25" s="17">
        <v>1</v>
      </c>
      <c r="K25" s="17">
        <v>2</v>
      </c>
      <c r="L25" s="17" t="s">
        <v>9685</v>
      </c>
      <c r="M25" s="17" t="s">
        <v>1642</v>
      </c>
      <c r="N25" s="17" t="s">
        <v>9686</v>
      </c>
      <c r="O25" s="17" t="s">
        <v>9687</v>
      </c>
      <c r="P25" s="17" t="str">
        <f>HYPERLINK("https://dexscreener.com/solana/J2XzFTMW4Pk72ktR3EScp6tjK27vE7oXuEzgykLdpump", "View")</f>
        <v>View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8DCA-94CE-4337-9166-3DAED69F05A0}">
  <dimension ref="A1:P30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HYPERLINK("https://gmgn.ai/sol/address/H9AcEk9znmS8ZHejkZyR8CZre3ca74PdAF34yNYPVFuy", "GMGN")</f>
        <v>GMGN</v>
      </c>
    </row>
    <row r="2" spans="1:14" x14ac:dyDescent="0.25">
      <c r="A2" s="3" t="s">
        <v>9688</v>
      </c>
      <c r="B2" s="3" t="s">
        <v>9689</v>
      </c>
      <c r="C2" s="3" t="s">
        <v>8323</v>
      </c>
      <c r="D2" s="3" t="s">
        <v>9690</v>
      </c>
      <c r="E2" s="3" t="s">
        <v>9691</v>
      </c>
      <c r="F2" s="3" t="s">
        <v>18</v>
      </c>
      <c r="G2" s="3" t="s">
        <v>18</v>
      </c>
      <c r="H2" s="3">
        <v>289</v>
      </c>
      <c r="I2" s="3">
        <v>83</v>
      </c>
      <c r="J2" s="3" t="s">
        <v>9692</v>
      </c>
      <c r="K2" s="3" t="s">
        <v>9693</v>
      </c>
      <c r="L2" s="3">
        <v>0</v>
      </c>
      <c r="M2" s="3">
        <v>140</v>
      </c>
      <c r="N2" s="3" t="str">
        <f>HYPERLINK("https://solscan.io/account/H9AcEk9znmS8ZHejkZyR8CZre3ca74PdAF34yNYPVFuy",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HYPERLINK("https://birdeye.so/profile/H9AcEk9znmS8ZHejkZyR8CZre3ca74PdAF34yNYPVFuy", "Birdeye")</f>
        <v>Birdeye</v>
      </c>
    </row>
    <row r="4" spans="1:14" x14ac:dyDescent="0.25">
      <c r="A4" s="1" t="s">
        <v>25</v>
      </c>
      <c r="B4" s="3" t="s">
        <v>8457</v>
      </c>
      <c r="C4" s="3"/>
      <c r="D4" s="3" t="s">
        <v>4271</v>
      </c>
      <c r="E4" s="3" t="s">
        <v>9694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9695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10</v>
      </c>
      <c r="C10" s="1">
        <v>21</v>
      </c>
      <c r="D10" s="1">
        <v>6</v>
      </c>
      <c r="E10" s="1">
        <v>9</v>
      </c>
      <c r="F10" s="1">
        <v>15</v>
      </c>
      <c r="G10" s="1">
        <v>228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9696</v>
      </c>
      <c r="C11" s="1" t="s">
        <v>9697</v>
      </c>
      <c r="D11" s="1" t="s">
        <v>9698</v>
      </c>
      <c r="E11" s="1" t="s">
        <v>9699</v>
      </c>
      <c r="F11" s="1" t="s">
        <v>9700</v>
      </c>
      <c r="G11" s="1" t="s">
        <v>9701</v>
      </c>
      <c r="H11" s="3"/>
      <c r="I11" s="3" t="s">
        <v>50</v>
      </c>
      <c r="J11" s="3" t="s">
        <v>4368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9702</v>
      </c>
      <c r="C12" s="1" t="s">
        <v>9703</v>
      </c>
      <c r="D12" s="1" t="s">
        <v>9704</v>
      </c>
      <c r="E12" s="1" t="s">
        <v>7498</v>
      </c>
      <c r="F12" s="1" t="s">
        <v>9705</v>
      </c>
      <c r="G12" s="1" t="s">
        <v>9706</v>
      </c>
      <c r="H12" s="3"/>
      <c r="I12" s="3" t="s">
        <v>59</v>
      </c>
      <c r="J12" s="3" t="s">
        <v>9707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4359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2021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9708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9709</v>
      </c>
      <c r="B20" s="14">
        <v>2259955</v>
      </c>
      <c r="C20" s="14">
        <v>2033959</v>
      </c>
      <c r="D20" s="14" t="s">
        <v>864</v>
      </c>
      <c r="E20" s="14" t="s">
        <v>9710</v>
      </c>
      <c r="F20" s="14" t="s">
        <v>2347</v>
      </c>
      <c r="G20" s="15" t="s">
        <v>9711</v>
      </c>
      <c r="H20" s="15" t="s">
        <v>9712</v>
      </c>
      <c r="I20" s="14" t="s">
        <v>88</v>
      </c>
      <c r="J20" s="14">
        <v>1</v>
      </c>
      <c r="K20" s="14">
        <v>1</v>
      </c>
      <c r="L20" s="14" t="s">
        <v>9713</v>
      </c>
      <c r="M20" s="14" t="s">
        <v>3695</v>
      </c>
      <c r="N20" s="14" t="s">
        <v>9714</v>
      </c>
      <c r="O20" s="14" t="s">
        <v>9715</v>
      </c>
      <c r="P20" s="14" t="str">
        <f>HYPERLINK("https://dexscreener.com/solana/DLhsuLGQMpfq4mZ6R5ng1Y8dmgZjTZLLUErwkKChdjBw", "View")</f>
        <v>View</v>
      </c>
    </row>
    <row r="21" spans="1:16" x14ac:dyDescent="0.25">
      <c r="A21" s="16" t="s">
        <v>9716</v>
      </c>
      <c r="B21" s="17">
        <v>2367066</v>
      </c>
      <c r="C21" s="17">
        <v>2130359</v>
      </c>
      <c r="D21" s="17" t="s">
        <v>864</v>
      </c>
      <c r="E21" s="17" t="s">
        <v>9710</v>
      </c>
      <c r="F21" s="17" t="s">
        <v>2347</v>
      </c>
      <c r="G21" s="15" t="s">
        <v>9711</v>
      </c>
      <c r="H21" s="15" t="s">
        <v>9717</v>
      </c>
      <c r="I21" s="17" t="s">
        <v>88</v>
      </c>
      <c r="J21" s="17">
        <v>1</v>
      </c>
      <c r="K21" s="17">
        <v>1</v>
      </c>
      <c r="L21" s="17" t="s">
        <v>9718</v>
      </c>
      <c r="M21" s="17" t="s">
        <v>132</v>
      </c>
      <c r="N21" s="17" t="s">
        <v>5484</v>
      </c>
      <c r="O21" s="17" t="s">
        <v>9719</v>
      </c>
      <c r="P21" s="17" t="str">
        <f>HYPERLINK("https://dexscreener.com/solana/F5SJSDyYbCdHPrnzGnQwzTeUkVMBgV4mp1WnifJ4pump", "View")</f>
        <v>View</v>
      </c>
    </row>
    <row r="22" spans="1:16" x14ac:dyDescent="0.25">
      <c r="A22" s="13" t="s">
        <v>9720</v>
      </c>
      <c r="B22" s="14">
        <v>941651</v>
      </c>
      <c r="C22" s="14">
        <v>141247</v>
      </c>
      <c r="D22" s="14" t="s">
        <v>864</v>
      </c>
      <c r="E22" s="14" t="s">
        <v>9710</v>
      </c>
      <c r="F22" s="14" t="s">
        <v>9721</v>
      </c>
      <c r="G22" s="20" t="s">
        <v>9722</v>
      </c>
      <c r="H22" s="20" t="s">
        <v>9723</v>
      </c>
      <c r="I22" s="14" t="s">
        <v>88</v>
      </c>
      <c r="J22" s="14">
        <v>1</v>
      </c>
      <c r="K22" s="14">
        <v>1</v>
      </c>
      <c r="L22" s="14" t="s">
        <v>9724</v>
      </c>
      <c r="M22" s="14" t="s">
        <v>1809</v>
      </c>
      <c r="N22" s="14" t="s">
        <v>9725</v>
      </c>
      <c r="O22" s="14" t="s">
        <v>9726</v>
      </c>
      <c r="P22" s="14" t="str">
        <f>HYPERLINK("https://dexscreener.com/solana/2HQNZnHC5uz9duy3YMWAp75KXQ3nSCymeJR7Yh3Mpump", "View")</f>
        <v>View</v>
      </c>
    </row>
    <row r="23" spans="1:16" x14ac:dyDescent="0.25">
      <c r="A23" s="16" t="s">
        <v>9727</v>
      </c>
      <c r="B23" s="17">
        <v>1956234</v>
      </c>
      <c r="C23" s="17">
        <v>0</v>
      </c>
      <c r="D23" s="17" t="s">
        <v>864</v>
      </c>
      <c r="E23" s="17" t="s">
        <v>9710</v>
      </c>
      <c r="F23" s="17" t="s">
        <v>96</v>
      </c>
      <c r="G23" s="18" t="s">
        <v>9728</v>
      </c>
      <c r="H23" s="18" t="s">
        <v>98</v>
      </c>
      <c r="I23" s="17" t="s">
        <v>9729</v>
      </c>
      <c r="J23" s="17">
        <v>1</v>
      </c>
      <c r="K23" s="17">
        <v>0</v>
      </c>
      <c r="L23" s="17" t="s">
        <v>9730</v>
      </c>
      <c r="M23" s="19" t="s">
        <v>101</v>
      </c>
      <c r="N23" s="17" t="s">
        <v>507</v>
      </c>
      <c r="O23" s="17" t="s">
        <v>9731</v>
      </c>
      <c r="P23" s="17" t="str">
        <f>HYPERLINK("https://dexscreener.com/solana/J12B5NaWzCn57tr2UKdvVnYbiAN5iH6zxsxD2GnHmKcj", "View")</f>
        <v>View</v>
      </c>
    </row>
    <row r="24" spans="1:16" x14ac:dyDescent="0.25">
      <c r="A24" s="13" t="s">
        <v>9732</v>
      </c>
      <c r="B24" s="14">
        <v>3646089</v>
      </c>
      <c r="C24" s="14">
        <v>0</v>
      </c>
      <c r="D24" s="14" t="s">
        <v>864</v>
      </c>
      <c r="E24" s="14" t="s">
        <v>9710</v>
      </c>
      <c r="F24" s="14" t="s">
        <v>96</v>
      </c>
      <c r="G24" s="18" t="s">
        <v>9728</v>
      </c>
      <c r="H24" s="18" t="s">
        <v>98</v>
      </c>
      <c r="I24" s="14" t="s">
        <v>9733</v>
      </c>
      <c r="J24" s="14">
        <v>1</v>
      </c>
      <c r="K24" s="14">
        <v>0</v>
      </c>
      <c r="L24" s="14" t="s">
        <v>9734</v>
      </c>
      <c r="M24" s="19" t="s">
        <v>101</v>
      </c>
      <c r="N24" s="14" t="s">
        <v>9735</v>
      </c>
      <c r="O24" s="14" t="s">
        <v>9736</v>
      </c>
      <c r="P24" s="14" t="str">
        <f>HYPERLINK("https://dexscreener.com/solana/4dLCbmG6LRrW4DUgDnpuctayzzQVp3urQqBnLQSApump", "View")</f>
        <v>View</v>
      </c>
    </row>
    <row r="25" spans="1:16" x14ac:dyDescent="0.25">
      <c r="A25" s="16" t="s">
        <v>9737</v>
      </c>
      <c r="B25" s="17">
        <v>1835620</v>
      </c>
      <c r="C25" s="17">
        <v>1652057</v>
      </c>
      <c r="D25" s="17" t="s">
        <v>864</v>
      </c>
      <c r="E25" s="17" t="s">
        <v>9710</v>
      </c>
      <c r="F25" s="17" t="s">
        <v>3890</v>
      </c>
      <c r="G25" s="15" t="s">
        <v>9738</v>
      </c>
      <c r="H25" s="15" t="s">
        <v>9739</v>
      </c>
      <c r="I25" s="17" t="s">
        <v>88</v>
      </c>
      <c r="J25" s="17">
        <v>1</v>
      </c>
      <c r="K25" s="17">
        <v>1</v>
      </c>
      <c r="L25" s="17" t="s">
        <v>9740</v>
      </c>
      <c r="M25" s="17" t="s">
        <v>1714</v>
      </c>
      <c r="N25" s="17" t="s">
        <v>9741</v>
      </c>
      <c r="O25" s="17" t="s">
        <v>9742</v>
      </c>
      <c r="P25" s="17" t="str">
        <f>HYPERLINK("https://dexscreener.com/solana/m36WDe5v164ZSGz9s2bfBikiWGXzoT9ej8r9xrZpump", "View")</f>
        <v>View</v>
      </c>
    </row>
    <row r="26" spans="1:16" x14ac:dyDescent="0.25">
      <c r="A26" s="13" t="s">
        <v>2107</v>
      </c>
      <c r="B26" s="14">
        <v>1093839</v>
      </c>
      <c r="C26" s="14">
        <v>0</v>
      </c>
      <c r="D26" s="14" t="s">
        <v>864</v>
      </c>
      <c r="E26" s="14" t="s">
        <v>9710</v>
      </c>
      <c r="F26" s="14" t="s">
        <v>96</v>
      </c>
      <c r="G26" s="18" t="s">
        <v>9728</v>
      </c>
      <c r="H26" s="18" t="s">
        <v>98</v>
      </c>
      <c r="I26" s="14" t="s">
        <v>9743</v>
      </c>
      <c r="J26" s="14">
        <v>1</v>
      </c>
      <c r="K26" s="14">
        <v>0</v>
      </c>
      <c r="L26" s="14" t="s">
        <v>9744</v>
      </c>
      <c r="M26" s="19" t="s">
        <v>101</v>
      </c>
      <c r="N26" s="14" t="s">
        <v>9745</v>
      </c>
      <c r="O26" s="14" t="s">
        <v>2115</v>
      </c>
      <c r="P26" s="14" t="str">
        <f>HYPERLINK("https://dexscreener.com/solana/FjqmRY2wjdBCJ4MdhtZctKGYWG5q9k9zNHa7kguQpump", "View")</f>
        <v>View</v>
      </c>
    </row>
    <row r="27" spans="1:16" x14ac:dyDescent="0.25">
      <c r="A27" s="16" t="s">
        <v>153</v>
      </c>
      <c r="B27" s="17">
        <v>418404</v>
      </c>
      <c r="C27" s="17">
        <v>376563</v>
      </c>
      <c r="D27" s="17" t="s">
        <v>864</v>
      </c>
      <c r="E27" s="17" t="s">
        <v>9710</v>
      </c>
      <c r="F27" s="17" t="s">
        <v>8306</v>
      </c>
      <c r="G27" s="15" t="s">
        <v>9746</v>
      </c>
      <c r="H27" s="15" t="s">
        <v>9747</v>
      </c>
      <c r="I27" s="17" t="s">
        <v>88</v>
      </c>
      <c r="J27" s="17">
        <v>1</v>
      </c>
      <c r="K27" s="17">
        <v>1</v>
      </c>
      <c r="L27" s="17" t="s">
        <v>9748</v>
      </c>
      <c r="M27" s="17" t="s">
        <v>4297</v>
      </c>
      <c r="N27" s="17" t="s">
        <v>9749</v>
      </c>
      <c r="O27" s="17" t="s">
        <v>162</v>
      </c>
      <c r="P27" s="17" t="str">
        <f>HYPERLINK("https://dexscreener.com/solana/4sAPg3M6bEHrNinqfvfdSTAzCvmaG5Ao799bAt3Bpump", "View")</f>
        <v>View</v>
      </c>
    </row>
    <row r="28" spans="1:16" x14ac:dyDescent="0.25">
      <c r="A28" s="13" t="s">
        <v>9750</v>
      </c>
      <c r="B28" s="14">
        <v>296688</v>
      </c>
      <c r="C28" s="14">
        <v>0</v>
      </c>
      <c r="D28" s="14" t="s">
        <v>864</v>
      </c>
      <c r="E28" s="14" t="s">
        <v>9710</v>
      </c>
      <c r="F28" s="14" t="s">
        <v>96</v>
      </c>
      <c r="G28" s="18" t="s">
        <v>9728</v>
      </c>
      <c r="H28" s="18" t="s">
        <v>98</v>
      </c>
      <c r="I28" s="14" t="s">
        <v>9751</v>
      </c>
      <c r="J28" s="14">
        <v>1</v>
      </c>
      <c r="K28" s="14">
        <v>0</v>
      </c>
      <c r="L28" s="14" t="s">
        <v>9752</v>
      </c>
      <c r="M28" s="19" t="s">
        <v>101</v>
      </c>
      <c r="N28" s="14" t="s">
        <v>9753</v>
      </c>
      <c r="O28" s="14" t="s">
        <v>9754</v>
      </c>
      <c r="P28" s="14" t="str">
        <f>HYPERLINK("https://dexscreener.com/solana/BjjvKX5k7gQoGRmvQAA5WMr7EkQ2cirGTSGxAznDpump", "View")</f>
        <v>View</v>
      </c>
    </row>
    <row r="29" spans="1:16" x14ac:dyDescent="0.25">
      <c r="A29" s="16" t="s">
        <v>1699</v>
      </c>
      <c r="B29" s="17">
        <v>1533532</v>
      </c>
      <c r="C29" s="17">
        <v>1380179</v>
      </c>
      <c r="D29" s="17" t="s">
        <v>864</v>
      </c>
      <c r="E29" s="17" t="s">
        <v>9710</v>
      </c>
      <c r="F29" s="17" t="s">
        <v>5861</v>
      </c>
      <c r="G29" s="15" t="s">
        <v>9755</v>
      </c>
      <c r="H29" s="15" t="s">
        <v>354</v>
      </c>
      <c r="I29" s="17" t="s">
        <v>88</v>
      </c>
      <c r="J29" s="17">
        <v>1</v>
      </c>
      <c r="K29" s="17">
        <v>1</v>
      </c>
      <c r="L29" s="17" t="s">
        <v>9756</v>
      </c>
      <c r="M29" s="17" t="s">
        <v>3462</v>
      </c>
      <c r="N29" s="17" t="s">
        <v>9757</v>
      </c>
      <c r="O29" s="17" t="s">
        <v>2161</v>
      </c>
      <c r="P29" s="17" t="str">
        <f>HYPERLINK("https://dexscreener.com/solana/4FieKJu1twj631v1NbDdpocqWS72Up36N3Lf3C1dpump", "View")</f>
        <v>View</v>
      </c>
    </row>
    <row r="30" spans="1:16" x14ac:dyDescent="0.25">
      <c r="A30" s="13" t="s">
        <v>9758</v>
      </c>
      <c r="B30" s="14">
        <v>2728850</v>
      </c>
      <c r="C30" s="14">
        <v>0</v>
      </c>
      <c r="D30" s="14" t="s">
        <v>864</v>
      </c>
      <c r="E30" s="14" t="s">
        <v>9710</v>
      </c>
      <c r="F30" s="14" t="s">
        <v>96</v>
      </c>
      <c r="G30" s="18" t="s">
        <v>9728</v>
      </c>
      <c r="H30" s="18" t="s">
        <v>98</v>
      </c>
      <c r="I30" s="14" t="s">
        <v>9759</v>
      </c>
      <c r="J30" s="14">
        <v>1</v>
      </c>
      <c r="K30" s="14">
        <v>0</v>
      </c>
      <c r="L30" s="14" t="s">
        <v>9760</v>
      </c>
      <c r="M30" s="19" t="s">
        <v>101</v>
      </c>
      <c r="N30" s="14" t="s">
        <v>9761</v>
      </c>
      <c r="O30" s="14" t="s">
        <v>9762</v>
      </c>
      <c r="P30" s="14" t="str">
        <f>HYPERLINK("https://dexscreener.com/solana/3sgPgFo9RfvMufVKXpM7KDNiQnF4XsNN8JzW6Efypump", "View")</f>
        <v>View</v>
      </c>
    </row>
    <row r="31" spans="1:16" x14ac:dyDescent="0.25">
      <c r="A31" s="16" t="s">
        <v>9763</v>
      </c>
      <c r="B31" s="17">
        <v>971464</v>
      </c>
      <c r="C31" s="17">
        <v>874317</v>
      </c>
      <c r="D31" s="17" t="s">
        <v>864</v>
      </c>
      <c r="E31" s="17" t="s">
        <v>9710</v>
      </c>
      <c r="F31" s="17" t="s">
        <v>5699</v>
      </c>
      <c r="G31" s="15" t="s">
        <v>9764</v>
      </c>
      <c r="H31" s="15" t="s">
        <v>9765</v>
      </c>
      <c r="I31" s="17" t="s">
        <v>88</v>
      </c>
      <c r="J31" s="17">
        <v>1</v>
      </c>
      <c r="K31" s="17">
        <v>1</v>
      </c>
      <c r="L31" s="17" t="s">
        <v>9766</v>
      </c>
      <c r="M31" s="17" t="s">
        <v>117</v>
      </c>
      <c r="N31" s="17" t="s">
        <v>9767</v>
      </c>
      <c r="O31" s="17" t="s">
        <v>9768</v>
      </c>
      <c r="P31" s="17" t="str">
        <f>HYPERLINK("https://dexscreener.com/solana/S3K1pSwyavRze7uQksNHp4N9w9BqncvFq8SncQ5pump", "View")</f>
        <v>View</v>
      </c>
    </row>
    <row r="32" spans="1:16" x14ac:dyDescent="0.25">
      <c r="A32" s="13" t="s">
        <v>9769</v>
      </c>
      <c r="B32" s="14">
        <v>914786</v>
      </c>
      <c r="C32" s="14">
        <v>137217</v>
      </c>
      <c r="D32" s="14" t="s">
        <v>864</v>
      </c>
      <c r="E32" s="14" t="s">
        <v>9710</v>
      </c>
      <c r="F32" s="14" t="s">
        <v>3177</v>
      </c>
      <c r="G32" s="20" t="s">
        <v>7931</v>
      </c>
      <c r="H32" s="20" t="s">
        <v>9770</v>
      </c>
      <c r="I32" s="14" t="s">
        <v>88</v>
      </c>
      <c r="J32" s="14">
        <v>1</v>
      </c>
      <c r="K32" s="14">
        <v>1</v>
      </c>
      <c r="L32" s="14" t="s">
        <v>9771</v>
      </c>
      <c r="M32" s="14" t="s">
        <v>5729</v>
      </c>
      <c r="N32" s="14" t="s">
        <v>9772</v>
      </c>
      <c r="O32" s="14" t="s">
        <v>9773</v>
      </c>
      <c r="P32" s="14" t="str">
        <f>HYPERLINK("https://dexscreener.com/solana/8YYrkf1hvL5aCacfLXDvhVfjWZ7ce5NdVt4iLPxYsmdh", "View")</f>
        <v>View</v>
      </c>
    </row>
    <row r="33" spans="1:16" x14ac:dyDescent="0.25">
      <c r="A33" s="16" t="s">
        <v>1755</v>
      </c>
      <c r="B33" s="17">
        <v>1465375</v>
      </c>
      <c r="C33" s="17">
        <v>1318837</v>
      </c>
      <c r="D33" s="17" t="s">
        <v>864</v>
      </c>
      <c r="E33" s="17" t="s">
        <v>9710</v>
      </c>
      <c r="F33" s="17" t="s">
        <v>5699</v>
      </c>
      <c r="G33" s="15" t="s">
        <v>9764</v>
      </c>
      <c r="H33" s="15" t="s">
        <v>9774</v>
      </c>
      <c r="I33" s="17" t="s">
        <v>88</v>
      </c>
      <c r="J33" s="17">
        <v>1</v>
      </c>
      <c r="K33" s="17">
        <v>1</v>
      </c>
      <c r="L33" s="17" t="s">
        <v>9775</v>
      </c>
      <c r="M33" s="17" t="s">
        <v>4297</v>
      </c>
      <c r="N33" s="17" t="s">
        <v>9776</v>
      </c>
      <c r="O33" s="17" t="s">
        <v>9777</v>
      </c>
      <c r="P33" s="17" t="str">
        <f>HYPERLINK("https://dexscreener.com/solana/E83nfay8WhS9bKAQEdBbCi73XvSwmLeWGXUs5qHupump", "View")</f>
        <v>View</v>
      </c>
    </row>
    <row r="34" spans="1:16" x14ac:dyDescent="0.25">
      <c r="A34" s="13" t="s">
        <v>1621</v>
      </c>
      <c r="B34" s="14">
        <v>941002</v>
      </c>
      <c r="C34" s="14">
        <v>0</v>
      </c>
      <c r="D34" s="14" t="s">
        <v>864</v>
      </c>
      <c r="E34" s="14" t="s">
        <v>9710</v>
      </c>
      <c r="F34" s="14" t="s">
        <v>96</v>
      </c>
      <c r="G34" s="18" t="s">
        <v>9728</v>
      </c>
      <c r="H34" s="18" t="s">
        <v>98</v>
      </c>
      <c r="I34" s="14" t="s">
        <v>9778</v>
      </c>
      <c r="J34" s="14">
        <v>1</v>
      </c>
      <c r="K34" s="14">
        <v>0</v>
      </c>
      <c r="L34" s="14" t="s">
        <v>9779</v>
      </c>
      <c r="M34" s="19" t="s">
        <v>101</v>
      </c>
      <c r="N34" s="14" t="s">
        <v>9780</v>
      </c>
      <c r="O34" s="14" t="s">
        <v>1627</v>
      </c>
      <c r="P34" s="14" t="str">
        <f>HYPERLINK("https://dexscreener.com/solana/Djv9h45qTD1Bf9KrePGDecHB9ynreMHssDTQkLrupump", "View")</f>
        <v>View</v>
      </c>
    </row>
    <row r="35" spans="1:16" x14ac:dyDescent="0.25">
      <c r="A35" s="16" t="s">
        <v>9781</v>
      </c>
      <c r="B35" s="17">
        <v>11646746</v>
      </c>
      <c r="C35" s="17">
        <v>0</v>
      </c>
      <c r="D35" s="17" t="s">
        <v>864</v>
      </c>
      <c r="E35" s="17" t="s">
        <v>9710</v>
      </c>
      <c r="F35" s="17" t="s">
        <v>96</v>
      </c>
      <c r="G35" s="18" t="s">
        <v>9728</v>
      </c>
      <c r="H35" s="18" t="s">
        <v>98</v>
      </c>
      <c r="I35" s="17" t="s">
        <v>9782</v>
      </c>
      <c r="J35" s="17">
        <v>1</v>
      </c>
      <c r="K35" s="17">
        <v>0</v>
      </c>
      <c r="L35" s="17" t="s">
        <v>9783</v>
      </c>
      <c r="M35" s="19" t="s">
        <v>101</v>
      </c>
      <c r="N35" s="17" t="s">
        <v>955</v>
      </c>
      <c r="O35" s="17" t="s">
        <v>9784</v>
      </c>
      <c r="P35" s="17" t="str">
        <f>HYPERLINK("https://dexscreener.com/solana/BhPUUAJKbEx4VaikuiPTvZcokZYnBKGoKuzTJrAJpump", "View")</f>
        <v>View</v>
      </c>
    </row>
    <row r="36" spans="1:16" x14ac:dyDescent="0.25">
      <c r="A36" s="13" t="s">
        <v>2389</v>
      </c>
      <c r="B36" s="14">
        <v>1374230</v>
      </c>
      <c r="C36" s="14">
        <v>1236807</v>
      </c>
      <c r="D36" s="14" t="s">
        <v>864</v>
      </c>
      <c r="E36" s="14" t="s">
        <v>9710</v>
      </c>
      <c r="F36" s="14" t="s">
        <v>4706</v>
      </c>
      <c r="G36" s="15" t="s">
        <v>9785</v>
      </c>
      <c r="H36" s="15" t="s">
        <v>9786</v>
      </c>
      <c r="I36" s="14" t="s">
        <v>88</v>
      </c>
      <c r="J36" s="14">
        <v>1</v>
      </c>
      <c r="K36" s="14">
        <v>1</v>
      </c>
      <c r="L36" s="14" t="s">
        <v>9787</v>
      </c>
      <c r="M36" s="14" t="s">
        <v>745</v>
      </c>
      <c r="N36" s="14" t="s">
        <v>9788</v>
      </c>
      <c r="O36" s="14" t="s">
        <v>2396</v>
      </c>
      <c r="P36" s="14" t="str">
        <f>HYPERLINK("https://dexscreener.com/solana/GTKYRw79jMCdnyHQjeFJHZChbRSKHwUZfYY8E5acpump", "View")</f>
        <v>View</v>
      </c>
    </row>
    <row r="37" spans="1:16" x14ac:dyDescent="0.25">
      <c r="A37" s="16" t="s">
        <v>9789</v>
      </c>
      <c r="B37" s="17">
        <v>1303666</v>
      </c>
      <c r="C37" s="17">
        <v>0</v>
      </c>
      <c r="D37" s="17" t="s">
        <v>864</v>
      </c>
      <c r="E37" s="17" t="s">
        <v>9710</v>
      </c>
      <c r="F37" s="17" t="s">
        <v>96</v>
      </c>
      <c r="G37" s="18" t="s">
        <v>9728</v>
      </c>
      <c r="H37" s="18" t="s">
        <v>98</v>
      </c>
      <c r="I37" s="17" t="s">
        <v>9790</v>
      </c>
      <c r="J37" s="17">
        <v>1</v>
      </c>
      <c r="K37" s="17">
        <v>0</v>
      </c>
      <c r="L37" s="17" t="s">
        <v>9791</v>
      </c>
      <c r="M37" s="19" t="s">
        <v>101</v>
      </c>
      <c r="N37" s="17" t="s">
        <v>9792</v>
      </c>
      <c r="O37" s="17" t="s">
        <v>9793</v>
      </c>
      <c r="P37" s="17" t="str">
        <f>HYPERLINK("https://dexscreener.com/solana/BDF9vxbCbsRZS2DBCSgBQvb45uA2wjKmTHNXcfK7pump", "View")</f>
        <v>View</v>
      </c>
    </row>
    <row r="38" spans="1:16" x14ac:dyDescent="0.25">
      <c r="A38" s="13" t="s">
        <v>9511</v>
      </c>
      <c r="B38" s="14">
        <v>772600</v>
      </c>
      <c r="C38" s="14">
        <v>0</v>
      </c>
      <c r="D38" s="14" t="s">
        <v>864</v>
      </c>
      <c r="E38" s="14" t="s">
        <v>9710</v>
      </c>
      <c r="F38" s="14" t="s">
        <v>96</v>
      </c>
      <c r="G38" s="18" t="s">
        <v>9728</v>
      </c>
      <c r="H38" s="18" t="s">
        <v>98</v>
      </c>
      <c r="I38" s="14" t="s">
        <v>9794</v>
      </c>
      <c r="J38" s="14">
        <v>1</v>
      </c>
      <c r="K38" s="14">
        <v>0</v>
      </c>
      <c r="L38" s="14" t="s">
        <v>9795</v>
      </c>
      <c r="M38" s="19" t="s">
        <v>101</v>
      </c>
      <c r="N38" s="14" t="s">
        <v>9796</v>
      </c>
      <c r="O38" s="14" t="s">
        <v>9516</v>
      </c>
      <c r="P38" s="14" t="str">
        <f>HYPERLINK("https://dexscreener.com/solana/4bj1v8h1AdRiLvpUBTzPk1pKDCB6eSTFyZ9G1c8g8ayE", "View")</f>
        <v>View</v>
      </c>
    </row>
    <row r="39" spans="1:16" x14ac:dyDescent="0.25">
      <c r="A39" s="16" t="s">
        <v>199</v>
      </c>
      <c r="B39" s="17">
        <v>301992</v>
      </c>
      <c r="C39" s="17">
        <v>271792</v>
      </c>
      <c r="D39" s="17" t="s">
        <v>864</v>
      </c>
      <c r="E39" s="17" t="s">
        <v>9710</v>
      </c>
      <c r="F39" s="17" t="s">
        <v>3316</v>
      </c>
      <c r="G39" s="15" t="s">
        <v>9474</v>
      </c>
      <c r="H39" s="15" t="s">
        <v>9797</v>
      </c>
      <c r="I39" s="17" t="s">
        <v>88</v>
      </c>
      <c r="J39" s="17">
        <v>1</v>
      </c>
      <c r="K39" s="17">
        <v>1</v>
      </c>
      <c r="L39" s="17" t="s">
        <v>9798</v>
      </c>
      <c r="M39" s="17" t="s">
        <v>745</v>
      </c>
      <c r="N39" s="17" t="s">
        <v>9799</v>
      </c>
      <c r="O39" s="17" t="s">
        <v>204</v>
      </c>
      <c r="P39" s="17" t="str">
        <f>HYPERLINK("https://dexscreener.com/solana/FLayaUPfFxmC1Vz3i4ebKT9uwEVv4ribyCqENnQ9pump", "View")</f>
        <v>View</v>
      </c>
    </row>
    <row r="40" spans="1:16" x14ac:dyDescent="0.25">
      <c r="A40" s="13" t="s">
        <v>4788</v>
      </c>
      <c r="B40" s="14">
        <v>4221201</v>
      </c>
      <c r="C40" s="14">
        <v>0</v>
      </c>
      <c r="D40" s="14" t="s">
        <v>864</v>
      </c>
      <c r="E40" s="14" t="s">
        <v>9710</v>
      </c>
      <c r="F40" s="14" t="s">
        <v>96</v>
      </c>
      <c r="G40" s="18" t="s">
        <v>9728</v>
      </c>
      <c r="H40" s="18" t="s">
        <v>98</v>
      </c>
      <c r="I40" s="14" t="s">
        <v>9800</v>
      </c>
      <c r="J40" s="14">
        <v>1</v>
      </c>
      <c r="K40" s="14">
        <v>0</v>
      </c>
      <c r="L40" s="14" t="s">
        <v>9801</v>
      </c>
      <c r="M40" s="19" t="s">
        <v>101</v>
      </c>
      <c r="N40" s="14" t="s">
        <v>7104</v>
      </c>
      <c r="O40" s="14" t="s">
        <v>4792</v>
      </c>
      <c r="P40" s="14" t="str">
        <f>HYPERLINK("https://dexscreener.com/solana/2CtwtX2A3jXgxG8WFJThQiNZpHzvqiCVwNU4za9fWH23", "View")</f>
        <v>View</v>
      </c>
    </row>
    <row r="41" spans="1:16" x14ac:dyDescent="0.25">
      <c r="A41" s="16" t="s">
        <v>4788</v>
      </c>
      <c r="B41" s="17">
        <v>3332238</v>
      </c>
      <c r="C41" s="17">
        <v>0</v>
      </c>
      <c r="D41" s="17" t="s">
        <v>864</v>
      </c>
      <c r="E41" s="17" t="s">
        <v>9710</v>
      </c>
      <c r="F41" s="17" t="s">
        <v>96</v>
      </c>
      <c r="G41" s="18" t="s">
        <v>9728</v>
      </c>
      <c r="H41" s="18" t="s">
        <v>98</v>
      </c>
      <c r="I41" s="17" t="s">
        <v>9802</v>
      </c>
      <c r="J41" s="17">
        <v>1</v>
      </c>
      <c r="K41" s="17">
        <v>0</v>
      </c>
      <c r="L41" s="17" t="s">
        <v>9803</v>
      </c>
      <c r="M41" s="19" t="s">
        <v>101</v>
      </c>
      <c r="N41" s="17" t="s">
        <v>9804</v>
      </c>
      <c r="O41" s="17" t="s">
        <v>9805</v>
      </c>
      <c r="P41" s="17" t="str">
        <f>HYPERLINK("https://dexscreener.com/solana/7595tbPqDXijgZ3q2raR9aS311agcokwAJ21aczVpump", "View")</f>
        <v>View</v>
      </c>
    </row>
    <row r="42" spans="1:16" x14ac:dyDescent="0.25">
      <c r="A42" s="13" t="s">
        <v>199</v>
      </c>
      <c r="B42" s="14">
        <v>876805</v>
      </c>
      <c r="C42" s="14">
        <v>789124</v>
      </c>
      <c r="D42" s="14" t="s">
        <v>864</v>
      </c>
      <c r="E42" s="14" t="s">
        <v>9710</v>
      </c>
      <c r="F42" s="14" t="s">
        <v>5140</v>
      </c>
      <c r="G42" s="15" t="s">
        <v>9806</v>
      </c>
      <c r="H42" s="15" t="s">
        <v>9807</v>
      </c>
      <c r="I42" s="14" t="s">
        <v>88</v>
      </c>
      <c r="J42" s="14">
        <v>1</v>
      </c>
      <c r="K42" s="14">
        <v>1</v>
      </c>
      <c r="L42" s="14" t="s">
        <v>9808</v>
      </c>
      <c r="M42" s="14" t="s">
        <v>680</v>
      </c>
      <c r="N42" s="14" t="s">
        <v>9809</v>
      </c>
      <c r="O42" s="14" t="s">
        <v>9810</v>
      </c>
      <c r="P42" s="14" t="str">
        <f>HYPERLINK("https://dexscreener.com/solana/AvtvsN1637RbMeRvZ2oagd5R5GVNfhj6jQubHcxjpump", "View")</f>
        <v>View</v>
      </c>
    </row>
    <row r="43" spans="1:16" x14ac:dyDescent="0.25">
      <c r="A43" s="16" t="s">
        <v>182</v>
      </c>
      <c r="B43" s="17">
        <v>1498121</v>
      </c>
      <c r="C43" s="17">
        <v>0</v>
      </c>
      <c r="D43" s="17" t="s">
        <v>864</v>
      </c>
      <c r="E43" s="17" t="s">
        <v>9710</v>
      </c>
      <c r="F43" s="17" t="s">
        <v>96</v>
      </c>
      <c r="G43" s="18" t="s">
        <v>9728</v>
      </c>
      <c r="H43" s="18" t="s">
        <v>98</v>
      </c>
      <c r="I43" s="17" t="s">
        <v>9811</v>
      </c>
      <c r="J43" s="17">
        <v>1</v>
      </c>
      <c r="K43" s="17">
        <v>0</v>
      </c>
      <c r="L43" s="17" t="s">
        <v>9812</v>
      </c>
      <c r="M43" s="19" t="s">
        <v>101</v>
      </c>
      <c r="N43" s="17" t="s">
        <v>9813</v>
      </c>
      <c r="O43" s="17" t="s">
        <v>188</v>
      </c>
      <c r="P43" s="17" t="str">
        <f>HYPERLINK("https://dexscreener.com/solana/FofgVUkAzbffK3mw8ZEwMof8Lbpx59KkXRV4exhkpump", "View")</f>
        <v>View</v>
      </c>
    </row>
    <row r="44" spans="1:16" x14ac:dyDescent="0.25">
      <c r="A44" s="13" t="s">
        <v>9814</v>
      </c>
      <c r="B44" s="14">
        <v>2264618</v>
      </c>
      <c r="C44" s="14">
        <v>2072125</v>
      </c>
      <c r="D44" s="14" t="s">
        <v>883</v>
      </c>
      <c r="E44" s="14" t="s">
        <v>9710</v>
      </c>
      <c r="F44" s="14" t="s">
        <v>9815</v>
      </c>
      <c r="G44" s="20" t="s">
        <v>3571</v>
      </c>
      <c r="H44" s="20" t="s">
        <v>9816</v>
      </c>
      <c r="I44" s="14" t="s">
        <v>88</v>
      </c>
      <c r="J44" s="14">
        <v>1</v>
      </c>
      <c r="K44" s="14">
        <v>2</v>
      </c>
      <c r="L44" s="14" t="s">
        <v>9817</v>
      </c>
      <c r="M44" s="14" t="s">
        <v>179</v>
      </c>
      <c r="N44" s="14" t="s">
        <v>9818</v>
      </c>
      <c r="O44" s="14" t="s">
        <v>9819</v>
      </c>
      <c r="P44" s="14" t="str">
        <f>HYPERLINK("https://dexscreener.com/solana/HAhiXodNYcpQU2EvvxdUpkP3EdbDpZiP4G3jrGeFmKhZ", "View")</f>
        <v>View</v>
      </c>
    </row>
    <row r="45" spans="1:16" x14ac:dyDescent="0.25">
      <c r="A45" s="16" t="s">
        <v>9820</v>
      </c>
      <c r="B45" s="17">
        <v>1183241</v>
      </c>
      <c r="C45" s="17">
        <v>0</v>
      </c>
      <c r="D45" s="17" t="s">
        <v>864</v>
      </c>
      <c r="E45" s="17" t="s">
        <v>9710</v>
      </c>
      <c r="F45" s="17" t="s">
        <v>96</v>
      </c>
      <c r="G45" s="18" t="s">
        <v>9728</v>
      </c>
      <c r="H45" s="18" t="s">
        <v>98</v>
      </c>
      <c r="I45" s="17" t="s">
        <v>9821</v>
      </c>
      <c r="J45" s="17">
        <v>1</v>
      </c>
      <c r="K45" s="17">
        <v>0</v>
      </c>
      <c r="L45" s="17" t="s">
        <v>9822</v>
      </c>
      <c r="M45" s="19" t="s">
        <v>101</v>
      </c>
      <c r="N45" s="17" t="s">
        <v>9823</v>
      </c>
      <c r="O45" s="17" t="s">
        <v>9824</v>
      </c>
      <c r="P45" s="17" t="str">
        <f>HYPERLINK("https://dexscreener.com/solana/CmpuL8k9KY3NrpfDRoJrVmuwd1zRMFRUxX55avyGpump", "View")</f>
        <v>View</v>
      </c>
    </row>
    <row r="46" spans="1:16" x14ac:dyDescent="0.25">
      <c r="A46" s="13" t="s">
        <v>9825</v>
      </c>
      <c r="B46" s="14">
        <v>607671</v>
      </c>
      <c r="C46" s="14">
        <v>546904</v>
      </c>
      <c r="D46" s="14" t="s">
        <v>864</v>
      </c>
      <c r="E46" s="14" t="s">
        <v>9710</v>
      </c>
      <c r="F46" s="14" t="s">
        <v>5380</v>
      </c>
      <c r="G46" s="15" t="s">
        <v>9826</v>
      </c>
      <c r="H46" s="15" t="s">
        <v>9827</v>
      </c>
      <c r="I46" s="14" t="s">
        <v>88</v>
      </c>
      <c r="J46" s="14">
        <v>1</v>
      </c>
      <c r="K46" s="14">
        <v>1</v>
      </c>
      <c r="L46" s="14" t="s">
        <v>9828</v>
      </c>
      <c r="M46" s="14" t="s">
        <v>117</v>
      </c>
      <c r="N46" s="14" t="s">
        <v>9829</v>
      </c>
      <c r="O46" s="14" t="s">
        <v>9830</v>
      </c>
      <c r="P46" s="14" t="str">
        <f>HYPERLINK("https://dexscreener.com/solana/FBt8wpmyvhoTRmwcXUpmGh351Wt8fQMtptXsMWmWpump", "View")</f>
        <v>View</v>
      </c>
    </row>
    <row r="47" spans="1:16" x14ac:dyDescent="0.25">
      <c r="A47" s="16" t="s">
        <v>9831</v>
      </c>
      <c r="B47" s="17">
        <v>960390</v>
      </c>
      <c r="C47" s="17">
        <v>0</v>
      </c>
      <c r="D47" s="17" t="s">
        <v>864</v>
      </c>
      <c r="E47" s="17" t="s">
        <v>9710</v>
      </c>
      <c r="F47" s="17" t="s">
        <v>96</v>
      </c>
      <c r="G47" s="18" t="s">
        <v>9728</v>
      </c>
      <c r="H47" s="18" t="s">
        <v>98</v>
      </c>
      <c r="I47" s="17" t="s">
        <v>9832</v>
      </c>
      <c r="J47" s="17">
        <v>1</v>
      </c>
      <c r="K47" s="17">
        <v>0</v>
      </c>
      <c r="L47" s="17" t="s">
        <v>9833</v>
      </c>
      <c r="M47" s="19" t="s">
        <v>101</v>
      </c>
      <c r="N47" s="17" t="s">
        <v>9834</v>
      </c>
      <c r="O47" s="17" t="s">
        <v>9835</v>
      </c>
      <c r="P47" s="17" t="str">
        <f>HYPERLINK("https://dexscreener.com/solana/CFBYjzT357obRmihT9F5uyCY3kqgksRvXKM3RJN1pump", "View")</f>
        <v>View</v>
      </c>
    </row>
    <row r="48" spans="1:16" x14ac:dyDescent="0.25">
      <c r="A48" s="13" t="s">
        <v>3798</v>
      </c>
      <c r="B48" s="14">
        <v>1334436</v>
      </c>
      <c r="C48" s="14">
        <v>1200992</v>
      </c>
      <c r="D48" s="14" t="s">
        <v>864</v>
      </c>
      <c r="E48" s="14" t="s">
        <v>9710</v>
      </c>
      <c r="F48" s="14" t="s">
        <v>5065</v>
      </c>
      <c r="G48" s="15" t="s">
        <v>9836</v>
      </c>
      <c r="H48" s="15" t="s">
        <v>9837</v>
      </c>
      <c r="I48" s="14" t="s">
        <v>88</v>
      </c>
      <c r="J48" s="14">
        <v>1</v>
      </c>
      <c r="K48" s="14">
        <v>1</v>
      </c>
      <c r="L48" s="14" t="s">
        <v>9838</v>
      </c>
      <c r="M48" s="14" t="s">
        <v>7558</v>
      </c>
      <c r="N48" s="14" t="s">
        <v>9839</v>
      </c>
      <c r="O48" s="14" t="s">
        <v>9840</v>
      </c>
      <c r="P48" s="14" t="str">
        <f>HYPERLINK("https://dexscreener.com/solana/9tfZ7q7AePzusVRPTLejhtAT4fJos6cUtfr8uvg8pump", "View")</f>
        <v>View</v>
      </c>
    </row>
    <row r="49" spans="1:16" x14ac:dyDescent="0.25">
      <c r="A49" s="16" t="s">
        <v>9841</v>
      </c>
      <c r="B49" s="17">
        <v>1563233</v>
      </c>
      <c r="C49" s="17">
        <v>0</v>
      </c>
      <c r="D49" s="17" t="s">
        <v>864</v>
      </c>
      <c r="E49" s="17" t="s">
        <v>9710</v>
      </c>
      <c r="F49" s="17" t="s">
        <v>96</v>
      </c>
      <c r="G49" s="18" t="s">
        <v>9728</v>
      </c>
      <c r="H49" s="18" t="s">
        <v>98</v>
      </c>
      <c r="I49" s="17" t="s">
        <v>9842</v>
      </c>
      <c r="J49" s="17">
        <v>1</v>
      </c>
      <c r="K49" s="17">
        <v>0</v>
      </c>
      <c r="L49" s="17" t="s">
        <v>9843</v>
      </c>
      <c r="M49" s="19" t="s">
        <v>101</v>
      </c>
      <c r="N49" s="17" t="s">
        <v>9844</v>
      </c>
      <c r="O49" s="17" t="s">
        <v>9845</v>
      </c>
      <c r="P49" s="17" t="str">
        <f>HYPERLINK("https://dexscreener.com/solana/4Y47LEufvcSSSbTFojcvW4Y6x2KZXrqG2urNBSvHpump", "View")</f>
        <v>View</v>
      </c>
    </row>
    <row r="50" spans="1:16" x14ac:dyDescent="0.25">
      <c r="A50" s="13" t="s">
        <v>4331</v>
      </c>
      <c r="B50" s="14">
        <v>1032820</v>
      </c>
      <c r="C50" s="14">
        <v>0</v>
      </c>
      <c r="D50" s="14" t="s">
        <v>864</v>
      </c>
      <c r="E50" s="14" t="s">
        <v>9710</v>
      </c>
      <c r="F50" s="14" t="s">
        <v>96</v>
      </c>
      <c r="G50" s="18" t="s">
        <v>9728</v>
      </c>
      <c r="H50" s="18" t="s">
        <v>98</v>
      </c>
      <c r="I50" s="14" t="s">
        <v>9846</v>
      </c>
      <c r="J50" s="14">
        <v>1</v>
      </c>
      <c r="K50" s="14">
        <v>0</v>
      </c>
      <c r="L50" s="14" t="s">
        <v>9847</v>
      </c>
      <c r="M50" s="19" t="s">
        <v>101</v>
      </c>
      <c r="N50" s="14" t="s">
        <v>9848</v>
      </c>
      <c r="O50" s="14" t="s">
        <v>4339</v>
      </c>
      <c r="P50" s="14" t="str">
        <f>HYPERLINK("https://dexscreener.com/solana/GimSK2arRBpobD8WNs63m3pZWUZx2953nUgSLdDRpump", "View")</f>
        <v>View</v>
      </c>
    </row>
    <row r="51" spans="1:16" x14ac:dyDescent="0.25">
      <c r="A51" s="16" t="s">
        <v>9849</v>
      </c>
      <c r="B51" s="17">
        <v>578521</v>
      </c>
      <c r="C51" s="17">
        <v>328125</v>
      </c>
      <c r="D51" s="17" t="s">
        <v>883</v>
      </c>
      <c r="E51" s="17" t="s">
        <v>9710</v>
      </c>
      <c r="F51" s="17" t="s">
        <v>9850</v>
      </c>
      <c r="G51" s="21" t="s">
        <v>9851</v>
      </c>
      <c r="H51" s="21" t="s">
        <v>9852</v>
      </c>
      <c r="I51" s="17" t="s">
        <v>88</v>
      </c>
      <c r="J51" s="17">
        <v>1</v>
      </c>
      <c r="K51" s="17">
        <v>3</v>
      </c>
      <c r="L51" s="17" t="s">
        <v>9853</v>
      </c>
      <c r="M51" s="17" t="s">
        <v>117</v>
      </c>
      <c r="N51" s="17" t="s">
        <v>9854</v>
      </c>
      <c r="O51" s="17" t="s">
        <v>9855</v>
      </c>
      <c r="P51" s="17" t="str">
        <f>HYPERLINK("https://dexscreener.com/solana/CaPS8EpC78RsnDdjNfZGd7Wjdg9156ijvC1aFcA1pump", "View")</f>
        <v>View</v>
      </c>
    </row>
    <row r="52" spans="1:16" x14ac:dyDescent="0.25">
      <c r="A52" s="13" t="s">
        <v>9856</v>
      </c>
      <c r="B52" s="14">
        <v>785559</v>
      </c>
      <c r="C52" s="14">
        <v>0</v>
      </c>
      <c r="D52" s="14" t="s">
        <v>864</v>
      </c>
      <c r="E52" s="14" t="s">
        <v>9710</v>
      </c>
      <c r="F52" s="14" t="s">
        <v>96</v>
      </c>
      <c r="G52" s="18" t="s">
        <v>9728</v>
      </c>
      <c r="H52" s="18" t="s">
        <v>98</v>
      </c>
      <c r="I52" s="14" t="s">
        <v>9857</v>
      </c>
      <c r="J52" s="14">
        <v>1</v>
      </c>
      <c r="K52" s="14">
        <v>0</v>
      </c>
      <c r="L52" s="14" t="s">
        <v>9858</v>
      </c>
      <c r="M52" s="19" t="s">
        <v>101</v>
      </c>
      <c r="N52" s="14" t="s">
        <v>9859</v>
      </c>
      <c r="O52" s="14" t="s">
        <v>9860</v>
      </c>
      <c r="P52" s="14" t="str">
        <f>HYPERLINK("https://dexscreener.com/solana/AcR5GTb5YFrCXCbPBZBNwyJhcN1VjUokPwhL87wupump", "View")</f>
        <v>View</v>
      </c>
    </row>
    <row r="53" spans="1:16" x14ac:dyDescent="0.25">
      <c r="A53" s="16" t="s">
        <v>9861</v>
      </c>
      <c r="B53" s="17">
        <v>3122741</v>
      </c>
      <c r="C53" s="17">
        <v>2810466</v>
      </c>
      <c r="D53" s="17" t="s">
        <v>864</v>
      </c>
      <c r="E53" s="17" t="s">
        <v>9710</v>
      </c>
      <c r="F53" s="17" t="s">
        <v>4761</v>
      </c>
      <c r="G53" s="15" t="s">
        <v>9420</v>
      </c>
      <c r="H53" s="15" t="s">
        <v>9862</v>
      </c>
      <c r="I53" s="17" t="s">
        <v>88</v>
      </c>
      <c r="J53" s="17">
        <v>1</v>
      </c>
      <c r="K53" s="17">
        <v>1</v>
      </c>
      <c r="L53" s="17" t="s">
        <v>9863</v>
      </c>
      <c r="M53" s="17" t="s">
        <v>117</v>
      </c>
      <c r="N53" s="17" t="s">
        <v>9864</v>
      </c>
      <c r="O53" s="17" t="s">
        <v>9865</v>
      </c>
      <c r="P53" s="17" t="str">
        <f>HYPERLINK("https://dexscreener.com/solana/4EAbchR1spQ3UGq4AD2z6uScmQFenWYuGB15wPAapump", "View")</f>
        <v>View</v>
      </c>
    </row>
    <row r="54" spans="1:16" x14ac:dyDescent="0.25">
      <c r="A54" s="13" t="s">
        <v>9866</v>
      </c>
      <c r="B54" s="14">
        <v>4786775</v>
      </c>
      <c r="C54" s="14">
        <v>0</v>
      </c>
      <c r="D54" s="14" t="s">
        <v>864</v>
      </c>
      <c r="E54" s="14" t="s">
        <v>9710</v>
      </c>
      <c r="F54" s="14" t="s">
        <v>96</v>
      </c>
      <c r="G54" s="18" t="s">
        <v>9728</v>
      </c>
      <c r="H54" s="18" t="s">
        <v>98</v>
      </c>
      <c r="I54" s="14" t="s">
        <v>9867</v>
      </c>
      <c r="J54" s="14">
        <v>1</v>
      </c>
      <c r="K54" s="14">
        <v>0</v>
      </c>
      <c r="L54" s="14" t="s">
        <v>9868</v>
      </c>
      <c r="M54" s="19" t="s">
        <v>101</v>
      </c>
      <c r="N54" s="14" t="s">
        <v>968</v>
      </c>
      <c r="O54" s="14" t="s">
        <v>9869</v>
      </c>
      <c r="P54" s="14" t="str">
        <f>HYPERLINK("https://dexscreener.com/solana/EDDF6iM6Mgg4MntKTpkKQBBnZ8Up3ZtTxR6ijKocpump", "View")</f>
        <v>View</v>
      </c>
    </row>
    <row r="55" spans="1:16" x14ac:dyDescent="0.25">
      <c r="A55" s="16" t="s">
        <v>9870</v>
      </c>
      <c r="B55" s="17">
        <v>1878878</v>
      </c>
      <c r="C55" s="17">
        <v>0</v>
      </c>
      <c r="D55" s="17" t="s">
        <v>864</v>
      </c>
      <c r="E55" s="17" t="s">
        <v>9710</v>
      </c>
      <c r="F55" s="17" t="s">
        <v>96</v>
      </c>
      <c r="G55" s="18" t="s">
        <v>9728</v>
      </c>
      <c r="H55" s="18" t="s">
        <v>98</v>
      </c>
      <c r="I55" s="17" t="s">
        <v>9871</v>
      </c>
      <c r="J55" s="17">
        <v>1</v>
      </c>
      <c r="K55" s="17">
        <v>0</v>
      </c>
      <c r="L55" s="17" t="s">
        <v>9872</v>
      </c>
      <c r="M55" s="19" t="s">
        <v>101</v>
      </c>
      <c r="N55" s="17" t="s">
        <v>9873</v>
      </c>
      <c r="O55" s="17" t="s">
        <v>9874</v>
      </c>
      <c r="P55" s="17" t="str">
        <f>HYPERLINK("https://dexscreener.com/solana/uQpp5Beupw8xBev8WSxgyeUdgPT6hDBCEHjMjWspump", "View")</f>
        <v>View</v>
      </c>
    </row>
    <row r="56" spans="1:16" x14ac:dyDescent="0.25">
      <c r="A56" s="13" t="s">
        <v>9875</v>
      </c>
      <c r="B56" s="14">
        <v>1588576</v>
      </c>
      <c r="C56" s="14">
        <v>0</v>
      </c>
      <c r="D56" s="14" t="s">
        <v>864</v>
      </c>
      <c r="E56" s="14" t="s">
        <v>9710</v>
      </c>
      <c r="F56" s="14" t="s">
        <v>96</v>
      </c>
      <c r="G56" s="18" t="s">
        <v>9728</v>
      </c>
      <c r="H56" s="18" t="s">
        <v>98</v>
      </c>
      <c r="I56" s="14" t="s">
        <v>9876</v>
      </c>
      <c r="J56" s="14">
        <v>1</v>
      </c>
      <c r="K56" s="14">
        <v>0</v>
      </c>
      <c r="L56" s="14" t="s">
        <v>9877</v>
      </c>
      <c r="M56" s="19" t="s">
        <v>101</v>
      </c>
      <c r="N56" s="14" t="s">
        <v>529</v>
      </c>
      <c r="O56" s="14" t="s">
        <v>9878</v>
      </c>
      <c r="P56" s="14" t="str">
        <f>HYPERLINK("https://dexscreener.com/solana/3R49ZACNKMPdzwtRb5eXfqNRmcHp9R4NppNhKtRhpump", "View")</f>
        <v>View</v>
      </c>
    </row>
    <row r="57" spans="1:16" x14ac:dyDescent="0.25">
      <c r="A57" s="16" t="s">
        <v>9879</v>
      </c>
      <c r="B57" s="17">
        <v>2469075</v>
      </c>
      <c r="C57" s="17">
        <v>0</v>
      </c>
      <c r="D57" s="17" t="s">
        <v>864</v>
      </c>
      <c r="E57" s="17" t="s">
        <v>9710</v>
      </c>
      <c r="F57" s="17" t="s">
        <v>96</v>
      </c>
      <c r="G57" s="18" t="s">
        <v>9728</v>
      </c>
      <c r="H57" s="18" t="s">
        <v>98</v>
      </c>
      <c r="I57" s="17" t="s">
        <v>9880</v>
      </c>
      <c r="J57" s="17">
        <v>1</v>
      </c>
      <c r="K57" s="17">
        <v>0</v>
      </c>
      <c r="L57" s="17" t="s">
        <v>9881</v>
      </c>
      <c r="M57" s="19" t="s">
        <v>101</v>
      </c>
      <c r="N57" s="17" t="s">
        <v>9882</v>
      </c>
      <c r="O57" s="17" t="s">
        <v>9883</v>
      </c>
      <c r="P57" s="17" t="str">
        <f>HYPERLINK("https://dexscreener.com/solana/FJq2ZhJJMCZmdqQdkbBRBc48bmuTPLHwyQjamQCSpump", "View")</f>
        <v>View</v>
      </c>
    </row>
    <row r="58" spans="1:16" x14ac:dyDescent="0.25">
      <c r="A58" s="13" t="s">
        <v>9884</v>
      </c>
      <c r="B58" s="14">
        <v>2852483</v>
      </c>
      <c r="C58" s="14">
        <v>1882638</v>
      </c>
      <c r="D58" s="14" t="s">
        <v>9885</v>
      </c>
      <c r="E58" s="14" t="s">
        <v>9710</v>
      </c>
      <c r="F58" s="14" t="s">
        <v>2463</v>
      </c>
      <c r="G58" s="15" t="s">
        <v>9886</v>
      </c>
      <c r="H58" s="15" t="s">
        <v>9887</v>
      </c>
      <c r="I58" s="14" t="s">
        <v>88</v>
      </c>
      <c r="J58" s="14">
        <v>1</v>
      </c>
      <c r="K58" s="14">
        <v>1</v>
      </c>
      <c r="L58" s="14" t="s">
        <v>9888</v>
      </c>
      <c r="M58" s="14" t="s">
        <v>4413</v>
      </c>
      <c r="N58" s="14" t="s">
        <v>9889</v>
      </c>
      <c r="O58" s="14" t="s">
        <v>9890</v>
      </c>
      <c r="P58" s="14" t="str">
        <f>HYPERLINK("https://dexscreener.com/solana/GoQdiew2nNFjAVkuUZwz5sSZmpz3PY8b2n1iZbTJpump", "View")</f>
        <v>View</v>
      </c>
    </row>
    <row r="59" spans="1:16" x14ac:dyDescent="0.25">
      <c r="A59" s="16" t="s">
        <v>9891</v>
      </c>
      <c r="B59" s="17">
        <v>389379</v>
      </c>
      <c r="C59" s="17">
        <v>193716</v>
      </c>
      <c r="D59" s="17" t="s">
        <v>9892</v>
      </c>
      <c r="E59" s="17" t="s">
        <v>9710</v>
      </c>
      <c r="F59" s="17" t="s">
        <v>9893</v>
      </c>
      <c r="G59" s="22" t="s">
        <v>9894</v>
      </c>
      <c r="H59" s="22" t="s">
        <v>9895</v>
      </c>
      <c r="I59" s="17" t="s">
        <v>88</v>
      </c>
      <c r="J59" s="17">
        <v>1</v>
      </c>
      <c r="K59" s="17">
        <v>2</v>
      </c>
      <c r="L59" s="17" t="s">
        <v>9896</v>
      </c>
      <c r="M59" s="17" t="s">
        <v>4413</v>
      </c>
      <c r="N59" s="17" t="s">
        <v>9897</v>
      </c>
      <c r="O59" s="17" t="s">
        <v>9898</v>
      </c>
      <c r="P59" s="17" t="str">
        <f>HYPERLINK("https://dexscreener.com/solana/5LgNLDTvjV6nKQHBEZ783VDoYN2PqGNAKDWPg8wCpump", "View")</f>
        <v>View</v>
      </c>
    </row>
    <row r="60" spans="1:16" x14ac:dyDescent="0.25">
      <c r="A60" s="13" t="s">
        <v>748</v>
      </c>
      <c r="B60" s="14">
        <v>971013</v>
      </c>
      <c r="C60" s="14">
        <v>734815</v>
      </c>
      <c r="D60" s="14" t="s">
        <v>9899</v>
      </c>
      <c r="E60" s="14" t="s">
        <v>9710</v>
      </c>
      <c r="F60" s="14" t="s">
        <v>2109</v>
      </c>
      <c r="G60" s="21" t="s">
        <v>9900</v>
      </c>
      <c r="H60" s="21" t="s">
        <v>9901</v>
      </c>
      <c r="I60" s="14" t="s">
        <v>88</v>
      </c>
      <c r="J60" s="14">
        <v>1</v>
      </c>
      <c r="K60" s="14">
        <v>5</v>
      </c>
      <c r="L60" s="14" t="s">
        <v>9902</v>
      </c>
      <c r="M60" s="14" t="s">
        <v>4413</v>
      </c>
      <c r="N60" s="14" t="s">
        <v>9903</v>
      </c>
      <c r="O60" s="14" t="s">
        <v>754</v>
      </c>
      <c r="P60" s="14" t="str">
        <f>HYPERLINK("https://dexscreener.com/solana/5qmL9rCSfZ7pBYAsaoeG8SP76ZELeRCK8XtMmYZvpump", "View")</f>
        <v>View</v>
      </c>
    </row>
    <row r="61" spans="1:16" x14ac:dyDescent="0.25">
      <c r="A61" s="16" t="s">
        <v>9904</v>
      </c>
      <c r="B61" s="17">
        <v>17557</v>
      </c>
      <c r="C61" s="17">
        <v>7802</v>
      </c>
      <c r="D61" s="17" t="s">
        <v>9905</v>
      </c>
      <c r="E61" s="17" t="s">
        <v>1007</v>
      </c>
      <c r="F61" s="17" t="s">
        <v>9906</v>
      </c>
      <c r="G61" s="21" t="s">
        <v>9907</v>
      </c>
      <c r="H61" s="21" t="s">
        <v>9908</v>
      </c>
      <c r="I61" s="17" t="s">
        <v>88</v>
      </c>
      <c r="J61" s="17">
        <v>1</v>
      </c>
      <c r="K61" s="17">
        <v>3</v>
      </c>
      <c r="L61" s="17" t="s">
        <v>9909</v>
      </c>
      <c r="M61" s="17" t="s">
        <v>240</v>
      </c>
      <c r="N61" s="17" t="s">
        <v>9910</v>
      </c>
      <c r="O61" s="17" t="s">
        <v>9911</v>
      </c>
      <c r="P61" s="17" t="str">
        <f>HYPERLINK("https://dexscreener.com/solana/9BB6NFEcjBCtnNLFko2FqVQBq8HHM13kCyYcdQbgpump", "View")</f>
        <v>View</v>
      </c>
    </row>
    <row r="62" spans="1:16" x14ac:dyDescent="0.25">
      <c r="A62" s="13" t="s">
        <v>9912</v>
      </c>
      <c r="B62" s="14">
        <v>899130</v>
      </c>
      <c r="C62" s="14">
        <v>696310</v>
      </c>
      <c r="D62" s="14" t="s">
        <v>9913</v>
      </c>
      <c r="E62" s="14" t="s">
        <v>1007</v>
      </c>
      <c r="F62" s="14" t="s">
        <v>9914</v>
      </c>
      <c r="G62" s="21" t="s">
        <v>2973</v>
      </c>
      <c r="H62" s="21" t="s">
        <v>9915</v>
      </c>
      <c r="I62" s="14" t="s">
        <v>88</v>
      </c>
      <c r="J62" s="14">
        <v>1</v>
      </c>
      <c r="K62" s="14">
        <v>4</v>
      </c>
      <c r="L62" s="14" t="s">
        <v>9916</v>
      </c>
      <c r="M62" s="14" t="s">
        <v>240</v>
      </c>
      <c r="N62" s="14" t="s">
        <v>9917</v>
      </c>
      <c r="O62" s="14" t="s">
        <v>9918</v>
      </c>
      <c r="P62" s="14" t="str">
        <f>HYPERLINK("https://dexscreener.com/solana/H84qihes12nVQarr8rzmw87hDXUbHtFKRm5joBcbpump", "View")</f>
        <v>View</v>
      </c>
    </row>
    <row r="63" spans="1:16" x14ac:dyDescent="0.25">
      <c r="A63" s="16" t="s">
        <v>1136</v>
      </c>
      <c r="B63" s="17">
        <v>5669844</v>
      </c>
      <c r="C63" s="17">
        <v>4582728</v>
      </c>
      <c r="D63" s="17" t="s">
        <v>9899</v>
      </c>
      <c r="E63" s="17" t="s">
        <v>9710</v>
      </c>
      <c r="F63" s="17" t="s">
        <v>9919</v>
      </c>
      <c r="G63" s="21" t="s">
        <v>9920</v>
      </c>
      <c r="H63" s="21" t="s">
        <v>9921</v>
      </c>
      <c r="I63" s="17" t="s">
        <v>88</v>
      </c>
      <c r="J63" s="17">
        <v>1</v>
      </c>
      <c r="K63" s="17">
        <v>5</v>
      </c>
      <c r="L63" s="17" t="s">
        <v>9922</v>
      </c>
      <c r="M63" s="17" t="s">
        <v>4413</v>
      </c>
      <c r="N63" s="17" t="s">
        <v>9923</v>
      </c>
      <c r="O63" s="17" t="s">
        <v>1140</v>
      </c>
      <c r="P63" s="17" t="str">
        <f>HYPERLINK("https://dexscreener.com/solana/EZDwvexi9tWuduXTsqCNmgQNPpLPpXJySHCX3PNrpump", "View")</f>
        <v>View</v>
      </c>
    </row>
    <row r="64" spans="1:16" x14ac:dyDescent="0.25">
      <c r="A64" s="13" t="s">
        <v>9924</v>
      </c>
      <c r="B64" s="14">
        <v>6202186</v>
      </c>
      <c r="C64" s="14">
        <v>5581967</v>
      </c>
      <c r="D64" s="14" t="s">
        <v>864</v>
      </c>
      <c r="E64" s="14" t="s">
        <v>9710</v>
      </c>
      <c r="F64" s="14" t="s">
        <v>2429</v>
      </c>
      <c r="G64" s="15" t="s">
        <v>9925</v>
      </c>
      <c r="H64" s="15" t="s">
        <v>9926</v>
      </c>
      <c r="I64" s="14" t="s">
        <v>88</v>
      </c>
      <c r="J64" s="14">
        <v>1</v>
      </c>
      <c r="K64" s="14">
        <v>1</v>
      </c>
      <c r="L64" s="14" t="s">
        <v>9927</v>
      </c>
      <c r="M64" s="14" t="s">
        <v>414</v>
      </c>
      <c r="N64" s="14" t="s">
        <v>9928</v>
      </c>
      <c r="O64" s="14" t="s">
        <v>9929</v>
      </c>
      <c r="P64" s="14" t="str">
        <f>HYPERLINK("https://dexscreener.com/solana/4nbKusKAdSkHHLaMwbZ6Lf2z7uLDgfM655mHfmAc1Bhd", "View")</f>
        <v>View</v>
      </c>
    </row>
    <row r="65" spans="1:16" x14ac:dyDescent="0.25">
      <c r="A65" s="16" t="s">
        <v>9930</v>
      </c>
      <c r="B65" s="17">
        <v>707597</v>
      </c>
      <c r="C65" s="17">
        <v>698417</v>
      </c>
      <c r="D65" s="17" t="s">
        <v>913</v>
      </c>
      <c r="E65" s="17" t="s">
        <v>9710</v>
      </c>
      <c r="F65" s="17" t="s">
        <v>9931</v>
      </c>
      <c r="G65" s="21" t="s">
        <v>9932</v>
      </c>
      <c r="H65" s="21" t="s">
        <v>9933</v>
      </c>
      <c r="I65" s="17" t="s">
        <v>88</v>
      </c>
      <c r="J65" s="17">
        <v>1</v>
      </c>
      <c r="K65" s="17">
        <v>5</v>
      </c>
      <c r="L65" s="17" t="s">
        <v>9934</v>
      </c>
      <c r="M65" s="17" t="s">
        <v>699</v>
      </c>
      <c r="N65" s="17" t="s">
        <v>9935</v>
      </c>
      <c r="O65" s="17" t="s">
        <v>9936</v>
      </c>
      <c r="P65" s="17" t="str">
        <f>HYPERLINK("https://dexscreener.com/solana/F4aLcMxQy6CPcXAuER3J5QgB89n4fqBMs2bcrqQBpump", "View")</f>
        <v>View</v>
      </c>
    </row>
    <row r="66" spans="1:16" x14ac:dyDescent="0.25">
      <c r="A66" s="13" t="s">
        <v>3349</v>
      </c>
      <c r="B66" s="14">
        <v>560991</v>
      </c>
      <c r="C66" s="14">
        <v>504891</v>
      </c>
      <c r="D66" s="14" t="s">
        <v>864</v>
      </c>
      <c r="E66" s="14" t="s">
        <v>9710</v>
      </c>
      <c r="F66" s="14" t="s">
        <v>4396</v>
      </c>
      <c r="G66" s="15" t="s">
        <v>9937</v>
      </c>
      <c r="H66" s="15" t="s">
        <v>9938</v>
      </c>
      <c r="I66" s="14" t="s">
        <v>88</v>
      </c>
      <c r="J66" s="14">
        <v>1</v>
      </c>
      <c r="K66" s="14">
        <v>1</v>
      </c>
      <c r="L66" s="14" t="s">
        <v>9939</v>
      </c>
      <c r="M66" s="14" t="s">
        <v>132</v>
      </c>
      <c r="N66" s="14" t="s">
        <v>9940</v>
      </c>
      <c r="O66" s="14" t="s">
        <v>3357</v>
      </c>
      <c r="P66" s="14" t="str">
        <f>HYPERLINK("https://dexscreener.com/solana/9JLsnxCqZju5ymLhMkTW6acnUxgrARqz5NAR7Acdpump", "View")</f>
        <v>View</v>
      </c>
    </row>
    <row r="67" spans="1:16" x14ac:dyDescent="0.25">
      <c r="A67" s="16" t="s">
        <v>5256</v>
      </c>
      <c r="B67" s="17">
        <v>202902</v>
      </c>
      <c r="C67" s="17">
        <v>182611</v>
      </c>
      <c r="D67" s="17" t="s">
        <v>864</v>
      </c>
      <c r="E67" s="17" t="s">
        <v>9710</v>
      </c>
      <c r="F67" s="17" t="s">
        <v>4198</v>
      </c>
      <c r="G67" s="15" t="s">
        <v>9941</v>
      </c>
      <c r="H67" s="15" t="s">
        <v>9942</v>
      </c>
      <c r="I67" s="17" t="s">
        <v>88</v>
      </c>
      <c r="J67" s="17">
        <v>1</v>
      </c>
      <c r="K67" s="17">
        <v>1</v>
      </c>
      <c r="L67" s="17" t="s">
        <v>9943</v>
      </c>
      <c r="M67" s="17" t="s">
        <v>132</v>
      </c>
      <c r="N67" s="17" t="s">
        <v>9944</v>
      </c>
      <c r="O67" s="17" t="s">
        <v>5261</v>
      </c>
      <c r="P67" s="17" t="str">
        <f>HYPERLINK("https://dexscreener.com/solana/hf8aYwMK2cYv7t4uUhUAqpdwTS3sja2z9RJMQZ2pump", "View")</f>
        <v>View</v>
      </c>
    </row>
    <row r="68" spans="1:16" x14ac:dyDescent="0.25">
      <c r="A68" s="13" t="s">
        <v>9945</v>
      </c>
      <c r="B68" s="14">
        <v>928405</v>
      </c>
      <c r="C68" s="14">
        <v>835564</v>
      </c>
      <c r="D68" s="14" t="s">
        <v>864</v>
      </c>
      <c r="E68" s="14" t="s">
        <v>9710</v>
      </c>
      <c r="F68" s="14" t="s">
        <v>3309</v>
      </c>
      <c r="G68" s="15" t="s">
        <v>6583</v>
      </c>
      <c r="H68" s="15" t="s">
        <v>9946</v>
      </c>
      <c r="I68" s="14" t="s">
        <v>88</v>
      </c>
      <c r="J68" s="14">
        <v>1</v>
      </c>
      <c r="K68" s="14">
        <v>1</v>
      </c>
      <c r="L68" s="14" t="s">
        <v>9947</v>
      </c>
      <c r="M68" s="14" t="s">
        <v>9948</v>
      </c>
      <c r="N68" s="14" t="s">
        <v>9949</v>
      </c>
      <c r="O68" s="14" t="s">
        <v>9950</v>
      </c>
      <c r="P68" s="14" t="str">
        <f>HYPERLINK("https://dexscreener.com/solana/B6X51M56VjmmTZ4sZ6tdPEWefSuqLp1GYSRrCzYpump", "View")</f>
        <v>View</v>
      </c>
    </row>
    <row r="69" spans="1:16" x14ac:dyDescent="0.25">
      <c r="A69" s="16" t="s">
        <v>9951</v>
      </c>
      <c r="B69" s="17">
        <v>1254754</v>
      </c>
      <c r="C69" s="17">
        <v>1129278</v>
      </c>
      <c r="D69" s="17" t="s">
        <v>864</v>
      </c>
      <c r="E69" s="17" t="s">
        <v>9710</v>
      </c>
      <c r="F69" s="17" t="s">
        <v>2882</v>
      </c>
      <c r="G69" s="15" t="s">
        <v>9952</v>
      </c>
      <c r="H69" s="15" t="s">
        <v>9953</v>
      </c>
      <c r="I69" s="17" t="s">
        <v>88</v>
      </c>
      <c r="J69" s="17">
        <v>1</v>
      </c>
      <c r="K69" s="17">
        <v>1</v>
      </c>
      <c r="L69" s="17" t="s">
        <v>9954</v>
      </c>
      <c r="M69" s="17" t="s">
        <v>672</v>
      </c>
      <c r="N69" s="17" t="s">
        <v>9955</v>
      </c>
      <c r="O69" s="17" t="s">
        <v>9956</v>
      </c>
      <c r="P69" s="17" t="str">
        <f>HYPERLINK("https://dexscreener.com/solana/996Bg4KQAZqoyhQ5UYZdmJ2TwSJnPtqyaTQ9C1Aipump", "View")</f>
        <v>View</v>
      </c>
    </row>
    <row r="70" spans="1:16" x14ac:dyDescent="0.25">
      <c r="A70" s="13" t="s">
        <v>9957</v>
      </c>
      <c r="B70" s="14">
        <v>769836</v>
      </c>
      <c r="C70" s="14">
        <v>461901</v>
      </c>
      <c r="D70" s="14" t="s">
        <v>9958</v>
      </c>
      <c r="E70" s="14" t="s">
        <v>9710</v>
      </c>
      <c r="F70" s="14" t="s">
        <v>9959</v>
      </c>
      <c r="G70" s="22" t="s">
        <v>9960</v>
      </c>
      <c r="H70" s="22" t="s">
        <v>9961</v>
      </c>
      <c r="I70" s="14" t="s">
        <v>88</v>
      </c>
      <c r="J70" s="14">
        <v>1</v>
      </c>
      <c r="K70" s="14">
        <v>1</v>
      </c>
      <c r="L70" s="14" t="s">
        <v>9962</v>
      </c>
      <c r="M70" s="14" t="s">
        <v>356</v>
      </c>
      <c r="N70" s="14" t="s">
        <v>9963</v>
      </c>
      <c r="O70" s="14" t="s">
        <v>9964</v>
      </c>
      <c r="P70" s="14" t="str">
        <f>HYPERLINK("https://dexscreener.com/solana/ABHQGzXNoRbJ1sjUsCJ2TmTAo1uMx4EUpV1qYiSVpump", "View")</f>
        <v>View</v>
      </c>
    </row>
    <row r="71" spans="1:16" x14ac:dyDescent="0.25">
      <c r="A71" s="16" t="s">
        <v>9965</v>
      </c>
      <c r="B71" s="17">
        <v>731120</v>
      </c>
      <c r="C71" s="17">
        <v>658007</v>
      </c>
      <c r="D71" s="17" t="s">
        <v>864</v>
      </c>
      <c r="E71" s="17" t="s">
        <v>9710</v>
      </c>
      <c r="F71" s="17" t="s">
        <v>5680</v>
      </c>
      <c r="G71" s="15" t="s">
        <v>9966</v>
      </c>
      <c r="H71" s="15" t="s">
        <v>9967</v>
      </c>
      <c r="I71" s="17" t="s">
        <v>88</v>
      </c>
      <c r="J71" s="17">
        <v>1</v>
      </c>
      <c r="K71" s="17">
        <v>1</v>
      </c>
      <c r="L71" s="17" t="s">
        <v>9968</v>
      </c>
      <c r="M71" s="17" t="s">
        <v>231</v>
      </c>
      <c r="N71" s="17" t="s">
        <v>9969</v>
      </c>
      <c r="O71" s="17" t="s">
        <v>9970</v>
      </c>
      <c r="P71" s="17" t="str">
        <f>HYPERLINK("https://dexscreener.com/solana/3iGVWssEDTW6D2YEQaMfgkvfq6AeWXEyvUVdyevgpump", "View")</f>
        <v>View</v>
      </c>
    </row>
    <row r="72" spans="1:16" x14ac:dyDescent="0.25">
      <c r="A72" s="13" t="s">
        <v>9971</v>
      </c>
      <c r="B72" s="14">
        <v>1774455</v>
      </c>
      <c r="C72" s="14">
        <v>1597009</v>
      </c>
      <c r="D72" s="14" t="s">
        <v>864</v>
      </c>
      <c r="E72" s="14" t="s">
        <v>9710</v>
      </c>
      <c r="F72" s="14" t="s">
        <v>3773</v>
      </c>
      <c r="G72" s="15" t="s">
        <v>9972</v>
      </c>
      <c r="H72" s="15" t="s">
        <v>9973</v>
      </c>
      <c r="I72" s="14" t="s">
        <v>88</v>
      </c>
      <c r="J72" s="14">
        <v>1</v>
      </c>
      <c r="K72" s="14">
        <v>1</v>
      </c>
      <c r="L72" s="14" t="s">
        <v>9974</v>
      </c>
      <c r="M72" s="14" t="s">
        <v>132</v>
      </c>
      <c r="N72" s="14" t="s">
        <v>9975</v>
      </c>
      <c r="O72" s="14" t="s">
        <v>9976</v>
      </c>
      <c r="P72" s="14" t="str">
        <f>HYPERLINK("https://dexscreener.com/solana/9YDSKLv6vAaXhKECNVwjiFrTe3KsFPRqXyd3D2Qdpump", "View")</f>
        <v>View</v>
      </c>
    </row>
    <row r="73" spans="1:16" x14ac:dyDescent="0.25">
      <c r="A73" s="16" t="s">
        <v>9977</v>
      </c>
      <c r="B73" s="17">
        <v>1524450</v>
      </c>
      <c r="C73" s="17">
        <v>1372004</v>
      </c>
      <c r="D73" s="17" t="s">
        <v>864</v>
      </c>
      <c r="E73" s="17" t="s">
        <v>9710</v>
      </c>
      <c r="F73" s="17" t="s">
        <v>2581</v>
      </c>
      <c r="G73" s="15" t="s">
        <v>9978</v>
      </c>
      <c r="H73" s="15" t="s">
        <v>9979</v>
      </c>
      <c r="I73" s="17" t="s">
        <v>88</v>
      </c>
      <c r="J73" s="17">
        <v>1</v>
      </c>
      <c r="K73" s="17">
        <v>1</v>
      </c>
      <c r="L73" s="17" t="s">
        <v>9980</v>
      </c>
      <c r="M73" s="17" t="s">
        <v>364</v>
      </c>
      <c r="N73" s="17" t="s">
        <v>9981</v>
      </c>
      <c r="O73" s="17" t="s">
        <v>9982</v>
      </c>
      <c r="P73" s="17" t="str">
        <f>HYPERLINK("https://dexscreener.com/solana/GhnSqjk15XH7m1inUgK9Lpw4CpyHAvghLniCYbikpump", "View")</f>
        <v>View</v>
      </c>
    </row>
    <row r="74" spans="1:16" x14ac:dyDescent="0.25">
      <c r="A74" s="13" t="s">
        <v>631</v>
      </c>
      <c r="B74" s="14">
        <v>3115711</v>
      </c>
      <c r="C74" s="14">
        <v>0</v>
      </c>
      <c r="D74" s="14" t="s">
        <v>864</v>
      </c>
      <c r="E74" s="14" t="s">
        <v>9710</v>
      </c>
      <c r="F74" s="14" t="s">
        <v>96</v>
      </c>
      <c r="G74" s="18" t="s">
        <v>9728</v>
      </c>
      <c r="H74" s="18" t="s">
        <v>98</v>
      </c>
      <c r="I74" s="14" t="s">
        <v>9983</v>
      </c>
      <c r="J74" s="14">
        <v>1</v>
      </c>
      <c r="K74" s="14">
        <v>0</v>
      </c>
      <c r="L74" s="14" t="s">
        <v>9984</v>
      </c>
      <c r="M74" s="19" t="s">
        <v>101</v>
      </c>
      <c r="N74" s="14" t="s">
        <v>9985</v>
      </c>
      <c r="O74" s="14" t="s">
        <v>635</v>
      </c>
      <c r="P74" s="14" t="str">
        <f>HYPERLINK("https://dexscreener.com/solana/BPUaSed74toPWkGgmuzZrhUdXXnaQzYRA9jrAToSpump", "View")</f>
        <v>View</v>
      </c>
    </row>
    <row r="75" spans="1:16" x14ac:dyDescent="0.25">
      <c r="A75" s="16" t="s">
        <v>9986</v>
      </c>
      <c r="B75" s="17">
        <v>1227720</v>
      </c>
      <c r="C75" s="17">
        <v>0</v>
      </c>
      <c r="D75" s="17" t="s">
        <v>864</v>
      </c>
      <c r="E75" s="17" t="s">
        <v>9710</v>
      </c>
      <c r="F75" s="17" t="s">
        <v>96</v>
      </c>
      <c r="G75" s="18" t="s">
        <v>9728</v>
      </c>
      <c r="H75" s="18" t="s">
        <v>98</v>
      </c>
      <c r="I75" s="17" t="s">
        <v>9987</v>
      </c>
      <c r="J75" s="17">
        <v>1</v>
      </c>
      <c r="K75" s="17">
        <v>0</v>
      </c>
      <c r="L75" s="17" t="s">
        <v>9988</v>
      </c>
      <c r="M75" s="19" t="s">
        <v>101</v>
      </c>
      <c r="N75" s="17" t="s">
        <v>9989</v>
      </c>
      <c r="O75" s="17" t="s">
        <v>9990</v>
      </c>
      <c r="P75" s="17" t="str">
        <f>HYPERLINK("https://dexscreener.com/solana/HaqNyHMwCP1YGCYgjY7kJNVd6gv4mz1Y75A4xKVUpump", "View")</f>
        <v>View</v>
      </c>
    </row>
    <row r="76" spans="1:16" x14ac:dyDescent="0.25">
      <c r="A76" s="13" t="s">
        <v>9991</v>
      </c>
      <c r="B76" s="14">
        <v>2536710</v>
      </c>
      <c r="C76" s="14">
        <v>0</v>
      </c>
      <c r="D76" s="14" t="s">
        <v>864</v>
      </c>
      <c r="E76" s="14" t="s">
        <v>9710</v>
      </c>
      <c r="F76" s="14" t="s">
        <v>96</v>
      </c>
      <c r="G76" s="18" t="s">
        <v>9728</v>
      </c>
      <c r="H76" s="18" t="s">
        <v>98</v>
      </c>
      <c r="I76" s="14" t="s">
        <v>9992</v>
      </c>
      <c r="J76" s="14">
        <v>1</v>
      </c>
      <c r="K76" s="14">
        <v>0</v>
      </c>
      <c r="L76" s="14" t="s">
        <v>9993</v>
      </c>
      <c r="M76" s="19" t="s">
        <v>101</v>
      </c>
      <c r="N76" s="14" t="s">
        <v>9994</v>
      </c>
      <c r="O76" s="14" t="s">
        <v>9995</v>
      </c>
      <c r="P76" s="14" t="str">
        <f>HYPERLINK("https://dexscreener.com/solana/AcCNe3rA2ugXTdGCAMNyEYZwyBdf1raGrmHoscQZpump", "View")</f>
        <v>View</v>
      </c>
    </row>
    <row r="77" spans="1:16" x14ac:dyDescent="0.25">
      <c r="A77" s="16" t="s">
        <v>9996</v>
      </c>
      <c r="B77" s="17">
        <v>250841</v>
      </c>
      <c r="C77" s="17">
        <v>165554</v>
      </c>
      <c r="D77" s="17" t="s">
        <v>8439</v>
      </c>
      <c r="E77" s="17" t="s">
        <v>1007</v>
      </c>
      <c r="F77" s="17" t="s">
        <v>9997</v>
      </c>
      <c r="G77" s="21" t="s">
        <v>9998</v>
      </c>
      <c r="H77" s="21" t="s">
        <v>9999</v>
      </c>
      <c r="I77" s="17" t="s">
        <v>88</v>
      </c>
      <c r="J77" s="17">
        <v>1</v>
      </c>
      <c r="K77" s="17">
        <v>1</v>
      </c>
      <c r="L77" s="17" t="s">
        <v>10000</v>
      </c>
      <c r="M77" s="17" t="s">
        <v>479</v>
      </c>
      <c r="N77" s="17" t="s">
        <v>10001</v>
      </c>
      <c r="O77" s="17" t="s">
        <v>10002</v>
      </c>
      <c r="P77" s="17" t="str">
        <f>HYPERLINK("https://dexscreener.com/solana/FQ1tyso61AH1tzodyJfSwmzsD3GToybbRNoZxUBz21p8", "View")</f>
        <v>View</v>
      </c>
    </row>
    <row r="78" spans="1:16" x14ac:dyDescent="0.25">
      <c r="A78" s="13" t="s">
        <v>10003</v>
      </c>
      <c r="B78" s="14">
        <v>2591354</v>
      </c>
      <c r="C78" s="14">
        <v>0</v>
      </c>
      <c r="D78" s="14" t="s">
        <v>864</v>
      </c>
      <c r="E78" s="14" t="s">
        <v>9710</v>
      </c>
      <c r="F78" s="14" t="s">
        <v>96</v>
      </c>
      <c r="G78" s="18" t="s">
        <v>9728</v>
      </c>
      <c r="H78" s="18" t="s">
        <v>98</v>
      </c>
      <c r="I78" s="14" t="s">
        <v>10004</v>
      </c>
      <c r="J78" s="14">
        <v>1</v>
      </c>
      <c r="K78" s="14">
        <v>0</v>
      </c>
      <c r="L78" s="14" t="s">
        <v>10005</v>
      </c>
      <c r="M78" s="19" t="s">
        <v>101</v>
      </c>
      <c r="N78" s="14" t="s">
        <v>5798</v>
      </c>
      <c r="O78" s="14" t="s">
        <v>10006</v>
      </c>
      <c r="P78" s="14" t="str">
        <f>HYPERLINK("https://dexscreener.com/solana/63q7zCmAVuAE5qgQ7bRAwjgTufgL3MoDC5QHvhJrpump", "View")</f>
        <v>View</v>
      </c>
    </row>
    <row r="79" spans="1:16" x14ac:dyDescent="0.25">
      <c r="A79" s="16" t="s">
        <v>740</v>
      </c>
      <c r="B79" s="17">
        <v>1242344</v>
      </c>
      <c r="C79" s="17">
        <v>1118109</v>
      </c>
      <c r="D79" s="17" t="s">
        <v>864</v>
      </c>
      <c r="E79" s="17" t="s">
        <v>9710</v>
      </c>
      <c r="F79" s="17" t="s">
        <v>5894</v>
      </c>
      <c r="G79" s="15" t="s">
        <v>10007</v>
      </c>
      <c r="H79" s="15" t="s">
        <v>10008</v>
      </c>
      <c r="I79" s="17" t="s">
        <v>88</v>
      </c>
      <c r="J79" s="17">
        <v>1</v>
      </c>
      <c r="K79" s="17">
        <v>1</v>
      </c>
      <c r="L79" s="17" t="s">
        <v>10009</v>
      </c>
      <c r="M79" s="17" t="s">
        <v>8522</v>
      </c>
      <c r="N79" s="17" t="s">
        <v>10010</v>
      </c>
      <c r="O79" s="17" t="s">
        <v>747</v>
      </c>
      <c r="P79" s="17" t="str">
        <f>HYPERLINK("https://dexscreener.com/solana/BZW215nxTGpbw87TUQJJpABGTBXeXqfjxjDYyrjCpump", "View")</f>
        <v>View</v>
      </c>
    </row>
    <row r="80" spans="1:16" x14ac:dyDescent="0.25">
      <c r="A80" s="13" t="s">
        <v>5491</v>
      </c>
      <c r="B80" s="14">
        <v>1686427</v>
      </c>
      <c r="C80" s="14">
        <v>1517784</v>
      </c>
      <c r="D80" s="14" t="s">
        <v>864</v>
      </c>
      <c r="E80" s="14" t="s">
        <v>9710</v>
      </c>
      <c r="F80" s="14" t="s">
        <v>10011</v>
      </c>
      <c r="G80" s="15" t="s">
        <v>10012</v>
      </c>
      <c r="H80" s="15" t="s">
        <v>10013</v>
      </c>
      <c r="I80" s="14" t="s">
        <v>88</v>
      </c>
      <c r="J80" s="14">
        <v>1</v>
      </c>
      <c r="K80" s="14">
        <v>1</v>
      </c>
      <c r="L80" s="14" t="s">
        <v>10014</v>
      </c>
      <c r="M80" s="14" t="s">
        <v>8522</v>
      </c>
      <c r="N80" s="14" t="s">
        <v>10015</v>
      </c>
      <c r="O80" s="14" t="s">
        <v>5495</v>
      </c>
      <c r="P80" s="14" t="str">
        <f>HYPERLINK("https://dexscreener.com/solana/2j48qpWJpWNHoWhsmWsdmaA1wKP7qaoYJfwhAbrkpump", "View")</f>
        <v>View</v>
      </c>
    </row>
    <row r="81" spans="1:16" x14ac:dyDescent="0.25">
      <c r="A81" s="16" t="s">
        <v>1583</v>
      </c>
      <c r="B81" s="17">
        <v>767707</v>
      </c>
      <c r="C81" s="17">
        <v>690936</v>
      </c>
      <c r="D81" s="17" t="s">
        <v>864</v>
      </c>
      <c r="E81" s="17" t="s">
        <v>9710</v>
      </c>
      <c r="F81" s="17" t="s">
        <v>5058</v>
      </c>
      <c r="G81" s="15" t="s">
        <v>10016</v>
      </c>
      <c r="H81" s="15" t="s">
        <v>10017</v>
      </c>
      <c r="I81" s="17" t="s">
        <v>88</v>
      </c>
      <c r="J81" s="17">
        <v>1</v>
      </c>
      <c r="K81" s="17">
        <v>1</v>
      </c>
      <c r="L81" s="17" t="s">
        <v>10018</v>
      </c>
      <c r="M81" s="17" t="s">
        <v>179</v>
      </c>
      <c r="N81" s="17" t="s">
        <v>10019</v>
      </c>
      <c r="O81" s="17" t="s">
        <v>10020</v>
      </c>
      <c r="P81" s="17" t="str">
        <f>HYPERLINK("https://dexscreener.com/solana/4p3yhGbpu4KVdFeHKXvxs1cnaL3MdUAmWN7CgGJwpump", "View")</f>
        <v>View</v>
      </c>
    </row>
    <row r="82" spans="1:16" x14ac:dyDescent="0.25">
      <c r="A82" s="13" t="s">
        <v>10021</v>
      </c>
      <c r="B82" s="14">
        <v>1280965</v>
      </c>
      <c r="C82" s="14">
        <v>1152868</v>
      </c>
      <c r="D82" s="14" t="s">
        <v>864</v>
      </c>
      <c r="E82" s="14" t="s">
        <v>9710</v>
      </c>
      <c r="F82" s="14" t="s">
        <v>2882</v>
      </c>
      <c r="G82" s="15" t="s">
        <v>9952</v>
      </c>
      <c r="H82" s="15" t="s">
        <v>10022</v>
      </c>
      <c r="I82" s="14" t="s">
        <v>88</v>
      </c>
      <c r="J82" s="14">
        <v>1</v>
      </c>
      <c r="K82" s="14">
        <v>1</v>
      </c>
      <c r="L82" s="14" t="s">
        <v>10023</v>
      </c>
      <c r="M82" s="14" t="s">
        <v>117</v>
      </c>
      <c r="N82" s="14" t="s">
        <v>10024</v>
      </c>
      <c r="O82" s="14" t="s">
        <v>10025</v>
      </c>
      <c r="P82" s="14" t="str">
        <f>HYPERLINK("https://dexscreener.com/solana/4By8kbvy6YJt4L1UH544FejLiUdTQTGcXihTS4xMzHcA", "View")</f>
        <v>View</v>
      </c>
    </row>
    <row r="83" spans="1:16" x14ac:dyDescent="0.25">
      <c r="A83" s="16" t="s">
        <v>10026</v>
      </c>
      <c r="B83" s="17">
        <v>3331123</v>
      </c>
      <c r="C83" s="17">
        <v>0</v>
      </c>
      <c r="D83" s="17" t="s">
        <v>864</v>
      </c>
      <c r="E83" s="17" t="s">
        <v>9710</v>
      </c>
      <c r="F83" s="17" t="s">
        <v>96</v>
      </c>
      <c r="G83" s="18" t="s">
        <v>9728</v>
      </c>
      <c r="H83" s="18" t="s">
        <v>98</v>
      </c>
      <c r="I83" s="17" t="s">
        <v>10027</v>
      </c>
      <c r="J83" s="17">
        <v>1</v>
      </c>
      <c r="K83" s="17">
        <v>0</v>
      </c>
      <c r="L83" s="17" t="s">
        <v>10028</v>
      </c>
      <c r="M83" s="19" t="s">
        <v>101</v>
      </c>
      <c r="N83" s="17" t="s">
        <v>9804</v>
      </c>
      <c r="O83" s="17" t="s">
        <v>10029</v>
      </c>
      <c r="P83" s="17" t="str">
        <f>HYPERLINK("https://dexscreener.com/solana/2UByDNzBkDikkBM73dAxerTGkuLVRWzCN95JuAUApump", "View")</f>
        <v>View</v>
      </c>
    </row>
    <row r="84" spans="1:16" x14ac:dyDescent="0.25">
      <c r="A84" s="13" t="s">
        <v>10030</v>
      </c>
      <c r="B84" s="14">
        <v>2319630</v>
      </c>
      <c r="C84" s="14">
        <v>0</v>
      </c>
      <c r="D84" s="14" t="s">
        <v>864</v>
      </c>
      <c r="E84" s="14" t="s">
        <v>9710</v>
      </c>
      <c r="F84" s="14" t="s">
        <v>96</v>
      </c>
      <c r="G84" s="18" t="s">
        <v>9728</v>
      </c>
      <c r="H84" s="18" t="s">
        <v>98</v>
      </c>
      <c r="I84" s="14" t="s">
        <v>10031</v>
      </c>
      <c r="J84" s="14">
        <v>1</v>
      </c>
      <c r="K84" s="14">
        <v>0</v>
      </c>
      <c r="L84" s="14" t="s">
        <v>10032</v>
      </c>
      <c r="M84" s="19" t="s">
        <v>101</v>
      </c>
      <c r="N84" s="14" t="s">
        <v>10033</v>
      </c>
      <c r="O84" s="14" t="s">
        <v>10034</v>
      </c>
      <c r="P84" s="14" t="str">
        <f>HYPERLINK("https://dexscreener.com/solana/ASnD7A1mqpiBdqVVAKLsScAABR1nGbMBtocFbU5rpump", "View")</f>
        <v>View</v>
      </c>
    </row>
    <row r="85" spans="1:16" x14ac:dyDescent="0.25">
      <c r="A85" s="16" t="s">
        <v>10035</v>
      </c>
      <c r="B85" s="17">
        <v>4161702</v>
      </c>
      <c r="C85" s="17">
        <v>0</v>
      </c>
      <c r="D85" s="17" t="s">
        <v>864</v>
      </c>
      <c r="E85" s="17" t="s">
        <v>9710</v>
      </c>
      <c r="F85" s="17" t="s">
        <v>96</v>
      </c>
      <c r="G85" s="18" t="s">
        <v>9728</v>
      </c>
      <c r="H85" s="18" t="s">
        <v>98</v>
      </c>
      <c r="I85" s="17" t="s">
        <v>10036</v>
      </c>
      <c r="J85" s="17">
        <v>1</v>
      </c>
      <c r="K85" s="17">
        <v>0</v>
      </c>
      <c r="L85" s="17" t="s">
        <v>10037</v>
      </c>
      <c r="M85" s="19" t="s">
        <v>101</v>
      </c>
      <c r="N85" s="17" t="s">
        <v>5251</v>
      </c>
      <c r="O85" s="17" t="s">
        <v>10038</v>
      </c>
      <c r="P85" s="17" t="str">
        <f>HYPERLINK("https://dexscreener.com/solana/9mkfqGLt7jLr581QtNWby4DKfQwNtvvoqtypbbxxpump", "View")</f>
        <v>View</v>
      </c>
    </row>
    <row r="86" spans="1:16" x14ac:dyDescent="0.25">
      <c r="A86" s="13" t="s">
        <v>10039</v>
      </c>
      <c r="B86" s="14">
        <v>3807088</v>
      </c>
      <c r="C86" s="14">
        <v>3426379</v>
      </c>
      <c r="D86" s="14" t="s">
        <v>864</v>
      </c>
      <c r="E86" s="14" t="s">
        <v>9710</v>
      </c>
      <c r="F86" s="14" t="s">
        <v>2597</v>
      </c>
      <c r="G86" s="15" t="s">
        <v>10040</v>
      </c>
      <c r="H86" s="15" t="s">
        <v>10041</v>
      </c>
      <c r="I86" s="14" t="s">
        <v>88</v>
      </c>
      <c r="J86" s="14">
        <v>1</v>
      </c>
      <c r="K86" s="14">
        <v>1</v>
      </c>
      <c r="L86" s="14" t="s">
        <v>10042</v>
      </c>
      <c r="M86" s="14" t="s">
        <v>398</v>
      </c>
      <c r="N86" s="14" t="s">
        <v>4877</v>
      </c>
      <c r="O86" s="14" t="s">
        <v>10043</v>
      </c>
      <c r="P86" s="14" t="str">
        <f>HYPERLINK("https://dexscreener.com/solana/GmP1TruYcMAE4Yh6m3KQpNvxdDUwUtKzj5CqFQbopump", "View")</f>
        <v>View</v>
      </c>
    </row>
    <row r="87" spans="1:16" x14ac:dyDescent="0.25">
      <c r="A87" s="16" t="s">
        <v>777</v>
      </c>
      <c r="B87" s="17">
        <v>407970</v>
      </c>
      <c r="C87" s="17">
        <v>367173</v>
      </c>
      <c r="D87" s="17" t="s">
        <v>864</v>
      </c>
      <c r="E87" s="17" t="s">
        <v>9710</v>
      </c>
      <c r="F87" s="17" t="s">
        <v>5705</v>
      </c>
      <c r="G87" s="15" t="s">
        <v>10044</v>
      </c>
      <c r="H87" s="15" t="s">
        <v>10045</v>
      </c>
      <c r="I87" s="17" t="s">
        <v>88</v>
      </c>
      <c r="J87" s="17">
        <v>1</v>
      </c>
      <c r="K87" s="17">
        <v>1</v>
      </c>
      <c r="L87" s="17" t="s">
        <v>10046</v>
      </c>
      <c r="M87" s="17" t="s">
        <v>2113</v>
      </c>
      <c r="N87" s="17" t="s">
        <v>10047</v>
      </c>
      <c r="O87" s="17" t="s">
        <v>783</v>
      </c>
      <c r="P87" s="17" t="str">
        <f>HYPERLINK("https://dexscreener.com/solana/ChxbSs4KuqSXMeAb7pa1eLxMgQ9wWybGoS3RLUt6pump", "View")</f>
        <v>View</v>
      </c>
    </row>
    <row r="88" spans="1:16" x14ac:dyDescent="0.25">
      <c r="A88" s="13" t="s">
        <v>10048</v>
      </c>
      <c r="B88" s="14">
        <v>1528685</v>
      </c>
      <c r="C88" s="14">
        <v>1375816</v>
      </c>
      <c r="D88" s="14" t="s">
        <v>864</v>
      </c>
      <c r="E88" s="14" t="s">
        <v>9710</v>
      </c>
      <c r="F88" s="14" t="s">
        <v>10049</v>
      </c>
      <c r="G88" s="15" t="s">
        <v>7881</v>
      </c>
      <c r="H88" s="15" t="s">
        <v>10050</v>
      </c>
      <c r="I88" s="14" t="s">
        <v>88</v>
      </c>
      <c r="J88" s="14">
        <v>1</v>
      </c>
      <c r="K88" s="14">
        <v>1</v>
      </c>
      <c r="L88" s="14" t="s">
        <v>10051</v>
      </c>
      <c r="M88" s="14" t="s">
        <v>117</v>
      </c>
      <c r="N88" s="14" t="s">
        <v>10052</v>
      </c>
      <c r="O88" s="14" t="s">
        <v>10053</v>
      </c>
      <c r="P88" s="14" t="str">
        <f>HYPERLINK("https://dexscreener.com/solana/718gx2c3LUQMiCSUhu9mPCEyiGeo8T5cHiaa1UP9pump", "View")</f>
        <v>View</v>
      </c>
    </row>
    <row r="89" spans="1:16" x14ac:dyDescent="0.25">
      <c r="A89" s="16" t="s">
        <v>10054</v>
      </c>
      <c r="B89" s="17">
        <v>1433899</v>
      </c>
      <c r="C89" s="17">
        <v>1312017</v>
      </c>
      <c r="D89" s="17" t="s">
        <v>883</v>
      </c>
      <c r="E89" s="17" t="s">
        <v>9710</v>
      </c>
      <c r="F89" s="17" t="s">
        <v>10055</v>
      </c>
      <c r="G89" s="20" t="s">
        <v>2135</v>
      </c>
      <c r="H89" s="20" t="s">
        <v>10056</v>
      </c>
      <c r="I89" s="17" t="s">
        <v>88</v>
      </c>
      <c r="J89" s="17">
        <v>1</v>
      </c>
      <c r="K89" s="17">
        <v>2</v>
      </c>
      <c r="L89" s="17" t="s">
        <v>10057</v>
      </c>
      <c r="M89" s="17" t="s">
        <v>680</v>
      </c>
      <c r="N89" s="17" t="s">
        <v>10058</v>
      </c>
      <c r="O89" s="17" t="s">
        <v>10059</v>
      </c>
      <c r="P89" s="17" t="str">
        <f>HYPERLINK("https://dexscreener.com/solana/8LRpgKZU7e1ckqo6qFMCVmhHNRUAAwu1Nfkc37StXCRs", "View")</f>
        <v>View</v>
      </c>
    </row>
    <row r="90" spans="1:16" x14ac:dyDescent="0.25">
      <c r="A90" s="13" t="s">
        <v>10060</v>
      </c>
      <c r="B90" s="14">
        <v>1558835</v>
      </c>
      <c r="C90" s="14">
        <v>1402951</v>
      </c>
      <c r="D90" s="14" t="s">
        <v>864</v>
      </c>
      <c r="E90" s="14" t="s">
        <v>9710</v>
      </c>
      <c r="F90" s="14" t="s">
        <v>10061</v>
      </c>
      <c r="G90" s="15" t="s">
        <v>10062</v>
      </c>
      <c r="H90" s="15" t="s">
        <v>10063</v>
      </c>
      <c r="I90" s="14" t="s">
        <v>88</v>
      </c>
      <c r="J90" s="14">
        <v>1</v>
      </c>
      <c r="K90" s="14">
        <v>1</v>
      </c>
      <c r="L90" s="14" t="s">
        <v>10064</v>
      </c>
      <c r="M90" s="14" t="s">
        <v>117</v>
      </c>
      <c r="N90" s="14" t="s">
        <v>10065</v>
      </c>
      <c r="O90" s="14" t="s">
        <v>10066</v>
      </c>
      <c r="P90" s="14" t="str">
        <f>HYPERLINK("https://dexscreener.com/solana/2VKiYiQ8Fav48eu8NMXHK2ZrNzTkzEznvp7dY9iapump", "View")</f>
        <v>View</v>
      </c>
    </row>
    <row r="91" spans="1:16" x14ac:dyDescent="0.25">
      <c r="A91" s="16" t="s">
        <v>10067</v>
      </c>
      <c r="B91" s="17">
        <v>339654</v>
      </c>
      <c r="C91" s="17">
        <v>0</v>
      </c>
      <c r="D91" s="17" t="s">
        <v>864</v>
      </c>
      <c r="E91" s="17" t="s">
        <v>9710</v>
      </c>
      <c r="F91" s="17" t="s">
        <v>96</v>
      </c>
      <c r="G91" s="18" t="s">
        <v>9728</v>
      </c>
      <c r="H91" s="18" t="s">
        <v>98</v>
      </c>
      <c r="I91" s="17" t="s">
        <v>10068</v>
      </c>
      <c r="J91" s="17">
        <v>1</v>
      </c>
      <c r="K91" s="17">
        <v>0</v>
      </c>
      <c r="L91" s="17" t="s">
        <v>10069</v>
      </c>
      <c r="M91" s="19" t="s">
        <v>101</v>
      </c>
      <c r="N91" s="17" t="s">
        <v>10070</v>
      </c>
      <c r="O91" s="17" t="s">
        <v>10071</v>
      </c>
      <c r="P91" s="17" t="str">
        <f>HYPERLINK("https://dexscreener.com/solana/6UaBXHo66aMBk82hR2xzB466sv4vNc9dnJdHtrBmpump", "View")</f>
        <v>View</v>
      </c>
    </row>
    <row r="92" spans="1:16" x14ac:dyDescent="0.25">
      <c r="A92" s="13" t="s">
        <v>791</v>
      </c>
      <c r="B92" s="14">
        <v>6361384</v>
      </c>
      <c r="C92" s="14">
        <v>0</v>
      </c>
      <c r="D92" s="14" t="s">
        <v>864</v>
      </c>
      <c r="E92" s="14" t="s">
        <v>9710</v>
      </c>
      <c r="F92" s="14" t="s">
        <v>96</v>
      </c>
      <c r="G92" s="18" t="s">
        <v>9728</v>
      </c>
      <c r="H92" s="18" t="s">
        <v>98</v>
      </c>
      <c r="I92" s="14" t="s">
        <v>10072</v>
      </c>
      <c r="J92" s="14">
        <v>1</v>
      </c>
      <c r="K92" s="14">
        <v>0</v>
      </c>
      <c r="L92" s="14" t="s">
        <v>10073</v>
      </c>
      <c r="M92" s="19" t="s">
        <v>101</v>
      </c>
      <c r="N92" s="14" t="s">
        <v>573</v>
      </c>
      <c r="O92" s="14" t="s">
        <v>795</v>
      </c>
      <c r="P92" s="14" t="str">
        <f>HYPERLINK("https://dexscreener.com/solana/9HQgmwZe3nBDGjpScqhm1fJaT1ZzY4LWDk5ob3s9pump", "View")</f>
        <v>View</v>
      </c>
    </row>
    <row r="93" spans="1:16" x14ac:dyDescent="0.25">
      <c r="A93" s="16" t="s">
        <v>10074</v>
      </c>
      <c r="B93" s="17">
        <v>840962</v>
      </c>
      <c r="C93" s="17">
        <v>793069</v>
      </c>
      <c r="D93" s="17" t="s">
        <v>883</v>
      </c>
      <c r="E93" s="17" t="s">
        <v>9710</v>
      </c>
      <c r="F93" s="17" t="s">
        <v>10075</v>
      </c>
      <c r="G93" s="21" t="s">
        <v>10076</v>
      </c>
      <c r="H93" s="21" t="s">
        <v>10077</v>
      </c>
      <c r="I93" s="17" t="s">
        <v>88</v>
      </c>
      <c r="J93" s="17">
        <v>1</v>
      </c>
      <c r="K93" s="17">
        <v>3</v>
      </c>
      <c r="L93" s="17" t="s">
        <v>10078</v>
      </c>
      <c r="M93" s="17" t="s">
        <v>179</v>
      </c>
      <c r="N93" s="17" t="s">
        <v>10079</v>
      </c>
      <c r="O93" s="17" t="s">
        <v>10080</v>
      </c>
      <c r="P93" s="17" t="str">
        <f>HYPERLINK("https://dexscreener.com/solana/H6QvmSwAEfpG2r7K7PJK7yCM2b42oWnWte7jZP6cpump", "View")</f>
        <v>View</v>
      </c>
    </row>
    <row r="94" spans="1:16" x14ac:dyDescent="0.25">
      <c r="A94" s="13" t="s">
        <v>10081</v>
      </c>
      <c r="B94" s="14">
        <v>3499257</v>
      </c>
      <c r="C94" s="14">
        <v>3149331</v>
      </c>
      <c r="D94" s="14" t="s">
        <v>864</v>
      </c>
      <c r="E94" s="14" t="s">
        <v>9710</v>
      </c>
      <c r="F94" s="14" t="s">
        <v>3951</v>
      </c>
      <c r="G94" s="15" t="s">
        <v>10082</v>
      </c>
      <c r="H94" s="15" t="s">
        <v>10083</v>
      </c>
      <c r="I94" s="14" t="s">
        <v>88</v>
      </c>
      <c r="J94" s="14">
        <v>1</v>
      </c>
      <c r="K94" s="14">
        <v>1</v>
      </c>
      <c r="L94" s="14" t="s">
        <v>10084</v>
      </c>
      <c r="M94" s="14" t="s">
        <v>117</v>
      </c>
      <c r="N94" s="14" t="s">
        <v>10085</v>
      </c>
      <c r="O94" s="14" t="s">
        <v>10086</v>
      </c>
      <c r="P94" s="14" t="str">
        <f>HYPERLINK("https://dexscreener.com/solana/FSqwGmzdf1V3RFfmdgd7XZZtMoeVmoFggveNK48epump", "View")</f>
        <v>View</v>
      </c>
    </row>
    <row r="95" spans="1:16" x14ac:dyDescent="0.25">
      <c r="A95" s="16" t="s">
        <v>10087</v>
      </c>
      <c r="B95" s="17">
        <v>4754733</v>
      </c>
      <c r="C95" s="17">
        <v>0</v>
      </c>
      <c r="D95" s="17" t="s">
        <v>864</v>
      </c>
      <c r="E95" s="17" t="s">
        <v>9710</v>
      </c>
      <c r="F95" s="17" t="s">
        <v>96</v>
      </c>
      <c r="G95" s="18" t="s">
        <v>9728</v>
      </c>
      <c r="H95" s="18" t="s">
        <v>98</v>
      </c>
      <c r="I95" s="17" t="s">
        <v>10088</v>
      </c>
      <c r="J95" s="17">
        <v>1</v>
      </c>
      <c r="K95" s="17">
        <v>0</v>
      </c>
      <c r="L95" s="17" t="s">
        <v>10089</v>
      </c>
      <c r="M95" s="19" t="s">
        <v>101</v>
      </c>
      <c r="N95" s="17" t="s">
        <v>10090</v>
      </c>
      <c r="O95" s="17" t="s">
        <v>10091</v>
      </c>
      <c r="P95" s="17" t="str">
        <f>HYPERLINK("https://dexscreener.com/solana/6KyLYVDdkRZRhtYxtSAmvezPmR9aPcJB4DSz5LhQpump", "View")</f>
        <v>View</v>
      </c>
    </row>
    <row r="96" spans="1:16" x14ac:dyDescent="0.25">
      <c r="A96" s="13" t="s">
        <v>10092</v>
      </c>
      <c r="B96" s="14">
        <v>2317931</v>
      </c>
      <c r="C96" s="14">
        <v>0</v>
      </c>
      <c r="D96" s="14" t="s">
        <v>864</v>
      </c>
      <c r="E96" s="14" t="s">
        <v>9710</v>
      </c>
      <c r="F96" s="14" t="s">
        <v>96</v>
      </c>
      <c r="G96" s="18" t="s">
        <v>9728</v>
      </c>
      <c r="H96" s="18" t="s">
        <v>98</v>
      </c>
      <c r="I96" s="14" t="s">
        <v>10093</v>
      </c>
      <c r="J96" s="14">
        <v>1</v>
      </c>
      <c r="K96" s="14">
        <v>0</v>
      </c>
      <c r="L96" s="14" t="s">
        <v>10094</v>
      </c>
      <c r="M96" s="19" t="s">
        <v>101</v>
      </c>
      <c r="N96" s="14" t="s">
        <v>10095</v>
      </c>
      <c r="O96" s="14" t="s">
        <v>10096</v>
      </c>
      <c r="P96" s="14" t="str">
        <f>HYPERLINK("https://dexscreener.com/solana/E9NsgUHspPfAhxAQrJacEm8GWi4KAoCYTDStDkvxpump", "View")</f>
        <v>View</v>
      </c>
    </row>
    <row r="97" spans="1:16" x14ac:dyDescent="0.25">
      <c r="A97" s="16" t="s">
        <v>10097</v>
      </c>
      <c r="B97" s="17">
        <v>737113</v>
      </c>
      <c r="C97" s="17">
        <v>317326</v>
      </c>
      <c r="D97" s="17" t="s">
        <v>10098</v>
      </c>
      <c r="E97" s="17" t="s">
        <v>9710</v>
      </c>
      <c r="F97" s="17" t="s">
        <v>10099</v>
      </c>
      <c r="G97" s="21" t="s">
        <v>10100</v>
      </c>
      <c r="H97" s="21" t="s">
        <v>10101</v>
      </c>
      <c r="I97" s="17" t="s">
        <v>88</v>
      </c>
      <c r="J97" s="17">
        <v>1</v>
      </c>
      <c r="K97" s="17">
        <v>2</v>
      </c>
      <c r="L97" s="17" t="s">
        <v>10102</v>
      </c>
      <c r="M97" s="17" t="s">
        <v>132</v>
      </c>
      <c r="N97" s="17" t="s">
        <v>10103</v>
      </c>
      <c r="O97" s="17" t="s">
        <v>10104</v>
      </c>
      <c r="P97" s="17" t="str">
        <f>HYPERLINK("https://dexscreener.com/solana/2E6SSuVKVrQ6113KpWvzvhfY9yQ647E83V6e656fpump", "View")</f>
        <v>View</v>
      </c>
    </row>
    <row r="98" spans="1:16" x14ac:dyDescent="0.25">
      <c r="A98" s="13" t="s">
        <v>10105</v>
      </c>
      <c r="B98" s="14">
        <v>1126628</v>
      </c>
      <c r="C98" s="14">
        <v>1013965</v>
      </c>
      <c r="D98" s="14" t="s">
        <v>9388</v>
      </c>
      <c r="E98" s="14" t="s">
        <v>9710</v>
      </c>
      <c r="F98" s="14" t="s">
        <v>5140</v>
      </c>
      <c r="G98" s="15" t="s">
        <v>9785</v>
      </c>
      <c r="H98" s="15" t="s">
        <v>10106</v>
      </c>
      <c r="I98" s="14" t="s">
        <v>88</v>
      </c>
      <c r="J98" s="14">
        <v>1</v>
      </c>
      <c r="K98" s="14">
        <v>1</v>
      </c>
      <c r="L98" s="14" t="s">
        <v>10107</v>
      </c>
      <c r="M98" s="14" t="s">
        <v>132</v>
      </c>
      <c r="N98" s="14" t="s">
        <v>10108</v>
      </c>
      <c r="O98" s="14" t="s">
        <v>10109</v>
      </c>
      <c r="P98" s="14" t="str">
        <f>HYPERLINK("https://dexscreener.com/solana/5aAjG4E2xEmYFWE7V3eoFS9ZQdXuRCwv8zhuJgMypump", "View")</f>
        <v>View</v>
      </c>
    </row>
    <row r="99" spans="1:16" x14ac:dyDescent="0.25">
      <c r="A99" s="16" t="s">
        <v>10110</v>
      </c>
      <c r="B99" s="17">
        <v>532774</v>
      </c>
      <c r="C99" s="17">
        <v>479496</v>
      </c>
      <c r="D99" s="17" t="s">
        <v>9388</v>
      </c>
      <c r="E99" s="17" t="s">
        <v>9710</v>
      </c>
      <c r="F99" s="17" t="s">
        <v>5311</v>
      </c>
      <c r="G99" s="15" t="s">
        <v>9764</v>
      </c>
      <c r="H99" s="15" t="s">
        <v>10111</v>
      </c>
      <c r="I99" s="17" t="s">
        <v>88</v>
      </c>
      <c r="J99" s="17">
        <v>1</v>
      </c>
      <c r="K99" s="17">
        <v>1</v>
      </c>
      <c r="L99" s="17" t="s">
        <v>10112</v>
      </c>
      <c r="M99" s="17" t="s">
        <v>745</v>
      </c>
      <c r="N99" s="17" t="s">
        <v>10113</v>
      </c>
      <c r="O99" s="17" t="s">
        <v>10114</v>
      </c>
      <c r="P99" s="17" t="str">
        <f>HYPERLINK("https://dexscreener.com/solana/4a4f9nTJDjVhEaSwF2EHxv9rbfpgHsTkN6933MkZpump", "View")</f>
        <v>View</v>
      </c>
    </row>
    <row r="100" spans="1:16" x14ac:dyDescent="0.25">
      <c r="A100" s="13" t="s">
        <v>10115</v>
      </c>
      <c r="B100" s="14">
        <v>1328463</v>
      </c>
      <c r="C100" s="14">
        <v>1195616</v>
      </c>
      <c r="D100" s="14" t="s">
        <v>1762</v>
      </c>
      <c r="E100" s="14" t="s">
        <v>9710</v>
      </c>
      <c r="F100" s="14" t="s">
        <v>10011</v>
      </c>
      <c r="G100" s="15" t="s">
        <v>10116</v>
      </c>
      <c r="H100" s="15" t="s">
        <v>10117</v>
      </c>
      <c r="I100" s="14" t="s">
        <v>88</v>
      </c>
      <c r="J100" s="14">
        <v>1</v>
      </c>
      <c r="K100" s="14">
        <v>1</v>
      </c>
      <c r="L100" s="14" t="s">
        <v>10118</v>
      </c>
      <c r="M100" s="14" t="s">
        <v>745</v>
      </c>
      <c r="N100" s="14" t="s">
        <v>10119</v>
      </c>
      <c r="O100" s="14" t="s">
        <v>10120</v>
      </c>
      <c r="P100" s="14" t="str">
        <f>HYPERLINK("https://dexscreener.com/solana/XwysrsxGghWCu9PEFbp6bZ21xm7auUxA6WWf1T2pump", "View")</f>
        <v>View</v>
      </c>
    </row>
    <row r="101" spans="1:16" x14ac:dyDescent="0.25">
      <c r="A101" s="16" t="s">
        <v>3878</v>
      </c>
      <c r="B101" s="17">
        <v>405597</v>
      </c>
      <c r="C101" s="17">
        <v>365037</v>
      </c>
      <c r="D101" s="17" t="s">
        <v>1762</v>
      </c>
      <c r="E101" s="17" t="s">
        <v>9710</v>
      </c>
      <c r="F101" s="17" t="s">
        <v>10121</v>
      </c>
      <c r="G101" s="15" t="s">
        <v>7526</v>
      </c>
      <c r="H101" s="15" t="s">
        <v>10122</v>
      </c>
      <c r="I101" s="17" t="s">
        <v>88</v>
      </c>
      <c r="J101" s="17">
        <v>1</v>
      </c>
      <c r="K101" s="17">
        <v>1</v>
      </c>
      <c r="L101" s="17" t="s">
        <v>10123</v>
      </c>
      <c r="M101" s="17" t="s">
        <v>745</v>
      </c>
      <c r="N101" s="17" t="s">
        <v>10124</v>
      </c>
      <c r="O101" s="17" t="s">
        <v>10125</v>
      </c>
      <c r="P101" s="17" t="str">
        <f>HYPERLINK("https://dexscreener.com/solana/FAVwsjCnEvSDTCJXmvyeSBX3RrYH8dTYSyFQH9SApump", "View")</f>
        <v>View</v>
      </c>
    </row>
    <row r="102" spans="1:16" x14ac:dyDescent="0.25">
      <c r="A102" s="13" t="s">
        <v>10126</v>
      </c>
      <c r="B102" s="14">
        <v>1155901</v>
      </c>
      <c r="C102" s="14">
        <v>1116985</v>
      </c>
      <c r="D102" s="14" t="s">
        <v>10127</v>
      </c>
      <c r="E102" s="14" t="s">
        <v>9710</v>
      </c>
      <c r="F102" s="14" t="s">
        <v>10128</v>
      </c>
      <c r="G102" s="21" t="s">
        <v>9432</v>
      </c>
      <c r="H102" s="21" t="s">
        <v>10129</v>
      </c>
      <c r="I102" s="14" t="s">
        <v>88</v>
      </c>
      <c r="J102" s="14">
        <v>1</v>
      </c>
      <c r="K102" s="14">
        <v>4</v>
      </c>
      <c r="L102" s="14" t="s">
        <v>10130</v>
      </c>
      <c r="M102" s="14" t="s">
        <v>132</v>
      </c>
      <c r="N102" s="14" t="s">
        <v>10131</v>
      </c>
      <c r="O102" s="14" t="s">
        <v>10132</v>
      </c>
      <c r="P102" s="14" t="str">
        <f>HYPERLINK("https://dexscreener.com/solana/BmnUU9r1F9PJm4N5z9Pv4Ev7Exp8DxYiL2NVQoKSrsS7", "View")</f>
        <v>View</v>
      </c>
    </row>
    <row r="103" spans="1:16" x14ac:dyDescent="0.25">
      <c r="A103" s="16" t="s">
        <v>10133</v>
      </c>
      <c r="B103" s="17">
        <v>1131065</v>
      </c>
      <c r="C103" s="17">
        <v>0</v>
      </c>
      <c r="D103" s="17" t="s">
        <v>10134</v>
      </c>
      <c r="E103" s="17" t="s">
        <v>9710</v>
      </c>
      <c r="F103" s="17" t="s">
        <v>96</v>
      </c>
      <c r="G103" s="18" t="s">
        <v>10135</v>
      </c>
      <c r="H103" s="18" t="s">
        <v>98</v>
      </c>
      <c r="I103" s="17" t="s">
        <v>10136</v>
      </c>
      <c r="J103" s="17">
        <v>1</v>
      </c>
      <c r="K103" s="17">
        <v>0</v>
      </c>
      <c r="L103" s="17" t="s">
        <v>10137</v>
      </c>
      <c r="M103" s="19" t="s">
        <v>101</v>
      </c>
      <c r="N103" s="17" t="s">
        <v>10138</v>
      </c>
      <c r="O103" s="17" t="s">
        <v>10139</v>
      </c>
      <c r="P103" s="17" t="str">
        <f>HYPERLINK("https://dexscreener.com/solana/HEVVLwrFHT4Pygyiyw6spepahCtzTppSqK5rEhz1RZ9k", "View")</f>
        <v>View</v>
      </c>
    </row>
    <row r="104" spans="1:16" x14ac:dyDescent="0.25">
      <c r="A104" s="13" t="s">
        <v>10140</v>
      </c>
      <c r="B104" s="14">
        <v>1735398</v>
      </c>
      <c r="C104" s="14">
        <v>0</v>
      </c>
      <c r="D104" s="14" t="s">
        <v>10134</v>
      </c>
      <c r="E104" s="14" t="s">
        <v>9710</v>
      </c>
      <c r="F104" s="14" t="s">
        <v>96</v>
      </c>
      <c r="G104" s="18" t="s">
        <v>10135</v>
      </c>
      <c r="H104" s="18" t="s">
        <v>98</v>
      </c>
      <c r="I104" s="14" t="s">
        <v>10141</v>
      </c>
      <c r="J104" s="14">
        <v>1</v>
      </c>
      <c r="K104" s="14">
        <v>0</v>
      </c>
      <c r="L104" s="14" t="s">
        <v>10142</v>
      </c>
      <c r="M104" s="19" t="s">
        <v>101</v>
      </c>
      <c r="N104" s="14" t="s">
        <v>10143</v>
      </c>
      <c r="O104" s="14" t="s">
        <v>10144</v>
      </c>
      <c r="P104" s="14" t="str">
        <f>HYPERLINK("https://dexscreener.com/solana/3SzByaRdsXcrEGUdK1g5HMmnhBLuBY2UMji2Sn2Epump", "View")</f>
        <v>View</v>
      </c>
    </row>
    <row r="105" spans="1:16" x14ac:dyDescent="0.25">
      <c r="A105" s="16" t="s">
        <v>10145</v>
      </c>
      <c r="B105" s="17">
        <v>445966</v>
      </c>
      <c r="C105" s="17">
        <v>401369</v>
      </c>
      <c r="D105" s="17" t="s">
        <v>9388</v>
      </c>
      <c r="E105" s="17" t="s">
        <v>9710</v>
      </c>
      <c r="F105" s="17" t="s">
        <v>4147</v>
      </c>
      <c r="G105" s="15" t="s">
        <v>10146</v>
      </c>
      <c r="H105" s="15" t="s">
        <v>10147</v>
      </c>
      <c r="I105" s="17" t="s">
        <v>88</v>
      </c>
      <c r="J105" s="17">
        <v>1</v>
      </c>
      <c r="K105" s="17">
        <v>1</v>
      </c>
      <c r="L105" s="17" t="s">
        <v>10148</v>
      </c>
      <c r="M105" s="17" t="s">
        <v>179</v>
      </c>
      <c r="N105" s="17" t="s">
        <v>10149</v>
      </c>
      <c r="O105" s="17" t="s">
        <v>10150</v>
      </c>
      <c r="P105" s="17" t="str">
        <f>HYPERLINK("https://dexscreener.com/solana/7rAhTkxAqhwnZ4xsUnP7vVtwdnf5im8akUomJssDpump", "View")</f>
        <v>View</v>
      </c>
    </row>
    <row r="106" spans="1:16" x14ac:dyDescent="0.25">
      <c r="A106" s="13" t="s">
        <v>10151</v>
      </c>
      <c r="B106" s="14">
        <v>1270529</v>
      </c>
      <c r="C106" s="14">
        <v>0</v>
      </c>
      <c r="D106" s="14" t="s">
        <v>10134</v>
      </c>
      <c r="E106" s="14" t="s">
        <v>9710</v>
      </c>
      <c r="F106" s="14" t="s">
        <v>96</v>
      </c>
      <c r="G106" s="18" t="s">
        <v>10135</v>
      </c>
      <c r="H106" s="18" t="s">
        <v>98</v>
      </c>
      <c r="I106" s="14" t="s">
        <v>10152</v>
      </c>
      <c r="J106" s="14">
        <v>1</v>
      </c>
      <c r="K106" s="14">
        <v>0</v>
      </c>
      <c r="L106" s="14" t="s">
        <v>10153</v>
      </c>
      <c r="M106" s="19" t="s">
        <v>101</v>
      </c>
      <c r="N106" s="14" t="s">
        <v>10154</v>
      </c>
      <c r="O106" s="14" t="s">
        <v>10155</v>
      </c>
      <c r="P106" s="14" t="str">
        <f>HYPERLINK("https://dexscreener.com/solana/3ssgRYnBVbWHCwv6FAqHsK1D9ACPTVsMcAD4z4TKpump", "View")</f>
        <v>View</v>
      </c>
    </row>
    <row r="107" spans="1:16" x14ac:dyDescent="0.25">
      <c r="A107" s="16" t="s">
        <v>10156</v>
      </c>
      <c r="B107" s="17">
        <v>712790</v>
      </c>
      <c r="C107" s="17">
        <v>641510</v>
      </c>
      <c r="D107" s="17" t="s">
        <v>10157</v>
      </c>
      <c r="E107" s="17" t="s">
        <v>9710</v>
      </c>
      <c r="F107" s="17" t="s">
        <v>1884</v>
      </c>
      <c r="G107" s="15" t="s">
        <v>8893</v>
      </c>
      <c r="H107" s="15" t="s">
        <v>10158</v>
      </c>
      <c r="I107" s="17" t="s">
        <v>88</v>
      </c>
      <c r="J107" s="17">
        <v>1</v>
      </c>
      <c r="K107" s="17">
        <v>1</v>
      </c>
      <c r="L107" s="17" t="s">
        <v>10159</v>
      </c>
      <c r="M107" s="17" t="s">
        <v>277</v>
      </c>
      <c r="N107" s="17" t="s">
        <v>10160</v>
      </c>
      <c r="O107" s="17" t="s">
        <v>10161</v>
      </c>
      <c r="P107" s="17" t="str">
        <f>HYPERLINK("https://dexscreener.com/solana/FueRQG7Pe1EmMGtcevu95YwtCKNMQg1zRbreLsw3pump", "View")</f>
        <v>View</v>
      </c>
    </row>
    <row r="108" spans="1:16" x14ac:dyDescent="0.25">
      <c r="A108" s="13" t="s">
        <v>10162</v>
      </c>
      <c r="B108" s="14">
        <v>2613608</v>
      </c>
      <c r="C108" s="14">
        <v>0</v>
      </c>
      <c r="D108" s="14" t="s">
        <v>10163</v>
      </c>
      <c r="E108" s="14" t="s">
        <v>9710</v>
      </c>
      <c r="F108" s="14" t="s">
        <v>96</v>
      </c>
      <c r="G108" s="18" t="s">
        <v>10164</v>
      </c>
      <c r="H108" s="18" t="s">
        <v>98</v>
      </c>
      <c r="I108" s="14" t="s">
        <v>10165</v>
      </c>
      <c r="J108" s="14">
        <v>1</v>
      </c>
      <c r="K108" s="14">
        <v>0</v>
      </c>
      <c r="L108" s="14" t="s">
        <v>10166</v>
      </c>
      <c r="M108" s="19" t="s">
        <v>101</v>
      </c>
      <c r="N108" s="14" t="s">
        <v>10167</v>
      </c>
      <c r="O108" s="14" t="s">
        <v>10168</v>
      </c>
      <c r="P108" s="14" t="str">
        <f>HYPERLINK("https://dexscreener.com/solana/FnNgTcbRNWAUt4ubGRckrMFJivdg5YjwU8fwvjtYpump", "View")</f>
        <v>View</v>
      </c>
    </row>
    <row r="109" spans="1:16" x14ac:dyDescent="0.25">
      <c r="A109" s="16" t="s">
        <v>10169</v>
      </c>
      <c r="B109" s="17">
        <v>886</v>
      </c>
      <c r="C109" s="17">
        <v>0</v>
      </c>
      <c r="D109" s="17" t="s">
        <v>10163</v>
      </c>
      <c r="E109" s="17" t="s">
        <v>9710</v>
      </c>
      <c r="F109" s="17" t="s">
        <v>96</v>
      </c>
      <c r="G109" s="18" t="s">
        <v>10164</v>
      </c>
      <c r="H109" s="18" t="s">
        <v>98</v>
      </c>
      <c r="I109" s="17" t="s">
        <v>10170</v>
      </c>
      <c r="J109" s="17">
        <v>1</v>
      </c>
      <c r="K109" s="17">
        <v>0</v>
      </c>
      <c r="L109" s="17" t="s">
        <v>10171</v>
      </c>
      <c r="M109" s="19" t="s">
        <v>101</v>
      </c>
      <c r="N109" s="17" t="s">
        <v>10172</v>
      </c>
      <c r="O109" s="17" t="s">
        <v>10173</v>
      </c>
      <c r="P109" s="17" t="str">
        <f>HYPERLINK("https://dexscreener.com/solana/JBwLRGSe48MsgNjFX2dRjimbqfip1sFS2UgHSQHD5Q8m", "View")</f>
        <v>View</v>
      </c>
    </row>
    <row r="110" spans="1:16" x14ac:dyDescent="0.25">
      <c r="A110" s="13" t="s">
        <v>10174</v>
      </c>
      <c r="B110" s="14">
        <v>679907</v>
      </c>
      <c r="C110" s="14">
        <v>0</v>
      </c>
      <c r="D110" s="14" t="s">
        <v>10163</v>
      </c>
      <c r="E110" s="14" t="s">
        <v>9710</v>
      </c>
      <c r="F110" s="14" t="s">
        <v>96</v>
      </c>
      <c r="G110" s="18" t="s">
        <v>10164</v>
      </c>
      <c r="H110" s="18" t="s">
        <v>98</v>
      </c>
      <c r="I110" s="14" t="s">
        <v>10175</v>
      </c>
      <c r="J110" s="14">
        <v>1</v>
      </c>
      <c r="K110" s="14">
        <v>0</v>
      </c>
      <c r="L110" s="14" t="s">
        <v>10176</v>
      </c>
      <c r="M110" s="19" t="s">
        <v>101</v>
      </c>
      <c r="N110" s="14" t="s">
        <v>10177</v>
      </c>
      <c r="O110" s="14" t="s">
        <v>10178</v>
      </c>
      <c r="P110" s="14" t="str">
        <f>HYPERLINK("https://dexscreener.com/solana/AHf7kfRnDSMMNxZBq9W3SRMznsLH7NkbfrvPoPpCpump", "View")</f>
        <v>View</v>
      </c>
    </row>
    <row r="111" spans="1:16" x14ac:dyDescent="0.25">
      <c r="A111" s="16" t="s">
        <v>10179</v>
      </c>
      <c r="B111" s="17">
        <v>2253820</v>
      </c>
      <c r="C111" s="17">
        <v>0</v>
      </c>
      <c r="D111" s="17" t="s">
        <v>10163</v>
      </c>
      <c r="E111" s="17" t="s">
        <v>9710</v>
      </c>
      <c r="F111" s="17" t="s">
        <v>96</v>
      </c>
      <c r="G111" s="18" t="s">
        <v>10164</v>
      </c>
      <c r="H111" s="18" t="s">
        <v>98</v>
      </c>
      <c r="I111" s="17" t="s">
        <v>10180</v>
      </c>
      <c r="J111" s="17">
        <v>1</v>
      </c>
      <c r="K111" s="17">
        <v>0</v>
      </c>
      <c r="L111" s="17" t="s">
        <v>10181</v>
      </c>
      <c r="M111" s="19" t="s">
        <v>101</v>
      </c>
      <c r="N111" s="17" t="s">
        <v>10182</v>
      </c>
      <c r="O111" s="17" t="s">
        <v>10183</v>
      </c>
      <c r="P111" s="17" t="str">
        <f>HYPERLINK("https://dexscreener.com/solana/Cwn264JBW75ZXNnQASquGPvXcdaBLvomDV4xuNfxpump", "View")</f>
        <v>View</v>
      </c>
    </row>
    <row r="112" spans="1:16" x14ac:dyDescent="0.25">
      <c r="A112" s="13" t="s">
        <v>10184</v>
      </c>
      <c r="B112" s="14">
        <v>211976</v>
      </c>
      <c r="C112" s="14">
        <v>0</v>
      </c>
      <c r="D112" s="14" t="s">
        <v>10163</v>
      </c>
      <c r="E112" s="14" t="s">
        <v>9710</v>
      </c>
      <c r="F112" s="14" t="s">
        <v>96</v>
      </c>
      <c r="G112" s="18" t="s">
        <v>10164</v>
      </c>
      <c r="H112" s="18" t="s">
        <v>98</v>
      </c>
      <c r="I112" s="14" t="s">
        <v>10185</v>
      </c>
      <c r="J112" s="14">
        <v>1</v>
      </c>
      <c r="K112" s="14">
        <v>0</v>
      </c>
      <c r="L112" s="14" t="s">
        <v>10186</v>
      </c>
      <c r="M112" s="19" t="s">
        <v>101</v>
      </c>
      <c r="N112" s="14" t="s">
        <v>10187</v>
      </c>
      <c r="O112" s="14" t="s">
        <v>10188</v>
      </c>
      <c r="P112" s="14" t="str">
        <f>HYPERLINK("https://dexscreener.com/solana/FXPn4kM8M252tbRXV4mvdqSQvY6jrg3J5cuRCphXpump", "View")</f>
        <v>View</v>
      </c>
    </row>
    <row r="113" spans="1:16" x14ac:dyDescent="0.25">
      <c r="A113" s="16" t="s">
        <v>10189</v>
      </c>
      <c r="B113" s="17">
        <v>372986</v>
      </c>
      <c r="C113" s="17">
        <v>360491</v>
      </c>
      <c r="D113" s="17" t="s">
        <v>10190</v>
      </c>
      <c r="E113" s="17" t="s">
        <v>1007</v>
      </c>
      <c r="F113" s="17" t="s">
        <v>10191</v>
      </c>
      <c r="G113" s="22" t="s">
        <v>7598</v>
      </c>
      <c r="H113" s="22" t="s">
        <v>10192</v>
      </c>
      <c r="I113" s="17" t="s">
        <v>88</v>
      </c>
      <c r="J113" s="17">
        <v>1</v>
      </c>
      <c r="K113" s="17">
        <v>3</v>
      </c>
      <c r="L113" s="17" t="s">
        <v>10193</v>
      </c>
      <c r="M113" s="17" t="s">
        <v>414</v>
      </c>
      <c r="N113" s="17" t="s">
        <v>10194</v>
      </c>
      <c r="O113" s="17" t="s">
        <v>10195</v>
      </c>
      <c r="P113" s="17" t="str">
        <f>HYPERLINK("https://dexscreener.com/solana/3Ei8SaoL4JWZv1XsWePqiAjVtb7QtpJbV2TSuURmpump", "View")</f>
        <v>View</v>
      </c>
    </row>
    <row r="114" spans="1:16" x14ac:dyDescent="0.25">
      <c r="A114" s="13" t="s">
        <v>10196</v>
      </c>
      <c r="B114" s="14">
        <v>2066140</v>
      </c>
      <c r="C114" s="14">
        <v>1033070</v>
      </c>
      <c r="D114" s="14" t="s">
        <v>10157</v>
      </c>
      <c r="E114" s="14" t="s">
        <v>1007</v>
      </c>
      <c r="F114" s="14" t="s">
        <v>10197</v>
      </c>
      <c r="G114" s="20" t="s">
        <v>10198</v>
      </c>
      <c r="H114" s="20" t="s">
        <v>10199</v>
      </c>
      <c r="I114" s="14" t="s">
        <v>88</v>
      </c>
      <c r="J114" s="14">
        <v>1</v>
      </c>
      <c r="K114" s="14">
        <v>1</v>
      </c>
      <c r="L114" s="14" t="s">
        <v>10200</v>
      </c>
      <c r="M114" s="14" t="s">
        <v>356</v>
      </c>
      <c r="N114" s="14" t="s">
        <v>10201</v>
      </c>
      <c r="O114" s="14" t="s">
        <v>10202</v>
      </c>
      <c r="P114" s="14" t="str">
        <f>HYPERLINK("https://dexscreener.com/solana/Gg7Rc5qog3RXSNFoR9aBUmDZcEpL2iNkwjvTo4LDENWt", "View")</f>
        <v>View</v>
      </c>
    </row>
    <row r="115" spans="1:16" x14ac:dyDescent="0.25">
      <c r="A115" s="16" t="s">
        <v>1205</v>
      </c>
      <c r="B115" s="17">
        <v>1202704</v>
      </c>
      <c r="C115" s="17">
        <v>1052365</v>
      </c>
      <c r="D115" s="17" t="s">
        <v>8478</v>
      </c>
      <c r="E115" s="17" t="s">
        <v>1007</v>
      </c>
      <c r="F115" s="17" t="s">
        <v>10203</v>
      </c>
      <c r="G115" s="21" t="s">
        <v>10204</v>
      </c>
      <c r="H115" s="21" t="s">
        <v>10205</v>
      </c>
      <c r="I115" s="17" t="s">
        <v>88</v>
      </c>
      <c r="J115" s="17">
        <v>1</v>
      </c>
      <c r="K115" s="17">
        <v>3</v>
      </c>
      <c r="L115" s="17" t="s">
        <v>10206</v>
      </c>
      <c r="M115" s="17" t="s">
        <v>150</v>
      </c>
      <c r="N115" s="17" t="s">
        <v>10207</v>
      </c>
      <c r="O115" s="17" t="s">
        <v>10208</v>
      </c>
      <c r="P115" s="17" t="str">
        <f>HYPERLINK("https://dexscreener.com/solana/79yTpy8uwmAkrdgZdq6ZSBTvxKsgPrNqTLvYQBh1pump", "View")</f>
        <v>View</v>
      </c>
    </row>
    <row r="116" spans="1:16" x14ac:dyDescent="0.25">
      <c r="A116" s="13" t="s">
        <v>10209</v>
      </c>
      <c r="B116" s="14">
        <v>403494</v>
      </c>
      <c r="C116" s="14">
        <v>302115</v>
      </c>
      <c r="D116" s="14" t="s">
        <v>8478</v>
      </c>
      <c r="E116" s="14" t="s">
        <v>1007</v>
      </c>
      <c r="F116" s="14" t="s">
        <v>10210</v>
      </c>
      <c r="G116" s="21" t="s">
        <v>2251</v>
      </c>
      <c r="H116" s="21" t="s">
        <v>10211</v>
      </c>
      <c r="I116" s="14" t="s">
        <v>88</v>
      </c>
      <c r="J116" s="14">
        <v>1</v>
      </c>
      <c r="K116" s="14">
        <v>3</v>
      </c>
      <c r="L116" s="14" t="s">
        <v>10212</v>
      </c>
      <c r="M116" s="14" t="s">
        <v>2145</v>
      </c>
      <c r="N116" s="14" t="s">
        <v>10213</v>
      </c>
      <c r="O116" s="14" t="s">
        <v>10214</v>
      </c>
      <c r="P116" s="14" t="str">
        <f>HYPERLINK("https://dexscreener.com/solana/AT7RRrFhBU1Dw1WghdgAqeNKNXKomDFXm77owQgppump", "View")</f>
        <v>View</v>
      </c>
    </row>
    <row r="117" spans="1:16" x14ac:dyDescent="0.25">
      <c r="A117" s="16" t="s">
        <v>10215</v>
      </c>
      <c r="B117" s="17">
        <v>1351</v>
      </c>
      <c r="C117" s="17">
        <v>0</v>
      </c>
      <c r="D117" s="17" t="s">
        <v>10163</v>
      </c>
      <c r="E117" s="17" t="s">
        <v>9710</v>
      </c>
      <c r="F117" s="17" t="s">
        <v>96</v>
      </c>
      <c r="G117" s="18" t="s">
        <v>10164</v>
      </c>
      <c r="H117" s="18" t="s">
        <v>98</v>
      </c>
      <c r="I117" s="17" t="s">
        <v>10216</v>
      </c>
      <c r="J117" s="17">
        <v>1</v>
      </c>
      <c r="K117" s="17">
        <v>0</v>
      </c>
      <c r="L117" s="17" t="s">
        <v>10217</v>
      </c>
      <c r="M117" s="19" t="s">
        <v>101</v>
      </c>
      <c r="N117" s="17" t="s">
        <v>10218</v>
      </c>
      <c r="O117" s="17" t="s">
        <v>10219</v>
      </c>
      <c r="P117" s="17" t="str">
        <f>HYPERLINK("https://dexscreener.com/solana/GLNzbbd7zskRVsVREju1xnDZrR2sECSPkWT5HfwafsMT", "View")</f>
        <v>View</v>
      </c>
    </row>
    <row r="118" spans="1:16" x14ac:dyDescent="0.25">
      <c r="A118" s="13" t="s">
        <v>10220</v>
      </c>
      <c r="B118" s="14">
        <v>1785780</v>
      </c>
      <c r="C118" s="14">
        <v>0</v>
      </c>
      <c r="D118" s="14" t="s">
        <v>10163</v>
      </c>
      <c r="E118" s="14" t="s">
        <v>9710</v>
      </c>
      <c r="F118" s="14" t="s">
        <v>96</v>
      </c>
      <c r="G118" s="18" t="s">
        <v>10164</v>
      </c>
      <c r="H118" s="18" t="s">
        <v>98</v>
      </c>
      <c r="I118" s="14" t="s">
        <v>10221</v>
      </c>
      <c r="J118" s="14">
        <v>1</v>
      </c>
      <c r="K118" s="14">
        <v>0</v>
      </c>
      <c r="L118" s="14" t="s">
        <v>10222</v>
      </c>
      <c r="M118" s="19" t="s">
        <v>101</v>
      </c>
      <c r="N118" s="14" t="s">
        <v>6245</v>
      </c>
      <c r="O118" s="14" t="s">
        <v>10223</v>
      </c>
      <c r="P118" s="14" t="str">
        <f>HYPERLINK("https://dexscreener.com/solana/NovavkexDZZQKFvYThWKgAuaTgMxrGqQyWeGbAM8Ks1", "View")</f>
        <v>View</v>
      </c>
    </row>
    <row r="119" spans="1:16" x14ac:dyDescent="0.25">
      <c r="A119" s="16" t="s">
        <v>10224</v>
      </c>
      <c r="B119" s="17">
        <v>310726</v>
      </c>
      <c r="C119" s="17">
        <v>0</v>
      </c>
      <c r="D119" s="17" t="s">
        <v>10163</v>
      </c>
      <c r="E119" s="17" t="s">
        <v>9710</v>
      </c>
      <c r="F119" s="17" t="s">
        <v>96</v>
      </c>
      <c r="G119" s="18" t="s">
        <v>10164</v>
      </c>
      <c r="H119" s="18" t="s">
        <v>98</v>
      </c>
      <c r="I119" s="17" t="s">
        <v>10225</v>
      </c>
      <c r="J119" s="17">
        <v>1</v>
      </c>
      <c r="K119" s="17">
        <v>0</v>
      </c>
      <c r="L119" s="17" t="s">
        <v>10226</v>
      </c>
      <c r="M119" s="19" t="s">
        <v>101</v>
      </c>
      <c r="N119" s="17" t="s">
        <v>10227</v>
      </c>
      <c r="O119" s="17" t="s">
        <v>10228</v>
      </c>
      <c r="P119" s="17" t="str">
        <f>HYPERLINK("https://dexscreener.com/solana/wpxTGswisVp6q33Rfnt39A7q7R6NzV523pXRpA9pump", "View")</f>
        <v>View</v>
      </c>
    </row>
    <row r="120" spans="1:16" x14ac:dyDescent="0.25">
      <c r="A120" s="13" t="s">
        <v>10229</v>
      </c>
      <c r="B120" s="14">
        <v>706360</v>
      </c>
      <c r="C120" s="14">
        <v>635724</v>
      </c>
      <c r="D120" s="14" t="s">
        <v>10230</v>
      </c>
      <c r="E120" s="14" t="s">
        <v>9710</v>
      </c>
      <c r="F120" s="14" t="s">
        <v>6248</v>
      </c>
      <c r="G120" s="15" t="s">
        <v>10231</v>
      </c>
      <c r="H120" s="15" t="s">
        <v>10232</v>
      </c>
      <c r="I120" s="14" t="s">
        <v>88</v>
      </c>
      <c r="J120" s="14">
        <v>1</v>
      </c>
      <c r="K120" s="14">
        <v>1</v>
      </c>
      <c r="L120" s="14" t="s">
        <v>10233</v>
      </c>
      <c r="M120" s="14" t="s">
        <v>179</v>
      </c>
      <c r="N120" s="14" t="s">
        <v>10234</v>
      </c>
      <c r="O120" s="14" t="s">
        <v>10235</v>
      </c>
      <c r="P120" s="14" t="str">
        <f>HYPERLINK("https://dexscreener.com/solana/3bxVJsSkWHRZ4UeAg7N5YYxz8Z5AhpnrQj9Fe3wgpump", "View")</f>
        <v>View</v>
      </c>
    </row>
    <row r="121" spans="1:16" x14ac:dyDescent="0.25">
      <c r="A121" s="16" t="s">
        <v>4331</v>
      </c>
      <c r="B121" s="17">
        <v>645120</v>
      </c>
      <c r="C121" s="17">
        <v>0</v>
      </c>
      <c r="D121" s="17" t="s">
        <v>10236</v>
      </c>
      <c r="E121" s="17" t="s">
        <v>9710</v>
      </c>
      <c r="F121" s="17" t="s">
        <v>96</v>
      </c>
      <c r="G121" s="18" t="s">
        <v>10237</v>
      </c>
      <c r="H121" s="18" t="s">
        <v>98</v>
      </c>
      <c r="I121" s="17" t="s">
        <v>10238</v>
      </c>
      <c r="J121" s="17">
        <v>1</v>
      </c>
      <c r="K121" s="17">
        <v>0</v>
      </c>
      <c r="L121" s="17" t="s">
        <v>10239</v>
      </c>
      <c r="M121" s="19" t="s">
        <v>101</v>
      </c>
      <c r="N121" s="17" t="s">
        <v>10240</v>
      </c>
      <c r="O121" s="17" t="s">
        <v>10241</v>
      </c>
      <c r="P121" s="17" t="str">
        <f>HYPERLINK("https://dexscreener.com/solana/H8eK75hXWrZRtUSuewapGQPbyHhVKHppErs468vcpump", "View")</f>
        <v>View</v>
      </c>
    </row>
    <row r="122" spans="1:16" x14ac:dyDescent="0.25">
      <c r="A122" s="13" t="s">
        <v>10242</v>
      </c>
      <c r="B122" s="14">
        <v>494443</v>
      </c>
      <c r="C122" s="14">
        <v>0</v>
      </c>
      <c r="D122" s="14" t="s">
        <v>10236</v>
      </c>
      <c r="E122" s="14" t="s">
        <v>9710</v>
      </c>
      <c r="F122" s="14" t="s">
        <v>96</v>
      </c>
      <c r="G122" s="18" t="s">
        <v>10237</v>
      </c>
      <c r="H122" s="18" t="s">
        <v>98</v>
      </c>
      <c r="I122" s="14" t="s">
        <v>10243</v>
      </c>
      <c r="J122" s="14">
        <v>1</v>
      </c>
      <c r="K122" s="14">
        <v>0</v>
      </c>
      <c r="L122" s="14" t="s">
        <v>10244</v>
      </c>
      <c r="M122" s="19" t="s">
        <v>101</v>
      </c>
      <c r="N122" s="14" t="s">
        <v>10245</v>
      </c>
      <c r="O122" s="14" t="s">
        <v>10246</v>
      </c>
      <c r="P122" s="14" t="str">
        <f>HYPERLINK("https://dexscreener.com/solana/4arp7siokxbe72AwiiWVya63QY49HRTbpWrFpNozpump", "View")</f>
        <v>View</v>
      </c>
    </row>
    <row r="123" spans="1:16" x14ac:dyDescent="0.25">
      <c r="A123" s="16" t="s">
        <v>82</v>
      </c>
      <c r="B123" s="17">
        <v>1072516</v>
      </c>
      <c r="C123" s="17">
        <v>160877</v>
      </c>
      <c r="D123" s="17" t="s">
        <v>10247</v>
      </c>
      <c r="E123" s="17" t="s">
        <v>1007</v>
      </c>
      <c r="F123" s="17" t="s">
        <v>2530</v>
      </c>
      <c r="G123" s="20" t="s">
        <v>6131</v>
      </c>
      <c r="H123" s="20" t="s">
        <v>10248</v>
      </c>
      <c r="I123" s="17" t="s">
        <v>88</v>
      </c>
      <c r="J123" s="17">
        <v>1</v>
      </c>
      <c r="K123" s="17">
        <v>1</v>
      </c>
      <c r="L123" s="17" t="s">
        <v>10249</v>
      </c>
      <c r="M123" s="17" t="s">
        <v>414</v>
      </c>
      <c r="N123" s="17" t="s">
        <v>10250</v>
      </c>
      <c r="O123" s="17" t="s">
        <v>10251</v>
      </c>
      <c r="P123" s="17" t="str">
        <f>HYPERLINK("https://dexscreener.com/solana/AU6z1iY7Jt8kLzybWvSzj6jFEqVvXBZaA8VJmK83pump", "View")</f>
        <v>View</v>
      </c>
    </row>
    <row r="124" spans="1:16" x14ac:dyDescent="0.25">
      <c r="A124" s="13" t="s">
        <v>10252</v>
      </c>
      <c r="B124" s="14">
        <v>842209</v>
      </c>
      <c r="C124" s="14">
        <v>0</v>
      </c>
      <c r="D124" s="14" t="s">
        <v>10236</v>
      </c>
      <c r="E124" s="14" t="s">
        <v>9710</v>
      </c>
      <c r="F124" s="14" t="s">
        <v>96</v>
      </c>
      <c r="G124" s="18" t="s">
        <v>10237</v>
      </c>
      <c r="H124" s="18" t="s">
        <v>98</v>
      </c>
      <c r="I124" s="14" t="s">
        <v>10253</v>
      </c>
      <c r="J124" s="14">
        <v>1</v>
      </c>
      <c r="K124" s="14">
        <v>0</v>
      </c>
      <c r="L124" s="14" t="s">
        <v>10254</v>
      </c>
      <c r="M124" s="19" t="s">
        <v>101</v>
      </c>
      <c r="N124" s="14" t="s">
        <v>10255</v>
      </c>
      <c r="O124" s="14" t="s">
        <v>10256</v>
      </c>
      <c r="P124" s="14" t="str">
        <f>HYPERLINK("https://dexscreener.com/solana/pi6XiAqEXP4r3Fe5xd7ZyWC9Ve2pYSaXETQGX9wpump", "View")</f>
        <v>View</v>
      </c>
    </row>
    <row r="125" spans="1:16" x14ac:dyDescent="0.25">
      <c r="A125" s="16" t="s">
        <v>1045</v>
      </c>
      <c r="B125" s="17">
        <v>3090604</v>
      </c>
      <c r="C125" s="17">
        <v>0</v>
      </c>
      <c r="D125" s="17" t="s">
        <v>10236</v>
      </c>
      <c r="E125" s="17" t="s">
        <v>9710</v>
      </c>
      <c r="F125" s="17" t="s">
        <v>96</v>
      </c>
      <c r="G125" s="18" t="s">
        <v>10237</v>
      </c>
      <c r="H125" s="18" t="s">
        <v>98</v>
      </c>
      <c r="I125" s="17" t="s">
        <v>10257</v>
      </c>
      <c r="J125" s="17">
        <v>1</v>
      </c>
      <c r="K125" s="17">
        <v>0</v>
      </c>
      <c r="L125" s="17" t="s">
        <v>10258</v>
      </c>
      <c r="M125" s="19" t="s">
        <v>101</v>
      </c>
      <c r="N125" s="17" t="s">
        <v>10259</v>
      </c>
      <c r="O125" s="17" t="s">
        <v>10260</v>
      </c>
      <c r="P125" s="17" t="str">
        <f>HYPERLINK("https://dexscreener.com/solana/8KapfTcDKMMCN1xujKvDFPA4QSbRci9nSkpyYxoMpump", "View")</f>
        <v>View</v>
      </c>
    </row>
    <row r="126" spans="1:16" x14ac:dyDescent="0.25">
      <c r="A126" s="13" t="s">
        <v>3998</v>
      </c>
      <c r="B126" s="14">
        <v>1415060</v>
      </c>
      <c r="C126" s="14">
        <v>0</v>
      </c>
      <c r="D126" s="14" t="s">
        <v>10236</v>
      </c>
      <c r="E126" s="14" t="s">
        <v>9710</v>
      </c>
      <c r="F126" s="14" t="s">
        <v>96</v>
      </c>
      <c r="G126" s="18" t="s">
        <v>10237</v>
      </c>
      <c r="H126" s="18" t="s">
        <v>98</v>
      </c>
      <c r="I126" s="14" t="s">
        <v>10261</v>
      </c>
      <c r="J126" s="14">
        <v>1</v>
      </c>
      <c r="K126" s="14">
        <v>0</v>
      </c>
      <c r="L126" s="14" t="s">
        <v>10262</v>
      </c>
      <c r="M126" s="19" t="s">
        <v>101</v>
      </c>
      <c r="N126" s="14" t="s">
        <v>6050</v>
      </c>
      <c r="O126" s="14" t="s">
        <v>4004</v>
      </c>
      <c r="P126" s="14" t="str">
        <f>HYPERLINK("https://dexscreener.com/solana/mAhve2iAaV6XXixNXZdwRGDTTHBUp2sb8tD41rHpump", "View")</f>
        <v>View</v>
      </c>
    </row>
    <row r="127" spans="1:16" x14ac:dyDescent="0.25">
      <c r="A127" s="16" t="s">
        <v>2374</v>
      </c>
      <c r="B127" s="17">
        <v>734870</v>
      </c>
      <c r="C127" s="17">
        <v>0</v>
      </c>
      <c r="D127" s="17" t="s">
        <v>10236</v>
      </c>
      <c r="E127" s="17" t="s">
        <v>9710</v>
      </c>
      <c r="F127" s="17" t="s">
        <v>96</v>
      </c>
      <c r="G127" s="18" t="s">
        <v>10237</v>
      </c>
      <c r="H127" s="18" t="s">
        <v>98</v>
      </c>
      <c r="I127" s="17" t="s">
        <v>10263</v>
      </c>
      <c r="J127" s="17">
        <v>1</v>
      </c>
      <c r="K127" s="17">
        <v>0</v>
      </c>
      <c r="L127" s="17" t="s">
        <v>10264</v>
      </c>
      <c r="M127" s="19" t="s">
        <v>101</v>
      </c>
      <c r="N127" s="17" t="s">
        <v>512</v>
      </c>
      <c r="O127" s="17" t="s">
        <v>10265</v>
      </c>
      <c r="P127" s="17" t="str">
        <f>HYPERLINK("https://dexscreener.com/solana/GkyZ89FRpwnMdCxBM3eKXD8zHouFvNxbVC2gb7y8pump", "View")</f>
        <v>View</v>
      </c>
    </row>
    <row r="128" spans="1:16" x14ac:dyDescent="0.25">
      <c r="A128" s="13" t="s">
        <v>10266</v>
      </c>
      <c r="B128" s="14">
        <v>950</v>
      </c>
      <c r="C128" s="14">
        <v>0</v>
      </c>
      <c r="D128" s="14" t="s">
        <v>10236</v>
      </c>
      <c r="E128" s="14" t="s">
        <v>9710</v>
      </c>
      <c r="F128" s="14" t="s">
        <v>96</v>
      </c>
      <c r="G128" s="18" t="s">
        <v>10237</v>
      </c>
      <c r="H128" s="18" t="s">
        <v>98</v>
      </c>
      <c r="I128" s="14" t="s">
        <v>10267</v>
      </c>
      <c r="J128" s="14">
        <v>1</v>
      </c>
      <c r="K128" s="14">
        <v>0</v>
      </c>
      <c r="L128" s="14" t="s">
        <v>10268</v>
      </c>
      <c r="M128" s="19" t="s">
        <v>101</v>
      </c>
      <c r="N128" s="14" t="s">
        <v>10269</v>
      </c>
      <c r="O128" s="14" t="s">
        <v>10270</v>
      </c>
      <c r="P128" s="14" t="str">
        <f>HYPERLINK("https://dexscreener.com/solana/C3HN5P6U8MuLUmNLuS7wGfbtHgQLuHUVgx8zGCshmT7Y", "View")</f>
        <v>View</v>
      </c>
    </row>
    <row r="129" spans="1:16" x14ac:dyDescent="0.25">
      <c r="A129" s="16" t="s">
        <v>10271</v>
      </c>
      <c r="B129" s="17">
        <v>6393042</v>
      </c>
      <c r="C129" s="17">
        <v>5753737</v>
      </c>
      <c r="D129" s="17" t="s">
        <v>10230</v>
      </c>
      <c r="E129" s="17" t="s">
        <v>9710</v>
      </c>
      <c r="F129" s="17" t="s">
        <v>4086</v>
      </c>
      <c r="G129" s="15" t="s">
        <v>10272</v>
      </c>
      <c r="H129" s="15" t="s">
        <v>10273</v>
      </c>
      <c r="I129" s="17" t="s">
        <v>88</v>
      </c>
      <c r="J129" s="17">
        <v>1</v>
      </c>
      <c r="K129" s="17">
        <v>1</v>
      </c>
      <c r="L129" s="17" t="s">
        <v>10274</v>
      </c>
      <c r="M129" s="17" t="s">
        <v>3355</v>
      </c>
      <c r="N129" s="17" t="s">
        <v>10275</v>
      </c>
      <c r="O129" s="17" t="s">
        <v>10276</v>
      </c>
      <c r="P129" s="17" t="str">
        <f>HYPERLINK("https://dexscreener.com/solana/GQZA1Ly7er3qQLMbKz3nDr9NarPwZQda3Q7cFnftrNdT", "View")</f>
        <v>View</v>
      </c>
    </row>
    <row r="130" spans="1:16" x14ac:dyDescent="0.25">
      <c r="A130" s="13" t="s">
        <v>10277</v>
      </c>
      <c r="B130" s="14">
        <v>587594</v>
      </c>
      <c r="C130" s="14">
        <v>88139</v>
      </c>
      <c r="D130" s="14" t="s">
        <v>10230</v>
      </c>
      <c r="E130" s="14" t="s">
        <v>9710</v>
      </c>
      <c r="F130" s="14" t="s">
        <v>10278</v>
      </c>
      <c r="G130" s="15" t="s">
        <v>3786</v>
      </c>
      <c r="H130" s="15" t="s">
        <v>10279</v>
      </c>
      <c r="I130" s="14" t="s">
        <v>88</v>
      </c>
      <c r="J130" s="14">
        <v>1</v>
      </c>
      <c r="K130" s="14">
        <v>1</v>
      </c>
      <c r="L130" s="14" t="s">
        <v>10280</v>
      </c>
      <c r="M130" s="14" t="s">
        <v>680</v>
      </c>
      <c r="N130" s="14" t="s">
        <v>10281</v>
      </c>
      <c r="O130" s="14" t="s">
        <v>10282</v>
      </c>
      <c r="P130" s="14" t="str">
        <f>HYPERLINK("https://dexscreener.com/solana/BEk5erCFDjoVEZYUJV2gJAVrp6CERSEgtY7CsWFYpump", "View")</f>
        <v>View</v>
      </c>
    </row>
    <row r="131" spans="1:16" x14ac:dyDescent="0.25">
      <c r="A131" s="16" t="s">
        <v>10283</v>
      </c>
      <c r="B131" s="17">
        <v>1184</v>
      </c>
      <c r="C131" s="17">
        <v>0</v>
      </c>
      <c r="D131" s="17" t="s">
        <v>10236</v>
      </c>
      <c r="E131" s="17" t="s">
        <v>9710</v>
      </c>
      <c r="F131" s="17" t="s">
        <v>96</v>
      </c>
      <c r="G131" s="18" t="s">
        <v>10237</v>
      </c>
      <c r="H131" s="18" t="s">
        <v>98</v>
      </c>
      <c r="I131" s="17" t="s">
        <v>10284</v>
      </c>
      <c r="J131" s="17">
        <v>1</v>
      </c>
      <c r="K131" s="17">
        <v>0</v>
      </c>
      <c r="L131" s="17" t="s">
        <v>10285</v>
      </c>
      <c r="M131" s="19" t="s">
        <v>101</v>
      </c>
      <c r="N131" s="17" t="s">
        <v>10286</v>
      </c>
      <c r="O131" s="17" t="s">
        <v>10287</v>
      </c>
      <c r="P131" s="17" t="str">
        <f>HYPERLINK("https://dexscreener.com/solana/C2HKY4Rgi9GE1B95Q7i3dvQccLMxtzK4vk8hC6UcnEwm", "View")</f>
        <v>View</v>
      </c>
    </row>
    <row r="132" spans="1:16" x14ac:dyDescent="0.25">
      <c r="A132" s="13" t="s">
        <v>10288</v>
      </c>
      <c r="B132" s="14">
        <v>4689620</v>
      </c>
      <c r="C132" s="14">
        <v>0</v>
      </c>
      <c r="D132" s="14" t="s">
        <v>10236</v>
      </c>
      <c r="E132" s="14" t="s">
        <v>9710</v>
      </c>
      <c r="F132" s="14" t="s">
        <v>96</v>
      </c>
      <c r="G132" s="18" t="s">
        <v>10237</v>
      </c>
      <c r="H132" s="18" t="s">
        <v>98</v>
      </c>
      <c r="I132" s="14" t="s">
        <v>10289</v>
      </c>
      <c r="J132" s="14">
        <v>1</v>
      </c>
      <c r="K132" s="14">
        <v>0</v>
      </c>
      <c r="L132" s="14" t="s">
        <v>10290</v>
      </c>
      <c r="M132" s="19" t="s">
        <v>101</v>
      </c>
      <c r="N132" s="14" t="s">
        <v>591</v>
      </c>
      <c r="O132" s="14" t="s">
        <v>10291</v>
      </c>
      <c r="P132" s="14" t="str">
        <f>HYPERLINK("https://dexscreener.com/solana/HgjX7ZvBUgekABZwapxKqVu4pQ7omi4ZXhPksKUVpump", "View")</f>
        <v>View</v>
      </c>
    </row>
    <row r="133" spans="1:16" x14ac:dyDescent="0.25">
      <c r="A133" s="16" t="s">
        <v>10292</v>
      </c>
      <c r="B133" s="17">
        <v>1384895</v>
      </c>
      <c r="C133" s="17">
        <v>0</v>
      </c>
      <c r="D133" s="17" t="s">
        <v>10236</v>
      </c>
      <c r="E133" s="17" t="s">
        <v>9710</v>
      </c>
      <c r="F133" s="17" t="s">
        <v>96</v>
      </c>
      <c r="G133" s="18" t="s">
        <v>10237</v>
      </c>
      <c r="H133" s="18" t="s">
        <v>98</v>
      </c>
      <c r="I133" s="17" t="s">
        <v>10293</v>
      </c>
      <c r="J133" s="17">
        <v>1</v>
      </c>
      <c r="K133" s="17">
        <v>0</v>
      </c>
      <c r="L133" s="17" t="s">
        <v>10294</v>
      </c>
      <c r="M133" s="19" t="s">
        <v>101</v>
      </c>
      <c r="N133" s="17" t="s">
        <v>10295</v>
      </c>
      <c r="O133" s="17" t="s">
        <v>10296</v>
      </c>
      <c r="P133" s="17" t="str">
        <f>HYPERLINK("https://dexscreener.com/solana/BZF6Hd5Y4qBq96kyjNCDEoBbWZfc7vny9RjiMLNkpump", "View")</f>
        <v>View</v>
      </c>
    </row>
    <row r="134" spans="1:16" x14ac:dyDescent="0.25">
      <c r="A134" s="13" t="s">
        <v>10297</v>
      </c>
      <c r="B134" s="14">
        <v>267652</v>
      </c>
      <c r="C134" s="14">
        <v>0</v>
      </c>
      <c r="D134" s="14" t="s">
        <v>10236</v>
      </c>
      <c r="E134" s="14" t="s">
        <v>9710</v>
      </c>
      <c r="F134" s="14" t="s">
        <v>96</v>
      </c>
      <c r="G134" s="18" t="s">
        <v>10237</v>
      </c>
      <c r="H134" s="18" t="s">
        <v>98</v>
      </c>
      <c r="I134" s="14" t="s">
        <v>10298</v>
      </c>
      <c r="J134" s="14">
        <v>1</v>
      </c>
      <c r="K134" s="14">
        <v>0</v>
      </c>
      <c r="L134" s="14" t="s">
        <v>10299</v>
      </c>
      <c r="M134" s="19" t="s">
        <v>101</v>
      </c>
      <c r="N134" s="14" t="s">
        <v>10300</v>
      </c>
      <c r="O134" s="14" t="s">
        <v>10301</v>
      </c>
      <c r="P134" s="14" t="str">
        <f>HYPERLINK("https://dexscreener.com/solana/6WSppYPevaDEZxdmW2WoHLoSnJMeVyqz8Rqkm8MCpump", "View")</f>
        <v>View</v>
      </c>
    </row>
    <row r="135" spans="1:16" x14ac:dyDescent="0.25">
      <c r="A135" s="16" t="s">
        <v>10302</v>
      </c>
      <c r="B135" s="17">
        <v>157771</v>
      </c>
      <c r="C135" s="17">
        <v>0</v>
      </c>
      <c r="D135" s="17" t="s">
        <v>10236</v>
      </c>
      <c r="E135" s="17" t="s">
        <v>9710</v>
      </c>
      <c r="F135" s="17" t="s">
        <v>96</v>
      </c>
      <c r="G135" s="18" t="s">
        <v>10237</v>
      </c>
      <c r="H135" s="18" t="s">
        <v>98</v>
      </c>
      <c r="I135" s="17" t="s">
        <v>10303</v>
      </c>
      <c r="J135" s="17">
        <v>1</v>
      </c>
      <c r="K135" s="17">
        <v>0</v>
      </c>
      <c r="L135" s="17" t="s">
        <v>10304</v>
      </c>
      <c r="M135" s="19" t="s">
        <v>101</v>
      </c>
      <c r="N135" s="17" t="s">
        <v>332</v>
      </c>
      <c r="O135" s="17" t="s">
        <v>10305</v>
      </c>
      <c r="P135" s="17" t="str">
        <f>HYPERLINK("https://dexscreener.com/solana/DQ9ecb5Pxgz9YTUBaB4PyhRkmM2jSK4P4j6kTZUFpump", "View")</f>
        <v>View</v>
      </c>
    </row>
    <row r="136" spans="1:16" x14ac:dyDescent="0.25">
      <c r="A136" s="13" t="s">
        <v>10306</v>
      </c>
      <c r="B136" s="14">
        <v>1437153</v>
      </c>
      <c r="C136" s="14">
        <v>0</v>
      </c>
      <c r="D136" s="14" t="s">
        <v>10236</v>
      </c>
      <c r="E136" s="14" t="s">
        <v>9710</v>
      </c>
      <c r="F136" s="14" t="s">
        <v>96</v>
      </c>
      <c r="G136" s="18" t="s">
        <v>10237</v>
      </c>
      <c r="H136" s="18" t="s">
        <v>98</v>
      </c>
      <c r="I136" s="14" t="s">
        <v>10307</v>
      </c>
      <c r="J136" s="14">
        <v>1</v>
      </c>
      <c r="K136" s="14">
        <v>0</v>
      </c>
      <c r="L136" s="14" t="s">
        <v>10308</v>
      </c>
      <c r="M136" s="19" t="s">
        <v>101</v>
      </c>
      <c r="N136" s="14" t="s">
        <v>10309</v>
      </c>
      <c r="O136" s="14" t="s">
        <v>10310</v>
      </c>
      <c r="P136" s="14" t="str">
        <f>HYPERLINK("https://dexscreener.com/solana/6FGVQezFyqD7iY1pEXAW2EUoRUk6JL3K6H5aLy76pump", "View")</f>
        <v>View</v>
      </c>
    </row>
    <row r="137" spans="1:16" x14ac:dyDescent="0.25">
      <c r="A137" s="16" t="s">
        <v>2023</v>
      </c>
      <c r="B137" s="17">
        <v>3023886</v>
      </c>
      <c r="C137" s="17">
        <v>0</v>
      </c>
      <c r="D137" s="17" t="s">
        <v>10236</v>
      </c>
      <c r="E137" s="17" t="s">
        <v>9710</v>
      </c>
      <c r="F137" s="17" t="s">
        <v>96</v>
      </c>
      <c r="G137" s="18" t="s">
        <v>10237</v>
      </c>
      <c r="H137" s="18" t="s">
        <v>98</v>
      </c>
      <c r="I137" s="17" t="s">
        <v>10311</v>
      </c>
      <c r="J137" s="17">
        <v>1</v>
      </c>
      <c r="K137" s="17">
        <v>0</v>
      </c>
      <c r="L137" s="17" t="s">
        <v>10312</v>
      </c>
      <c r="M137" s="19" t="s">
        <v>101</v>
      </c>
      <c r="N137" s="17" t="s">
        <v>10313</v>
      </c>
      <c r="O137" s="17" t="s">
        <v>10314</v>
      </c>
      <c r="P137" s="17" t="str">
        <f>HYPERLINK("https://dexscreener.com/solana/BwwEPhfEtzYJf8CEmWjKADDMxqJzD29b2NzS4go1pump", "View")</f>
        <v>View</v>
      </c>
    </row>
    <row r="138" spans="1:16" x14ac:dyDescent="0.25">
      <c r="A138" s="13" t="s">
        <v>3858</v>
      </c>
      <c r="B138" s="14">
        <v>954560</v>
      </c>
      <c r="C138" s="14">
        <v>0</v>
      </c>
      <c r="D138" s="14" t="s">
        <v>10236</v>
      </c>
      <c r="E138" s="14" t="s">
        <v>9710</v>
      </c>
      <c r="F138" s="14" t="s">
        <v>96</v>
      </c>
      <c r="G138" s="18" t="s">
        <v>10237</v>
      </c>
      <c r="H138" s="18" t="s">
        <v>98</v>
      </c>
      <c r="I138" s="14" t="s">
        <v>10315</v>
      </c>
      <c r="J138" s="14">
        <v>1</v>
      </c>
      <c r="K138" s="14">
        <v>0</v>
      </c>
      <c r="L138" s="14" t="s">
        <v>10316</v>
      </c>
      <c r="M138" s="19" t="s">
        <v>101</v>
      </c>
      <c r="N138" s="14" t="s">
        <v>10317</v>
      </c>
      <c r="O138" s="14" t="s">
        <v>3863</v>
      </c>
      <c r="P138" s="14" t="str">
        <f>HYPERLINK("https://dexscreener.com/solana/Hej96eAZNrdTPvZQe9b91311BJMWMqJRHztmYCjay8qb", "View")</f>
        <v>View</v>
      </c>
    </row>
    <row r="139" spans="1:16" x14ac:dyDescent="0.25">
      <c r="A139" s="16" t="s">
        <v>1080</v>
      </c>
      <c r="B139" s="17">
        <v>814763</v>
      </c>
      <c r="C139" s="17">
        <v>0</v>
      </c>
      <c r="D139" s="17" t="s">
        <v>10236</v>
      </c>
      <c r="E139" s="17" t="s">
        <v>9710</v>
      </c>
      <c r="F139" s="17" t="s">
        <v>96</v>
      </c>
      <c r="G139" s="18" t="s">
        <v>10237</v>
      </c>
      <c r="H139" s="18" t="s">
        <v>98</v>
      </c>
      <c r="I139" s="17" t="s">
        <v>10318</v>
      </c>
      <c r="J139" s="17">
        <v>1</v>
      </c>
      <c r="K139" s="17">
        <v>0</v>
      </c>
      <c r="L139" s="17" t="s">
        <v>10319</v>
      </c>
      <c r="M139" s="19" t="s">
        <v>101</v>
      </c>
      <c r="N139" s="17" t="s">
        <v>10320</v>
      </c>
      <c r="O139" s="17" t="s">
        <v>1084</v>
      </c>
      <c r="P139" s="17" t="str">
        <f>HYPERLINK("https://dexscreener.com/solana/EDNB87kSED7ER2Qe39xSsXDyjSK6LqBSyv6v8ocepump", "View")</f>
        <v>View</v>
      </c>
    </row>
    <row r="140" spans="1:16" x14ac:dyDescent="0.25">
      <c r="A140" s="13" t="s">
        <v>10321</v>
      </c>
      <c r="B140" s="14">
        <v>3078622</v>
      </c>
      <c r="C140" s="14">
        <v>0</v>
      </c>
      <c r="D140" s="14" t="s">
        <v>10236</v>
      </c>
      <c r="E140" s="14" t="s">
        <v>9710</v>
      </c>
      <c r="F140" s="14" t="s">
        <v>96</v>
      </c>
      <c r="G140" s="18" t="s">
        <v>10237</v>
      </c>
      <c r="H140" s="18" t="s">
        <v>98</v>
      </c>
      <c r="I140" s="14" t="s">
        <v>10322</v>
      </c>
      <c r="J140" s="14">
        <v>1</v>
      </c>
      <c r="K140" s="14">
        <v>0</v>
      </c>
      <c r="L140" s="14" t="s">
        <v>10323</v>
      </c>
      <c r="M140" s="19" t="s">
        <v>101</v>
      </c>
      <c r="N140" s="14" t="s">
        <v>10313</v>
      </c>
      <c r="O140" s="14" t="s">
        <v>10324</v>
      </c>
      <c r="P140" s="14" t="str">
        <f>HYPERLINK("https://dexscreener.com/solana/HC5UNDdVBKAxau2sPCzrHwum6UNrDH5bdiKR3Snapump", "View")</f>
        <v>View</v>
      </c>
    </row>
    <row r="141" spans="1:16" x14ac:dyDescent="0.25">
      <c r="A141" s="16" t="s">
        <v>5758</v>
      </c>
      <c r="B141" s="17">
        <v>2139312</v>
      </c>
      <c r="C141" s="17">
        <v>705973</v>
      </c>
      <c r="D141" s="17" t="s">
        <v>10325</v>
      </c>
      <c r="E141" s="17" t="s">
        <v>10326</v>
      </c>
      <c r="F141" s="17" t="s">
        <v>10327</v>
      </c>
      <c r="G141" s="22" t="s">
        <v>10328</v>
      </c>
      <c r="H141" s="22" t="s">
        <v>10329</v>
      </c>
      <c r="I141" s="17" t="s">
        <v>88</v>
      </c>
      <c r="J141" s="17">
        <v>1</v>
      </c>
      <c r="K141" s="17">
        <v>1</v>
      </c>
      <c r="L141" s="17" t="s">
        <v>10330</v>
      </c>
      <c r="M141" s="17" t="s">
        <v>745</v>
      </c>
      <c r="N141" s="17" t="s">
        <v>10331</v>
      </c>
      <c r="O141" s="17" t="s">
        <v>10332</v>
      </c>
      <c r="P141" s="17" t="str">
        <f>HYPERLINK("https://dexscreener.com/solana/jasQQD17WWgFhiCZVZDyik35XEd3SVqza5godvopump", "View")</f>
        <v>View</v>
      </c>
    </row>
    <row r="142" spans="1:16" x14ac:dyDescent="0.25">
      <c r="A142" s="13" t="s">
        <v>10333</v>
      </c>
      <c r="B142" s="14">
        <v>881</v>
      </c>
      <c r="C142" s="14">
        <v>0</v>
      </c>
      <c r="D142" s="14" t="s">
        <v>10236</v>
      </c>
      <c r="E142" s="14" t="s">
        <v>9710</v>
      </c>
      <c r="F142" s="14" t="s">
        <v>96</v>
      </c>
      <c r="G142" s="18" t="s">
        <v>10237</v>
      </c>
      <c r="H142" s="18" t="s">
        <v>98</v>
      </c>
      <c r="I142" s="14" t="s">
        <v>10334</v>
      </c>
      <c r="J142" s="14">
        <v>1</v>
      </c>
      <c r="K142" s="14">
        <v>0</v>
      </c>
      <c r="L142" s="14" t="s">
        <v>10335</v>
      </c>
      <c r="M142" s="19" t="s">
        <v>101</v>
      </c>
      <c r="N142" s="14" t="s">
        <v>10336</v>
      </c>
      <c r="O142" s="14" t="s">
        <v>10337</v>
      </c>
      <c r="P142" s="14" t="str">
        <f>HYPERLINK("https://dexscreener.com/solana/3EatUAd55TndNRiRPK7mLZJfSQCRzJg76wL9WHCsk4rh", "View")</f>
        <v>View</v>
      </c>
    </row>
    <row r="143" spans="1:16" x14ac:dyDescent="0.25">
      <c r="A143" s="16" t="s">
        <v>10338</v>
      </c>
      <c r="B143" s="17">
        <v>1962519</v>
      </c>
      <c r="C143" s="17">
        <v>0</v>
      </c>
      <c r="D143" s="17" t="s">
        <v>10236</v>
      </c>
      <c r="E143" s="17" t="s">
        <v>9710</v>
      </c>
      <c r="F143" s="17" t="s">
        <v>96</v>
      </c>
      <c r="G143" s="18" t="s">
        <v>10237</v>
      </c>
      <c r="H143" s="18" t="s">
        <v>98</v>
      </c>
      <c r="I143" s="17" t="s">
        <v>10339</v>
      </c>
      <c r="J143" s="17">
        <v>1</v>
      </c>
      <c r="K143" s="17">
        <v>0</v>
      </c>
      <c r="L143" s="17" t="s">
        <v>10340</v>
      </c>
      <c r="M143" s="19" t="s">
        <v>101</v>
      </c>
      <c r="N143" s="17" t="s">
        <v>4986</v>
      </c>
      <c r="O143" s="17" t="s">
        <v>10341</v>
      </c>
      <c r="P143" s="17" t="str">
        <f>HYPERLINK("https://dexscreener.com/solana/2vWVk6fSmM6V7BN4sjCPsrqsXwZHUccwTEgJasDFpump", "View")</f>
        <v>View</v>
      </c>
    </row>
    <row r="144" spans="1:16" x14ac:dyDescent="0.25">
      <c r="A144" s="13" t="s">
        <v>7243</v>
      </c>
      <c r="B144" s="14">
        <v>597219</v>
      </c>
      <c r="C144" s="14">
        <v>0</v>
      </c>
      <c r="D144" s="14" t="s">
        <v>10236</v>
      </c>
      <c r="E144" s="14" t="s">
        <v>9710</v>
      </c>
      <c r="F144" s="14" t="s">
        <v>96</v>
      </c>
      <c r="G144" s="18" t="s">
        <v>10237</v>
      </c>
      <c r="H144" s="18" t="s">
        <v>98</v>
      </c>
      <c r="I144" s="14" t="s">
        <v>10342</v>
      </c>
      <c r="J144" s="14">
        <v>1</v>
      </c>
      <c r="K144" s="14">
        <v>0</v>
      </c>
      <c r="L144" s="14" t="s">
        <v>10343</v>
      </c>
      <c r="M144" s="19" t="s">
        <v>101</v>
      </c>
      <c r="N144" s="14" t="s">
        <v>10344</v>
      </c>
      <c r="O144" s="14" t="s">
        <v>7250</v>
      </c>
      <c r="P144" s="14" t="str">
        <f>HYPERLINK("https://dexscreener.com/solana/ExocdWVMKbZBsMo21M6c6SCj7n4k4s7vmUVz3mGvpump", "View")</f>
        <v>View</v>
      </c>
    </row>
    <row r="145" spans="1:16" x14ac:dyDescent="0.25">
      <c r="A145" s="16" t="s">
        <v>10345</v>
      </c>
      <c r="B145" s="17">
        <v>3055170</v>
      </c>
      <c r="C145" s="17">
        <v>0</v>
      </c>
      <c r="D145" s="17" t="s">
        <v>10236</v>
      </c>
      <c r="E145" s="17" t="s">
        <v>9710</v>
      </c>
      <c r="F145" s="17" t="s">
        <v>96</v>
      </c>
      <c r="G145" s="18" t="s">
        <v>10237</v>
      </c>
      <c r="H145" s="18" t="s">
        <v>98</v>
      </c>
      <c r="I145" s="17" t="s">
        <v>10346</v>
      </c>
      <c r="J145" s="17">
        <v>1</v>
      </c>
      <c r="K145" s="17">
        <v>0</v>
      </c>
      <c r="L145" s="17" t="s">
        <v>10347</v>
      </c>
      <c r="M145" s="19" t="s">
        <v>101</v>
      </c>
      <c r="N145" s="17" t="s">
        <v>10259</v>
      </c>
      <c r="O145" s="17" t="s">
        <v>10348</v>
      </c>
      <c r="P145" s="17" t="str">
        <f>HYPERLINK("https://dexscreener.com/solana/Gnq3u69LJGrr4k1Dw7JZTFUt1cftHwVcrxmUsMEHpump", "View")</f>
        <v>View</v>
      </c>
    </row>
    <row r="146" spans="1:16" x14ac:dyDescent="0.25">
      <c r="A146" s="13" t="s">
        <v>10349</v>
      </c>
      <c r="B146" s="14">
        <v>888958</v>
      </c>
      <c r="C146" s="14">
        <v>0</v>
      </c>
      <c r="D146" s="14" t="s">
        <v>10236</v>
      </c>
      <c r="E146" s="14" t="s">
        <v>9710</v>
      </c>
      <c r="F146" s="14" t="s">
        <v>96</v>
      </c>
      <c r="G146" s="18" t="s">
        <v>10237</v>
      </c>
      <c r="H146" s="18" t="s">
        <v>98</v>
      </c>
      <c r="I146" s="14" t="s">
        <v>10350</v>
      </c>
      <c r="J146" s="14">
        <v>1</v>
      </c>
      <c r="K146" s="14">
        <v>0</v>
      </c>
      <c r="L146" s="14" t="s">
        <v>10351</v>
      </c>
      <c r="M146" s="19" t="s">
        <v>101</v>
      </c>
      <c r="N146" s="14" t="s">
        <v>10352</v>
      </c>
      <c r="O146" s="14" t="s">
        <v>10353</v>
      </c>
      <c r="P146" s="14" t="str">
        <f>HYPERLINK("https://dexscreener.com/solana/F6W6jbpRb6zxZ9BmH96Gw1L5LrBf8z1AcJKF4dUJpump", "View")</f>
        <v>View</v>
      </c>
    </row>
    <row r="147" spans="1:16" x14ac:dyDescent="0.25">
      <c r="A147" s="16" t="s">
        <v>10354</v>
      </c>
      <c r="B147" s="17">
        <v>3417236</v>
      </c>
      <c r="C147" s="17">
        <v>512585</v>
      </c>
      <c r="D147" s="17" t="s">
        <v>10230</v>
      </c>
      <c r="E147" s="17" t="s">
        <v>9710</v>
      </c>
      <c r="F147" s="17" t="s">
        <v>6843</v>
      </c>
      <c r="G147" s="20" t="s">
        <v>4049</v>
      </c>
      <c r="H147" s="20" t="s">
        <v>10355</v>
      </c>
      <c r="I147" s="17" t="s">
        <v>88</v>
      </c>
      <c r="J147" s="17">
        <v>1</v>
      </c>
      <c r="K147" s="17">
        <v>1</v>
      </c>
      <c r="L147" s="17" t="s">
        <v>10356</v>
      </c>
      <c r="M147" s="17" t="s">
        <v>680</v>
      </c>
      <c r="N147" s="17" t="s">
        <v>10357</v>
      </c>
      <c r="O147" s="17" t="s">
        <v>10358</v>
      </c>
      <c r="P147" s="17" t="str">
        <f>HYPERLINK("https://dexscreener.com/solana/ChuPbVJ4nt1Fz48HTTasLZjzaXPqC8NwNU7L2y3hpump", "View")</f>
        <v>View</v>
      </c>
    </row>
    <row r="148" spans="1:16" x14ac:dyDescent="0.25">
      <c r="A148" s="13" t="s">
        <v>5466</v>
      </c>
      <c r="B148" s="14">
        <v>2347449</v>
      </c>
      <c r="C148" s="14">
        <v>0</v>
      </c>
      <c r="D148" s="14" t="s">
        <v>10236</v>
      </c>
      <c r="E148" s="14" t="s">
        <v>9710</v>
      </c>
      <c r="F148" s="14" t="s">
        <v>96</v>
      </c>
      <c r="G148" s="18" t="s">
        <v>10237</v>
      </c>
      <c r="H148" s="18" t="s">
        <v>98</v>
      </c>
      <c r="I148" s="14" t="s">
        <v>10359</v>
      </c>
      <c r="J148" s="14">
        <v>1</v>
      </c>
      <c r="K148" s="14">
        <v>0</v>
      </c>
      <c r="L148" s="14" t="s">
        <v>10360</v>
      </c>
      <c r="M148" s="19" t="s">
        <v>101</v>
      </c>
      <c r="N148" s="14" t="s">
        <v>10361</v>
      </c>
      <c r="O148" s="14" t="s">
        <v>10362</v>
      </c>
      <c r="P148" s="14" t="str">
        <f>HYPERLINK("https://dexscreener.com/solana/3EkX4ERk9CRzG5pUTMxeQdtSnbbALTGWP6gnW7bzpump", "View")</f>
        <v>View</v>
      </c>
    </row>
    <row r="149" spans="1:16" x14ac:dyDescent="0.25">
      <c r="A149" s="16" t="s">
        <v>10363</v>
      </c>
      <c r="B149" s="17">
        <v>1782</v>
      </c>
      <c r="C149" s="17">
        <v>0</v>
      </c>
      <c r="D149" s="17" t="s">
        <v>10236</v>
      </c>
      <c r="E149" s="17" t="s">
        <v>9710</v>
      </c>
      <c r="F149" s="17" t="s">
        <v>96</v>
      </c>
      <c r="G149" s="18" t="s">
        <v>10237</v>
      </c>
      <c r="H149" s="18" t="s">
        <v>98</v>
      </c>
      <c r="I149" s="17" t="s">
        <v>10364</v>
      </c>
      <c r="J149" s="17">
        <v>1</v>
      </c>
      <c r="K149" s="17">
        <v>0</v>
      </c>
      <c r="L149" s="17" t="s">
        <v>10365</v>
      </c>
      <c r="M149" s="19" t="s">
        <v>101</v>
      </c>
      <c r="N149" s="17" t="s">
        <v>10366</v>
      </c>
      <c r="O149" s="17" t="s">
        <v>10367</v>
      </c>
      <c r="P149" s="17" t="str">
        <f>HYPERLINK("https://dexscreener.com/solana/4WkPxCRdLoMerS59EspYvr6qx6GS7rRb9S6tN4Z4KqTD", "View")</f>
        <v>View</v>
      </c>
    </row>
    <row r="150" spans="1:16" x14ac:dyDescent="0.25">
      <c r="A150" s="13" t="s">
        <v>10368</v>
      </c>
      <c r="B150" s="14">
        <v>1621261</v>
      </c>
      <c r="C150" s="14">
        <v>0</v>
      </c>
      <c r="D150" s="14" t="s">
        <v>10236</v>
      </c>
      <c r="E150" s="14" t="s">
        <v>9710</v>
      </c>
      <c r="F150" s="14" t="s">
        <v>96</v>
      </c>
      <c r="G150" s="18" t="s">
        <v>10237</v>
      </c>
      <c r="H150" s="18" t="s">
        <v>98</v>
      </c>
      <c r="I150" s="14" t="s">
        <v>10369</v>
      </c>
      <c r="J150" s="14">
        <v>1</v>
      </c>
      <c r="K150" s="14">
        <v>0</v>
      </c>
      <c r="L150" s="14" t="s">
        <v>10370</v>
      </c>
      <c r="M150" s="19" t="s">
        <v>101</v>
      </c>
      <c r="N150" s="14" t="s">
        <v>10371</v>
      </c>
      <c r="O150" s="14" t="s">
        <v>10372</v>
      </c>
      <c r="P150" s="14" t="str">
        <f>HYPERLINK("https://dexscreener.com/solana/5yVbknR3tQGfybcqD7zwuxdej1GTLWr53av4KNmXpump", "View")</f>
        <v>View</v>
      </c>
    </row>
    <row r="151" spans="1:16" x14ac:dyDescent="0.25">
      <c r="A151" s="16" t="s">
        <v>10373</v>
      </c>
      <c r="B151" s="17">
        <v>4004</v>
      </c>
      <c r="C151" s="17">
        <v>0</v>
      </c>
      <c r="D151" s="17" t="s">
        <v>10236</v>
      </c>
      <c r="E151" s="17" t="s">
        <v>9710</v>
      </c>
      <c r="F151" s="17" t="s">
        <v>96</v>
      </c>
      <c r="G151" s="18" t="s">
        <v>10237</v>
      </c>
      <c r="H151" s="18" t="s">
        <v>98</v>
      </c>
      <c r="I151" s="17" t="s">
        <v>10374</v>
      </c>
      <c r="J151" s="17">
        <v>1</v>
      </c>
      <c r="K151" s="17">
        <v>0</v>
      </c>
      <c r="L151" s="17" t="s">
        <v>10375</v>
      </c>
      <c r="M151" s="19" t="s">
        <v>101</v>
      </c>
      <c r="N151" s="17" t="s">
        <v>10376</v>
      </c>
      <c r="O151" s="17" t="s">
        <v>10377</v>
      </c>
      <c r="P151" s="17" t="str">
        <f>HYPERLINK("https://dexscreener.com/solana/FKUdgJyCA3csnosM9gjrxzxvjNoTYbcaR6yWWsxZKD4U", "View")</f>
        <v>View</v>
      </c>
    </row>
    <row r="152" spans="1:16" x14ac:dyDescent="0.25">
      <c r="A152" s="13" t="s">
        <v>10378</v>
      </c>
      <c r="B152" s="14">
        <v>856639</v>
      </c>
      <c r="C152" s="14">
        <v>0</v>
      </c>
      <c r="D152" s="14" t="s">
        <v>10236</v>
      </c>
      <c r="E152" s="14" t="s">
        <v>9710</v>
      </c>
      <c r="F152" s="14" t="s">
        <v>96</v>
      </c>
      <c r="G152" s="18" t="s">
        <v>10237</v>
      </c>
      <c r="H152" s="18" t="s">
        <v>98</v>
      </c>
      <c r="I152" s="14" t="s">
        <v>10379</v>
      </c>
      <c r="J152" s="14">
        <v>1</v>
      </c>
      <c r="K152" s="14">
        <v>0</v>
      </c>
      <c r="L152" s="14" t="s">
        <v>10380</v>
      </c>
      <c r="M152" s="19" t="s">
        <v>101</v>
      </c>
      <c r="N152" s="14" t="s">
        <v>10381</v>
      </c>
      <c r="O152" s="14" t="s">
        <v>10382</v>
      </c>
      <c r="P152" s="14" t="str">
        <f>HYPERLINK("https://dexscreener.com/solana/Er2mtAhfbZUWbLhxY3ShN5Prj2DrnGjy6d8FYoMXpump", "View")</f>
        <v>View</v>
      </c>
    </row>
    <row r="153" spans="1:16" x14ac:dyDescent="0.25">
      <c r="A153" s="16" t="s">
        <v>10383</v>
      </c>
      <c r="B153" s="17">
        <v>897587</v>
      </c>
      <c r="C153" s="17">
        <v>0</v>
      </c>
      <c r="D153" s="17" t="s">
        <v>10236</v>
      </c>
      <c r="E153" s="17" t="s">
        <v>9710</v>
      </c>
      <c r="F153" s="17" t="s">
        <v>96</v>
      </c>
      <c r="G153" s="18" t="s">
        <v>10237</v>
      </c>
      <c r="H153" s="18" t="s">
        <v>98</v>
      </c>
      <c r="I153" s="17" t="s">
        <v>10384</v>
      </c>
      <c r="J153" s="17">
        <v>1</v>
      </c>
      <c r="K153" s="17">
        <v>0</v>
      </c>
      <c r="L153" s="17" t="s">
        <v>10385</v>
      </c>
      <c r="M153" s="19" t="s">
        <v>101</v>
      </c>
      <c r="N153" s="17" t="s">
        <v>192</v>
      </c>
      <c r="O153" s="17" t="s">
        <v>10386</v>
      </c>
      <c r="P153" s="17" t="str">
        <f>HYPERLINK("https://dexscreener.com/solana/J3BgRRy1DbGiZbeXMBjD6nATtk5zWfAgwVFxjmdvpump", "View")</f>
        <v>View</v>
      </c>
    </row>
    <row r="154" spans="1:16" x14ac:dyDescent="0.25">
      <c r="A154" s="13" t="s">
        <v>4513</v>
      </c>
      <c r="B154" s="14">
        <v>858977</v>
      </c>
      <c r="C154" s="14">
        <v>473381</v>
      </c>
      <c r="D154" s="14" t="s">
        <v>10387</v>
      </c>
      <c r="E154" s="14" t="s">
        <v>10388</v>
      </c>
      <c r="F154" s="14" t="s">
        <v>10389</v>
      </c>
      <c r="G154" s="21" t="s">
        <v>10390</v>
      </c>
      <c r="H154" s="21" t="s">
        <v>10391</v>
      </c>
      <c r="I154" s="14" t="s">
        <v>88</v>
      </c>
      <c r="J154" s="14">
        <v>1</v>
      </c>
      <c r="K154" s="14">
        <v>2</v>
      </c>
      <c r="L154" s="14" t="s">
        <v>10392</v>
      </c>
      <c r="M154" s="14" t="s">
        <v>132</v>
      </c>
      <c r="N154" s="14" t="s">
        <v>10393</v>
      </c>
      <c r="O154" s="14" t="s">
        <v>4517</v>
      </c>
      <c r="P154" s="14" t="str">
        <f>HYPERLINK("https://dexscreener.com/solana/EWy1HPEUq4Lgm6H4pQ8augEuJ7WRwJgENZMTAUzrpump", "View")</f>
        <v>View</v>
      </c>
    </row>
    <row r="155" spans="1:16" x14ac:dyDescent="0.25">
      <c r="A155" s="16" t="s">
        <v>10394</v>
      </c>
      <c r="B155" s="17">
        <v>2454580</v>
      </c>
      <c r="C155" s="17">
        <v>0</v>
      </c>
      <c r="D155" s="17" t="s">
        <v>10236</v>
      </c>
      <c r="E155" s="17" t="s">
        <v>9710</v>
      </c>
      <c r="F155" s="17" t="s">
        <v>96</v>
      </c>
      <c r="G155" s="18" t="s">
        <v>10237</v>
      </c>
      <c r="H155" s="18" t="s">
        <v>98</v>
      </c>
      <c r="I155" s="17" t="s">
        <v>10395</v>
      </c>
      <c r="J155" s="17">
        <v>1</v>
      </c>
      <c r="K155" s="17">
        <v>0</v>
      </c>
      <c r="L155" s="17" t="s">
        <v>10396</v>
      </c>
      <c r="M155" s="19" t="s">
        <v>101</v>
      </c>
      <c r="N155" s="17" t="s">
        <v>10397</v>
      </c>
      <c r="O155" s="17" t="s">
        <v>10398</v>
      </c>
      <c r="P155" s="17" t="str">
        <f>HYPERLINK("https://dexscreener.com/solana/6SNF42gEu3WkEVy7JgmMb1wTNxeGWY5UXfRjQKUzpump", "View")</f>
        <v>View</v>
      </c>
    </row>
    <row r="156" spans="1:16" x14ac:dyDescent="0.25">
      <c r="A156" s="13" t="s">
        <v>10399</v>
      </c>
      <c r="B156" s="14">
        <v>1484</v>
      </c>
      <c r="C156" s="14">
        <v>0</v>
      </c>
      <c r="D156" s="14" t="s">
        <v>10236</v>
      </c>
      <c r="E156" s="14" t="s">
        <v>9710</v>
      </c>
      <c r="F156" s="14" t="s">
        <v>96</v>
      </c>
      <c r="G156" s="18" t="s">
        <v>10237</v>
      </c>
      <c r="H156" s="18" t="s">
        <v>98</v>
      </c>
      <c r="I156" s="14" t="s">
        <v>10400</v>
      </c>
      <c r="J156" s="14">
        <v>1</v>
      </c>
      <c r="K156" s="14">
        <v>0</v>
      </c>
      <c r="L156" s="14" t="s">
        <v>10401</v>
      </c>
      <c r="M156" s="19" t="s">
        <v>101</v>
      </c>
      <c r="N156" s="14" t="s">
        <v>10402</v>
      </c>
      <c r="O156" s="14" t="s">
        <v>10403</v>
      </c>
      <c r="P156" s="14" t="str">
        <f>HYPERLINK("https://dexscreener.com/solana/FKd2HeKxddXLxYD3Ts5MUaKqVsuUbnhA4AergM8gsaU", "View")</f>
        <v>View</v>
      </c>
    </row>
    <row r="157" spans="1:16" x14ac:dyDescent="0.25">
      <c r="A157" s="16" t="s">
        <v>10404</v>
      </c>
      <c r="B157" s="17">
        <v>563489</v>
      </c>
      <c r="C157" s="17">
        <v>0</v>
      </c>
      <c r="D157" s="17" t="s">
        <v>10236</v>
      </c>
      <c r="E157" s="17" t="s">
        <v>9710</v>
      </c>
      <c r="F157" s="17" t="s">
        <v>96</v>
      </c>
      <c r="G157" s="18" t="s">
        <v>10237</v>
      </c>
      <c r="H157" s="18" t="s">
        <v>98</v>
      </c>
      <c r="I157" s="17" t="s">
        <v>10405</v>
      </c>
      <c r="J157" s="17">
        <v>1</v>
      </c>
      <c r="K157" s="17">
        <v>0</v>
      </c>
      <c r="L157" s="17" t="s">
        <v>10406</v>
      </c>
      <c r="M157" s="19" t="s">
        <v>101</v>
      </c>
      <c r="N157" s="17" t="s">
        <v>10407</v>
      </c>
      <c r="O157" s="17" t="s">
        <v>10408</v>
      </c>
      <c r="P157" s="17" t="str">
        <f>HYPERLINK("https://dexscreener.com/solana/EA6ktYMspQpDSB7VwGmi3YSiE5JDFyTsWioLfMw7pump", "View")</f>
        <v>View</v>
      </c>
    </row>
    <row r="158" spans="1:16" x14ac:dyDescent="0.25">
      <c r="A158" s="13" t="s">
        <v>1122</v>
      </c>
      <c r="B158" s="14">
        <v>2781290</v>
      </c>
      <c r="C158" s="14">
        <v>2718391</v>
      </c>
      <c r="D158" s="14" t="s">
        <v>10409</v>
      </c>
      <c r="E158" s="14" t="s">
        <v>1007</v>
      </c>
      <c r="F158" s="14" t="s">
        <v>10410</v>
      </c>
      <c r="G158" s="21" t="s">
        <v>10411</v>
      </c>
      <c r="H158" s="21" t="s">
        <v>10412</v>
      </c>
      <c r="I158" s="14" t="s">
        <v>88</v>
      </c>
      <c r="J158" s="14">
        <v>1</v>
      </c>
      <c r="K158" s="14">
        <v>8</v>
      </c>
      <c r="L158" s="14" t="s">
        <v>10413</v>
      </c>
      <c r="M158" s="14" t="s">
        <v>150</v>
      </c>
      <c r="N158" s="14" t="s">
        <v>10414</v>
      </c>
      <c r="O158" s="14" t="s">
        <v>1130</v>
      </c>
      <c r="P158" s="14" t="str">
        <f>HYPERLINK("https://dexscreener.com/solana/CSEkG3mT5P1GUf4HZTHdVk1syKFN6gQWokbZ4jDWpump", "View")</f>
        <v>View</v>
      </c>
    </row>
    <row r="159" spans="1:16" x14ac:dyDescent="0.25">
      <c r="A159" s="16" t="s">
        <v>10415</v>
      </c>
      <c r="B159" s="17">
        <v>1477349</v>
      </c>
      <c r="C159" s="17">
        <v>1409531</v>
      </c>
      <c r="D159" s="17" t="s">
        <v>10416</v>
      </c>
      <c r="E159" s="17" t="s">
        <v>1007</v>
      </c>
      <c r="F159" s="17" t="s">
        <v>10417</v>
      </c>
      <c r="G159" s="21" t="s">
        <v>8292</v>
      </c>
      <c r="H159" s="21" t="s">
        <v>10418</v>
      </c>
      <c r="I159" s="17" t="s">
        <v>88</v>
      </c>
      <c r="J159" s="17">
        <v>1</v>
      </c>
      <c r="K159" s="17">
        <v>6</v>
      </c>
      <c r="L159" s="17" t="s">
        <v>10419</v>
      </c>
      <c r="M159" s="17" t="s">
        <v>5061</v>
      </c>
      <c r="N159" s="17" t="s">
        <v>10420</v>
      </c>
      <c r="O159" s="17" t="s">
        <v>10421</v>
      </c>
      <c r="P159" s="17" t="str">
        <f>HYPERLINK("https://dexscreener.com/solana/BVoFXcjNSQ8fHGNc2aeS52rLXwag52PHK2aQJsrkpump", "View")</f>
        <v>View</v>
      </c>
    </row>
    <row r="160" spans="1:16" x14ac:dyDescent="0.25">
      <c r="A160" s="13" t="s">
        <v>10422</v>
      </c>
      <c r="B160" s="14">
        <v>1347802</v>
      </c>
      <c r="C160" s="14">
        <v>1076204</v>
      </c>
      <c r="D160" s="14" t="s">
        <v>10423</v>
      </c>
      <c r="E160" s="14" t="s">
        <v>1007</v>
      </c>
      <c r="F160" s="14" t="s">
        <v>9850</v>
      </c>
      <c r="G160" s="21" t="s">
        <v>10424</v>
      </c>
      <c r="H160" s="21" t="s">
        <v>10425</v>
      </c>
      <c r="I160" s="14" t="s">
        <v>88</v>
      </c>
      <c r="J160" s="14">
        <v>1</v>
      </c>
      <c r="K160" s="14">
        <v>4</v>
      </c>
      <c r="L160" s="14" t="s">
        <v>10426</v>
      </c>
      <c r="M160" s="14" t="s">
        <v>699</v>
      </c>
      <c r="N160" s="14" t="s">
        <v>10427</v>
      </c>
      <c r="O160" s="14" t="s">
        <v>10428</v>
      </c>
      <c r="P160" s="14" t="str">
        <f>HYPERLINK("https://dexscreener.com/solana/4UTEFQjNMvfQF5NT8mVfXdMAKoL7hS7i9U4mMVAzpump", "View")</f>
        <v>View</v>
      </c>
    </row>
    <row r="161" spans="1:16" x14ac:dyDescent="0.25">
      <c r="A161" s="16" t="s">
        <v>5504</v>
      </c>
      <c r="B161" s="17">
        <v>1815572</v>
      </c>
      <c r="C161" s="17">
        <v>1207354</v>
      </c>
      <c r="D161" s="17" t="s">
        <v>10429</v>
      </c>
      <c r="E161" s="17" t="s">
        <v>1007</v>
      </c>
      <c r="F161" s="17" t="s">
        <v>10430</v>
      </c>
      <c r="G161" s="22" t="s">
        <v>4951</v>
      </c>
      <c r="H161" s="22" t="s">
        <v>10431</v>
      </c>
      <c r="I161" s="17" t="s">
        <v>88</v>
      </c>
      <c r="J161" s="17">
        <v>1</v>
      </c>
      <c r="K161" s="17">
        <v>2</v>
      </c>
      <c r="L161" s="17" t="s">
        <v>10432</v>
      </c>
      <c r="M161" s="17" t="s">
        <v>699</v>
      </c>
      <c r="N161" s="17" t="s">
        <v>10433</v>
      </c>
      <c r="O161" s="17" t="s">
        <v>10434</v>
      </c>
      <c r="P161" s="17" t="str">
        <f>HYPERLINK("https://dexscreener.com/solana/9tF4vuYRQY3d5GPnE9pjUevukgo6vHiepe3E1w8Jpump", "View")</f>
        <v>View</v>
      </c>
    </row>
    <row r="162" spans="1:16" x14ac:dyDescent="0.25">
      <c r="A162" s="13" t="s">
        <v>10435</v>
      </c>
      <c r="B162" s="14">
        <v>1380629</v>
      </c>
      <c r="C162" s="14">
        <v>0</v>
      </c>
      <c r="D162" s="14" t="s">
        <v>10436</v>
      </c>
      <c r="E162" s="14" t="s">
        <v>10388</v>
      </c>
      <c r="F162" s="14" t="s">
        <v>96</v>
      </c>
      <c r="G162" s="18" t="s">
        <v>10437</v>
      </c>
      <c r="H162" s="18" t="s">
        <v>98</v>
      </c>
      <c r="I162" s="14" t="s">
        <v>10438</v>
      </c>
      <c r="J162" s="14">
        <v>1</v>
      </c>
      <c r="K162" s="14">
        <v>0</v>
      </c>
      <c r="L162" s="14" t="s">
        <v>10439</v>
      </c>
      <c r="M162" s="19" t="s">
        <v>101</v>
      </c>
      <c r="N162" s="14" t="s">
        <v>10440</v>
      </c>
      <c r="O162" s="14" t="s">
        <v>10441</v>
      </c>
      <c r="P162" s="14" t="str">
        <f>HYPERLINK("https://dexscreener.com/solana/GV4BF4nthLPKeNQpinYMwNUwJX7inKbN9MW6rN1e1TX7", "View")</f>
        <v>View</v>
      </c>
    </row>
    <row r="163" spans="1:16" x14ac:dyDescent="0.25">
      <c r="A163" s="16" t="s">
        <v>10442</v>
      </c>
      <c r="B163" s="17">
        <v>990817</v>
      </c>
      <c r="C163" s="17">
        <v>0</v>
      </c>
      <c r="D163" s="17" t="s">
        <v>10436</v>
      </c>
      <c r="E163" s="17" t="s">
        <v>10388</v>
      </c>
      <c r="F163" s="17" t="s">
        <v>96</v>
      </c>
      <c r="G163" s="18" t="s">
        <v>10437</v>
      </c>
      <c r="H163" s="18" t="s">
        <v>98</v>
      </c>
      <c r="I163" s="17" t="s">
        <v>10443</v>
      </c>
      <c r="J163" s="17">
        <v>1</v>
      </c>
      <c r="K163" s="17">
        <v>0</v>
      </c>
      <c r="L163" s="17" t="s">
        <v>10444</v>
      </c>
      <c r="M163" s="19" t="s">
        <v>101</v>
      </c>
      <c r="N163" s="17" t="s">
        <v>10445</v>
      </c>
      <c r="O163" s="17" t="s">
        <v>10446</v>
      </c>
      <c r="P163" s="17" t="str">
        <f>HYPERLINK("https://dexscreener.com/solana/H3MdcPyJf2D1MVEGzdxeNEb6PfKyXh1oiNnszeD4pump", "View")</f>
        <v>View</v>
      </c>
    </row>
    <row r="164" spans="1:16" x14ac:dyDescent="0.25">
      <c r="A164" s="13" t="s">
        <v>10447</v>
      </c>
      <c r="B164" s="14">
        <v>1227833</v>
      </c>
      <c r="C164" s="14">
        <v>1171470</v>
      </c>
      <c r="D164" s="14" t="s">
        <v>10448</v>
      </c>
      <c r="E164" s="14" t="s">
        <v>1007</v>
      </c>
      <c r="F164" s="14" t="s">
        <v>10449</v>
      </c>
      <c r="G164" s="21" t="s">
        <v>10450</v>
      </c>
      <c r="H164" s="21" t="s">
        <v>10451</v>
      </c>
      <c r="I164" s="14" t="s">
        <v>88</v>
      </c>
      <c r="J164" s="14">
        <v>1</v>
      </c>
      <c r="K164" s="14">
        <v>6</v>
      </c>
      <c r="L164" s="14" t="s">
        <v>10452</v>
      </c>
      <c r="M164" s="14" t="s">
        <v>1714</v>
      </c>
      <c r="N164" s="14" t="s">
        <v>10453</v>
      </c>
      <c r="O164" s="14" t="s">
        <v>10454</v>
      </c>
      <c r="P164" s="14" t="str">
        <f>HYPERLINK("https://dexscreener.com/solana/GGHga4iRCxEvq9Ky4MNwk9amTbLLg53bBHcSjpJLpump", "View")</f>
        <v>View</v>
      </c>
    </row>
    <row r="165" spans="1:16" x14ac:dyDescent="0.25">
      <c r="A165" s="16" t="s">
        <v>10455</v>
      </c>
      <c r="B165" s="17">
        <v>2249751</v>
      </c>
      <c r="C165" s="17">
        <v>0</v>
      </c>
      <c r="D165" s="17" t="s">
        <v>10436</v>
      </c>
      <c r="E165" s="17" t="s">
        <v>10388</v>
      </c>
      <c r="F165" s="17" t="s">
        <v>96</v>
      </c>
      <c r="G165" s="18" t="s">
        <v>10437</v>
      </c>
      <c r="H165" s="18" t="s">
        <v>98</v>
      </c>
      <c r="I165" s="17" t="s">
        <v>10456</v>
      </c>
      <c r="J165" s="17">
        <v>1</v>
      </c>
      <c r="K165" s="17">
        <v>0</v>
      </c>
      <c r="L165" s="17" t="s">
        <v>10457</v>
      </c>
      <c r="M165" s="19" t="s">
        <v>101</v>
      </c>
      <c r="N165" s="17" t="s">
        <v>5239</v>
      </c>
      <c r="O165" s="17" t="s">
        <v>10458</v>
      </c>
      <c r="P165" s="17" t="str">
        <f>HYPERLINK("https://dexscreener.com/solana/3J6q8ds2gL2PZ6jy8NJXMs1g5DL79VFoSmRCnDhtpump", "View")</f>
        <v>View</v>
      </c>
    </row>
    <row r="166" spans="1:16" x14ac:dyDescent="0.25">
      <c r="A166" s="13" t="s">
        <v>10459</v>
      </c>
      <c r="B166" s="14">
        <v>1284433</v>
      </c>
      <c r="C166" s="14">
        <v>0</v>
      </c>
      <c r="D166" s="14" t="s">
        <v>10436</v>
      </c>
      <c r="E166" s="14" t="s">
        <v>10388</v>
      </c>
      <c r="F166" s="14" t="s">
        <v>96</v>
      </c>
      <c r="G166" s="18" t="s">
        <v>10437</v>
      </c>
      <c r="H166" s="18" t="s">
        <v>98</v>
      </c>
      <c r="I166" s="14" t="s">
        <v>10460</v>
      </c>
      <c r="J166" s="14">
        <v>1</v>
      </c>
      <c r="K166" s="14">
        <v>0</v>
      </c>
      <c r="L166" s="14" t="s">
        <v>10461</v>
      </c>
      <c r="M166" s="19" t="s">
        <v>101</v>
      </c>
      <c r="N166" s="14" t="s">
        <v>10462</v>
      </c>
      <c r="O166" s="14" t="s">
        <v>10463</v>
      </c>
      <c r="P166" s="14" t="str">
        <f>HYPERLINK("https://dexscreener.com/solana/EwDw33fuey7WLu1hF8kJiybccDhhgD1uugUZbaRKpump", "View")</f>
        <v>View</v>
      </c>
    </row>
    <row r="167" spans="1:16" x14ac:dyDescent="0.25">
      <c r="A167" s="16" t="s">
        <v>10464</v>
      </c>
      <c r="B167" s="17">
        <v>4206877</v>
      </c>
      <c r="C167" s="17">
        <v>0</v>
      </c>
      <c r="D167" s="17" t="s">
        <v>10465</v>
      </c>
      <c r="E167" s="17" t="s">
        <v>1007</v>
      </c>
      <c r="F167" s="17" t="s">
        <v>96</v>
      </c>
      <c r="G167" s="18" t="s">
        <v>9365</v>
      </c>
      <c r="H167" s="18" t="s">
        <v>98</v>
      </c>
      <c r="I167" s="17" t="s">
        <v>10466</v>
      </c>
      <c r="J167" s="17">
        <v>1</v>
      </c>
      <c r="K167" s="17">
        <v>0</v>
      </c>
      <c r="L167" s="17" t="s">
        <v>10467</v>
      </c>
      <c r="M167" s="19" t="s">
        <v>101</v>
      </c>
      <c r="N167" s="17" t="s">
        <v>10468</v>
      </c>
      <c r="O167" s="17" t="s">
        <v>10469</v>
      </c>
      <c r="P167" s="17" t="str">
        <f>HYPERLINK("https://dexscreener.com/solana/5cG2Pr1x99tgQgFiC6Nr2kzPd1fdGonrJR7Ef8ppE53d", "View")</f>
        <v>View</v>
      </c>
    </row>
    <row r="168" spans="1:16" x14ac:dyDescent="0.25">
      <c r="A168" s="13" t="s">
        <v>10470</v>
      </c>
      <c r="B168" s="14">
        <v>415314</v>
      </c>
      <c r="C168" s="14">
        <v>0</v>
      </c>
      <c r="D168" s="14" t="s">
        <v>10465</v>
      </c>
      <c r="E168" s="14" t="s">
        <v>1007</v>
      </c>
      <c r="F168" s="14" t="s">
        <v>96</v>
      </c>
      <c r="G168" s="18" t="s">
        <v>9365</v>
      </c>
      <c r="H168" s="18" t="s">
        <v>98</v>
      </c>
      <c r="I168" s="14" t="s">
        <v>10471</v>
      </c>
      <c r="J168" s="14">
        <v>1</v>
      </c>
      <c r="K168" s="14">
        <v>0</v>
      </c>
      <c r="L168" s="14" t="s">
        <v>10472</v>
      </c>
      <c r="M168" s="19" t="s">
        <v>101</v>
      </c>
      <c r="N168" s="14" t="s">
        <v>10473</v>
      </c>
      <c r="O168" s="14" t="s">
        <v>10474</v>
      </c>
      <c r="P168" s="14" t="str">
        <f>HYPERLINK("https://dexscreener.com/solana/EAJwKJz2zPqvHdvfFfQ8o2Fa57G82UuZ9ZTnkMYPpump", "View")</f>
        <v>View</v>
      </c>
    </row>
    <row r="169" spans="1:16" x14ac:dyDescent="0.25">
      <c r="A169" s="16" t="s">
        <v>10475</v>
      </c>
      <c r="B169" s="17">
        <v>1004539</v>
      </c>
      <c r="C169" s="17">
        <v>0</v>
      </c>
      <c r="D169" s="17" t="s">
        <v>10465</v>
      </c>
      <c r="E169" s="17" t="s">
        <v>1007</v>
      </c>
      <c r="F169" s="17" t="s">
        <v>96</v>
      </c>
      <c r="G169" s="18" t="s">
        <v>9365</v>
      </c>
      <c r="H169" s="18" t="s">
        <v>98</v>
      </c>
      <c r="I169" s="17" t="s">
        <v>10476</v>
      </c>
      <c r="J169" s="17">
        <v>1</v>
      </c>
      <c r="K169" s="17">
        <v>0</v>
      </c>
      <c r="L169" s="17" t="s">
        <v>10477</v>
      </c>
      <c r="M169" s="19" t="s">
        <v>101</v>
      </c>
      <c r="N169" s="17" t="s">
        <v>10478</v>
      </c>
      <c r="O169" s="17" t="s">
        <v>10479</v>
      </c>
      <c r="P169" s="17" t="str">
        <f>HYPERLINK("https://dexscreener.com/solana/GQ5c4fXPFuBad9BX1nhMxit1Wg343VC5kVPtbZaPpump", "View")</f>
        <v>View</v>
      </c>
    </row>
    <row r="170" spans="1:16" x14ac:dyDescent="0.25">
      <c r="A170" s="13" t="s">
        <v>10480</v>
      </c>
      <c r="B170" s="14">
        <v>431097</v>
      </c>
      <c r="C170" s="14">
        <v>0</v>
      </c>
      <c r="D170" s="14" t="s">
        <v>10465</v>
      </c>
      <c r="E170" s="14" t="s">
        <v>1007</v>
      </c>
      <c r="F170" s="14" t="s">
        <v>96</v>
      </c>
      <c r="G170" s="18" t="s">
        <v>9365</v>
      </c>
      <c r="H170" s="18" t="s">
        <v>98</v>
      </c>
      <c r="I170" s="14" t="s">
        <v>10481</v>
      </c>
      <c r="J170" s="14">
        <v>1</v>
      </c>
      <c r="K170" s="14">
        <v>0</v>
      </c>
      <c r="L170" s="14" t="s">
        <v>10482</v>
      </c>
      <c r="M170" s="19" t="s">
        <v>101</v>
      </c>
      <c r="N170" s="14" t="s">
        <v>10483</v>
      </c>
      <c r="O170" s="14" t="s">
        <v>10484</v>
      </c>
      <c r="P170" s="14" t="str">
        <f>HYPERLINK("https://dexscreener.com/solana/4ytpWfVCpJ2nSjahbioPkejnLVBsc7FGZi2hCojppump", "View")</f>
        <v>View</v>
      </c>
    </row>
    <row r="171" spans="1:16" x14ac:dyDescent="0.25">
      <c r="A171" s="16" t="s">
        <v>10485</v>
      </c>
      <c r="B171" s="17">
        <v>1795598</v>
      </c>
      <c r="C171" s="17">
        <v>0</v>
      </c>
      <c r="D171" s="17" t="s">
        <v>10465</v>
      </c>
      <c r="E171" s="17" t="s">
        <v>1007</v>
      </c>
      <c r="F171" s="17" t="s">
        <v>96</v>
      </c>
      <c r="G171" s="18" t="s">
        <v>9365</v>
      </c>
      <c r="H171" s="18" t="s">
        <v>98</v>
      </c>
      <c r="I171" s="17" t="s">
        <v>10486</v>
      </c>
      <c r="J171" s="17">
        <v>1</v>
      </c>
      <c r="K171" s="17">
        <v>0</v>
      </c>
      <c r="L171" s="17" t="s">
        <v>10487</v>
      </c>
      <c r="M171" s="19" t="s">
        <v>101</v>
      </c>
      <c r="N171" s="17" t="s">
        <v>10488</v>
      </c>
      <c r="O171" s="17" t="s">
        <v>10489</v>
      </c>
      <c r="P171" s="17" t="str">
        <f>HYPERLINK("https://dexscreener.com/solana/CqYM3eUQnppnQtPNcHWYdN9tgb5ePnuBpSxkiFDupump", "View")</f>
        <v>View</v>
      </c>
    </row>
    <row r="172" spans="1:16" x14ac:dyDescent="0.25">
      <c r="A172" s="13" t="s">
        <v>10490</v>
      </c>
      <c r="B172" s="14">
        <v>1451150</v>
      </c>
      <c r="C172" s="14">
        <v>0</v>
      </c>
      <c r="D172" s="14" t="s">
        <v>10465</v>
      </c>
      <c r="E172" s="14" t="s">
        <v>1007</v>
      </c>
      <c r="F172" s="14" t="s">
        <v>96</v>
      </c>
      <c r="G172" s="18" t="s">
        <v>9365</v>
      </c>
      <c r="H172" s="18" t="s">
        <v>98</v>
      </c>
      <c r="I172" s="14" t="s">
        <v>10491</v>
      </c>
      <c r="J172" s="14">
        <v>1</v>
      </c>
      <c r="K172" s="14">
        <v>0</v>
      </c>
      <c r="L172" s="14" t="s">
        <v>10492</v>
      </c>
      <c r="M172" s="19" t="s">
        <v>101</v>
      </c>
      <c r="N172" s="14" t="s">
        <v>10493</v>
      </c>
      <c r="O172" s="14" t="s">
        <v>10494</v>
      </c>
      <c r="P172" s="14" t="str">
        <f>HYPERLINK("https://dexscreener.com/solana/HkQ2TgynP3gWZr13qfhHLMmwS4TmXUnFU3GafaL1pump", "View")</f>
        <v>View</v>
      </c>
    </row>
    <row r="173" spans="1:16" x14ac:dyDescent="0.25">
      <c r="A173" s="16" t="s">
        <v>10495</v>
      </c>
      <c r="B173" s="17">
        <v>1571</v>
      </c>
      <c r="C173" s="17">
        <v>0</v>
      </c>
      <c r="D173" s="17" t="s">
        <v>10465</v>
      </c>
      <c r="E173" s="17" t="s">
        <v>1007</v>
      </c>
      <c r="F173" s="17" t="s">
        <v>96</v>
      </c>
      <c r="G173" s="18" t="s">
        <v>9365</v>
      </c>
      <c r="H173" s="18" t="s">
        <v>98</v>
      </c>
      <c r="I173" s="17" t="s">
        <v>10496</v>
      </c>
      <c r="J173" s="17">
        <v>1</v>
      </c>
      <c r="K173" s="17">
        <v>0</v>
      </c>
      <c r="L173" s="17" t="s">
        <v>10497</v>
      </c>
      <c r="M173" s="19" t="s">
        <v>101</v>
      </c>
      <c r="N173" s="17" t="s">
        <v>10498</v>
      </c>
      <c r="O173" s="17" t="s">
        <v>10499</v>
      </c>
      <c r="P173" s="17" t="str">
        <f>HYPERLINK("https://dexscreener.com/solana/Cvo4GdT1VCb3wp4vinVEyj2yBfQ2BNLvR5sUPhV2pump", "View")</f>
        <v>View</v>
      </c>
    </row>
    <row r="174" spans="1:16" x14ac:dyDescent="0.25">
      <c r="A174" s="13" t="s">
        <v>10500</v>
      </c>
      <c r="B174" s="14">
        <v>520977</v>
      </c>
      <c r="C174" s="14">
        <v>0</v>
      </c>
      <c r="D174" s="14" t="s">
        <v>10465</v>
      </c>
      <c r="E174" s="14" t="s">
        <v>1007</v>
      </c>
      <c r="F174" s="14" t="s">
        <v>96</v>
      </c>
      <c r="G174" s="18" t="s">
        <v>9365</v>
      </c>
      <c r="H174" s="18" t="s">
        <v>98</v>
      </c>
      <c r="I174" s="14" t="s">
        <v>10501</v>
      </c>
      <c r="J174" s="14">
        <v>1</v>
      </c>
      <c r="K174" s="14">
        <v>0</v>
      </c>
      <c r="L174" s="14" t="s">
        <v>10502</v>
      </c>
      <c r="M174" s="19" t="s">
        <v>101</v>
      </c>
      <c r="N174" s="14" t="s">
        <v>10503</v>
      </c>
      <c r="O174" s="14" t="s">
        <v>10504</v>
      </c>
      <c r="P174" s="14" t="str">
        <f>HYPERLINK("https://dexscreener.com/solana/8uCydBTEBHsNULSu3gwMKS5U1EKcGD4Ky5kzju65pump", "View")</f>
        <v>View</v>
      </c>
    </row>
    <row r="175" spans="1:16" x14ac:dyDescent="0.25">
      <c r="A175" s="16" t="s">
        <v>10505</v>
      </c>
      <c r="B175" s="17">
        <v>1737451</v>
      </c>
      <c r="C175" s="17">
        <v>0</v>
      </c>
      <c r="D175" s="17" t="s">
        <v>10465</v>
      </c>
      <c r="E175" s="17" t="s">
        <v>1007</v>
      </c>
      <c r="F175" s="17" t="s">
        <v>96</v>
      </c>
      <c r="G175" s="18" t="s">
        <v>9365</v>
      </c>
      <c r="H175" s="18" t="s">
        <v>98</v>
      </c>
      <c r="I175" s="17" t="s">
        <v>10506</v>
      </c>
      <c r="J175" s="17">
        <v>1</v>
      </c>
      <c r="K175" s="17">
        <v>0</v>
      </c>
      <c r="L175" s="17" t="s">
        <v>10507</v>
      </c>
      <c r="M175" s="19" t="s">
        <v>101</v>
      </c>
      <c r="N175" s="17" t="s">
        <v>4911</v>
      </c>
      <c r="O175" s="17" t="s">
        <v>10508</v>
      </c>
      <c r="P175" s="17" t="str">
        <f>HYPERLINK("https://dexscreener.com/solana/7NsY3ZqGrY3suPaPvJLYncTfoPF3Ef4JDcRHVig4pump", "View")</f>
        <v>View</v>
      </c>
    </row>
    <row r="176" spans="1:16" x14ac:dyDescent="0.25">
      <c r="A176" s="13" t="s">
        <v>10509</v>
      </c>
      <c r="B176" s="14">
        <v>509866</v>
      </c>
      <c r="C176" s="14">
        <v>475704</v>
      </c>
      <c r="D176" s="14" t="s">
        <v>8762</v>
      </c>
      <c r="E176" s="14" t="s">
        <v>1007</v>
      </c>
      <c r="F176" s="14" t="s">
        <v>10510</v>
      </c>
      <c r="G176" s="15" t="s">
        <v>10511</v>
      </c>
      <c r="H176" s="15" t="s">
        <v>10512</v>
      </c>
      <c r="I176" s="14" t="s">
        <v>88</v>
      </c>
      <c r="J176" s="14">
        <v>1</v>
      </c>
      <c r="K176" s="14">
        <v>2</v>
      </c>
      <c r="L176" s="14" t="s">
        <v>10513</v>
      </c>
      <c r="M176" s="14" t="s">
        <v>656</v>
      </c>
      <c r="N176" s="14" t="s">
        <v>10514</v>
      </c>
      <c r="O176" s="14" t="s">
        <v>10515</v>
      </c>
      <c r="P176" s="14" t="str">
        <f>HYPERLINK("https://dexscreener.com/solana/8XgSvP4iMbBeQDnC9i4odSGeG4h3QoLJ58avjLBnpump", "View")</f>
        <v>View</v>
      </c>
    </row>
    <row r="177" spans="1:16" x14ac:dyDescent="0.25">
      <c r="A177" s="16" t="s">
        <v>10516</v>
      </c>
      <c r="B177" s="17">
        <v>846538</v>
      </c>
      <c r="C177" s="17">
        <v>279357</v>
      </c>
      <c r="D177" s="17" t="s">
        <v>10517</v>
      </c>
      <c r="E177" s="17" t="s">
        <v>1007</v>
      </c>
      <c r="F177" s="17" t="s">
        <v>10518</v>
      </c>
      <c r="G177" s="20" t="s">
        <v>2760</v>
      </c>
      <c r="H177" s="20" t="s">
        <v>10519</v>
      </c>
      <c r="I177" s="17" t="s">
        <v>88</v>
      </c>
      <c r="J177" s="17">
        <v>1</v>
      </c>
      <c r="K177" s="17">
        <v>1</v>
      </c>
      <c r="L177" s="17" t="s">
        <v>10520</v>
      </c>
      <c r="M177" s="17" t="s">
        <v>7248</v>
      </c>
      <c r="N177" s="17" t="s">
        <v>10521</v>
      </c>
      <c r="O177" s="17" t="s">
        <v>10522</v>
      </c>
      <c r="P177" s="17" t="str">
        <f>HYPERLINK("https://dexscreener.com/solana/8X7emJy8CV5pK7UjyBKCywdfc4MTKShpUddqrqyepump", "View")</f>
        <v>View</v>
      </c>
    </row>
    <row r="178" spans="1:16" x14ac:dyDescent="0.25">
      <c r="A178" s="13" t="s">
        <v>10523</v>
      </c>
      <c r="B178" s="14">
        <v>2228560</v>
      </c>
      <c r="C178" s="14">
        <v>2161531</v>
      </c>
      <c r="D178" s="14" t="s">
        <v>802</v>
      </c>
      <c r="E178" s="14" t="s">
        <v>1007</v>
      </c>
      <c r="F178" s="14" t="s">
        <v>10524</v>
      </c>
      <c r="G178" s="20" t="s">
        <v>3885</v>
      </c>
      <c r="H178" s="20" t="s">
        <v>10525</v>
      </c>
      <c r="I178" s="14" t="s">
        <v>88</v>
      </c>
      <c r="J178" s="14">
        <v>1</v>
      </c>
      <c r="K178" s="14">
        <v>4</v>
      </c>
      <c r="L178" s="14" t="s">
        <v>10526</v>
      </c>
      <c r="M178" s="14" t="s">
        <v>9948</v>
      </c>
      <c r="N178" s="14" t="s">
        <v>10527</v>
      </c>
      <c r="O178" s="14" t="s">
        <v>10528</v>
      </c>
      <c r="P178" s="14" t="str">
        <f>HYPERLINK("https://dexscreener.com/solana/CLmkmdeeDqZRciDPrpVS8JtFj2g1hh8U4XQmQishpump", "View")</f>
        <v>View</v>
      </c>
    </row>
    <row r="179" spans="1:16" x14ac:dyDescent="0.25">
      <c r="A179" s="16" t="s">
        <v>693</v>
      </c>
      <c r="B179" s="17">
        <v>1376087</v>
      </c>
      <c r="C179" s="17">
        <v>1334698</v>
      </c>
      <c r="D179" s="17" t="s">
        <v>802</v>
      </c>
      <c r="E179" s="17" t="s">
        <v>1007</v>
      </c>
      <c r="F179" s="17" t="s">
        <v>4031</v>
      </c>
      <c r="G179" s="20" t="s">
        <v>10529</v>
      </c>
      <c r="H179" s="20" t="s">
        <v>10530</v>
      </c>
      <c r="I179" s="17" t="s">
        <v>88</v>
      </c>
      <c r="J179" s="17">
        <v>1</v>
      </c>
      <c r="K179" s="17">
        <v>4</v>
      </c>
      <c r="L179" s="17" t="s">
        <v>10531</v>
      </c>
      <c r="M179" s="17" t="s">
        <v>398</v>
      </c>
      <c r="N179" s="17" t="s">
        <v>10532</v>
      </c>
      <c r="O179" s="17" t="s">
        <v>701</v>
      </c>
      <c r="P179" s="17" t="str">
        <f>HYPERLINK("https://dexscreener.com/solana/A6J6iU22H4dzFsHiSRcPdwYCGtJLNFupDotwhKgfpump", "View")</f>
        <v>View</v>
      </c>
    </row>
    <row r="180" spans="1:16" x14ac:dyDescent="0.25">
      <c r="A180" s="13" t="s">
        <v>1141</v>
      </c>
      <c r="B180" s="14">
        <v>720451</v>
      </c>
      <c r="C180" s="14">
        <v>0</v>
      </c>
      <c r="D180" s="14" t="s">
        <v>10465</v>
      </c>
      <c r="E180" s="14" t="s">
        <v>1007</v>
      </c>
      <c r="F180" s="14" t="s">
        <v>96</v>
      </c>
      <c r="G180" s="18" t="s">
        <v>9365</v>
      </c>
      <c r="H180" s="18" t="s">
        <v>98</v>
      </c>
      <c r="I180" s="14" t="s">
        <v>10533</v>
      </c>
      <c r="J180" s="14">
        <v>1</v>
      </c>
      <c r="K180" s="14">
        <v>0</v>
      </c>
      <c r="L180" s="14" t="s">
        <v>10534</v>
      </c>
      <c r="M180" s="19" t="s">
        <v>101</v>
      </c>
      <c r="N180" s="14" t="s">
        <v>10535</v>
      </c>
      <c r="O180" s="14" t="s">
        <v>1145</v>
      </c>
      <c r="P180" s="14" t="str">
        <f>HYPERLINK("https://dexscreener.com/solana/9wtFqbMCFDLwgEboVs3WJhVG2VgwdFBo3osqtqgXpump", "View")</f>
        <v>View</v>
      </c>
    </row>
    <row r="181" spans="1:16" x14ac:dyDescent="0.25">
      <c r="A181" s="16" t="s">
        <v>10509</v>
      </c>
      <c r="B181" s="17">
        <v>4454506</v>
      </c>
      <c r="C181" s="17">
        <v>4254542</v>
      </c>
      <c r="D181" s="17" t="s">
        <v>10536</v>
      </c>
      <c r="E181" s="17" t="s">
        <v>1007</v>
      </c>
      <c r="F181" s="17" t="s">
        <v>10537</v>
      </c>
      <c r="G181" s="21" t="s">
        <v>2889</v>
      </c>
      <c r="H181" s="21" t="s">
        <v>10538</v>
      </c>
      <c r="I181" s="17" t="s">
        <v>88</v>
      </c>
      <c r="J181" s="17">
        <v>1</v>
      </c>
      <c r="K181" s="17">
        <v>3</v>
      </c>
      <c r="L181" s="17" t="s">
        <v>10539</v>
      </c>
      <c r="M181" s="17" t="s">
        <v>745</v>
      </c>
      <c r="N181" s="17" t="s">
        <v>10540</v>
      </c>
      <c r="O181" s="17" t="s">
        <v>10541</v>
      </c>
      <c r="P181" s="17" t="str">
        <f>HYPERLINK("https://dexscreener.com/solana/2jfmsGtcBpF4qQxztyBqhZmrtTf8tCNv7o98kwwSpump", "View")</f>
        <v>View</v>
      </c>
    </row>
    <row r="182" spans="1:16" x14ac:dyDescent="0.25">
      <c r="A182" s="13" t="s">
        <v>10542</v>
      </c>
      <c r="B182" s="14">
        <v>1626913</v>
      </c>
      <c r="C182" s="14">
        <v>1604946</v>
      </c>
      <c r="D182" s="14" t="s">
        <v>10543</v>
      </c>
      <c r="E182" s="14" t="s">
        <v>1007</v>
      </c>
      <c r="F182" s="14" t="s">
        <v>10544</v>
      </c>
      <c r="G182" s="21" t="s">
        <v>10545</v>
      </c>
      <c r="H182" s="21" t="s">
        <v>10546</v>
      </c>
      <c r="I182" s="14" t="s">
        <v>88</v>
      </c>
      <c r="J182" s="14">
        <v>1</v>
      </c>
      <c r="K182" s="14">
        <v>6</v>
      </c>
      <c r="L182" s="14" t="s">
        <v>10547</v>
      </c>
      <c r="M182" s="14" t="s">
        <v>9948</v>
      </c>
      <c r="N182" s="14" t="s">
        <v>10548</v>
      </c>
      <c r="O182" s="14" t="s">
        <v>10549</v>
      </c>
      <c r="P182" s="14" t="str">
        <f>HYPERLINK("https://dexscreener.com/solana/D57CP6MA7G5idNmxAuigU6W8uPeiGvDVuuwh4z2ypump", "View")</f>
        <v>View</v>
      </c>
    </row>
    <row r="183" spans="1:16" x14ac:dyDescent="0.25">
      <c r="A183" s="16" t="s">
        <v>10550</v>
      </c>
      <c r="B183" s="17">
        <v>1255754</v>
      </c>
      <c r="C183" s="17">
        <v>0</v>
      </c>
      <c r="D183" s="17" t="s">
        <v>10465</v>
      </c>
      <c r="E183" s="17" t="s">
        <v>1007</v>
      </c>
      <c r="F183" s="17" t="s">
        <v>96</v>
      </c>
      <c r="G183" s="18" t="s">
        <v>9365</v>
      </c>
      <c r="H183" s="18" t="s">
        <v>98</v>
      </c>
      <c r="I183" s="17" t="s">
        <v>10551</v>
      </c>
      <c r="J183" s="17">
        <v>1</v>
      </c>
      <c r="K183" s="17">
        <v>0</v>
      </c>
      <c r="L183" s="17" t="s">
        <v>10552</v>
      </c>
      <c r="M183" s="19" t="s">
        <v>101</v>
      </c>
      <c r="N183" s="17" t="s">
        <v>10553</v>
      </c>
      <c r="O183" s="17" t="s">
        <v>10554</v>
      </c>
      <c r="P183" s="17" t="str">
        <f>HYPERLINK("https://dexscreener.com/solana/5cnfnDNVssoccP2T1sG1ie5Wfk9jSnG3ruMQcPS4pump", "View")</f>
        <v>View</v>
      </c>
    </row>
    <row r="184" spans="1:16" x14ac:dyDescent="0.25">
      <c r="A184" s="13" t="s">
        <v>10555</v>
      </c>
      <c r="B184" s="14">
        <v>751</v>
      </c>
      <c r="C184" s="14">
        <v>0</v>
      </c>
      <c r="D184" s="14" t="s">
        <v>10465</v>
      </c>
      <c r="E184" s="14" t="s">
        <v>1007</v>
      </c>
      <c r="F184" s="14" t="s">
        <v>96</v>
      </c>
      <c r="G184" s="18" t="s">
        <v>9365</v>
      </c>
      <c r="H184" s="18" t="s">
        <v>98</v>
      </c>
      <c r="I184" s="14" t="s">
        <v>10556</v>
      </c>
      <c r="J184" s="14">
        <v>1</v>
      </c>
      <c r="K184" s="14">
        <v>0</v>
      </c>
      <c r="L184" s="14" t="s">
        <v>10557</v>
      </c>
      <c r="M184" s="19" t="s">
        <v>101</v>
      </c>
      <c r="N184" s="14" t="s">
        <v>10558</v>
      </c>
      <c r="O184" s="14" t="s">
        <v>10559</v>
      </c>
      <c r="P184" s="14" t="str">
        <f>HYPERLINK("https://dexscreener.com/solana/HRfsUNJiePHqU9pxkWtES6ECEHszthyv6Jg9ZY7bpump", "View")</f>
        <v>View</v>
      </c>
    </row>
    <row r="185" spans="1:16" x14ac:dyDescent="0.25">
      <c r="A185" s="16" t="s">
        <v>10560</v>
      </c>
      <c r="B185" s="17">
        <v>1712500</v>
      </c>
      <c r="C185" s="17">
        <v>0</v>
      </c>
      <c r="D185" s="17" t="s">
        <v>10465</v>
      </c>
      <c r="E185" s="17" t="s">
        <v>1007</v>
      </c>
      <c r="F185" s="17" t="s">
        <v>96</v>
      </c>
      <c r="G185" s="18" t="s">
        <v>9365</v>
      </c>
      <c r="H185" s="18" t="s">
        <v>98</v>
      </c>
      <c r="I185" s="17" t="s">
        <v>10561</v>
      </c>
      <c r="J185" s="17">
        <v>1</v>
      </c>
      <c r="K185" s="17">
        <v>0</v>
      </c>
      <c r="L185" s="17" t="s">
        <v>10562</v>
      </c>
      <c r="M185" s="19" t="s">
        <v>101</v>
      </c>
      <c r="N185" s="17" t="s">
        <v>4911</v>
      </c>
      <c r="O185" s="17" t="s">
        <v>10563</v>
      </c>
      <c r="P185" s="17" t="str">
        <f>HYPERLINK("https://dexscreener.com/solana/DL7eHjziBjJ4aDVCRuz41nM2SceQvrUfREYmRQYHpump", "View")</f>
        <v>View</v>
      </c>
    </row>
    <row r="186" spans="1:16" x14ac:dyDescent="0.25">
      <c r="A186" s="13" t="s">
        <v>8063</v>
      </c>
      <c r="B186" s="14">
        <v>2245025</v>
      </c>
      <c r="C186" s="14">
        <v>2020522</v>
      </c>
      <c r="D186" s="14" t="s">
        <v>10517</v>
      </c>
      <c r="E186" s="14" t="s">
        <v>1007</v>
      </c>
      <c r="F186" s="14" t="s">
        <v>10564</v>
      </c>
      <c r="G186" s="15" t="s">
        <v>10565</v>
      </c>
      <c r="H186" s="15" t="s">
        <v>10566</v>
      </c>
      <c r="I186" s="14" t="s">
        <v>88</v>
      </c>
      <c r="J186" s="14">
        <v>1</v>
      </c>
      <c r="K186" s="14">
        <v>1</v>
      </c>
      <c r="L186" s="14" t="s">
        <v>10567</v>
      </c>
      <c r="M186" s="14" t="s">
        <v>5922</v>
      </c>
      <c r="N186" s="14" t="s">
        <v>5334</v>
      </c>
      <c r="O186" s="14" t="s">
        <v>8076</v>
      </c>
      <c r="P186" s="14" t="str">
        <f>HYPERLINK("https://dexscreener.com/solana/79zER84VHcQKmmnsjaHtZ6T5sDFsejy9z6YWR5smpump", "View")</f>
        <v>View</v>
      </c>
    </row>
    <row r="187" spans="1:16" x14ac:dyDescent="0.25">
      <c r="A187" s="16" t="s">
        <v>10568</v>
      </c>
      <c r="B187" s="17">
        <v>2056654</v>
      </c>
      <c r="C187" s="17">
        <v>1850988</v>
      </c>
      <c r="D187" s="17" t="s">
        <v>10517</v>
      </c>
      <c r="E187" s="17" t="s">
        <v>1007</v>
      </c>
      <c r="F187" s="17" t="s">
        <v>4673</v>
      </c>
      <c r="G187" s="15" t="s">
        <v>10569</v>
      </c>
      <c r="H187" s="15" t="s">
        <v>10570</v>
      </c>
      <c r="I187" s="17" t="s">
        <v>88</v>
      </c>
      <c r="J187" s="17">
        <v>1</v>
      </c>
      <c r="K187" s="17">
        <v>1</v>
      </c>
      <c r="L187" s="17" t="s">
        <v>10571</v>
      </c>
      <c r="M187" s="17" t="s">
        <v>5501</v>
      </c>
      <c r="N187" s="17" t="s">
        <v>1175</v>
      </c>
      <c r="O187" s="17" t="s">
        <v>10572</v>
      </c>
      <c r="P187" s="17" t="str">
        <f>HYPERLINK("https://dexscreener.com/solana/8q83Vvfu9ShcREvQ6TGi34VrJH9y2uSPygGzTtYWpump", "View")</f>
        <v>View</v>
      </c>
    </row>
    <row r="188" spans="1:16" x14ac:dyDescent="0.25">
      <c r="A188" s="13" t="s">
        <v>10573</v>
      </c>
      <c r="B188" s="14">
        <v>3228256</v>
      </c>
      <c r="C188" s="14">
        <v>2905430</v>
      </c>
      <c r="D188" s="14" t="s">
        <v>10517</v>
      </c>
      <c r="E188" s="14" t="s">
        <v>1007</v>
      </c>
      <c r="F188" s="14" t="s">
        <v>3785</v>
      </c>
      <c r="G188" s="15" t="s">
        <v>10574</v>
      </c>
      <c r="H188" s="15" t="s">
        <v>10575</v>
      </c>
      <c r="I188" s="14" t="s">
        <v>88</v>
      </c>
      <c r="J188" s="14">
        <v>1</v>
      </c>
      <c r="K188" s="14">
        <v>1</v>
      </c>
      <c r="L188" s="14" t="s">
        <v>10576</v>
      </c>
      <c r="M188" s="14" t="s">
        <v>4985</v>
      </c>
      <c r="N188" s="14" t="s">
        <v>10577</v>
      </c>
      <c r="O188" s="14" t="s">
        <v>10578</v>
      </c>
      <c r="P188" s="14" t="str">
        <f>HYPERLINK("https://dexscreener.com/solana/EVRWBUYGN5BdJcwagB7sYHy9cAo6xPUqD1j5VHv6pump", "View")</f>
        <v>View</v>
      </c>
    </row>
    <row r="189" spans="1:16" x14ac:dyDescent="0.25">
      <c r="A189" s="16" t="s">
        <v>920</v>
      </c>
      <c r="B189" s="17">
        <v>261978</v>
      </c>
      <c r="C189" s="17">
        <v>235780</v>
      </c>
      <c r="D189" s="17" t="s">
        <v>10517</v>
      </c>
      <c r="E189" s="17" t="s">
        <v>1007</v>
      </c>
      <c r="F189" s="17" t="s">
        <v>3610</v>
      </c>
      <c r="G189" s="15" t="s">
        <v>10579</v>
      </c>
      <c r="H189" s="15" t="s">
        <v>10580</v>
      </c>
      <c r="I189" s="17" t="s">
        <v>88</v>
      </c>
      <c r="J189" s="17">
        <v>1</v>
      </c>
      <c r="K189" s="17">
        <v>1</v>
      </c>
      <c r="L189" s="17" t="s">
        <v>10581</v>
      </c>
      <c r="M189" s="17" t="s">
        <v>364</v>
      </c>
      <c r="N189" s="17" t="s">
        <v>10582</v>
      </c>
      <c r="O189" s="17" t="s">
        <v>925</v>
      </c>
      <c r="P189" s="17" t="str">
        <f>HYPERLINK("https://dexscreener.com/solana/Fgn3y5zLZTfi5UxP59yHbLmryWgWnHS4BFJHcsuVpump", "View")</f>
        <v>View</v>
      </c>
    </row>
    <row r="190" spans="1:16" x14ac:dyDescent="0.25">
      <c r="A190" s="13" t="s">
        <v>4099</v>
      </c>
      <c r="B190" s="14">
        <v>4866977</v>
      </c>
      <c r="C190" s="14">
        <v>0</v>
      </c>
      <c r="D190" s="14" t="s">
        <v>10465</v>
      </c>
      <c r="E190" s="14" t="s">
        <v>1007</v>
      </c>
      <c r="F190" s="14" t="s">
        <v>96</v>
      </c>
      <c r="G190" s="18" t="s">
        <v>9365</v>
      </c>
      <c r="H190" s="18" t="s">
        <v>98</v>
      </c>
      <c r="I190" s="14" t="s">
        <v>10583</v>
      </c>
      <c r="J190" s="14">
        <v>1</v>
      </c>
      <c r="K190" s="14">
        <v>0</v>
      </c>
      <c r="L190" s="14" t="s">
        <v>10584</v>
      </c>
      <c r="M190" s="19" t="s">
        <v>101</v>
      </c>
      <c r="N190" s="14" t="s">
        <v>10090</v>
      </c>
      <c r="O190" s="14" t="s">
        <v>4105</v>
      </c>
      <c r="P190" s="14" t="str">
        <f>HYPERLINK("https://dexscreener.com/solana/AgQtbsiNfuaviLF7xzxSQFnfWBDu7ekhkNBStxaRpump", "View")</f>
        <v>View</v>
      </c>
    </row>
    <row r="191" spans="1:16" x14ac:dyDescent="0.25">
      <c r="A191" s="16" t="s">
        <v>10585</v>
      </c>
      <c r="B191" s="17">
        <v>682655</v>
      </c>
      <c r="C191" s="17">
        <v>636917</v>
      </c>
      <c r="D191" s="17" t="s">
        <v>8762</v>
      </c>
      <c r="E191" s="17" t="s">
        <v>1007</v>
      </c>
      <c r="F191" s="17" t="s">
        <v>10586</v>
      </c>
      <c r="G191" s="21" t="s">
        <v>10587</v>
      </c>
      <c r="H191" s="21" t="s">
        <v>10588</v>
      </c>
      <c r="I191" s="17" t="s">
        <v>88</v>
      </c>
      <c r="J191" s="17">
        <v>1</v>
      </c>
      <c r="K191" s="17">
        <v>2</v>
      </c>
      <c r="L191" s="17" t="s">
        <v>10589</v>
      </c>
      <c r="M191" s="17" t="s">
        <v>179</v>
      </c>
      <c r="N191" s="17" t="s">
        <v>10590</v>
      </c>
      <c r="O191" s="17" t="s">
        <v>10591</v>
      </c>
      <c r="P191" s="17" t="str">
        <f>HYPERLINK("https://dexscreener.com/solana/BfUfnLMCNwKYamhJXzaxgUmFjrGFHdkjRLAxeaxqpump", "View")</f>
        <v>View</v>
      </c>
    </row>
    <row r="192" spans="1:16" x14ac:dyDescent="0.25">
      <c r="A192" s="13" t="s">
        <v>10592</v>
      </c>
      <c r="B192" s="14">
        <v>514</v>
      </c>
      <c r="C192" s="14">
        <v>0</v>
      </c>
      <c r="D192" s="14" t="s">
        <v>10465</v>
      </c>
      <c r="E192" s="14" t="s">
        <v>1007</v>
      </c>
      <c r="F192" s="14" t="s">
        <v>96</v>
      </c>
      <c r="G192" s="18" t="s">
        <v>9365</v>
      </c>
      <c r="H192" s="18" t="s">
        <v>98</v>
      </c>
      <c r="I192" s="14" t="s">
        <v>10593</v>
      </c>
      <c r="J192" s="14">
        <v>1</v>
      </c>
      <c r="K192" s="14">
        <v>0</v>
      </c>
      <c r="L192" s="14" t="s">
        <v>10594</v>
      </c>
      <c r="M192" s="19" t="s">
        <v>101</v>
      </c>
      <c r="N192" s="14" t="s">
        <v>10595</v>
      </c>
      <c r="O192" s="14" t="s">
        <v>10596</v>
      </c>
      <c r="P192" s="14" t="str">
        <f>HYPERLINK("https://dexscreener.com/solana/AdNys9Un2czgmEpxJJSWnJxic7EXtzbxAxQ9ByBGpump", "View")</f>
        <v>View</v>
      </c>
    </row>
    <row r="193" spans="1:16" x14ac:dyDescent="0.25">
      <c r="A193" s="16" t="s">
        <v>10597</v>
      </c>
      <c r="B193" s="17">
        <v>1235116</v>
      </c>
      <c r="C193" s="17">
        <v>1111604</v>
      </c>
      <c r="D193" s="17" t="s">
        <v>10517</v>
      </c>
      <c r="E193" s="17" t="s">
        <v>1007</v>
      </c>
      <c r="F193" s="17" t="s">
        <v>10598</v>
      </c>
      <c r="G193" s="20" t="s">
        <v>10599</v>
      </c>
      <c r="H193" s="20" t="s">
        <v>10600</v>
      </c>
      <c r="I193" s="17" t="s">
        <v>88</v>
      </c>
      <c r="J193" s="17">
        <v>1</v>
      </c>
      <c r="K193" s="17">
        <v>1</v>
      </c>
      <c r="L193" s="17" t="s">
        <v>10601</v>
      </c>
      <c r="M193" s="17" t="s">
        <v>2617</v>
      </c>
      <c r="N193" s="17" t="s">
        <v>10602</v>
      </c>
      <c r="O193" s="17" t="s">
        <v>10603</v>
      </c>
      <c r="P193" s="17" t="str">
        <f>HYPERLINK("https://dexscreener.com/solana/9gxfYASoTq3RMejwrdpNBNzN1Af8Pn1jsWx9w7a4pump", "View")</f>
        <v>View</v>
      </c>
    </row>
    <row r="194" spans="1:16" x14ac:dyDescent="0.25">
      <c r="A194" s="13" t="s">
        <v>10604</v>
      </c>
      <c r="B194" s="14">
        <v>457589</v>
      </c>
      <c r="C194" s="14">
        <v>0</v>
      </c>
      <c r="D194" s="14" t="s">
        <v>10465</v>
      </c>
      <c r="E194" s="14" t="s">
        <v>1007</v>
      </c>
      <c r="F194" s="14" t="s">
        <v>96</v>
      </c>
      <c r="G194" s="18" t="s">
        <v>9365</v>
      </c>
      <c r="H194" s="18" t="s">
        <v>98</v>
      </c>
      <c r="I194" s="14" t="s">
        <v>10605</v>
      </c>
      <c r="J194" s="14">
        <v>1</v>
      </c>
      <c r="K194" s="14">
        <v>0</v>
      </c>
      <c r="L194" s="14" t="s">
        <v>10606</v>
      </c>
      <c r="M194" s="19" t="s">
        <v>101</v>
      </c>
      <c r="N194" s="14" t="s">
        <v>10607</v>
      </c>
      <c r="O194" s="14" t="s">
        <v>10608</v>
      </c>
      <c r="P194" s="14" t="str">
        <f>HYPERLINK("https://dexscreener.com/solana/FCGDDio5DuhujHcRQCDbXHnrcSA4pUGg2haNt7S2pump", "View")</f>
        <v>View</v>
      </c>
    </row>
    <row r="195" spans="1:16" x14ac:dyDescent="0.25">
      <c r="A195" s="16" t="s">
        <v>10609</v>
      </c>
      <c r="B195" s="17">
        <v>100102</v>
      </c>
      <c r="C195" s="17">
        <v>66567</v>
      </c>
      <c r="D195" s="17" t="s">
        <v>8762</v>
      </c>
      <c r="E195" s="17" t="s">
        <v>1007</v>
      </c>
      <c r="F195" s="17" t="s">
        <v>10610</v>
      </c>
      <c r="G195" s="22" t="s">
        <v>2369</v>
      </c>
      <c r="H195" s="22" t="s">
        <v>10611</v>
      </c>
      <c r="I195" s="17" t="s">
        <v>88</v>
      </c>
      <c r="J195" s="17">
        <v>1</v>
      </c>
      <c r="K195" s="17">
        <v>2</v>
      </c>
      <c r="L195" s="17" t="s">
        <v>10612</v>
      </c>
      <c r="M195" s="17" t="s">
        <v>414</v>
      </c>
      <c r="N195" s="17" t="s">
        <v>617</v>
      </c>
      <c r="O195" s="17" t="s">
        <v>10613</v>
      </c>
      <c r="P195" s="17" t="str">
        <f>HYPERLINK("https://dexscreener.com/solana/3qq54YqAKG3TcrwNHXFSpMCWoL8gmMuPceJ4FG9npump", "View")</f>
        <v>View</v>
      </c>
    </row>
    <row r="196" spans="1:16" x14ac:dyDescent="0.25">
      <c r="A196" s="13" t="s">
        <v>1154</v>
      </c>
      <c r="B196" s="14">
        <v>511488</v>
      </c>
      <c r="C196" s="14">
        <v>460339</v>
      </c>
      <c r="D196" s="14" t="s">
        <v>10517</v>
      </c>
      <c r="E196" s="14" t="s">
        <v>1007</v>
      </c>
      <c r="F196" s="14" t="s">
        <v>10614</v>
      </c>
      <c r="G196" s="15" t="s">
        <v>10615</v>
      </c>
      <c r="H196" s="15" t="s">
        <v>10616</v>
      </c>
      <c r="I196" s="14" t="s">
        <v>88</v>
      </c>
      <c r="J196" s="14">
        <v>1</v>
      </c>
      <c r="K196" s="14">
        <v>1</v>
      </c>
      <c r="L196" s="14" t="s">
        <v>10617</v>
      </c>
      <c r="M196" s="14" t="s">
        <v>6393</v>
      </c>
      <c r="N196" s="14" t="s">
        <v>10618</v>
      </c>
      <c r="O196" s="14" t="s">
        <v>1161</v>
      </c>
      <c r="P196" s="14" t="str">
        <f>HYPERLINK("https://dexscreener.com/solana/5SGt7iwPqxLYrsQiCcUpN3NASstzpsjwAutuPV2Tpump", "View")</f>
        <v>View</v>
      </c>
    </row>
    <row r="197" spans="1:16" x14ac:dyDescent="0.25">
      <c r="A197" s="16" t="s">
        <v>10619</v>
      </c>
      <c r="B197" s="17">
        <v>554726</v>
      </c>
      <c r="C197" s="17">
        <v>499253</v>
      </c>
      <c r="D197" s="17" t="s">
        <v>10517</v>
      </c>
      <c r="E197" s="17" t="s">
        <v>1007</v>
      </c>
      <c r="F197" s="17" t="s">
        <v>4093</v>
      </c>
      <c r="G197" s="15" t="s">
        <v>10620</v>
      </c>
      <c r="H197" s="15" t="s">
        <v>10621</v>
      </c>
      <c r="I197" s="17" t="s">
        <v>88</v>
      </c>
      <c r="J197" s="17">
        <v>1</v>
      </c>
      <c r="K197" s="17">
        <v>1</v>
      </c>
      <c r="L197" s="17" t="s">
        <v>10622</v>
      </c>
      <c r="M197" s="17" t="s">
        <v>680</v>
      </c>
      <c r="N197" s="17" t="s">
        <v>10623</v>
      </c>
      <c r="O197" s="17" t="s">
        <v>10624</v>
      </c>
      <c r="P197" s="17" t="str">
        <f>HYPERLINK("https://dexscreener.com/solana/6cLLXCTW48EdneJKWhc7vzE4VB3XMcJVEjsocQRHpump", "View")</f>
        <v>View</v>
      </c>
    </row>
    <row r="198" spans="1:16" x14ac:dyDescent="0.25">
      <c r="A198" s="13" t="s">
        <v>1146</v>
      </c>
      <c r="B198" s="14">
        <v>1029907</v>
      </c>
      <c r="C198" s="14">
        <v>914324</v>
      </c>
      <c r="D198" s="14" t="s">
        <v>802</v>
      </c>
      <c r="E198" s="14" t="s">
        <v>1007</v>
      </c>
      <c r="F198" s="14" t="s">
        <v>10625</v>
      </c>
      <c r="G198" s="21" t="s">
        <v>10626</v>
      </c>
      <c r="H198" s="21" t="s">
        <v>10627</v>
      </c>
      <c r="I198" s="14" t="s">
        <v>88</v>
      </c>
      <c r="J198" s="14">
        <v>1</v>
      </c>
      <c r="K198" s="14">
        <v>4</v>
      </c>
      <c r="L198" s="14" t="s">
        <v>10628</v>
      </c>
      <c r="M198" s="14" t="s">
        <v>414</v>
      </c>
      <c r="N198" s="14" t="s">
        <v>10629</v>
      </c>
      <c r="O198" s="14" t="s">
        <v>1153</v>
      </c>
      <c r="P198" s="14" t="str">
        <f>HYPERLINK("https://dexscreener.com/solana/umgcPr2uQHzmCerCu6kSPBiaUdMWZewRRQmQ54Apump", "View")</f>
        <v>View</v>
      </c>
    </row>
    <row r="199" spans="1:16" x14ac:dyDescent="0.25">
      <c r="A199" s="16" t="s">
        <v>10630</v>
      </c>
      <c r="B199" s="17">
        <v>143791</v>
      </c>
      <c r="C199" s="17">
        <v>0</v>
      </c>
      <c r="D199" s="17" t="s">
        <v>10465</v>
      </c>
      <c r="E199" s="17" t="s">
        <v>1007</v>
      </c>
      <c r="F199" s="17" t="s">
        <v>96</v>
      </c>
      <c r="G199" s="18" t="s">
        <v>9365</v>
      </c>
      <c r="H199" s="18" t="s">
        <v>98</v>
      </c>
      <c r="I199" s="17" t="s">
        <v>10631</v>
      </c>
      <c r="J199" s="17">
        <v>1</v>
      </c>
      <c r="K199" s="17">
        <v>0</v>
      </c>
      <c r="L199" s="17" t="s">
        <v>10632</v>
      </c>
      <c r="M199" s="19" t="s">
        <v>101</v>
      </c>
      <c r="N199" s="17" t="s">
        <v>10633</v>
      </c>
      <c r="O199" s="17" t="s">
        <v>10634</v>
      </c>
      <c r="P199" s="17" t="str">
        <f>HYPERLINK("https://dexscreener.com/solana/NmpfpJ7s7UBA4dLbrHVe8utkZqGjCEf2w552uZ5pump", "View")</f>
        <v>View</v>
      </c>
    </row>
    <row r="200" spans="1:16" x14ac:dyDescent="0.25">
      <c r="A200" s="13" t="s">
        <v>10635</v>
      </c>
      <c r="B200" s="14">
        <v>1522399</v>
      </c>
      <c r="C200" s="14">
        <v>1370158</v>
      </c>
      <c r="D200" s="14" t="s">
        <v>10517</v>
      </c>
      <c r="E200" s="14" t="s">
        <v>1007</v>
      </c>
      <c r="F200" s="14" t="s">
        <v>10636</v>
      </c>
      <c r="G200" s="15" t="s">
        <v>10637</v>
      </c>
      <c r="H200" s="15" t="s">
        <v>9942</v>
      </c>
      <c r="I200" s="14" t="s">
        <v>88</v>
      </c>
      <c r="J200" s="14">
        <v>1</v>
      </c>
      <c r="K200" s="14">
        <v>1</v>
      </c>
      <c r="L200" s="14" t="s">
        <v>10638</v>
      </c>
      <c r="M200" s="14" t="s">
        <v>179</v>
      </c>
      <c r="N200" s="14" t="s">
        <v>544</v>
      </c>
      <c r="O200" s="14" t="s">
        <v>10639</v>
      </c>
      <c r="P200" s="14" t="str">
        <f>HYPERLINK("https://dexscreener.com/solana/BEEDc4Stve62qB8zNad6kkEdEHFVB44xAEVQpvypump", "View")</f>
        <v>View</v>
      </c>
    </row>
    <row r="201" spans="1:16" x14ac:dyDescent="0.25">
      <c r="A201" s="16" t="s">
        <v>10640</v>
      </c>
      <c r="B201" s="17">
        <v>3043383</v>
      </c>
      <c r="C201" s="17">
        <v>2739044</v>
      </c>
      <c r="D201" s="17" t="s">
        <v>10517</v>
      </c>
      <c r="E201" s="17" t="s">
        <v>1007</v>
      </c>
      <c r="F201" s="17" t="s">
        <v>10641</v>
      </c>
      <c r="G201" s="15" t="s">
        <v>10642</v>
      </c>
      <c r="H201" s="15" t="s">
        <v>10643</v>
      </c>
      <c r="I201" s="17" t="s">
        <v>88</v>
      </c>
      <c r="J201" s="17">
        <v>1</v>
      </c>
      <c r="K201" s="17">
        <v>1</v>
      </c>
      <c r="L201" s="17" t="s">
        <v>10644</v>
      </c>
      <c r="M201" s="17" t="s">
        <v>317</v>
      </c>
      <c r="N201" s="17" t="s">
        <v>10645</v>
      </c>
      <c r="O201" s="17" t="s">
        <v>10646</v>
      </c>
      <c r="P201" s="17" t="str">
        <f>HYPERLINK("https://dexscreener.com/solana/ErRwWvxh6iEszet5ahmypjRTcQHyX4GDn7zGEukMpump", "View")</f>
        <v>View</v>
      </c>
    </row>
    <row r="202" spans="1:16" x14ac:dyDescent="0.25">
      <c r="A202" s="13" t="s">
        <v>10647</v>
      </c>
      <c r="B202" s="14">
        <v>380379</v>
      </c>
      <c r="C202" s="14">
        <v>342340</v>
      </c>
      <c r="D202" s="14" t="s">
        <v>10517</v>
      </c>
      <c r="E202" s="14" t="s">
        <v>1007</v>
      </c>
      <c r="F202" s="14" t="s">
        <v>2554</v>
      </c>
      <c r="G202" s="15" t="s">
        <v>10648</v>
      </c>
      <c r="H202" s="15" t="s">
        <v>10649</v>
      </c>
      <c r="I202" s="14" t="s">
        <v>88</v>
      </c>
      <c r="J202" s="14">
        <v>1</v>
      </c>
      <c r="K202" s="14">
        <v>1</v>
      </c>
      <c r="L202" s="14" t="s">
        <v>10650</v>
      </c>
      <c r="M202" s="14" t="s">
        <v>7248</v>
      </c>
      <c r="N202" s="14" t="s">
        <v>10651</v>
      </c>
      <c r="O202" s="14" t="s">
        <v>10652</v>
      </c>
      <c r="P202" s="14" t="str">
        <f>HYPERLINK("https://dexscreener.com/solana/7J5rZx7BpMWmrVhUAMAHs28DBn7GxSYZZ6dMnLXjpump", "View")</f>
        <v>View</v>
      </c>
    </row>
    <row r="203" spans="1:16" x14ac:dyDescent="0.25">
      <c r="A203" s="16" t="s">
        <v>10653</v>
      </c>
      <c r="B203" s="17">
        <v>2492285</v>
      </c>
      <c r="C203" s="17">
        <v>0</v>
      </c>
      <c r="D203" s="17" t="s">
        <v>10465</v>
      </c>
      <c r="E203" s="17" t="s">
        <v>1007</v>
      </c>
      <c r="F203" s="17" t="s">
        <v>96</v>
      </c>
      <c r="G203" s="18" t="s">
        <v>9365</v>
      </c>
      <c r="H203" s="18" t="s">
        <v>98</v>
      </c>
      <c r="I203" s="17" t="s">
        <v>10654</v>
      </c>
      <c r="J203" s="17">
        <v>1</v>
      </c>
      <c r="K203" s="17">
        <v>0</v>
      </c>
      <c r="L203" s="17" t="s">
        <v>10655</v>
      </c>
      <c r="M203" s="19" t="s">
        <v>101</v>
      </c>
      <c r="N203" s="17" t="s">
        <v>10656</v>
      </c>
      <c r="O203" s="17" t="s">
        <v>10657</v>
      </c>
      <c r="P203" s="17" t="str">
        <f>HYPERLINK("https://dexscreener.com/solana/BqudbvgHFdeTvPCv9Y1G9TGKwgrskP4izfkv5SFpump", "View")</f>
        <v>View</v>
      </c>
    </row>
    <row r="204" spans="1:16" x14ac:dyDescent="0.25">
      <c r="A204" s="13" t="s">
        <v>10658</v>
      </c>
      <c r="B204" s="14">
        <v>1364899</v>
      </c>
      <c r="C204" s="14">
        <v>0</v>
      </c>
      <c r="D204" s="14" t="s">
        <v>10465</v>
      </c>
      <c r="E204" s="14" t="s">
        <v>1007</v>
      </c>
      <c r="F204" s="14" t="s">
        <v>96</v>
      </c>
      <c r="G204" s="18" t="s">
        <v>9365</v>
      </c>
      <c r="H204" s="18" t="s">
        <v>98</v>
      </c>
      <c r="I204" s="14" t="s">
        <v>10659</v>
      </c>
      <c r="J204" s="14">
        <v>1</v>
      </c>
      <c r="K204" s="14">
        <v>0</v>
      </c>
      <c r="L204" s="14" t="s">
        <v>10660</v>
      </c>
      <c r="M204" s="19" t="s">
        <v>101</v>
      </c>
      <c r="N204" s="14" t="s">
        <v>10661</v>
      </c>
      <c r="O204" s="14" t="s">
        <v>10662</v>
      </c>
      <c r="P204" s="14" t="str">
        <f>HYPERLINK("https://dexscreener.com/solana/6URDrfkefQRVyNuvjA5R2Z24jQ8eE9MesKVZb73qpump", "View")</f>
        <v>View</v>
      </c>
    </row>
    <row r="205" spans="1:16" x14ac:dyDescent="0.25">
      <c r="A205" s="16" t="s">
        <v>10663</v>
      </c>
      <c r="B205" s="17">
        <v>377091</v>
      </c>
      <c r="C205" s="17">
        <v>339382</v>
      </c>
      <c r="D205" s="17" t="s">
        <v>10517</v>
      </c>
      <c r="E205" s="17" t="s">
        <v>1007</v>
      </c>
      <c r="F205" s="17" t="s">
        <v>10664</v>
      </c>
      <c r="G205" s="15" t="s">
        <v>10665</v>
      </c>
      <c r="H205" s="15" t="s">
        <v>10666</v>
      </c>
      <c r="I205" s="17" t="s">
        <v>88</v>
      </c>
      <c r="J205" s="17">
        <v>1</v>
      </c>
      <c r="K205" s="17">
        <v>1</v>
      </c>
      <c r="L205" s="17" t="s">
        <v>10667</v>
      </c>
      <c r="M205" s="17" t="s">
        <v>788</v>
      </c>
      <c r="N205" s="17" t="s">
        <v>10668</v>
      </c>
      <c r="O205" s="17" t="s">
        <v>10669</v>
      </c>
      <c r="P205" s="17" t="str">
        <f>HYPERLINK("https://dexscreener.com/solana/DCrPFBDZBVdVaiu98Jr9woaPRT5BUqZwSNr9Chdgpump", "View")</f>
        <v>View</v>
      </c>
    </row>
    <row r="206" spans="1:16" x14ac:dyDescent="0.25">
      <c r="A206" s="13" t="s">
        <v>10670</v>
      </c>
      <c r="B206" s="14">
        <v>2850548</v>
      </c>
      <c r="C206" s="14">
        <v>0</v>
      </c>
      <c r="D206" s="14" t="s">
        <v>10465</v>
      </c>
      <c r="E206" s="14" t="s">
        <v>1007</v>
      </c>
      <c r="F206" s="14" t="s">
        <v>96</v>
      </c>
      <c r="G206" s="18" t="s">
        <v>9365</v>
      </c>
      <c r="H206" s="18" t="s">
        <v>98</v>
      </c>
      <c r="I206" s="14" t="s">
        <v>10671</v>
      </c>
      <c r="J206" s="14">
        <v>1</v>
      </c>
      <c r="K206" s="14">
        <v>0</v>
      </c>
      <c r="L206" s="14" t="s">
        <v>10672</v>
      </c>
      <c r="M206" s="19" t="s">
        <v>101</v>
      </c>
      <c r="N206" s="14" t="s">
        <v>10673</v>
      </c>
      <c r="O206" s="14" t="s">
        <v>10674</v>
      </c>
      <c r="P206" s="14" t="str">
        <f>HYPERLINK("https://dexscreener.com/solana/5bMiFxQUwqex6d4QEQB5LJfEK8B3fV1DVr7PADnupump", "View")</f>
        <v>View</v>
      </c>
    </row>
    <row r="207" spans="1:16" x14ac:dyDescent="0.25">
      <c r="A207" s="16" t="s">
        <v>10675</v>
      </c>
      <c r="B207" s="17">
        <v>1239636</v>
      </c>
      <c r="C207" s="17">
        <v>1135816</v>
      </c>
      <c r="D207" s="17" t="s">
        <v>10676</v>
      </c>
      <c r="E207" s="17" t="s">
        <v>10677</v>
      </c>
      <c r="F207" s="17" t="s">
        <v>10678</v>
      </c>
      <c r="G207" s="21" t="s">
        <v>10679</v>
      </c>
      <c r="H207" s="21" t="s">
        <v>10680</v>
      </c>
      <c r="I207" s="17" t="s">
        <v>88</v>
      </c>
      <c r="J207" s="17">
        <v>1</v>
      </c>
      <c r="K207" s="17">
        <v>4</v>
      </c>
      <c r="L207" s="17" t="s">
        <v>10681</v>
      </c>
      <c r="M207" s="17" t="s">
        <v>699</v>
      </c>
      <c r="N207" s="17" t="s">
        <v>10682</v>
      </c>
      <c r="O207" s="17" t="s">
        <v>10683</v>
      </c>
      <c r="P207" s="17" t="str">
        <f>HYPERLINK("https://dexscreener.com/solana/3gqBzYggchmzxCBq5v4BGT4TfmZcm8agsaRqv8bkpump", "View")</f>
        <v>View</v>
      </c>
    </row>
    <row r="208" spans="1:16" x14ac:dyDescent="0.25">
      <c r="A208" s="13" t="s">
        <v>10684</v>
      </c>
      <c r="B208" s="14">
        <v>50999</v>
      </c>
      <c r="C208" s="14">
        <v>45899</v>
      </c>
      <c r="D208" s="14" t="s">
        <v>10517</v>
      </c>
      <c r="E208" s="14" t="s">
        <v>1007</v>
      </c>
      <c r="F208" s="14" t="s">
        <v>5460</v>
      </c>
      <c r="G208" s="15" t="s">
        <v>10685</v>
      </c>
      <c r="H208" s="15" t="s">
        <v>10686</v>
      </c>
      <c r="I208" s="14" t="s">
        <v>88</v>
      </c>
      <c r="J208" s="14">
        <v>1</v>
      </c>
      <c r="K208" s="14">
        <v>1</v>
      </c>
      <c r="L208" s="14" t="s">
        <v>10687</v>
      </c>
      <c r="M208" s="14" t="s">
        <v>179</v>
      </c>
      <c r="N208" s="14" t="s">
        <v>10688</v>
      </c>
      <c r="O208" s="14" t="s">
        <v>10689</v>
      </c>
      <c r="P208" s="14" t="str">
        <f>HYPERLINK("https://dexscreener.com/solana/6B5ukkLoUPqoXoz7UMD9jJUFazU7neSwgrkEK7LfvvGh", "View")</f>
        <v>View</v>
      </c>
    </row>
    <row r="209" spans="1:16" x14ac:dyDescent="0.25">
      <c r="A209" s="16" t="s">
        <v>10690</v>
      </c>
      <c r="B209" s="17">
        <v>3074153</v>
      </c>
      <c r="C209" s="17">
        <v>2766738</v>
      </c>
      <c r="D209" s="17" t="s">
        <v>10517</v>
      </c>
      <c r="E209" s="17" t="s">
        <v>1007</v>
      </c>
      <c r="F209" s="17" t="s">
        <v>10691</v>
      </c>
      <c r="G209" s="15" t="s">
        <v>10692</v>
      </c>
      <c r="H209" s="15" t="s">
        <v>10693</v>
      </c>
      <c r="I209" s="17" t="s">
        <v>88</v>
      </c>
      <c r="J209" s="17">
        <v>1</v>
      </c>
      <c r="K209" s="17">
        <v>1</v>
      </c>
      <c r="L209" s="17" t="s">
        <v>10694</v>
      </c>
      <c r="M209" s="17" t="s">
        <v>1610</v>
      </c>
      <c r="N209" s="17" t="s">
        <v>10695</v>
      </c>
      <c r="O209" s="17" t="s">
        <v>10696</v>
      </c>
      <c r="P209" s="17" t="str">
        <f>HYPERLINK("https://dexscreener.com/solana/vG552RpYUsGyo5C8B1NewkTgnjQCTE2vSyFaLgkpump", "View")</f>
        <v>View</v>
      </c>
    </row>
    <row r="210" spans="1:16" x14ac:dyDescent="0.25">
      <c r="A210" s="13" t="s">
        <v>10697</v>
      </c>
      <c r="B210" s="14">
        <v>3676</v>
      </c>
      <c r="C210" s="14">
        <v>1212</v>
      </c>
      <c r="D210" s="14" t="s">
        <v>10517</v>
      </c>
      <c r="E210" s="14" t="s">
        <v>1007</v>
      </c>
      <c r="F210" s="14" t="s">
        <v>10698</v>
      </c>
      <c r="G210" s="22" t="s">
        <v>2581</v>
      </c>
      <c r="H210" s="22" t="s">
        <v>10699</v>
      </c>
      <c r="I210" s="14" t="s">
        <v>88</v>
      </c>
      <c r="J210" s="14">
        <v>1</v>
      </c>
      <c r="K210" s="14">
        <v>1</v>
      </c>
      <c r="L210" s="14" t="s">
        <v>10700</v>
      </c>
      <c r="M210" s="14" t="s">
        <v>5027</v>
      </c>
      <c r="N210" s="14" t="s">
        <v>10701</v>
      </c>
      <c r="O210" s="14" t="s">
        <v>10702</v>
      </c>
      <c r="P210" s="14" t="str">
        <f>HYPERLINK("https://dexscreener.com/solana/92EcDYWSA9YRhtmPWzUFqPyzDfkjF7AkF8AxVJt5LXYM", "View")</f>
        <v>View</v>
      </c>
    </row>
    <row r="211" spans="1:16" x14ac:dyDescent="0.25">
      <c r="A211" s="16" t="s">
        <v>10703</v>
      </c>
      <c r="B211" s="17">
        <v>77658</v>
      </c>
      <c r="C211" s="17">
        <v>42797</v>
      </c>
      <c r="D211" s="17" t="s">
        <v>8762</v>
      </c>
      <c r="E211" s="17" t="s">
        <v>1007</v>
      </c>
      <c r="F211" s="17" t="s">
        <v>10704</v>
      </c>
      <c r="G211" s="21" t="s">
        <v>10705</v>
      </c>
      <c r="H211" s="21" t="s">
        <v>10706</v>
      </c>
      <c r="I211" s="17" t="s">
        <v>88</v>
      </c>
      <c r="J211" s="17">
        <v>1</v>
      </c>
      <c r="K211" s="17">
        <v>2</v>
      </c>
      <c r="L211" s="17" t="s">
        <v>10707</v>
      </c>
      <c r="M211" s="17" t="s">
        <v>8522</v>
      </c>
      <c r="N211" s="17" t="s">
        <v>10708</v>
      </c>
      <c r="O211" s="17" t="s">
        <v>10709</v>
      </c>
      <c r="P211" s="17" t="str">
        <f>HYPERLINK("https://dexscreener.com/solana/CUzSRjBvqFFq45mg6j9oyQrDxyUTHEKM2xqKzDkZpump", "View")</f>
        <v>View</v>
      </c>
    </row>
    <row r="212" spans="1:16" x14ac:dyDescent="0.25">
      <c r="A212" s="13" t="s">
        <v>1172</v>
      </c>
      <c r="B212" s="14">
        <v>2060138</v>
      </c>
      <c r="C212" s="14">
        <v>1854124</v>
      </c>
      <c r="D212" s="14" t="s">
        <v>10517</v>
      </c>
      <c r="E212" s="14" t="s">
        <v>1007</v>
      </c>
      <c r="F212" s="14" t="s">
        <v>8528</v>
      </c>
      <c r="G212" s="15" t="s">
        <v>10710</v>
      </c>
      <c r="H212" s="15" t="s">
        <v>10711</v>
      </c>
      <c r="I212" s="14" t="s">
        <v>88</v>
      </c>
      <c r="J212" s="14">
        <v>1</v>
      </c>
      <c r="K212" s="14">
        <v>1</v>
      </c>
      <c r="L212" s="14" t="s">
        <v>10712</v>
      </c>
      <c r="M212" s="14" t="s">
        <v>317</v>
      </c>
      <c r="N212" s="14" t="s">
        <v>1175</v>
      </c>
      <c r="O212" s="14" t="s">
        <v>1176</v>
      </c>
      <c r="P212" s="14" t="str">
        <f>HYPERLINK("https://dexscreener.com/solana/9qd7AxTtsZSXi86j1BKENFhoA3fPFs8gU89Stu3ipump", "View")</f>
        <v>View</v>
      </c>
    </row>
    <row r="213" spans="1:16" x14ac:dyDescent="0.25">
      <c r="A213" s="16" t="s">
        <v>10713</v>
      </c>
      <c r="B213" s="17">
        <v>3453135</v>
      </c>
      <c r="C213" s="17">
        <v>0</v>
      </c>
      <c r="D213" s="17" t="s">
        <v>10465</v>
      </c>
      <c r="E213" s="17" t="s">
        <v>1007</v>
      </c>
      <c r="F213" s="17" t="s">
        <v>96</v>
      </c>
      <c r="G213" s="18" t="s">
        <v>9365</v>
      </c>
      <c r="H213" s="18" t="s">
        <v>98</v>
      </c>
      <c r="I213" s="17" t="s">
        <v>10714</v>
      </c>
      <c r="J213" s="17">
        <v>1</v>
      </c>
      <c r="K213" s="17">
        <v>0</v>
      </c>
      <c r="L213" s="17" t="s">
        <v>10715</v>
      </c>
      <c r="M213" s="19" t="s">
        <v>101</v>
      </c>
      <c r="N213" s="17" t="s">
        <v>4916</v>
      </c>
      <c r="O213" s="17" t="s">
        <v>10716</v>
      </c>
      <c r="P213" s="17" t="str">
        <f>HYPERLINK("https://dexscreener.com/solana/Hmq5xGFTZsP7xpP4XseV7yy6xW7dJNzeaX1oBiZ9pump", "View")</f>
        <v>View</v>
      </c>
    </row>
    <row r="214" spans="1:16" x14ac:dyDescent="0.25">
      <c r="A214" s="13" t="s">
        <v>10717</v>
      </c>
      <c r="B214" s="14">
        <v>1066277</v>
      </c>
      <c r="C214" s="14">
        <v>0</v>
      </c>
      <c r="D214" s="14" t="s">
        <v>10465</v>
      </c>
      <c r="E214" s="14" t="s">
        <v>1007</v>
      </c>
      <c r="F214" s="14" t="s">
        <v>96</v>
      </c>
      <c r="G214" s="18" t="s">
        <v>9365</v>
      </c>
      <c r="H214" s="18" t="s">
        <v>98</v>
      </c>
      <c r="I214" s="14" t="s">
        <v>10718</v>
      </c>
      <c r="J214" s="14">
        <v>1</v>
      </c>
      <c r="K214" s="14">
        <v>0</v>
      </c>
      <c r="L214" s="14" t="s">
        <v>10719</v>
      </c>
      <c r="M214" s="19" t="s">
        <v>101</v>
      </c>
      <c r="N214" s="14" t="s">
        <v>10720</v>
      </c>
      <c r="O214" s="14" t="s">
        <v>10721</v>
      </c>
      <c r="P214" s="14" t="str">
        <f>HYPERLINK("https://dexscreener.com/solana/Ft2DavuS1ctcUV3cBJWB1BvD6v1zjjXMJD16VRBEpump", "View")</f>
        <v>View</v>
      </c>
    </row>
    <row r="215" spans="1:16" x14ac:dyDescent="0.25">
      <c r="A215" s="16" t="s">
        <v>10722</v>
      </c>
      <c r="B215" s="17">
        <v>495139</v>
      </c>
      <c r="C215" s="17">
        <v>384004</v>
      </c>
      <c r="D215" s="17" t="s">
        <v>10536</v>
      </c>
      <c r="E215" s="17" t="s">
        <v>1007</v>
      </c>
      <c r="F215" s="17" t="s">
        <v>10723</v>
      </c>
      <c r="G215" s="21" t="s">
        <v>10724</v>
      </c>
      <c r="H215" s="21" t="s">
        <v>10725</v>
      </c>
      <c r="I215" s="17" t="s">
        <v>88</v>
      </c>
      <c r="J215" s="17">
        <v>1</v>
      </c>
      <c r="K215" s="17">
        <v>3</v>
      </c>
      <c r="L215" s="17" t="s">
        <v>10726</v>
      </c>
      <c r="M215" s="17" t="s">
        <v>132</v>
      </c>
      <c r="N215" s="17" t="s">
        <v>10727</v>
      </c>
      <c r="O215" s="17" t="s">
        <v>10728</v>
      </c>
      <c r="P215" s="17" t="str">
        <f>HYPERLINK("https://dexscreener.com/solana/8wZvGcGePvWEa8tKQUYctMXFSkqS39scozVU9xBVrUjY", "View")</f>
        <v>View</v>
      </c>
    </row>
    <row r="216" spans="1:16" x14ac:dyDescent="0.25">
      <c r="A216" s="13" t="s">
        <v>10729</v>
      </c>
      <c r="B216" s="14">
        <v>6751026</v>
      </c>
      <c r="C216" s="14">
        <v>0</v>
      </c>
      <c r="D216" s="14" t="s">
        <v>10465</v>
      </c>
      <c r="E216" s="14" t="s">
        <v>1007</v>
      </c>
      <c r="F216" s="14" t="s">
        <v>96</v>
      </c>
      <c r="G216" s="18" t="s">
        <v>9365</v>
      </c>
      <c r="H216" s="18" t="s">
        <v>98</v>
      </c>
      <c r="I216" s="14" t="s">
        <v>10730</v>
      </c>
      <c r="J216" s="14">
        <v>1</v>
      </c>
      <c r="K216" s="14">
        <v>0</v>
      </c>
      <c r="L216" s="14" t="s">
        <v>10731</v>
      </c>
      <c r="M216" s="19" t="s">
        <v>101</v>
      </c>
      <c r="N216" s="14" t="s">
        <v>223</v>
      </c>
      <c r="O216" s="14" t="s">
        <v>10732</v>
      </c>
      <c r="P216" s="14" t="str">
        <f>HYPERLINK("https://dexscreener.com/solana/bAD7tmAHY6Tv9BvDdyFEHWDNHGpHkoQ4zepno3Ypump", "View")</f>
        <v>View</v>
      </c>
    </row>
    <row r="217" spans="1:16" x14ac:dyDescent="0.25">
      <c r="A217" s="16" t="s">
        <v>82</v>
      </c>
      <c r="B217" s="17">
        <v>2852948</v>
      </c>
      <c r="C217" s="17">
        <v>0</v>
      </c>
      <c r="D217" s="17" t="s">
        <v>10465</v>
      </c>
      <c r="E217" s="17" t="s">
        <v>1007</v>
      </c>
      <c r="F217" s="17" t="s">
        <v>96</v>
      </c>
      <c r="G217" s="18" t="s">
        <v>9365</v>
      </c>
      <c r="H217" s="18" t="s">
        <v>98</v>
      </c>
      <c r="I217" s="17" t="s">
        <v>10733</v>
      </c>
      <c r="J217" s="17">
        <v>1</v>
      </c>
      <c r="K217" s="17">
        <v>0</v>
      </c>
      <c r="L217" s="17" t="s">
        <v>10734</v>
      </c>
      <c r="M217" s="19" t="s">
        <v>101</v>
      </c>
      <c r="N217" s="17" t="s">
        <v>344</v>
      </c>
      <c r="O217" s="17" t="s">
        <v>10735</v>
      </c>
      <c r="P217" s="17" t="str">
        <f>HYPERLINK("https://dexscreener.com/solana/8Xx9WENxx63nnAYURytFEz7E1RSoccAgnX6dJPZrpump", "View")</f>
        <v>View</v>
      </c>
    </row>
    <row r="218" spans="1:16" x14ac:dyDescent="0.25">
      <c r="A218" s="13" t="s">
        <v>10736</v>
      </c>
      <c r="B218" s="14">
        <v>1644255</v>
      </c>
      <c r="C218" s="14">
        <v>1233191</v>
      </c>
      <c r="D218" s="14" t="s">
        <v>10737</v>
      </c>
      <c r="E218" s="14" t="s">
        <v>1007</v>
      </c>
      <c r="F218" s="14" t="s">
        <v>10738</v>
      </c>
      <c r="G218" s="21" t="s">
        <v>10739</v>
      </c>
      <c r="H218" s="21" t="s">
        <v>10740</v>
      </c>
      <c r="I218" s="14" t="s">
        <v>88</v>
      </c>
      <c r="J218" s="14">
        <v>1</v>
      </c>
      <c r="K218" s="14">
        <v>2</v>
      </c>
      <c r="L218" s="14" t="s">
        <v>10741</v>
      </c>
      <c r="M218" s="14" t="s">
        <v>132</v>
      </c>
      <c r="N218" s="14" t="s">
        <v>10742</v>
      </c>
      <c r="O218" s="14" t="s">
        <v>10743</v>
      </c>
      <c r="P218" s="14" t="str">
        <f>HYPERLINK("https://dexscreener.com/solana/HuiVprCHCucHUb5bX6EXFJd7wuwvdASFzzge4ahXpump", "View")</f>
        <v>View</v>
      </c>
    </row>
    <row r="219" spans="1:16" x14ac:dyDescent="0.25">
      <c r="A219" s="16" t="s">
        <v>10744</v>
      </c>
      <c r="B219" s="17">
        <v>885585</v>
      </c>
      <c r="C219" s="17">
        <v>0</v>
      </c>
      <c r="D219" s="17" t="s">
        <v>10465</v>
      </c>
      <c r="E219" s="17" t="s">
        <v>1007</v>
      </c>
      <c r="F219" s="17" t="s">
        <v>96</v>
      </c>
      <c r="G219" s="18" t="s">
        <v>9365</v>
      </c>
      <c r="H219" s="18" t="s">
        <v>98</v>
      </c>
      <c r="I219" s="17" t="s">
        <v>10745</v>
      </c>
      <c r="J219" s="17">
        <v>1</v>
      </c>
      <c r="K219" s="17">
        <v>0</v>
      </c>
      <c r="L219" s="17" t="s">
        <v>10746</v>
      </c>
      <c r="M219" s="19" t="s">
        <v>101</v>
      </c>
      <c r="N219" s="17" t="s">
        <v>10747</v>
      </c>
      <c r="O219" s="17" t="s">
        <v>10748</v>
      </c>
      <c r="P219" s="17" t="str">
        <f>HYPERLINK("https://dexscreener.com/solana/DB3M5ggNLurVeSezKKJb68wEZrnodcPN4jCCFoBdcKG7", "View")</f>
        <v>View</v>
      </c>
    </row>
    <row r="220" spans="1:16" x14ac:dyDescent="0.25">
      <c r="A220" s="13" t="s">
        <v>10749</v>
      </c>
      <c r="B220" s="14">
        <v>385563</v>
      </c>
      <c r="C220" s="14">
        <v>0</v>
      </c>
      <c r="D220" s="14" t="s">
        <v>10465</v>
      </c>
      <c r="E220" s="14" t="s">
        <v>1007</v>
      </c>
      <c r="F220" s="14" t="s">
        <v>96</v>
      </c>
      <c r="G220" s="18" t="s">
        <v>9365</v>
      </c>
      <c r="H220" s="18" t="s">
        <v>98</v>
      </c>
      <c r="I220" s="14" t="s">
        <v>10750</v>
      </c>
      <c r="J220" s="14">
        <v>1</v>
      </c>
      <c r="K220" s="14">
        <v>0</v>
      </c>
      <c r="L220" s="14" t="s">
        <v>10751</v>
      </c>
      <c r="M220" s="19" t="s">
        <v>101</v>
      </c>
      <c r="N220" s="14" t="s">
        <v>10752</v>
      </c>
      <c r="O220" s="14" t="s">
        <v>10753</v>
      </c>
      <c r="P220" s="14" t="str">
        <f>HYPERLINK("https://dexscreener.com/solana/EcLwiJG3tvraFRG798JaUADgHcCn5zSVreHqxssUPCHd", "View")</f>
        <v>View</v>
      </c>
    </row>
    <row r="221" spans="1:16" x14ac:dyDescent="0.25">
      <c r="A221" s="16" t="s">
        <v>10754</v>
      </c>
      <c r="B221" s="17">
        <v>458445</v>
      </c>
      <c r="C221" s="17">
        <v>0</v>
      </c>
      <c r="D221" s="17" t="s">
        <v>10465</v>
      </c>
      <c r="E221" s="17" t="s">
        <v>1007</v>
      </c>
      <c r="F221" s="17" t="s">
        <v>96</v>
      </c>
      <c r="G221" s="18" t="s">
        <v>9365</v>
      </c>
      <c r="H221" s="18" t="s">
        <v>98</v>
      </c>
      <c r="I221" s="17" t="s">
        <v>10755</v>
      </c>
      <c r="J221" s="17">
        <v>1</v>
      </c>
      <c r="K221" s="17">
        <v>0</v>
      </c>
      <c r="L221" s="17" t="s">
        <v>10756</v>
      </c>
      <c r="M221" s="19" t="s">
        <v>101</v>
      </c>
      <c r="N221" s="17" t="s">
        <v>10757</v>
      </c>
      <c r="O221" s="17" t="s">
        <v>10758</v>
      </c>
      <c r="P221" s="17" t="str">
        <f>HYPERLINK("https://dexscreener.com/solana/BwFLAzM1syXYCN7AjgAcHWvtsUzKjsyFGm7osxgXpump", "View")</f>
        <v>View</v>
      </c>
    </row>
    <row r="222" spans="1:16" x14ac:dyDescent="0.25">
      <c r="A222" s="13" t="s">
        <v>10759</v>
      </c>
      <c r="B222" s="14">
        <v>2578729</v>
      </c>
      <c r="C222" s="14">
        <v>0</v>
      </c>
      <c r="D222" s="14" t="s">
        <v>10465</v>
      </c>
      <c r="E222" s="14" t="s">
        <v>1007</v>
      </c>
      <c r="F222" s="14" t="s">
        <v>96</v>
      </c>
      <c r="G222" s="18" t="s">
        <v>9365</v>
      </c>
      <c r="H222" s="18" t="s">
        <v>98</v>
      </c>
      <c r="I222" s="14" t="s">
        <v>10760</v>
      </c>
      <c r="J222" s="14">
        <v>1</v>
      </c>
      <c r="K222" s="14">
        <v>0</v>
      </c>
      <c r="L222" s="14" t="s">
        <v>10761</v>
      </c>
      <c r="M222" s="19" t="s">
        <v>101</v>
      </c>
      <c r="N222" s="14" t="s">
        <v>10762</v>
      </c>
      <c r="O222" s="14" t="s">
        <v>10763</v>
      </c>
      <c r="P222" s="14" t="str">
        <f>HYPERLINK("https://dexscreener.com/solana/HpHBvmVd9kaH1Pbowdtd2NvV22YrLHN4gdaXsWcrpump", "View")</f>
        <v>View</v>
      </c>
    </row>
    <row r="223" spans="1:16" x14ac:dyDescent="0.25">
      <c r="A223" s="16" t="s">
        <v>10764</v>
      </c>
      <c r="B223" s="17">
        <v>10259516</v>
      </c>
      <c r="C223" s="17">
        <v>0</v>
      </c>
      <c r="D223" s="17" t="s">
        <v>10465</v>
      </c>
      <c r="E223" s="17" t="s">
        <v>1007</v>
      </c>
      <c r="F223" s="17" t="s">
        <v>96</v>
      </c>
      <c r="G223" s="18" t="s">
        <v>9365</v>
      </c>
      <c r="H223" s="18" t="s">
        <v>98</v>
      </c>
      <c r="I223" s="17" t="s">
        <v>10765</v>
      </c>
      <c r="J223" s="17">
        <v>1</v>
      </c>
      <c r="K223" s="17">
        <v>0</v>
      </c>
      <c r="L223" s="17" t="s">
        <v>10766</v>
      </c>
      <c r="M223" s="19" t="s">
        <v>101</v>
      </c>
      <c r="N223" s="17" t="s">
        <v>10767</v>
      </c>
      <c r="O223" s="17" t="s">
        <v>10768</v>
      </c>
      <c r="P223" s="17" t="str">
        <f>HYPERLINK("https://dexscreener.com/solana/2q6rHzSoFjX5vaSVZZpwF6my5kRqKzuS4Fq6KepsVw5X", "View")</f>
        <v>View</v>
      </c>
    </row>
    <row r="224" spans="1:16" x14ac:dyDescent="0.25">
      <c r="A224" s="13" t="s">
        <v>10769</v>
      </c>
      <c r="B224" s="14">
        <v>346213</v>
      </c>
      <c r="C224" s="14">
        <v>0</v>
      </c>
      <c r="D224" s="14" t="s">
        <v>10465</v>
      </c>
      <c r="E224" s="14" t="s">
        <v>1007</v>
      </c>
      <c r="F224" s="14" t="s">
        <v>96</v>
      </c>
      <c r="G224" s="18" t="s">
        <v>9365</v>
      </c>
      <c r="H224" s="18" t="s">
        <v>98</v>
      </c>
      <c r="I224" s="14" t="s">
        <v>10770</v>
      </c>
      <c r="J224" s="14">
        <v>1</v>
      </c>
      <c r="K224" s="14">
        <v>0</v>
      </c>
      <c r="L224" s="14" t="s">
        <v>10771</v>
      </c>
      <c r="M224" s="19" t="s">
        <v>101</v>
      </c>
      <c r="N224" s="14" t="s">
        <v>10772</v>
      </c>
      <c r="O224" s="14" t="s">
        <v>10773</v>
      </c>
      <c r="P224" s="14" t="str">
        <f>HYPERLINK("https://dexscreener.com/solana/AoXEBwwGfwHxjQmBKKTADYLQXRPm8MRBKbaSEyzppump", "View")</f>
        <v>View</v>
      </c>
    </row>
    <row r="225" spans="1:16" x14ac:dyDescent="0.25">
      <c r="A225" s="16" t="s">
        <v>809</v>
      </c>
      <c r="B225" s="17">
        <v>2939764</v>
      </c>
      <c r="C225" s="17">
        <v>0</v>
      </c>
      <c r="D225" s="17" t="s">
        <v>10465</v>
      </c>
      <c r="E225" s="17" t="s">
        <v>1007</v>
      </c>
      <c r="F225" s="17" t="s">
        <v>96</v>
      </c>
      <c r="G225" s="18" t="s">
        <v>9365</v>
      </c>
      <c r="H225" s="18" t="s">
        <v>98</v>
      </c>
      <c r="I225" s="17" t="s">
        <v>10774</v>
      </c>
      <c r="J225" s="17">
        <v>1</v>
      </c>
      <c r="K225" s="17">
        <v>0</v>
      </c>
      <c r="L225" s="17" t="s">
        <v>10775</v>
      </c>
      <c r="M225" s="19" t="s">
        <v>101</v>
      </c>
      <c r="N225" s="17" t="s">
        <v>10776</v>
      </c>
      <c r="O225" s="17" t="s">
        <v>10777</v>
      </c>
      <c r="P225" s="17" t="str">
        <f>HYPERLINK("https://dexscreener.com/solana/3EGgCWdws6XBbR5Xd4wwsm9V4Xe4Zbmgf2uBG4rnpump", "View")</f>
        <v>View</v>
      </c>
    </row>
    <row r="226" spans="1:16" x14ac:dyDescent="0.25">
      <c r="A226" s="13" t="s">
        <v>5587</v>
      </c>
      <c r="B226" s="14">
        <v>1242459</v>
      </c>
      <c r="C226" s="14">
        <v>621229</v>
      </c>
      <c r="D226" s="14" t="s">
        <v>10517</v>
      </c>
      <c r="E226" s="14" t="s">
        <v>1007</v>
      </c>
      <c r="F226" s="14" t="s">
        <v>10778</v>
      </c>
      <c r="G226" s="20" t="s">
        <v>4929</v>
      </c>
      <c r="H226" s="20" t="s">
        <v>10779</v>
      </c>
      <c r="I226" s="14" t="s">
        <v>88</v>
      </c>
      <c r="J226" s="14">
        <v>1</v>
      </c>
      <c r="K226" s="14">
        <v>1</v>
      </c>
      <c r="L226" s="14" t="s">
        <v>10780</v>
      </c>
      <c r="M226" s="14" t="s">
        <v>132</v>
      </c>
      <c r="N226" s="14" t="s">
        <v>10781</v>
      </c>
      <c r="O226" s="14" t="s">
        <v>10782</v>
      </c>
      <c r="P226" s="14" t="str">
        <f>HYPERLINK("https://dexscreener.com/solana/5cvA4oDAWVErN7cV2hen6We5pZ2hWEAzuLw9TSKbpump", "View")</f>
        <v>View</v>
      </c>
    </row>
    <row r="227" spans="1:16" x14ac:dyDescent="0.25">
      <c r="A227" s="16" t="s">
        <v>10783</v>
      </c>
      <c r="B227" s="17">
        <v>1117661</v>
      </c>
      <c r="C227" s="17">
        <v>838245</v>
      </c>
      <c r="D227" s="17" t="s">
        <v>8762</v>
      </c>
      <c r="E227" s="17" t="s">
        <v>1007</v>
      </c>
      <c r="F227" s="17" t="s">
        <v>10784</v>
      </c>
      <c r="G227" s="21" t="s">
        <v>10785</v>
      </c>
      <c r="H227" s="21" t="s">
        <v>10786</v>
      </c>
      <c r="I227" s="17" t="s">
        <v>88</v>
      </c>
      <c r="J227" s="17">
        <v>1</v>
      </c>
      <c r="K227" s="17">
        <v>2</v>
      </c>
      <c r="L227" s="17" t="s">
        <v>10787</v>
      </c>
      <c r="M227" s="17" t="s">
        <v>5729</v>
      </c>
      <c r="N227" s="17" t="s">
        <v>10788</v>
      </c>
      <c r="O227" s="17" t="s">
        <v>10789</v>
      </c>
      <c r="P227" s="17" t="str">
        <f>HYPERLINK("https://dexscreener.com/solana/GQaDVLoi9xe2eQcKqC5c11vRxJWu5askVty1dmzmoy8k", "View")</f>
        <v>View</v>
      </c>
    </row>
    <row r="228" spans="1:16" x14ac:dyDescent="0.25">
      <c r="A228" s="13" t="s">
        <v>10790</v>
      </c>
      <c r="B228" s="14">
        <v>1966420</v>
      </c>
      <c r="C228" s="14">
        <v>983210</v>
      </c>
      <c r="D228" s="14" t="s">
        <v>10517</v>
      </c>
      <c r="E228" s="14" t="s">
        <v>1007</v>
      </c>
      <c r="F228" s="14" t="s">
        <v>3327</v>
      </c>
      <c r="G228" s="20" t="s">
        <v>3420</v>
      </c>
      <c r="H228" s="20" t="s">
        <v>10791</v>
      </c>
      <c r="I228" s="14" t="s">
        <v>88</v>
      </c>
      <c r="J228" s="14">
        <v>1</v>
      </c>
      <c r="K228" s="14">
        <v>1</v>
      </c>
      <c r="L228" s="14" t="s">
        <v>10792</v>
      </c>
      <c r="M228" s="14" t="s">
        <v>364</v>
      </c>
      <c r="N228" s="14" t="s">
        <v>10793</v>
      </c>
      <c r="O228" s="14" t="s">
        <v>10794</v>
      </c>
      <c r="P228" s="14" t="str">
        <f>HYPERLINK("https://dexscreener.com/solana/GTiMaW6FNPLrWNVLYk5KkLApxiHvCwbGr9KdueGypump", "View")</f>
        <v>View</v>
      </c>
    </row>
    <row r="229" spans="1:16" x14ac:dyDescent="0.25">
      <c r="A229" s="16" t="s">
        <v>10795</v>
      </c>
      <c r="B229" s="17">
        <v>154006</v>
      </c>
      <c r="C229" s="17">
        <v>0</v>
      </c>
      <c r="D229" s="17" t="s">
        <v>10465</v>
      </c>
      <c r="E229" s="17" t="s">
        <v>1007</v>
      </c>
      <c r="F229" s="17" t="s">
        <v>96</v>
      </c>
      <c r="G229" s="18" t="s">
        <v>9365</v>
      </c>
      <c r="H229" s="18" t="s">
        <v>98</v>
      </c>
      <c r="I229" s="17" t="s">
        <v>10796</v>
      </c>
      <c r="J229" s="17">
        <v>1</v>
      </c>
      <c r="K229" s="17">
        <v>0</v>
      </c>
      <c r="L229" s="17" t="s">
        <v>10797</v>
      </c>
      <c r="M229" s="19" t="s">
        <v>101</v>
      </c>
      <c r="N229" s="17" t="s">
        <v>10798</v>
      </c>
      <c r="O229" s="17" t="s">
        <v>10799</v>
      </c>
      <c r="P229" s="17" t="str">
        <f>HYPERLINK("https://dexscreener.com/solana/67BmfpqPw8Z26FKgiGqVvBi7s2DpHuM5qQjE5RQMzUxW", "View")</f>
        <v>View</v>
      </c>
    </row>
    <row r="230" spans="1:16" x14ac:dyDescent="0.25">
      <c r="A230" s="13" t="s">
        <v>10800</v>
      </c>
      <c r="B230" s="14">
        <v>821693</v>
      </c>
      <c r="C230" s="14">
        <v>0</v>
      </c>
      <c r="D230" s="14" t="s">
        <v>10465</v>
      </c>
      <c r="E230" s="14" t="s">
        <v>1007</v>
      </c>
      <c r="F230" s="14" t="s">
        <v>96</v>
      </c>
      <c r="G230" s="18" t="s">
        <v>9365</v>
      </c>
      <c r="H230" s="18" t="s">
        <v>98</v>
      </c>
      <c r="I230" s="14" t="s">
        <v>10801</v>
      </c>
      <c r="J230" s="14">
        <v>1</v>
      </c>
      <c r="K230" s="14">
        <v>0</v>
      </c>
      <c r="L230" s="14" t="s">
        <v>10802</v>
      </c>
      <c r="M230" s="19" t="s">
        <v>101</v>
      </c>
      <c r="N230" s="14" t="s">
        <v>10803</v>
      </c>
      <c r="O230" s="14" t="s">
        <v>10804</v>
      </c>
      <c r="P230" s="14" t="str">
        <f>HYPERLINK("https://dexscreener.com/solana/XrD13DAb5gYfgUMcHXbXqZqtFQo5XgNRj8jwzeLpump", "View")</f>
        <v>View</v>
      </c>
    </row>
    <row r="231" spans="1:16" x14ac:dyDescent="0.25">
      <c r="A231" s="16" t="s">
        <v>10805</v>
      </c>
      <c r="B231" s="17">
        <v>1034449</v>
      </c>
      <c r="C231" s="17">
        <v>0</v>
      </c>
      <c r="D231" s="17" t="s">
        <v>10465</v>
      </c>
      <c r="E231" s="17" t="s">
        <v>1007</v>
      </c>
      <c r="F231" s="17" t="s">
        <v>96</v>
      </c>
      <c r="G231" s="18" t="s">
        <v>9365</v>
      </c>
      <c r="H231" s="18" t="s">
        <v>98</v>
      </c>
      <c r="I231" s="17" t="s">
        <v>10806</v>
      </c>
      <c r="J231" s="17">
        <v>1</v>
      </c>
      <c r="K231" s="17">
        <v>0</v>
      </c>
      <c r="L231" s="17" t="s">
        <v>10807</v>
      </c>
      <c r="M231" s="19" t="s">
        <v>101</v>
      </c>
      <c r="N231" s="17" t="s">
        <v>420</v>
      </c>
      <c r="O231" s="17" t="s">
        <v>10808</v>
      </c>
      <c r="P231" s="17" t="str">
        <f>HYPERLINK("https://dexscreener.com/solana/HmzD3xcEcc7X8QWXYTyPK6aZnYxAb93tDRdzQEPYY7Hi", "View")</f>
        <v>View</v>
      </c>
    </row>
    <row r="232" spans="1:16" x14ac:dyDescent="0.25">
      <c r="A232" s="13" t="s">
        <v>10809</v>
      </c>
      <c r="B232" s="14">
        <v>869618</v>
      </c>
      <c r="C232" s="14">
        <v>0</v>
      </c>
      <c r="D232" s="14" t="s">
        <v>10465</v>
      </c>
      <c r="E232" s="14" t="s">
        <v>1007</v>
      </c>
      <c r="F232" s="14" t="s">
        <v>96</v>
      </c>
      <c r="G232" s="18" t="s">
        <v>9365</v>
      </c>
      <c r="H232" s="18" t="s">
        <v>98</v>
      </c>
      <c r="I232" s="14" t="s">
        <v>10810</v>
      </c>
      <c r="J232" s="14">
        <v>1</v>
      </c>
      <c r="K232" s="14">
        <v>0</v>
      </c>
      <c r="L232" s="14" t="s">
        <v>10811</v>
      </c>
      <c r="M232" s="19" t="s">
        <v>101</v>
      </c>
      <c r="N232" s="14" t="s">
        <v>10812</v>
      </c>
      <c r="O232" s="14" t="s">
        <v>10813</v>
      </c>
      <c r="P232" s="14" t="str">
        <f>HYPERLINK("https://dexscreener.com/solana/5Pbbcu14NJ1QVnVoyUPLeZQFvXunavL4AACFaXLpw47B", "View")</f>
        <v>View</v>
      </c>
    </row>
    <row r="233" spans="1:16" x14ac:dyDescent="0.25">
      <c r="A233" s="16" t="s">
        <v>10814</v>
      </c>
      <c r="B233" s="17">
        <v>5879</v>
      </c>
      <c r="C233" s="17">
        <v>0</v>
      </c>
      <c r="D233" s="17" t="s">
        <v>10465</v>
      </c>
      <c r="E233" s="17" t="s">
        <v>1007</v>
      </c>
      <c r="F233" s="17" t="s">
        <v>96</v>
      </c>
      <c r="G233" s="18" t="s">
        <v>9365</v>
      </c>
      <c r="H233" s="18" t="s">
        <v>98</v>
      </c>
      <c r="I233" s="17" t="s">
        <v>10815</v>
      </c>
      <c r="J233" s="17">
        <v>1</v>
      </c>
      <c r="K233" s="17">
        <v>0</v>
      </c>
      <c r="L233" s="17" t="s">
        <v>10816</v>
      </c>
      <c r="M233" s="19" t="s">
        <v>101</v>
      </c>
      <c r="N233" s="17" t="s">
        <v>10817</v>
      </c>
      <c r="O233" s="17" t="s">
        <v>10818</v>
      </c>
      <c r="P233" s="17" t="str">
        <f>HYPERLINK("https://dexscreener.com/solana/66hSCYqzkKmRzA1NLXbyLQwcWWgkTi4cT8riSgvPCyV6", "View")</f>
        <v>View</v>
      </c>
    </row>
    <row r="234" spans="1:16" x14ac:dyDescent="0.25">
      <c r="A234" s="13" t="s">
        <v>10819</v>
      </c>
      <c r="B234" s="14">
        <v>866530</v>
      </c>
      <c r="C234" s="14">
        <v>0</v>
      </c>
      <c r="D234" s="14" t="s">
        <v>10465</v>
      </c>
      <c r="E234" s="14" t="s">
        <v>1007</v>
      </c>
      <c r="F234" s="14" t="s">
        <v>96</v>
      </c>
      <c r="G234" s="18" t="s">
        <v>9365</v>
      </c>
      <c r="H234" s="18" t="s">
        <v>98</v>
      </c>
      <c r="I234" s="14" t="s">
        <v>10820</v>
      </c>
      <c r="J234" s="14">
        <v>1</v>
      </c>
      <c r="K234" s="14">
        <v>0</v>
      </c>
      <c r="L234" s="14" t="s">
        <v>10821</v>
      </c>
      <c r="M234" s="19" t="s">
        <v>101</v>
      </c>
      <c r="N234" s="14" t="s">
        <v>10822</v>
      </c>
      <c r="O234" s="14" t="s">
        <v>10823</v>
      </c>
      <c r="P234" s="14" t="str">
        <f>HYPERLINK("https://dexscreener.com/solana/MsgauVazmaYiCa8MLxUoG6owtUCNBgPk5Ntozd6Qawa", "View")</f>
        <v>View</v>
      </c>
    </row>
    <row r="235" spans="1:16" x14ac:dyDescent="0.25">
      <c r="A235" s="16" t="s">
        <v>10824</v>
      </c>
      <c r="B235" s="17">
        <v>442164</v>
      </c>
      <c r="C235" s="17">
        <v>0</v>
      </c>
      <c r="D235" s="17" t="s">
        <v>10465</v>
      </c>
      <c r="E235" s="17" t="s">
        <v>1007</v>
      </c>
      <c r="F235" s="17" t="s">
        <v>96</v>
      </c>
      <c r="G235" s="18" t="s">
        <v>9365</v>
      </c>
      <c r="H235" s="18" t="s">
        <v>98</v>
      </c>
      <c r="I235" s="17" t="s">
        <v>10825</v>
      </c>
      <c r="J235" s="17">
        <v>1</v>
      </c>
      <c r="K235" s="17">
        <v>0</v>
      </c>
      <c r="L235" s="17" t="s">
        <v>10826</v>
      </c>
      <c r="M235" s="19" t="s">
        <v>101</v>
      </c>
      <c r="N235" s="17" t="s">
        <v>10827</v>
      </c>
      <c r="O235" s="17" t="s">
        <v>10828</v>
      </c>
      <c r="P235" s="17" t="str">
        <f>HYPERLINK("https://dexscreener.com/solana/HNZwnNQqoTvnS452UF8BPmRHetu3xvySuQCAEP7npump", "View")</f>
        <v>View</v>
      </c>
    </row>
    <row r="236" spans="1:16" x14ac:dyDescent="0.25">
      <c r="A236" s="13" t="s">
        <v>10829</v>
      </c>
      <c r="B236" s="14">
        <v>4110509</v>
      </c>
      <c r="C236" s="14">
        <v>0</v>
      </c>
      <c r="D236" s="14" t="s">
        <v>10465</v>
      </c>
      <c r="E236" s="14" t="s">
        <v>1007</v>
      </c>
      <c r="F236" s="14" t="s">
        <v>96</v>
      </c>
      <c r="G236" s="18" t="s">
        <v>9365</v>
      </c>
      <c r="H236" s="18" t="s">
        <v>98</v>
      </c>
      <c r="I236" s="14" t="s">
        <v>10830</v>
      </c>
      <c r="J236" s="14">
        <v>1</v>
      </c>
      <c r="K236" s="14">
        <v>0</v>
      </c>
      <c r="L236" s="14" t="s">
        <v>10831</v>
      </c>
      <c r="M236" s="19" t="s">
        <v>101</v>
      </c>
      <c r="N236" s="14" t="s">
        <v>10832</v>
      </c>
      <c r="O236" s="14" t="s">
        <v>10833</v>
      </c>
      <c r="P236" s="14" t="str">
        <f>HYPERLINK("https://dexscreener.com/solana/E4zf5YrNZJzd5U8L57wqTnCR7ftCasFyGKUMpCTdpump", "View")</f>
        <v>View</v>
      </c>
    </row>
    <row r="237" spans="1:16" x14ac:dyDescent="0.25">
      <c r="A237" s="16" t="s">
        <v>10834</v>
      </c>
      <c r="B237" s="17">
        <v>994351</v>
      </c>
      <c r="C237" s="17">
        <v>745762</v>
      </c>
      <c r="D237" s="17" t="s">
        <v>8762</v>
      </c>
      <c r="E237" s="17" t="s">
        <v>1007</v>
      </c>
      <c r="F237" s="17" t="s">
        <v>10835</v>
      </c>
      <c r="G237" s="21" t="s">
        <v>10836</v>
      </c>
      <c r="H237" s="21" t="s">
        <v>10837</v>
      </c>
      <c r="I237" s="17" t="s">
        <v>88</v>
      </c>
      <c r="J237" s="17">
        <v>1</v>
      </c>
      <c r="K237" s="17">
        <v>2</v>
      </c>
      <c r="L237" s="17" t="s">
        <v>10838</v>
      </c>
      <c r="M237" s="17" t="s">
        <v>379</v>
      </c>
      <c r="N237" s="17" t="s">
        <v>10839</v>
      </c>
      <c r="O237" s="17" t="s">
        <v>10840</v>
      </c>
      <c r="P237" s="17" t="str">
        <f>HYPERLINK("https://dexscreener.com/solana/5PHGgTLR82QS66HGbRrJDr6GxbgNFHLJ4fwJD3rdpump", "View")</f>
        <v>View</v>
      </c>
    </row>
    <row r="238" spans="1:16" x14ac:dyDescent="0.25">
      <c r="A238" s="13" t="s">
        <v>10841</v>
      </c>
      <c r="B238" s="14">
        <v>17242</v>
      </c>
      <c r="C238" s="14">
        <v>0</v>
      </c>
      <c r="D238" s="14" t="s">
        <v>10465</v>
      </c>
      <c r="E238" s="14" t="s">
        <v>1007</v>
      </c>
      <c r="F238" s="14" t="s">
        <v>96</v>
      </c>
      <c r="G238" s="18" t="s">
        <v>9365</v>
      </c>
      <c r="H238" s="18" t="s">
        <v>98</v>
      </c>
      <c r="I238" s="14" t="s">
        <v>10842</v>
      </c>
      <c r="J238" s="14">
        <v>1</v>
      </c>
      <c r="K238" s="14">
        <v>0</v>
      </c>
      <c r="L238" s="14" t="s">
        <v>10843</v>
      </c>
      <c r="M238" s="19" t="s">
        <v>101</v>
      </c>
      <c r="N238" s="14" t="s">
        <v>507</v>
      </c>
      <c r="O238" s="14" t="s">
        <v>10844</v>
      </c>
      <c r="P238" s="14" t="str">
        <f>HYPERLINK("https://dexscreener.com/solana/D24McsHsXN14EfPKEzFvDm65ujwVYWk5PNWVuJNWzLHe", "View")</f>
        <v>View</v>
      </c>
    </row>
    <row r="239" spans="1:16" x14ac:dyDescent="0.25">
      <c r="A239" s="16" t="s">
        <v>10495</v>
      </c>
      <c r="B239" s="17">
        <v>5829</v>
      </c>
      <c r="C239" s="17">
        <v>0</v>
      </c>
      <c r="D239" s="17" t="s">
        <v>10465</v>
      </c>
      <c r="E239" s="17" t="s">
        <v>1007</v>
      </c>
      <c r="F239" s="17" t="s">
        <v>96</v>
      </c>
      <c r="G239" s="18" t="s">
        <v>9365</v>
      </c>
      <c r="H239" s="18" t="s">
        <v>98</v>
      </c>
      <c r="I239" s="17" t="s">
        <v>10845</v>
      </c>
      <c r="J239" s="17">
        <v>1</v>
      </c>
      <c r="K239" s="17">
        <v>0</v>
      </c>
      <c r="L239" s="17" t="s">
        <v>10846</v>
      </c>
      <c r="M239" s="19" t="s">
        <v>101</v>
      </c>
      <c r="N239" s="17" t="s">
        <v>507</v>
      </c>
      <c r="O239" s="17" t="s">
        <v>10847</v>
      </c>
      <c r="P239" s="17" t="str">
        <f>HYPERLINK("https://dexscreener.com/solana/EaYfc2165CGCdX73xibTu7xGYhjKJCbs9todS5EtejtH", "View")</f>
        <v>View</v>
      </c>
    </row>
    <row r="240" spans="1:16" x14ac:dyDescent="0.25">
      <c r="A240" s="13" t="s">
        <v>3065</v>
      </c>
      <c r="B240" s="14">
        <v>3963828</v>
      </c>
      <c r="C240" s="14">
        <v>0</v>
      </c>
      <c r="D240" s="14" t="s">
        <v>10465</v>
      </c>
      <c r="E240" s="14" t="s">
        <v>1007</v>
      </c>
      <c r="F240" s="14" t="s">
        <v>96</v>
      </c>
      <c r="G240" s="18" t="s">
        <v>9365</v>
      </c>
      <c r="H240" s="18" t="s">
        <v>98</v>
      </c>
      <c r="I240" s="14" t="s">
        <v>10848</v>
      </c>
      <c r="J240" s="14">
        <v>1</v>
      </c>
      <c r="K240" s="14">
        <v>0</v>
      </c>
      <c r="L240" s="14" t="s">
        <v>10849</v>
      </c>
      <c r="M240" s="19" t="s">
        <v>101</v>
      </c>
      <c r="N240" s="14" t="s">
        <v>10850</v>
      </c>
      <c r="O240" s="14" t="s">
        <v>10851</v>
      </c>
      <c r="P240" s="14" t="str">
        <f>HYPERLINK("https://dexscreener.com/solana/FkFj73tdxwR5qVrp2WxaYmEkesEV2sf7KVs4HQjEpump", "View")</f>
        <v>View</v>
      </c>
    </row>
    <row r="241" spans="1:16" x14ac:dyDescent="0.25">
      <c r="A241" s="16" t="s">
        <v>1261</v>
      </c>
      <c r="B241" s="17">
        <v>2796314</v>
      </c>
      <c r="C241" s="17">
        <v>0</v>
      </c>
      <c r="D241" s="17" t="s">
        <v>10465</v>
      </c>
      <c r="E241" s="17" t="s">
        <v>1007</v>
      </c>
      <c r="F241" s="17" t="s">
        <v>96</v>
      </c>
      <c r="G241" s="18" t="s">
        <v>9365</v>
      </c>
      <c r="H241" s="18" t="s">
        <v>98</v>
      </c>
      <c r="I241" s="17" t="s">
        <v>10852</v>
      </c>
      <c r="J241" s="17">
        <v>1</v>
      </c>
      <c r="K241" s="17">
        <v>0</v>
      </c>
      <c r="L241" s="17" t="s">
        <v>10853</v>
      </c>
      <c r="M241" s="19" t="s">
        <v>101</v>
      </c>
      <c r="N241" s="17" t="s">
        <v>4791</v>
      </c>
      <c r="O241" s="17" t="s">
        <v>1265</v>
      </c>
      <c r="P241" s="17" t="str">
        <f>HYPERLINK("https://dexscreener.com/solana/9jXM5YVmVu6D8DVNo7J2cLFWK1MCCWdS3GpGb2HSpump", "View")</f>
        <v>View</v>
      </c>
    </row>
    <row r="242" spans="1:16" x14ac:dyDescent="0.25">
      <c r="A242" s="13" t="s">
        <v>10854</v>
      </c>
      <c r="B242" s="14">
        <v>667125</v>
      </c>
      <c r="C242" s="14">
        <v>0</v>
      </c>
      <c r="D242" s="14" t="s">
        <v>10465</v>
      </c>
      <c r="E242" s="14" t="s">
        <v>1007</v>
      </c>
      <c r="F242" s="14" t="s">
        <v>96</v>
      </c>
      <c r="G242" s="18" t="s">
        <v>9365</v>
      </c>
      <c r="H242" s="18" t="s">
        <v>98</v>
      </c>
      <c r="I242" s="14" t="s">
        <v>10855</v>
      </c>
      <c r="J242" s="14">
        <v>1</v>
      </c>
      <c r="K242" s="14">
        <v>0</v>
      </c>
      <c r="L242" s="14" t="s">
        <v>10856</v>
      </c>
      <c r="M242" s="19" t="s">
        <v>101</v>
      </c>
      <c r="N242" s="14" t="s">
        <v>10857</v>
      </c>
      <c r="O242" s="14" t="s">
        <v>10858</v>
      </c>
      <c r="P242" s="14" t="str">
        <f>HYPERLINK("https://dexscreener.com/solana/qWk29vM8KGYKBnBfgXCjThfzzXf6ry6X874bARRpump", "View")</f>
        <v>View</v>
      </c>
    </row>
    <row r="243" spans="1:16" x14ac:dyDescent="0.25">
      <c r="A243" s="16" t="s">
        <v>10859</v>
      </c>
      <c r="B243" s="17">
        <v>5131409</v>
      </c>
      <c r="C243" s="17">
        <v>0</v>
      </c>
      <c r="D243" s="17" t="s">
        <v>10465</v>
      </c>
      <c r="E243" s="17" t="s">
        <v>1007</v>
      </c>
      <c r="F243" s="17" t="s">
        <v>96</v>
      </c>
      <c r="G243" s="18" t="s">
        <v>9365</v>
      </c>
      <c r="H243" s="18" t="s">
        <v>98</v>
      </c>
      <c r="I243" s="17" t="s">
        <v>10860</v>
      </c>
      <c r="J243" s="17">
        <v>1</v>
      </c>
      <c r="K243" s="17">
        <v>0</v>
      </c>
      <c r="L243" s="17" t="s">
        <v>10861</v>
      </c>
      <c r="M243" s="19" t="s">
        <v>101</v>
      </c>
      <c r="N243" s="17" t="s">
        <v>10862</v>
      </c>
      <c r="O243" s="17" t="s">
        <v>10863</v>
      </c>
      <c r="P243" s="17" t="str">
        <f>HYPERLINK("https://dexscreener.com/solana/2iHPMyLKDwFjYQP4B9nLNQKjX4bPYCMGy2KuRZMmpump", "View")</f>
        <v>View</v>
      </c>
    </row>
    <row r="244" spans="1:16" x14ac:dyDescent="0.25">
      <c r="A244" s="13" t="s">
        <v>10864</v>
      </c>
      <c r="B244" s="14">
        <v>3598076</v>
      </c>
      <c r="C244" s="14">
        <v>0</v>
      </c>
      <c r="D244" s="14" t="s">
        <v>10465</v>
      </c>
      <c r="E244" s="14" t="s">
        <v>1007</v>
      </c>
      <c r="F244" s="14" t="s">
        <v>96</v>
      </c>
      <c r="G244" s="18" t="s">
        <v>9365</v>
      </c>
      <c r="H244" s="18" t="s">
        <v>98</v>
      </c>
      <c r="I244" s="14" t="s">
        <v>10865</v>
      </c>
      <c r="J244" s="14">
        <v>1</v>
      </c>
      <c r="K244" s="14">
        <v>0</v>
      </c>
      <c r="L244" s="14" t="s">
        <v>10866</v>
      </c>
      <c r="M244" s="19" t="s">
        <v>101</v>
      </c>
      <c r="N244" s="14" t="s">
        <v>1652</v>
      </c>
      <c r="O244" s="14" t="s">
        <v>10867</v>
      </c>
      <c r="P244" s="14" t="str">
        <f>HYPERLINK("https://dexscreener.com/solana/Dtn3jm4mRQdqEMA6Ub96L7agyniJUMTUdEYgVViBpump", "View")</f>
        <v>View</v>
      </c>
    </row>
    <row r="245" spans="1:16" x14ac:dyDescent="0.25">
      <c r="A245" s="16" t="s">
        <v>10868</v>
      </c>
      <c r="B245" s="17">
        <v>443255</v>
      </c>
      <c r="C245" s="17">
        <v>0</v>
      </c>
      <c r="D245" s="17" t="s">
        <v>10465</v>
      </c>
      <c r="E245" s="17" t="s">
        <v>1007</v>
      </c>
      <c r="F245" s="17" t="s">
        <v>96</v>
      </c>
      <c r="G245" s="18" t="s">
        <v>9365</v>
      </c>
      <c r="H245" s="18" t="s">
        <v>98</v>
      </c>
      <c r="I245" s="17" t="s">
        <v>10869</v>
      </c>
      <c r="J245" s="17">
        <v>1</v>
      </c>
      <c r="K245" s="17">
        <v>0</v>
      </c>
      <c r="L245" s="17" t="s">
        <v>10870</v>
      </c>
      <c r="M245" s="19" t="s">
        <v>101</v>
      </c>
      <c r="N245" s="17" t="s">
        <v>10871</v>
      </c>
      <c r="O245" s="17" t="s">
        <v>10872</v>
      </c>
      <c r="P245" s="17" t="str">
        <f>HYPERLINK("https://dexscreener.com/solana/2T7TigEJc6pAzy4q7GkDZbhLoigmWUS3dJApg6Ropump", "View")</f>
        <v>View</v>
      </c>
    </row>
    <row r="246" spans="1:16" x14ac:dyDescent="0.25">
      <c r="A246" s="13" t="s">
        <v>10873</v>
      </c>
      <c r="B246" s="14">
        <v>3755349</v>
      </c>
      <c r="C246" s="14">
        <v>0</v>
      </c>
      <c r="D246" s="14" t="s">
        <v>10465</v>
      </c>
      <c r="E246" s="14" t="s">
        <v>1007</v>
      </c>
      <c r="F246" s="14" t="s">
        <v>96</v>
      </c>
      <c r="G246" s="18" t="s">
        <v>9365</v>
      </c>
      <c r="H246" s="18" t="s">
        <v>98</v>
      </c>
      <c r="I246" s="14" t="s">
        <v>10874</v>
      </c>
      <c r="J246" s="14">
        <v>1</v>
      </c>
      <c r="K246" s="14">
        <v>0</v>
      </c>
      <c r="L246" s="14" t="s">
        <v>10875</v>
      </c>
      <c r="M246" s="19" t="s">
        <v>101</v>
      </c>
      <c r="N246" s="14" t="s">
        <v>4306</v>
      </c>
      <c r="O246" s="14" t="s">
        <v>10876</v>
      </c>
      <c r="P246" s="14" t="str">
        <f>HYPERLINK("https://dexscreener.com/solana/GbKNJGm5pYLX8Kc3qYmh9cozMNK6wWZwjDiBCaqcpump", "View")</f>
        <v>View</v>
      </c>
    </row>
    <row r="247" spans="1:16" x14ac:dyDescent="0.25">
      <c r="A247" s="16" t="s">
        <v>1146</v>
      </c>
      <c r="B247" s="17">
        <v>258355</v>
      </c>
      <c r="C247" s="17">
        <v>0</v>
      </c>
      <c r="D247" s="17" t="s">
        <v>10465</v>
      </c>
      <c r="E247" s="17" t="s">
        <v>1007</v>
      </c>
      <c r="F247" s="17" t="s">
        <v>96</v>
      </c>
      <c r="G247" s="18" t="s">
        <v>9365</v>
      </c>
      <c r="H247" s="18" t="s">
        <v>98</v>
      </c>
      <c r="I247" s="17" t="s">
        <v>10877</v>
      </c>
      <c r="J247" s="17">
        <v>1</v>
      </c>
      <c r="K247" s="17">
        <v>0</v>
      </c>
      <c r="L247" s="17" t="s">
        <v>10878</v>
      </c>
      <c r="M247" s="19" t="s">
        <v>101</v>
      </c>
      <c r="N247" s="17" t="s">
        <v>507</v>
      </c>
      <c r="O247" s="17" t="s">
        <v>10879</v>
      </c>
      <c r="P247" s="17" t="str">
        <f>HYPERLINK("https://dexscreener.com/solana/73LsT1ay85UgSvbUB3p9ZDxknB7UaWwATGXcg9rMpump", "View")</f>
        <v>View</v>
      </c>
    </row>
    <row r="248" spans="1:16" x14ac:dyDescent="0.25">
      <c r="A248" s="13" t="s">
        <v>1288</v>
      </c>
      <c r="B248" s="14">
        <v>711469</v>
      </c>
      <c r="C248" s="14">
        <v>0</v>
      </c>
      <c r="D248" s="14" t="s">
        <v>10465</v>
      </c>
      <c r="E248" s="14" t="s">
        <v>1007</v>
      </c>
      <c r="F248" s="14" t="s">
        <v>96</v>
      </c>
      <c r="G248" s="18" t="s">
        <v>9365</v>
      </c>
      <c r="H248" s="18" t="s">
        <v>98</v>
      </c>
      <c r="I248" s="14" t="s">
        <v>10880</v>
      </c>
      <c r="J248" s="14">
        <v>1</v>
      </c>
      <c r="K248" s="14">
        <v>0</v>
      </c>
      <c r="L248" s="14" t="s">
        <v>10881</v>
      </c>
      <c r="M248" s="19" t="s">
        <v>101</v>
      </c>
      <c r="N248" s="14" t="s">
        <v>10882</v>
      </c>
      <c r="O248" s="14" t="s">
        <v>1295</v>
      </c>
      <c r="P248" s="14" t="str">
        <f>HYPERLINK("https://dexscreener.com/solana/EWKCSAyuWFCTKHXnomA3V81drupcj2fKP9yvsdbdpump", "View")</f>
        <v>View</v>
      </c>
    </row>
    <row r="249" spans="1:16" x14ac:dyDescent="0.25">
      <c r="A249" s="16" t="s">
        <v>10883</v>
      </c>
      <c r="B249" s="17">
        <v>514</v>
      </c>
      <c r="C249" s="17">
        <v>0</v>
      </c>
      <c r="D249" s="17" t="s">
        <v>10465</v>
      </c>
      <c r="E249" s="17" t="s">
        <v>1007</v>
      </c>
      <c r="F249" s="17" t="s">
        <v>96</v>
      </c>
      <c r="G249" s="18" t="s">
        <v>9365</v>
      </c>
      <c r="H249" s="18" t="s">
        <v>98</v>
      </c>
      <c r="I249" s="17" t="s">
        <v>10593</v>
      </c>
      <c r="J249" s="17">
        <v>1</v>
      </c>
      <c r="K249" s="17">
        <v>0</v>
      </c>
      <c r="L249" s="17" t="s">
        <v>10884</v>
      </c>
      <c r="M249" s="19" t="s">
        <v>101</v>
      </c>
      <c r="N249" s="17" t="s">
        <v>507</v>
      </c>
      <c r="O249" s="17" t="s">
        <v>10885</v>
      </c>
      <c r="P249" s="17" t="str">
        <f>HYPERLINK("https://dexscreener.com/solana/EhuPypJBb9ocHn8APiCWEmQjhqBmDkWDGVX7H9p1pump", "View")</f>
        <v>View</v>
      </c>
    </row>
    <row r="250" spans="1:16" x14ac:dyDescent="0.25">
      <c r="A250" s="13" t="s">
        <v>10886</v>
      </c>
      <c r="B250" s="14">
        <v>533</v>
      </c>
      <c r="C250" s="14">
        <v>0</v>
      </c>
      <c r="D250" s="14" t="s">
        <v>10465</v>
      </c>
      <c r="E250" s="14" t="s">
        <v>1007</v>
      </c>
      <c r="F250" s="14" t="s">
        <v>96</v>
      </c>
      <c r="G250" s="18" t="s">
        <v>9365</v>
      </c>
      <c r="H250" s="18" t="s">
        <v>98</v>
      </c>
      <c r="I250" s="14" t="s">
        <v>10887</v>
      </c>
      <c r="J250" s="14">
        <v>1</v>
      </c>
      <c r="K250" s="14">
        <v>0</v>
      </c>
      <c r="L250" s="14" t="s">
        <v>10888</v>
      </c>
      <c r="M250" s="19" t="s">
        <v>101</v>
      </c>
      <c r="N250" s="14" t="s">
        <v>507</v>
      </c>
      <c r="O250" s="14" t="s">
        <v>10889</v>
      </c>
      <c r="P250" s="14" t="str">
        <f>HYPERLINK("https://dexscreener.com/solana/4RXz1roYHfv7UMeuKhCCbr8c519ntktkFiArCXCCpump", "View")</f>
        <v>View</v>
      </c>
    </row>
    <row r="251" spans="1:16" x14ac:dyDescent="0.25">
      <c r="A251" s="16" t="s">
        <v>1303</v>
      </c>
      <c r="B251" s="17">
        <v>1894573</v>
      </c>
      <c r="C251" s="17">
        <v>0</v>
      </c>
      <c r="D251" s="17" t="s">
        <v>10465</v>
      </c>
      <c r="E251" s="17" t="s">
        <v>1007</v>
      </c>
      <c r="F251" s="17" t="s">
        <v>96</v>
      </c>
      <c r="G251" s="18" t="s">
        <v>9365</v>
      </c>
      <c r="H251" s="18" t="s">
        <v>98</v>
      </c>
      <c r="I251" s="17" t="s">
        <v>10890</v>
      </c>
      <c r="J251" s="17">
        <v>1</v>
      </c>
      <c r="K251" s="17">
        <v>0</v>
      </c>
      <c r="L251" s="17" t="s">
        <v>10891</v>
      </c>
      <c r="M251" s="19" t="s">
        <v>101</v>
      </c>
      <c r="N251" s="17" t="s">
        <v>5110</v>
      </c>
      <c r="O251" s="17" t="s">
        <v>1307</v>
      </c>
      <c r="P251" s="17" t="str">
        <f>HYPERLINK("https://dexscreener.com/solana/5LDKU2JpdgxUmzQq3aQL3tYCWxKf5iXtEXpkGTdHpump", "View")</f>
        <v>View</v>
      </c>
    </row>
    <row r="252" spans="1:16" x14ac:dyDescent="0.25">
      <c r="A252" s="13" t="s">
        <v>10892</v>
      </c>
      <c r="B252" s="14">
        <v>2737</v>
      </c>
      <c r="C252" s="14">
        <v>0</v>
      </c>
      <c r="D252" s="14" t="s">
        <v>10465</v>
      </c>
      <c r="E252" s="14" t="s">
        <v>1007</v>
      </c>
      <c r="F252" s="14" t="s">
        <v>96</v>
      </c>
      <c r="G252" s="18" t="s">
        <v>9365</v>
      </c>
      <c r="H252" s="18" t="s">
        <v>98</v>
      </c>
      <c r="I252" s="14" t="s">
        <v>10893</v>
      </c>
      <c r="J252" s="14">
        <v>1</v>
      </c>
      <c r="K252" s="14">
        <v>0</v>
      </c>
      <c r="L252" s="14" t="s">
        <v>10894</v>
      </c>
      <c r="M252" s="19" t="s">
        <v>101</v>
      </c>
      <c r="N252" s="14" t="s">
        <v>507</v>
      </c>
      <c r="O252" s="14" t="s">
        <v>10895</v>
      </c>
      <c r="P252" s="14" t="str">
        <f>HYPERLINK("https://dexscreener.com/solana/BQedNRMwBsgMh6wWupC8bFfaS3dLBSNrWF3sFoYKpump", "View")</f>
        <v>View</v>
      </c>
    </row>
    <row r="253" spans="1:16" x14ac:dyDescent="0.25">
      <c r="A253" s="16" t="s">
        <v>10896</v>
      </c>
      <c r="B253" s="17">
        <v>869730</v>
      </c>
      <c r="C253" s="17">
        <v>0</v>
      </c>
      <c r="D253" s="17" t="s">
        <v>10465</v>
      </c>
      <c r="E253" s="17" t="s">
        <v>1007</v>
      </c>
      <c r="F253" s="17" t="s">
        <v>96</v>
      </c>
      <c r="G253" s="18" t="s">
        <v>9365</v>
      </c>
      <c r="H253" s="18" t="s">
        <v>98</v>
      </c>
      <c r="I253" s="17" t="s">
        <v>10897</v>
      </c>
      <c r="J253" s="17">
        <v>1</v>
      </c>
      <c r="K253" s="17">
        <v>0</v>
      </c>
      <c r="L253" s="17" t="s">
        <v>10898</v>
      </c>
      <c r="M253" s="19" t="s">
        <v>101</v>
      </c>
      <c r="N253" s="17" t="s">
        <v>10899</v>
      </c>
      <c r="O253" s="17" t="s">
        <v>10900</v>
      </c>
      <c r="P253" s="17" t="str">
        <f>HYPERLINK("https://dexscreener.com/solana/ExAmXuCUGSJArR9cFYHTRr3TiA7Jn9cfFZgJcL4Kpump", "View")</f>
        <v>View</v>
      </c>
    </row>
    <row r="254" spans="1:16" x14ac:dyDescent="0.25">
      <c r="A254" s="13" t="s">
        <v>1250</v>
      </c>
      <c r="B254" s="14">
        <v>647226</v>
      </c>
      <c r="C254" s="14">
        <v>0</v>
      </c>
      <c r="D254" s="14" t="s">
        <v>10465</v>
      </c>
      <c r="E254" s="14" t="s">
        <v>1007</v>
      </c>
      <c r="F254" s="14" t="s">
        <v>96</v>
      </c>
      <c r="G254" s="18" t="s">
        <v>9365</v>
      </c>
      <c r="H254" s="18" t="s">
        <v>98</v>
      </c>
      <c r="I254" s="14" t="s">
        <v>10901</v>
      </c>
      <c r="J254" s="14">
        <v>1</v>
      </c>
      <c r="K254" s="14">
        <v>0</v>
      </c>
      <c r="L254" s="14" t="s">
        <v>10902</v>
      </c>
      <c r="M254" s="19" t="s">
        <v>101</v>
      </c>
      <c r="N254" s="14" t="s">
        <v>10903</v>
      </c>
      <c r="O254" s="14" t="s">
        <v>1255</v>
      </c>
      <c r="P254" s="14" t="str">
        <f>HYPERLINK("https://dexscreener.com/solana/FGSheu4NuiGqf8zjP9Na5BtdQTmd1SzfcdYZAHHNpump", "View")</f>
        <v>View</v>
      </c>
    </row>
    <row r="255" spans="1:16" x14ac:dyDescent="0.25">
      <c r="A255" s="16" t="s">
        <v>10904</v>
      </c>
      <c r="B255" s="17">
        <v>1205736</v>
      </c>
      <c r="C255" s="17">
        <v>0</v>
      </c>
      <c r="D255" s="17" t="s">
        <v>10465</v>
      </c>
      <c r="E255" s="17" t="s">
        <v>1007</v>
      </c>
      <c r="F255" s="17" t="s">
        <v>96</v>
      </c>
      <c r="G255" s="18" t="s">
        <v>9365</v>
      </c>
      <c r="H255" s="18" t="s">
        <v>98</v>
      </c>
      <c r="I255" s="17" t="s">
        <v>10905</v>
      </c>
      <c r="J255" s="17">
        <v>1</v>
      </c>
      <c r="K255" s="17">
        <v>0</v>
      </c>
      <c r="L255" s="17" t="s">
        <v>10906</v>
      </c>
      <c r="M255" s="19" t="s">
        <v>101</v>
      </c>
      <c r="N255" s="17" t="s">
        <v>10907</v>
      </c>
      <c r="O255" s="17" t="s">
        <v>10908</v>
      </c>
      <c r="P255" s="17" t="str">
        <f>HYPERLINK("https://dexscreener.com/solana/3P975i1iZF5oYrvzpbmdE41CpuHAEbdvGYe5DdTZpump", "View")</f>
        <v>View</v>
      </c>
    </row>
    <row r="256" spans="1:16" x14ac:dyDescent="0.25">
      <c r="A256" s="13" t="s">
        <v>10909</v>
      </c>
      <c r="B256" s="14">
        <v>10192901</v>
      </c>
      <c r="C256" s="14">
        <v>0</v>
      </c>
      <c r="D256" s="14" t="s">
        <v>10465</v>
      </c>
      <c r="E256" s="14" t="s">
        <v>1007</v>
      </c>
      <c r="F256" s="14" t="s">
        <v>96</v>
      </c>
      <c r="G256" s="18" t="s">
        <v>9365</v>
      </c>
      <c r="H256" s="18" t="s">
        <v>98</v>
      </c>
      <c r="I256" s="14" t="s">
        <v>10910</v>
      </c>
      <c r="J256" s="14">
        <v>1</v>
      </c>
      <c r="K256" s="14">
        <v>0</v>
      </c>
      <c r="L256" s="14" t="s">
        <v>10911</v>
      </c>
      <c r="M256" s="19" t="s">
        <v>101</v>
      </c>
      <c r="N256" s="14" t="s">
        <v>10912</v>
      </c>
      <c r="O256" s="14" t="s">
        <v>10913</v>
      </c>
      <c r="P256" s="14" t="str">
        <f>HYPERLINK("https://dexscreener.com/solana/vwkxnY1gUFMYZpHx4pBvpDAdwbZPQfSc8zLkFczpump", "View")</f>
        <v>View</v>
      </c>
    </row>
    <row r="257" spans="1:16" x14ac:dyDescent="0.25">
      <c r="A257" s="16" t="s">
        <v>10914</v>
      </c>
      <c r="B257" s="17">
        <v>781338</v>
      </c>
      <c r="C257" s="17">
        <v>0</v>
      </c>
      <c r="D257" s="17" t="s">
        <v>10465</v>
      </c>
      <c r="E257" s="17" t="s">
        <v>1007</v>
      </c>
      <c r="F257" s="17" t="s">
        <v>96</v>
      </c>
      <c r="G257" s="18" t="s">
        <v>9365</v>
      </c>
      <c r="H257" s="18" t="s">
        <v>98</v>
      </c>
      <c r="I257" s="17" t="s">
        <v>10915</v>
      </c>
      <c r="J257" s="17">
        <v>1</v>
      </c>
      <c r="K257" s="17">
        <v>0</v>
      </c>
      <c r="L257" s="17" t="s">
        <v>10916</v>
      </c>
      <c r="M257" s="19" t="s">
        <v>101</v>
      </c>
      <c r="N257" s="17" t="s">
        <v>10917</v>
      </c>
      <c r="O257" s="17" t="s">
        <v>10918</v>
      </c>
      <c r="P257" s="17" t="str">
        <f>HYPERLINK("https://dexscreener.com/solana/3AQeACYHAMCA6JLYg7j4VBfHEtMAE5nVq47YSVuRpump", "View")</f>
        <v>View</v>
      </c>
    </row>
    <row r="258" spans="1:16" x14ac:dyDescent="0.25">
      <c r="A258" s="13" t="s">
        <v>10919</v>
      </c>
      <c r="B258" s="14">
        <v>1988541</v>
      </c>
      <c r="C258" s="14">
        <v>0</v>
      </c>
      <c r="D258" s="14" t="s">
        <v>10465</v>
      </c>
      <c r="E258" s="14" t="s">
        <v>1007</v>
      </c>
      <c r="F258" s="14" t="s">
        <v>96</v>
      </c>
      <c r="G258" s="18" t="s">
        <v>9365</v>
      </c>
      <c r="H258" s="18" t="s">
        <v>98</v>
      </c>
      <c r="I258" s="14" t="s">
        <v>10920</v>
      </c>
      <c r="J258" s="14">
        <v>1</v>
      </c>
      <c r="K258" s="14">
        <v>0</v>
      </c>
      <c r="L258" s="14" t="s">
        <v>10921</v>
      </c>
      <c r="M258" s="19" t="s">
        <v>101</v>
      </c>
      <c r="N258" s="14" t="s">
        <v>10922</v>
      </c>
      <c r="O258" s="14" t="s">
        <v>10923</v>
      </c>
      <c r="P258" s="14" t="str">
        <f>HYPERLINK("https://dexscreener.com/solana/BbakUCxXyqgR5PtuyLHcweDpPSUw8WwysEkL2cUCpump", "View")</f>
        <v>View</v>
      </c>
    </row>
    <row r="259" spans="1:16" x14ac:dyDescent="0.25">
      <c r="A259" s="16" t="s">
        <v>10924</v>
      </c>
      <c r="B259" s="17">
        <v>2322493</v>
      </c>
      <c r="C259" s="17">
        <v>0</v>
      </c>
      <c r="D259" s="17" t="s">
        <v>10465</v>
      </c>
      <c r="E259" s="17" t="s">
        <v>1007</v>
      </c>
      <c r="F259" s="17" t="s">
        <v>96</v>
      </c>
      <c r="G259" s="18" t="s">
        <v>9365</v>
      </c>
      <c r="H259" s="18" t="s">
        <v>98</v>
      </c>
      <c r="I259" s="17" t="s">
        <v>10925</v>
      </c>
      <c r="J259" s="17">
        <v>1</v>
      </c>
      <c r="K259" s="17">
        <v>0</v>
      </c>
      <c r="L259" s="17" t="s">
        <v>10926</v>
      </c>
      <c r="M259" s="19" t="s">
        <v>101</v>
      </c>
      <c r="N259" s="17" t="s">
        <v>10182</v>
      </c>
      <c r="O259" s="17" t="s">
        <v>10927</v>
      </c>
      <c r="P259" s="17" t="str">
        <f>HYPERLINK("https://dexscreener.com/solana/5nrA5WTQNHpEjYpyBv8cSM97rM4tWVzSBzuCSdknpump", "View")</f>
        <v>View</v>
      </c>
    </row>
    <row r="260" spans="1:16" x14ac:dyDescent="0.25">
      <c r="A260" s="13" t="s">
        <v>10928</v>
      </c>
      <c r="B260" s="14">
        <v>7546266</v>
      </c>
      <c r="C260" s="14">
        <v>0</v>
      </c>
      <c r="D260" s="14" t="s">
        <v>10465</v>
      </c>
      <c r="E260" s="14" t="s">
        <v>1007</v>
      </c>
      <c r="F260" s="14" t="s">
        <v>96</v>
      </c>
      <c r="G260" s="18" t="s">
        <v>9365</v>
      </c>
      <c r="H260" s="18" t="s">
        <v>98</v>
      </c>
      <c r="I260" s="14" t="s">
        <v>10929</v>
      </c>
      <c r="J260" s="14">
        <v>1</v>
      </c>
      <c r="K260" s="14">
        <v>0</v>
      </c>
      <c r="L260" s="14" t="s">
        <v>10930</v>
      </c>
      <c r="M260" s="19" t="s">
        <v>101</v>
      </c>
      <c r="N260" s="14" t="s">
        <v>10931</v>
      </c>
      <c r="O260" s="14" t="s">
        <v>10932</v>
      </c>
      <c r="P260" s="14" t="str">
        <f>HYPERLINK("https://dexscreener.com/solana/8YDtbWhnb2qVAaXHkoioPoiB8DmcAQf7BQTqEUSGpump", "View")</f>
        <v>View</v>
      </c>
    </row>
    <row r="261" spans="1:16" x14ac:dyDescent="0.25">
      <c r="A261" s="16" t="s">
        <v>10933</v>
      </c>
      <c r="B261" s="17">
        <v>2626096</v>
      </c>
      <c r="C261" s="17">
        <v>0</v>
      </c>
      <c r="D261" s="17" t="s">
        <v>10465</v>
      </c>
      <c r="E261" s="17" t="s">
        <v>1007</v>
      </c>
      <c r="F261" s="17" t="s">
        <v>96</v>
      </c>
      <c r="G261" s="18" t="s">
        <v>9365</v>
      </c>
      <c r="H261" s="18" t="s">
        <v>98</v>
      </c>
      <c r="I261" s="17" t="s">
        <v>10934</v>
      </c>
      <c r="J261" s="17">
        <v>1</v>
      </c>
      <c r="K261" s="17">
        <v>0</v>
      </c>
      <c r="L261" s="17" t="s">
        <v>10935</v>
      </c>
      <c r="M261" s="19" t="s">
        <v>101</v>
      </c>
      <c r="N261" s="17" t="s">
        <v>10936</v>
      </c>
      <c r="O261" s="17" t="s">
        <v>10937</v>
      </c>
      <c r="P261" s="17" t="str">
        <f>HYPERLINK("https://dexscreener.com/solana/HodgC15hoJtDykKCxfjdz7YntYsoVAUXVyDvSbGYpump", "View")</f>
        <v>View</v>
      </c>
    </row>
    <row r="262" spans="1:16" x14ac:dyDescent="0.25">
      <c r="A262" s="13" t="s">
        <v>10938</v>
      </c>
      <c r="B262" s="14">
        <v>942863</v>
      </c>
      <c r="C262" s="14">
        <v>0</v>
      </c>
      <c r="D262" s="14" t="s">
        <v>10465</v>
      </c>
      <c r="E262" s="14" t="s">
        <v>1007</v>
      </c>
      <c r="F262" s="14" t="s">
        <v>96</v>
      </c>
      <c r="G262" s="18" t="s">
        <v>9365</v>
      </c>
      <c r="H262" s="18" t="s">
        <v>98</v>
      </c>
      <c r="I262" s="14" t="s">
        <v>10939</v>
      </c>
      <c r="J262" s="14">
        <v>1</v>
      </c>
      <c r="K262" s="14">
        <v>0</v>
      </c>
      <c r="L262" s="14" t="s">
        <v>10940</v>
      </c>
      <c r="M262" s="19" t="s">
        <v>101</v>
      </c>
      <c r="N262" s="14" t="s">
        <v>10941</v>
      </c>
      <c r="O262" s="14" t="s">
        <v>10942</v>
      </c>
      <c r="P262" s="14" t="str">
        <f>HYPERLINK("https://dexscreener.com/solana/7oKUJj6RVpPdpyDVtqm9L2P5SbzxDeKmQjr2rqeqpump", "View")</f>
        <v>View</v>
      </c>
    </row>
    <row r="263" spans="1:16" x14ac:dyDescent="0.25">
      <c r="A263" s="16" t="s">
        <v>10943</v>
      </c>
      <c r="B263" s="17">
        <v>478631</v>
      </c>
      <c r="C263" s="17">
        <v>0</v>
      </c>
      <c r="D263" s="17" t="s">
        <v>10465</v>
      </c>
      <c r="E263" s="17" t="s">
        <v>1007</v>
      </c>
      <c r="F263" s="17" t="s">
        <v>96</v>
      </c>
      <c r="G263" s="18" t="s">
        <v>9365</v>
      </c>
      <c r="H263" s="18" t="s">
        <v>98</v>
      </c>
      <c r="I263" s="17" t="s">
        <v>10944</v>
      </c>
      <c r="J263" s="17">
        <v>1</v>
      </c>
      <c r="K263" s="17">
        <v>0</v>
      </c>
      <c r="L263" s="17" t="s">
        <v>10945</v>
      </c>
      <c r="M263" s="19" t="s">
        <v>101</v>
      </c>
      <c r="N263" s="17" t="s">
        <v>10946</v>
      </c>
      <c r="O263" s="17" t="s">
        <v>10947</v>
      </c>
      <c r="P263" s="17" t="str">
        <f>HYPERLINK("https://dexscreener.com/solana/D2WgVsM5YycKd9w8oxf7zCDvwYCcYCvhmuj29SWgpump", "View")</f>
        <v>View</v>
      </c>
    </row>
    <row r="264" spans="1:16" x14ac:dyDescent="0.25">
      <c r="A264" s="13" t="s">
        <v>10948</v>
      </c>
      <c r="B264" s="14">
        <v>1652578</v>
      </c>
      <c r="C264" s="14">
        <v>0</v>
      </c>
      <c r="D264" s="14" t="s">
        <v>10465</v>
      </c>
      <c r="E264" s="14" t="s">
        <v>1007</v>
      </c>
      <c r="F264" s="14" t="s">
        <v>96</v>
      </c>
      <c r="G264" s="18" t="s">
        <v>9365</v>
      </c>
      <c r="H264" s="18" t="s">
        <v>98</v>
      </c>
      <c r="I264" s="14" t="s">
        <v>10949</v>
      </c>
      <c r="J264" s="14">
        <v>1</v>
      </c>
      <c r="K264" s="14">
        <v>0</v>
      </c>
      <c r="L264" s="14" t="s">
        <v>10950</v>
      </c>
      <c r="M264" s="19" t="s">
        <v>101</v>
      </c>
      <c r="N264" s="14" t="s">
        <v>10951</v>
      </c>
      <c r="O264" s="14" t="s">
        <v>10952</v>
      </c>
      <c r="P264" s="14" t="str">
        <f>HYPERLINK("https://dexscreener.com/solana/8Y9TgC6vbgDGgsqFBY621Xg7BmdTZfYhqyg397hopump", "View")</f>
        <v>View</v>
      </c>
    </row>
    <row r="265" spans="1:16" x14ac:dyDescent="0.25">
      <c r="A265" s="16" t="s">
        <v>6160</v>
      </c>
      <c r="B265" s="17">
        <v>2079343</v>
      </c>
      <c r="C265" s="17">
        <v>0</v>
      </c>
      <c r="D265" s="17" t="s">
        <v>10465</v>
      </c>
      <c r="E265" s="17" t="s">
        <v>1007</v>
      </c>
      <c r="F265" s="17" t="s">
        <v>96</v>
      </c>
      <c r="G265" s="18" t="s">
        <v>9365</v>
      </c>
      <c r="H265" s="18" t="s">
        <v>98</v>
      </c>
      <c r="I265" s="17" t="s">
        <v>10953</v>
      </c>
      <c r="J265" s="17">
        <v>1</v>
      </c>
      <c r="K265" s="17">
        <v>0</v>
      </c>
      <c r="L265" s="17" t="s">
        <v>10954</v>
      </c>
      <c r="M265" s="19" t="s">
        <v>101</v>
      </c>
      <c r="N265" s="17" t="s">
        <v>10955</v>
      </c>
      <c r="O265" s="17" t="s">
        <v>10956</v>
      </c>
      <c r="P265" s="17" t="str">
        <f>HYPERLINK("https://dexscreener.com/solana/62vioY8kNCSYsZuhjLhkMNoDcvm2BPDkQ6xqxjG9pump", "View")</f>
        <v>View</v>
      </c>
    </row>
    <row r="266" spans="1:16" x14ac:dyDescent="0.25">
      <c r="A266" s="13" t="s">
        <v>10957</v>
      </c>
      <c r="B266" s="14">
        <v>7286390</v>
      </c>
      <c r="C266" s="14">
        <v>0</v>
      </c>
      <c r="D266" s="14" t="s">
        <v>10465</v>
      </c>
      <c r="E266" s="14" t="s">
        <v>1007</v>
      </c>
      <c r="F266" s="14" t="s">
        <v>96</v>
      </c>
      <c r="G266" s="18" t="s">
        <v>9365</v>
      </c>
      <c r="H266" s="18" t="s">
        <v>98</v>
      </c>
      <c r="I266" s="14" t="s">
        <v>10958</v>
      </c>
      <c r="J266" s="14">
        <v>1</v>
      </c>
      <c r="K266" s="14">
        <v>0</v>
      </c>
      <c r="L266" s="14" t="s">
        <v>10959</v>
      </c>
      <c r="M266" s="19" t="s">
        <v>101</v>
      </c>
      <c r="N266" s="14" t="s">
        <v>10960</v>
      </c>
      <c r="O266" s="14" t="s">
        <v>10961</v>
      </c>
      <c r="P266" s="14" t="str">
        <f>HYPERLINK("https://dexscreener.com/solana/H7jz5tmUxhGzeQZviiuZZXsvH3EBUM83G2PghABNpump", "View")</f>
        <v>View</v>
      </c>
    </row>
    <row r="267" spans="1:16" x14ac:dyDescent="0.25">
      <c r="A267" s="16" t="s">
        <v>10962</v>
      </c>
      <c r="B267" s="17">
        <v>486760</v>
      </c>
      <c r="C267" s="17">
        <v>0</v>
      </c>
      <c r="D267" s="17" t="s">
        <v>10465</v>
      </c>
      <c r="E267" s="17" t="s">
        <v>1007</v>
      </c>
      <c r="F267" s="17" t="s">
        <v>96</v>
      </c>
      <c r="G267" s="18" t="s">
        <v>9365</v>
      </c>
      <c r="H267" s="18" t="s">
        <v>98</v>
      </c>
      <c r="I267" s="17" t="s">
        <v>10963</v>
      </c>
      <c r="J267" s="17">
        <v>1</v>
      </c>
      <c r="K267" s="17">
        <v>0</v>
      </c>
      <c r="L267" s="17" t="s">
        <v>10964</v>
      </c>
      <c r="M267" s="19" t="s">
        <v>101</v>
      </c>
      <c r="N267" s="17" t="s">
        <v>10965</v>
      </c>
      <c r="O267" s="17" t="s">
        <v>10966</v>
      </c>
      <c r="P267" s="17" t="str">
        <f>HYPERLINK("https://dexscreener.com/solana/A8LoZLyrQ1kdL3iCXrHw39R8PfWBRaMaPSdDpr2rpump", "View")</f>
        <v>View</v>
      </c>
    </row>
    <row r="268" spans="1:16" x14ac:dyDescent="0.25">
      <c r="A268" s="13" t="s">
        <v>10967</v>
      </c>
      <c r="B268" s="14">
        <v>2965666</v>
      </c>
      <c r="C268" s="14">
        <v>0</v>
      </c>
      <c r="D268" s="14" t="s">
        <v>10465</v>
      </c>
      <c r="E268" s="14" t="s">
        <v>1007</v>
      </c>
      <c r="F268" s="14" t="s">
        <v>96</v>
      </c>
      <c r="G268" s="18" t="s">
        <v>9365</v>
      </c>
      <c r="H268" s="18" t="s">
        <v>98</v>
      </c>
      <c r="I268" s="14" t="s">
        <v>10968</v>
      </c>
      <c r="J268" s="14">
        <v>1</v>
      </c>
      <c r="K268" s="14">
        <v>0</v>
      </c>
      <c r="L268" s="14" t="s">
        <v>10969</v>
      </c>
      <c r="M268" s="19" t="s">
        <v>101</v>
      </c>
      <c r="N268" s="14" t="s">
        <v>10970</v>
      </c>
      <c r="O268" s="14" t="s">
        <v>10971</v>
      </c>
      <c r="P268" s="14" t="str">
        <f>HYPERLINK("https://dexscreener.com/solana/GaqX4csCa1G22jWbpgVsHHKf5qDM81JLnaE8qCEkpump", "View")</f>
        <v>View</v>
      </c>
    </row>
    <row r="269" spans="1:16" x14ac:dyDescent="0.25">
      <c r="A269" s="16" t="s">
        <v>10972</v>
      </c>
      <c r="B269" s="17">
        <v>1109</v>
      </c>
      <c r="C269" s="17">
        <v>0</v>
      </c>
      <c r="D269" s="17" t="s">
        <v>10465</v>
      </c>
      <c r="E269" s="17" t="s">
        <v>1007</v>
      </c>
      <c r="F269" s="17" t="s">
        <v>96</v>
      </c>
      <c r="G269" s="18" t="s">
        <v>9365</v>
      </c>
      <c r="H269" s="18" t="s">
        <v>98</v>
      </c>
      <c r="I269" s="17" t="s">
        <v>10973</v>
      </c>
      <c r="J269" s="17">
        <v>1</v>
      </c>
      <c r="K269" s="17">
        <v>0</v>
      </c>
      <c r="L269" s="17" t="s">
        <v>10974</v>
      </c>
      <c r="M269" s="19" t="s">
        <v>101</v>
      </c>
      <c r="N269" s="17" t="s">
        <v>507</v>
      </c>
      <c r="O269" s="17" t="s">
        <v>10975</v>
      </c>
      <c r="P269" s="17" t="str">
        <f>HYPERLINK("https://dexscreener.com/solana/r6UMK79ckAJhU5vysdPqwVDFRPBzdRB48orQtmapump", "View")</f>
        <v>View</v>
      </c>
    </row>
    <row r="270" spans="1:16" x14ac:dyDescent="0.25">
      <c r="A270" s="13" t="s">
        <v>10976</v>
      </c>
      <c r="B270" s="14">
        <v>500405</v>
      </c>
      <c r="C270" s="14">
        <v>0</v>
      </c>
      <c r="D270" s="14" t="s">
        <v>10465</v>
      </c>
      <c r="E270" s="14" t="s">
        <v>1007</v>
      </c>
      <c r="F270" s="14" t="s">
        <v>96</v>
      </c>
      <c r="G270" s="18" t="s">
        <v>9365</v>
      </c>
      <c r="H270" s="18" t="s">
        <v>98</v>
      </c>
      <c r="I270" s="14" t="s">
        <v>10977</v>
      </c>
      <c r="J270" s="14">
        <v>1</v>
      </c>
      <c r="K270" s="14">
        <v>0</v>
      </c>
      <c r="L270" s="14" t="s">
        <v>10978</v>
      </c>
      <c r="M270" s="19" t="s">
        <v>101</v>
      </c>
      <c r="N270" s="14" t="s">
        <v>10979</v>
      </c>
      <c r="O270" s="14" t="s">
        <v>10980</v>
      </c>
      <c r="P270" s="14" t="str">
        <f>HYPERLINK("https://dexscreener.com/solana/DPEPsFbcwLhNQP9RWZDCaQUnDtdRjRCAom5gLWa5pump", "View")</f>
        <v>View</v>
      </c>
    </row>
    <row r="271" spans="1:16" x14ac:dyDescent="0.25">
      <c r="A271" s="16" t="s">
        <v>10981</v>
      </c>
      <c r="B271" s="17">
        <v>1827537</v>
      </c>
      <c r="C271" s="17">
        <v>0</v>
      </c>
      <c r="D271" s="17" t="s">
        <v>10465</v>
      </c>
      <c r="E271" s="17" t="s">
        <v>1007</v>
      </c>
      <c r="F271" s="17" t="s">
        <v>96</v>
      </c>
      <c r="G271" s="18" t="s">
        <v>9365</v>
      </c>
      <c r="H271" s="18" t="s">
        <v>98</v>
      </c>
      <c r="I271" s="17" t="s">
        <v>10982</v>
      </c>
      <c r="J271" s="17">
        <v>1</v>
      </c>
      <c r="K271" s="17">
        <v>0</v>
      </c>
      <c r="L271" s="17" t="s">
        <v>10983</v>
      </c>
      <c r="M271" s="19" t="s">
        <v>101</v>
      </c>
      <c r="N271" s="17" t="s">
        <v>10984</v>
      </c>
      <c r="O271" s="17" t="s">
        <v>10985</v>
      </c>
      <c r="P271" s="17" t="str">
        <f>HYPERLINK("https://dexscreener.com/solana/6zkouG5zqG4PF46owybDUF3QhMKtnzEiwA1D2BNtpump", "View")</f>
        <v>View</v>
      </c>
    </row>
    <row r="272" spans="1:16" x14ac:dyDescent="0.25">
      <c r="A272" s="13" t="s">
        <v>10986</v>
      </c>
      <c r="B272" s="14">
        <v>361193</v>
      </c>
      <c r="C272" s="14">
        <v>270894</v>
      </c>
      <c r="D272" s="14" t="s">
        <v>10987</v>
      </c>
      <c r="E272" s="14" t="s">
        <v>1007</v>
      </c>
      <c r="F272" s="14" t="s">
        <v>10988</v>
      </c>
      <c r="G272" s="21" t="s">
        <v>10989</v>
      </c>
      <c r="H272" s="21" t="s">
        <v>10990</v>
      </c>
      <c r="I272" s="14" t="s">
        <v>88</v>
      </c>
      <c r="J272" s="14">
        <v>1</v>
      </c>
      <c r="K272" s="14">
        <v>2</v>
      </c>
      <c r="L272" s="14" t="s">
        <v>10991</v>
      </c>
      <c r="M272" s="14" t="s">
        <v>364</v>
      </c>
      <c r="N272" s="14" t="s">
        <v>10992</v>
      </c>
      <c r="O272" s="14" t="s">
        <v>10993</v>
      </c>
      <c r="P272" s="14" t="str">
        <f>HYPERLINK("https://dexscreener.com/solana/DeTUi1JbC2q31jfR9Qc1zoJjaNFmw1hgWBXxGQKvpump", "View")</f>
        <v>View</v>
      </c>
    </row>
    <row r="273" spans="1:16" x14ac:dyDescent="0.25">
      <c r="A273" s="16" t="s">
        <v>10994</v>
      </c>
      <c r="B273" s="17">
        <v>1129090</v>
      </c>
      <c r="C273" s="17">
        <v>900689</v>
      </c>
      <c r="D273" s="17" t="s">
        <v>10995</v>
      </c>
      <c r="E273" s="17" t="s">
        <v>10996</v>
      </c>
      <c r="F273" s="17" t="s">
        <v>10997</v>
      </c>
      <c r="G273" s="21" t="s">
        <v>10998</v>
      </c>
      <c r="H273" s="21" t="s">
        <v>10999</v>
      </c>
      <c r="I273" s="17" t="s">
        <v>88</v>
      </c>
      <c r="J273" s="17">
        <v>1</v>
      </c>
      <c r="K273" s="17">
        <v>2</v>
      </c>
      <c r="L273" s="17" t="s">
        <v>11000</v>
      </c>
      <c r="M273" s="17" t="s">
        <v>132</v>
      </c>
      <c r="N273" s="17" t="s">
        <v>11001</v>
      </c>
      <c r="O273" s="17" t="s">
        <v>11002</v>
      </c>
      <c r="P273" s="17" t="str">
        <f>HYPERLINK("https://dexscreener.com/solana/FfCht1iLfyWC8hcQDG4oZ8wp9uKshRJkzjWxn2kKocnH", "View")</f>
        <v>View</v>
      </c>
    </row>
    <row r="274" spans="1:16" x14ac:dyDescent="0.25">
      <c r="A274" s="13" t="s">
        <v>11003</v>
      </c>
      <c r="B274" s="14">
        <v>984812</v>
      </c>
      <c r="C274" s="14">
        <v>0</v>
      </c>
      <c r="D274" s="14" t="s">
        <v>10465</v>
      </c>
      <c r="E274" s="14" t="s">
        <v>1007</v>
      </c>
      <c r="F274" s="14" t="s">
        <v>96</v>
      </c>
      <c r="G274" s="18" t="s">
        <v>9365</v>
      </c>
      <c r="H274" s="18" t="s">
        <v>98</v>
      </c>
      <c r="I274" s="14" t="s">
        <v>11004</v>
      </c>
      <c r="J274" s="14">
        <v>1</v>
      </c>
      <c r="K274" s="14">
        <v>0</v>
      </c>
      <c r="L274" s="14" t="s">
        <v>11005</v>
      </c>
      <c r="M274" s="19" t="s">
        <v>101</v>
      </c>
      <c r="N274" s="14" t="s">
        <v>11006</v>
      </c>
      <c r="O274" s="14" t="s">
        <v>11007</v>
      </c>
      <c r="P274" s="14" t="str">
        <f>HYPERLINK("https://dexscreener.com/solana/J4Xqse53y3shAo4sm7HZV9jP5mNsHXnHmdoUnTr5pump", "View")</f>
        <v>View</v>
      </c>
    </row>
    <row r="275" spans="1:16" x14ac:dyDescent="0.25">
      <c r="A275" s="16" t="s">
        <v>11008</v>
      </c>
      <c r="B275" s="17">
        <v>1254</v>
      </c>
      <c r="C275" s="17">
        <v>0</v>
      </c>
      <c r="D275" s="17" t="s">
        <v>10465</v>
      </c>
      <c r="E275" s="17" t="s">
        <v>1007</v>
      </c>
      <c r="F275" s="17" t="s">
        <v>96</v>
      </c>
      <c r="G275" s="18" t="s">
        <v>9365</v>
      </c>
      <c r="H275" s="18" t="s">
        <v>98</v>
      </c>
      <c r="I275" s="17" t="s">
        <v>11009</v>
      </c>
      <c r="J275" s="17">
        <v>1</v>
      </c>
      <c r="K275" s="17">
        <v>0</v>
      </c>
      <c r="L275" s="17" t="s">
        <v>11010</v>
      </c>
      <c r="M275" s="19" t="s">
        <v>101</v>
      </c>
      <c r="N275" s="17" t="s">
        <v>507</v>
      </c>
      <c r="O275" s="17" t="s">
        <v>11011</v>
      </c>
      <c r="P275" s="17" t="str">
        <f>HYPERLINK("https://dexscreener.com/solana/51FH2uTnsHRiZC2CjfaARCt2qXR9gmufqGWLYU84pump", "View")</f>
        <v>View</v>
      </c>
    </row>
    <row r="276" spans="1:16" x14ac:dyDescent="0.25">
      <c r="A276" s="13" t="s">
        <v>11012</v>
      </c>
      <c r="B276" s="14">
        <v>5195332</v>
      </c>
      <c r="C276" s="14">
        <v>0</v>
      </c>
      <c r="D276" s="14" t="s">
        <v>10465</v>
      </c>
      <c r="E276" s="14" t="s">
        <v>1007</v>
      </c>
      <c r="F276" s="14" t="s">
        <v>96</v>
      </c>
      <c r="G276" s="18" t="s">
        <v>9365</v>
      </c>
      <c r="H276" s="18" t="s">
        <v>98</v>
      </c>
      <c r="I276" s="14" t="s">
        <v>11013</v>
      </c>
      <c r="J276" s="14">
        <v>1</v>
      </c>
      <c r="K276" s="14">
        <v>0</v>
      </c>
      <c r="L276" s="14" t="s">
        <v>11014</v>
      </c>
      <c r="M276" s="19" t="s">
        <v>101</v>
      </c>
      <c r="N276" s="14" t="s">
        <v>904</v>
      </c>
      <c r="O276" s="14" t="s">
        <v>11015</v>
      </c>
      <c r="P276" s="14" t="str">
        <f>HYPERLINK("https://dexscreener.com/solana/FKGAW8KfDwKTUUyVCmorA7qrrQMCdLa2VVSJDYEnpump", "View")</f>
        <v>View</v>
      </c>
    </row>
    <row r="277" spans="1:16" x14ac:dyDescent="0.25">
      <c r="A277" s="16" t="s">
        <v>11016</v>
      </c>
      <c r="B277" s="17">
        <v>2365191</v>
      </c>
      <c r="C277" s="17">
        <v>0</v>
      </c>
      <c r="D277" s="17" t="s">
        <v>10465</v>
      </c>
      <c r="E277" s="17" t="s">
        <v>1007</v>
      </c>
      <c r="F277" s="17" t="s">
        <v>96</v>
      </c>
      <c r="G277" s="18" t="s">
        <v>9365</v>
      </c>
      <c r="H277" s="18" t="s">
        <v>98</v>
      </c>
      <c r="I277" s="17" t="s">
        <v>11017</v>
      </c>
      <c r="J277" s="17">
        <v>1</v>
      </c>
      <c r="K277" s="17">
        <v>0</v>
      </c>
      <c r="L277" s="17" t="s">
        <v>11018</v>
      </c>
      <c r="M277" s="19" t="s">
        <v>101</v>
      </c>
      <c r="N277" s="17" t="s">
        <v>5264</v>
      </c>
      <c r="O277" s="17" t="s">
        <v>11019</v>
      </c>
      <c r="P277" s="17" t="str">
        <f>HYPERLINK("https://dexscreener.com/solana/9GMDH5YTK29ZjR6WCGJnjwKYcrB8prarRW66CsGgpump", "View")</f>
        <v>View</v>
      </c>
    </row>
    <row r="278" spans="1:16" x14ac:dyDescent="0.25">
      <c r="A278" s="13" t="s">
        <v>11020</v>
      </c>
      <c r="B278" s="14">
        <v>1391088</v>
      </c>
      <c r="C278" s="14">
        <v>388802</v>
      </c>
      <c r="D278" s="14" t="s">
        <v>10517</v>
      </c>
      <c r="E278" s="14" t="s">
        <v>1007</v>
      </c>
      <c r="F278" s="14" t="s">
        <v>11021</v>
      </c>
      <c r="G278" s="20" t="s">
        <v>11022</v>
      </c>
      <c r="H278" s="20" t="s">
        <v>11023</v>
      </c>
      <c r="I278" s="14" t="s">
        <v>88</v>
      </c>
      <c r="J278" s="14">
        <v>1</v>
      </c>
      <c r="K278" s="14">
        <v>1</v>
      </c>
      <c r="L278" s="14" t="s">
        <v>11024</v>
      </c>
      <c r="M278" s="14" t="s">
        <v>602</v>
      </c>
      <c r="N278" s="14" t="s">
        <v>11025</v>
      </c>
      <c r="O278" s="14" t="s">
        <v>11026</v>
      </c>
      <c r="P278" s="14" t="str">
        <f>HYPERLINK("https://dexscreener.com/solana/7h46Jd4i93rRaFWYwUc8wyB9HVqrcT4YESeUeuXYpump", "View")</f>
        <v>View</v>
      </c>
    </row>
    <row r="279" spans="1:16" x14ac:dyDescent="0.25">
      <c r="A279" s="16" t="s">
        <v>11027</v>
      </c>
      <c r="B279" s="17">
        <v>3701201</v>
      </c>
      <c r="C279" s="17">
        <v>0</v>
      </c>
      <c r="D279" s="17" t="s">
        <v>10465</v>
      </c>
      <c r="E279" s="17" t="s">
        <v>1007</v>
      </c>
      <c r="F279" s="17" t="s">
        <v>96</v>
      </c>
      <c r="G279" s="18" t="s">
        <v>9365</v>
      </c>
      <c r="H279" s="18" t="s">
        <v>98</v>
      </c>
      <c r="I279" s="17" t="s">
        <v>11028</v>
      </c>
      <c r="J279" s="17">
        <v>1</v>
      </c>
      <c r="K279" s="17">
        <v>0</v>
      </c>
      <c r="L279" s="17" t="s">
        <v>11029</v>
      </c>
      <c r="M279" s="19" t="s">
        <v>101</v>
      </c>
      <c r="N279" s="17" t="s">
        <v>775</v>
      </c>
      <c r="O279" s="17" t="s">
        <v>11030</v>
      </c>
      <c r="P279" s="17" t="str">
        <f>HYPERLINK("https://dexscreener.com/solana/547g8dPbZEhry9CLyxTTxafaq6H8QJYjdZsyJnnex79P", "View")</f>
        <v>View</v>
      </c>
    </row>
    <row r="280" spans="1:16" x14ac:dyDescent="0.25">
      <c r="A280" s="13" t="s">
        <v>11031</v>
      </c>
      <c r="B280" s="14">
        <v>3314655</v>
      </c>
      <c r="C280" s="14">
        <v>0</v>
      </c>
      <c r="D280" s="14" t="s">
        <v>10465</v>
      </c>
      <c r="E280" s="14" t="s">
        <v>1007</v>
      </c>
      <c r="F280" s="14" t="s">
        <v>96</v>
      </c>
      <c r="G280" s="18" t="s">
        <v>9365</v>
      </c>
      <c r="H280" s="18" t="s">
        <v>98</v>
      </c>
      <c r="I280" s="14" t="s">
        <v>11032</v>
      </c>
      <c r="J280" s="14">
        <v>1</v>
      </c>
      <c r="K280" s="14">
        <v>0</v>
      </c>
      <c r="L280" s="14" t="s">
        <v>11033</v>
      </c>
      <c r="M280" s="19" t="s">
        <v>101</v>
      </c>
      <c r="N280" s="14" t="s">
        <v>11034</v>
      </c>
      <c r="O280" s="14" t="s">
        <v>11035</v>
      </c>
      <c r="P280" s="14" t="str">
        <f>HYPERLINK("https://dexscreener.com/solana/7kPbpfqRd4Zony7utXNTsT1gW8NVT2YWz9448A84HPfq", "View")</f>
        <v>View</v>
      </c>
    </row>
    <row r="281" spans="1:16" x14ac:dyDescent="0.25">
      <c r="A281" s="16" t="s">
        <v>11036</v>
      </c>
      <c r="B281" s="17">
        <v>731005</v>
      </c>
      <c r="C281" s="17">
        <v>365502</v>
      </c>
      <c r="D281" s="17" t="s">
        <v>10517</v>
      </c>
      <c r="E281" s="17" t="s">
        <v>1007</v>
      </c>
      <c r="F281" s="17" t="s">
        <v>11037</v>
      </c>
      <c r="G281" s="21" t="s">
        <v>11038</v>
      </c>
      <c r="H281" s="21" t="s">
        <v>11039</v>
      </c>
      <c r="I281" s="17" t="s">
        <v>88</v>
      </c>
      <c r="J281" s="17">
        <v>1</v>
      </c>
      <c r="K281" s="17">
        <v>1</v>
      </c>
      <c r="L281" s="17" t="s">
        <v>11040</v>
      </c>
      <c r="M281" s="17" t="s">
        <v>132</v>
      </c>
      <c r="N281" s="17" t="s">
        <v>11041</v>
      </c>
      <c r="O281" s="17" t="s">
        <v>11042</v>
      </c>
      <c r="P281" s="17" t="str">
        <f>HYPERLINK("https://dexscreener.com/solana/6R3cyLUa8PmYo3Xk29bRXxGeVHSYF8RYrAsikeSwpump", "View")</f>
        <v>View</v>
      </c>
    </row>
    <row r="282" spans="1:16" x14ac:dyDescent="0.25">
      <c r="A282" s="13" t="s">
        <v>11043</v>
      </c>
      <c r="B282" s="14">
        <v>33320</v>
      </c>
      <c r="C282" s="14">
        <v>0</v>
      </c>
      <c r="D282" s="14" t="s">
        <v>10465</v>
      </c>
      <c r="E282" s="14" t="s">
        <v>1007</v>
      </c>
      <c r="F282" s="14" t="s">
        <v>96</v>
      </c>
      <c r="G282" s="18" t="s">
        <v>9365</v>
      </c>
      <c r="H282" s="18" t="s">
        <v>98</v>
      </c>
      <c r="I282" s="14" t="s">
        <v>11044</v>
      </c>
      <c r="J282" s="14">
        <v>1</v>
      </c>
      <c r="K282" s="14">
        <v>0</v>
      </c>
      <c r="L282" s="14" t="s">
        <v>11045</v>
      </c>
      <c r="M282" s="19" t="s">
        <v>101</v>
      </c>
      <c r="N282" s="14" t="s">
        <v>11046</v>
      </c>
      <c r="O282" s="14" t="s">
        <v>11047</v>
      </c>
      <c r="P282" s="14" t="str">
        <f>HYPERLINK("https://dexscreener.com/solana/8oAiUkC1gpr4Tuz3ZA7YUntWE47sop1fYmGWo4Zrpump", "View")</f>
        <v>View</v>
      </c>
    </row>
    <row r="283" spans="1:16" x14ac:dyDescent="0.25">
      <c r="A283" s="16" t="s">
        <v>6914</v>
      </c>
      <c r="B283" s="17">
        <v>939382</v>
      </c>
      <c r="C283" s="17">
        <v>0</v>
      </c>
      <c r="D283" s="17" t="s">
        <v>10465</v>
      </c>
      <c r="E283" s="17" t="s">
        <v>1007</v>
      </c>
      <c r="F283" s="17" t="s">
        <v>96</v>
      </c>
      <c r="G283" s="18" t="s">
        <v>9365</v>
      </c>
      <c r="H283" s="18" t="s">
        <v>98</v>
      </c>
      <c r="I283" s="17" t="s">
        <v>11048</v>
      </c>
      <c r="J283" s="17">
        <v>1</v>
      </c>
      <c r="K283" s="17">
        <v>0</v>
      </c>
      <c r="L283" s="17" t="s">
        <v>11049</v>
      </c>
      <c r="M283" s="19" t="s">
        <v>101</v>
      </c>
      <c r="N283" s="17" t="s">
        <v>507</v>
      </c>
      <c r="O283" s="17" t="s">
        <v>11050</v>
      </c>
      <c r="P283" s="17" t="str">
        <f>HYPERLINK("https://dexscreener.com/solana/HK418jcNTPpdenup4krTspiSA56QwgjRXMf6h2Wwpump", "View")</f>
        <v>View</v>
      </c>
    </row>
    <row r="284" spans="1:16" x14ac:dyDescent="0.25">
      <c r="A284" s="13" t="s">
        <v>7669</v>
      </c>
      <c r="B284" s="14">
        <v>1163019</v>
      </c>
      <c r="C284" s="14">
        <v>0</v>
      </c>
      <c r="D284" s="14" t="s">
        <v>10465</v>
      </c>
      <c r="E284" s="14" t="s">
        <v>1007</v>
      </c>
      <c r="F284" s="14" t="s">
        <v>96</v>
      </c>
      <c r="G284" s="18" t="s">
        <v>9365</v>
      </c>
      <c r="H284" s="18" t="s">
        <v>98</v>
      </c>
      <c r="I284" s="14" t="s">
        <v>11051</v>
      </c>
      <c r="J284" s="14">
        <v>1</v>
      </c>
      <c r="K284" s="14">
        <v>0</v>
      </c>
      <c r="L284" s="14" t="s">
        <v>11052</v>
      </c>
      <c r="M284" s="19" t="s">
        <v>101</v>
      </c>
      <c r="N284" s="14" t="s">
        <v>11053</v>
      </c>
      <c r="O284" s="14" t="s">
        <v>11054</v>
      </c>
      <c r="P284" s="14" t="str">
        <f>HYPERLINK("https://dexscreener.com/solana/9PwmbpEVjz45bfuCJ7ATr6seArTzwf77o8tY6HnKpump", "View")</f>
        <v>View</v>
      </c>
    </row>
    <row r="285" spans="1:16" x14ac:dyDescent="0.25">
      <c r="A285" s="16" t="s">
        <v>11055</v>
      </c>
      <c r="B285" s="17">
        <v>414642</v>
      </c>
      <c r="C285" s="17">
        <v>0</v>
      </c>
      <c r="D285" s="17" t="s">
        <v>10465</v>
      </c>
      <c r="E285" s="17" t="s">
        <v>1007</v>
      </c>
      <c r="F285" s="17" t="s">
        <v>96</v>
      </c>
      <c r="G285" s="18" t="s">
        <v>9365</v>
      </c>
      <c r="H285" s="18" t="s">
        <v>98</v>
      </c>
      <c r="I285" s="17" t="s">
        <v>11056</v>
      </c>
      <c r="J285" s="17">
        <v>1</v>
      </c>
      <c r="K285" s="17">
        <v>0</v>
      </c>
      <c r="L285" s="17" t="s">
        <v>11057</v>
      </c>
      <c r="M285" s="19" t="s">
        <v>101</v>
      </c>
      <c r="N285" s="17" t="s">
        <v>11058</v>
      </c>
      <c r="O285" s="17" t="s">
        <v>11059</v>
      </c>
      <c r="P285" s="17" t="str">
        <f>HYPERLINK("https://dexscreener.com/solana/FJvmeqEf8HkQVatYiMV57wN4q8tML1Hg5M7ze87Fpump", "View")</f>
        <v>View</v>
      </c>
    </row>
    <row r="286" spans="1:16" x14ac:dyDescent="0.25">
      <c r="A286" s="13" t="s">
        <v>11060</v>
      </c>
      <c r="B286" s="14">
        <v>3339170</v>
      </c>
      <c r="C286" s="14">
        <v>0</v>
      </c>
      <c r="D286" s="14" t="s">
        <v>10465</v>
      </c>
      <c r="E286" s="14" t="s">
        <v>1007</v>
      </c>
      <c r="F286" s="14" t="s">
        <v>96</v>
      </c>
      <c r="G286" s="18" t="s">
        <v>9365</v>
      </c>
      <c r="H286" s="18" t="s">
        <v>98</v>
      </c>
      <c r="I286" s="14" t="s">
        <v>11061</v>
      </c>
      <c r="J286" s="14">
        <v>1</v>
      </c>
      <c r="K286" s="14">
        <v>0</v>
      </c>
      <c r="L286" s="14" t="s">
        <v>11062</v>
      </c>
      <c r="M286" s="19" t="s">
        <v>101</v>
      </c>
      <c r="N286" s="14" t="s">
        <v>11034</v>
      </c>
      <c r="O286" s="14" t="s">
        <v>11063</v>
      </c>
      <c r="P286" s="14" t="str">
        <f>HYPERLINK("https://dexscreener.com/solana/4nLo1aNSBqopjxg8uNYTJMmcGWxkSEw6fBHHGxsTpump", "View")</f>
        <v>View</v>
      </c>
    </row>
    <row r="287" spans="1:16" x14ac:dyDescent="0.25">
      <c r="A287" s="16" t="s">
        <v>9304</v>
      </c>
      <c r="B287" s="17">
        <v>6363287</v>
      </c>
      <c r="C287" s="17">
        <v>0</v>
      </c>
      <c r="D287" s="17" t="s">
        <v>10465</v>
      </c>
      <c r="E287" s="17" t="s">
        <v>1007</v>
      </c>
      <c r="F287" s="17" t="s">
        <v>96</v>
      </c>
      <c r="G287" s="18" t="s">
        <v>9365</v>
      </c>
      <c r="H287" s="18" t="s">
        <v>98</v>
      </c>
      <c r="I287" s="17" t="s">
        <v>11064</v>
      </c>
      <c r="J287" s="17">
        <v>1</v>
      </c>
      <c r="K287" s="17">
        <v>0</v>
      </c>
      <c r="L287" s="17" t="s">
        <v>11065</v>
      </c>
      <c r="M287" s="19" t="s">
        <v>101</v>
      </c>
      <c r="N287" s="17" t="s">
        <v>507</v>
      </c>
      <c r="O287" s="17" t="s">
        <v>11066</v>
      </c>
      <c r="P287" s="17" t="str">
        <f>HYPERLINK("https://dexscreener.com/solana/2NmCEfz2nAZ1WfMNY4ECSquL1Ped5srfpebzD57w7eia", "View")</f>
        <v>View</v>
      </c>
    </row>
    <row r="288" spans="1:16" x14ac:dyDescent="0.25">
      <c r="A288" s="13" t="s">
        <v>11067</v>
      </c>
      <c r="B288" s="14">
        <v>324057</v>
      </c>
      <c r="C288" s="14">
        <v>0</v>
      </c>
      <c r="D288" s="14" t="s">
        <v>10465</v>
      </c>
      <c r="E288" s="14" t="s">
        <v>1007</v>
      </c>
      <c r="F288" s="14" t="s">
        <v>96</v>
      </c>
      <c r="G288" s="18" t="s">
        <v>9365</v>
      </c>
      <c r="H288" s="18" t="s">
        <v>98</v>
      </c>
      <c r="I288" s="14" t="s">
        <v>11068</v>
      </c>
      <c r="J288" s="14">
        <v>1</v>
      </c>
      <c r="K288" s="14">
        <v>0</v>
      </c>
      <c r="L288" s="14" t="s">
        <v>11069</v>
      </c>
      <c r="M288" s="19" t="s">
        <v>101</v>
      </c>
      <c r="N288" s="14" t="s">
        <v>11070</v>
      </c>
      <c r="O288" s="14" t="s">
        <v>11071</v>
      </c>
      <c r="P288" s="14" t="str">
        <f>HYPERLINK("https://dexscreener.com/solana/H5Cr4Kf7jmnCHuFN7H4bJYT5pfKAhHtU1JaRMzBspump", "View")</f>
        <v>View</v>
      </c>
    </row>
    <row r="289" spans="1:16" x14ac:dyDescent="0.25">
      <c r="A289" s="16" t="s">
        <v>11072</v>
      </c>
      <c r="B289" s="17">
        <v>2439058</v>
      </c>
      <c r="C289" s="17">
        <v>0</v>
      </c>
      <c r="D289" s="17" t="s">
        <v>10465</v>
      </c>
      <c r="E289" s="17" t="s">
        <v>1007</v>
      </c>
      <c r="F289" s="17" t="s">
        <v>96</v>
      </c>
      <c r="G289" s="18" t="s">
        <v>9365</v>
      </c>
      <c r="H289" s="18" t="s">
        <v>98</v>
      </c>
      <c r="I289" s="17" t="s">
        <v>11073</v>
      </c>
      <c r="J289" s="17">
        <v>1</v>
      </c>
      <c r="K289" s="17">
        <v>0</v>
      </c>
      <c r="L289" s="17" t="s">
        <v>11074</v>
      </c>
      <c r="M289" s="19" t="s">
        <v>101</v>
      </c>
      <c r="N289" s="17" t="s">
        <v>5095</v>
      </c>
      <c r="O289" s="17" t="s">
        <v>11075</v>
      </c>
      <c r="P289" s="17" t="str">
        <f>HYPERLINK("https://dexscreener.com/solana/67yCqFSCAHnSKYh8r1GRwTGA4sTpUPfwRbsxT2pLpump", "View")</f>
        <v>View</v>
      </c>
    </row>
    <row r="290" spans="1:16" x14ac:dyDescent="0.25">
      <c r="A290" s="13" t="s">
        <v>11076</v>
      </c>
      <c r="B290" s="14">
        <v>3289201</v>
      </c>
      <c r="C290" s="14">
        <v>0</v>
      </c>
      <c r="D290" s="14" t="s">
        <v>10465</v>
      </c>
      <c r="E290" s="14" t="s">
        <v>1007</v>
      </c>
      <c r="F290" s="14" t="s">
        <v>96</v>
      </c>
      <c r="G290" s="18" t="s">
        <v>9365</v>
      </c>
      <c r="H290" s="18" t="s">
        <v>98</v>
      </c>
      <c r="I290" s="14" t="s">
        <v>11077</v>
      </c>
      <c r="J290" s="14">
        <v>1</v>
      </c>
      <c r="K290" s="14">
        <v>0</v>
      </c>
      <c r="L290" s="14" t="s">
        <v>11078</v>
      </c>
      <c r="M290" s="19" t="s">
        <v>101</v>
      </c>
      <c r="N290" s="14" t="s">
        <v>5278</v>
      </c>
      <c r="O290" s="14" t="s">
        <v>11079</v>
      </c>
      <c r="P290" s="14" t="str">
        <f>HYPERLINK("https://dexscreener.com/solana/Fzeox4Jc7QGbEBsC4ziS5GxycSP3aYJ34yPxTEpZpump", "View")</f>
        <v>View</v>
      </c>
    </row>
    <row r="291" spans="1:16" x14ac:dyDescent="0.25">
      <c r="A291" s="16" t="s">
        <v>11080</v>
      </c>
      <c r="B291" s="17">
        <v>2347930</v>
      </c>
      <c r="C291" s="17">
        <v>2174169</v>
      </c>
      <c r="D291" s="17" t="s">
        <v>10536</v>
      </c>
      <c r="E291" s="17" t="s">
        <v>1007</v>
      </c>
      <c r="F291" s="17" t="s">
        <v>6335</v>
      </c>
      <c r="G291" s="21" t="s">
        <v>11081</v>
      </c>
      <c r="H291" s="21" t="s">
        <v>11082</v>
      </c>
      <c r="I291" s="17" t="s">
        <v>88</v>
      </c>
      <c r="J291" s="17">
        <v>1</v>
      </c>
      <c r="K291" s="17">
        <v>3</v>
      </c>
      <c r="L291" s="17" t="s">
        <v>11083</v>
      </c>
      <c r="M291" s="17" t="s">
        <v>132</v>
      </c>
      <c r="N291" s="17" t="s">
        <v>11084</v>
      </c>
      <c r="O291" s="17" t="s">
        <v>11085</v>
      </c>
      <c r="P291" s="17" t="str">
        <f>HYPERLINK("https://dexscreener.com/solana/4y5fknXiRc8pJSTiNAzLmCum7LmzctRjxZWc1qtmpump", "View")</f>
        <v>View</v>
      </c>
    </row>
    <row r="292" spans="1:16" x14ac:dyDescent="0.25">
      <c r="A292" s="13" t="s">
        <v>1371</v>
      </c>
      <c r="B292" s="14">
        <v>4089846</v>
      </c>
      <c r="C292" s="14">
        <v>2044923</v>
      </c>
      <c r="D292" s="14" t="s">
        <v>10517</v>
      </c>
      <c r="E292" s="14" t="s">
        <v>1007</v>
      </c>
      <c r="F292" s="14" t="s">
        <v>11086</v>
      </c>
      <c r="G292" s="21" t="s">
        <v>11087</v>
      </c>
      <c r="H292" s="21" t="s">
        <v>11088</v>
      </c>
      <c r="I292" s="14" t="s">
        <v>88</v>
      </c>
      <c r="J292" s="14">
        <v>1</v>
      </c>
      <c r="K292" s="14">
        <v>1</v>
      </c>
      <c r="L292" s="14" t="s">
        <v>11089</v>
      </c>
      <c r="M292" s="14" t="s">
        <v>9948</v>
      </c>
      <c r="N292" s="14" t="s">
        <v>11090</v>
      </c>
      <c r="O292" s="14" t="s">
        <v>1378</v>
      </c>
      <c r="P292" s="14" t="str">
        <f>HYPERLINK("https://dexscreener.com/solana/4CPQVcfg4o16KTFfy1XVc2TXvNcp8Zep8QnwTHm4pump", "View")</f>
        <v>View</v>
      </c>
    </row>
    <row r="293" spans="1:16" x14ac:dyDescent="0.25">
      <c r="A293" s="16" t="s">
        <v>11067</v>
      </c>
      <c r="B293" s="17">
        <v>818168</v>
      </c>
      <c r="C293" s="17">
        <v>717231</v>
      </c>
      <c r="D293" s="17" t="s">
        <v>10536</v>
      </c>
      <c r="E293" s="17" t="s">
        <v>1007</v>
      </c>
      <c r="F293" s="17" t="s">
        <v>11091</v>
      </c>
      <c r="G293" s="21" t="s">
        <v>11092</v>
      </c>
      <c r="H293" s="21" t="s">
        <v>11093</v>
      </c>
      <c r="I293" s="17" t="s">
        <v>88</v>
      </c>
      <c r="J293" s="17">
        <v>1</v>
      </c>
      <c r="K293" s="17">
        <v>3</v>
      </c>
      <c r="L293" s="17" t="s">
        <v>11094</v>
      </c>
      <c r="M293" s="17" t="s">
        <v>5061</v>
      </c>
      <c r="N293" s="17" t="s">
        <v>11095</v>
      </c>
      <c r="O293" s="17" t="s">
        <v>11096</v>
      </c>
      <c r="P293" s="17" t="str">
        <f>HYPERLINK("https://dexscreener.com/solana/AY4AxLZaqZ6XAt3GhUnqreBH1DM7YzqAsoqQ8KmJpump", "View")</f>
        <v>View</v>
      </c>
    </row>
    <row r="294" spans="1:16" x14ac:dyDescent="0.25">
      <c r="A294" s="13" t="s">
        <v>11097</v>
      </c>
      <c r="B294" s="14">
        <v>2237457</v>
      </c>
      <c r="C294" s="14">
        <v>0</v>
      </c>
      <c r="D294" s="14" t="s">
        <v>10436</v>
      </c>
      <c r="E294" s="14" t="s">
        <v>11098</v>
      </c>
      <c r="F294" s="14" t="s">
        <v>96</v>
      </c>
      <c r="G294" s="18" t="s">
        <v>11099</v>
      </c>
      <c r="H294" s="18" t="s">
        <v>98</v>
      </c>
      <c r="I294" s="14" t="s">
        <v>11100</v>
      </c>
      <c r="J294" s="14">
        <v>1</v>
      </c>
      <c r="K294" s="14">
        <v>0</v>
      </c>
      <c r="L294" s="14" t="s">
        <v>11101</v>
      </c>
      <c r="M294" s="19" t="s">
        <v>101</v>
      </c>
      <c r="N294" s="14" t="s">
        <v>11102</v>
      </c>
      <c r="O294" s="14" t="s">
        <v>11103</v>
      </c>
      <c r="P294" s="14" t="str">
        <f>HYPERLINK("https://dexscreener.com/solana/rd3gw8zV94tQUUQjQUVe4qoGjLsfapR9uLT5wdeT4Bv", "View")</f>
        <v>View</v>
      </c>
    </row>
    <row r="295" spans="1:16" x14ac:dyDescent="0.25">
      <c r="A295" s="16" t="s">
        <v>11104</v>
      </c>
      <c r="B295" s="17">
        <v>4241066</v>
      </c>
      <c r="C295" s="17">
        <v>3746548</v>
      </c>
      <c r="D295" s="17" t="s">
        <v>10987</v>
      </c>
      <c r="E295" s="17" t="s">
        <v>1007</v>
      </c>
      <c r="F295" s="17" t="s">
        <v>11105</v>
      </c>
      <c r="G295" s="21" t="s">
        <v>6029</v>
      </c>
      <c r="H295" s="21" t="s">
        <v>11106</v>
      </c>
      <c r="I295" s="17" t="s">
        <v>88</v>
      </c>
      <c r="J295" s="17">
        <v>1</v>
      </c>
      <c r="K295" s="17">
        <v>2</v>
      </c>
      <c r="L295" s="17" t="s">
        <v>11107</v>
      </c>
      <c r="M295" s="17" t="s">
        <v>680</v>
      </c>
      <c r="N295" s="17" t="s">
        <v>11108</v>
      </c>
      <c r="O295" s="17" t="s">
        <v>11109</v>
      </c>
      <c r="P295" s="17" t="str">
        <f>HYPERLINK("https://dexscreener.com/solana/CWmqNsMiynUfmo8E71kDzBofKu4tPAzrpE55gwiCpump", "View")</f>
        <v>View</v>
      </c>
    </row>
    <row r="296" spans="1:16" x14ac:dyDescent="0.25">
      <c r="A296" s="13" t="s">
        <v>11110</v>
      </c>
      <c r="B296" s="14">
        <v>2851174</v>
      </c>
      <c r="C296" s="14">
        <v>2263247</v>
      </c>
      <c r="D296" s="14" t="s">
        <v>10987</v>
      </c>
      <c r="E296" s="14" t="s">
        <v>1007</v>
      </c>
      <c r="F296" s="14" t="s">
        <v>11111</v>
      </c>
      <c r="G296" s="21" t="s">
        <v>11112</v>
      </c>
      <c r="H296" s="21" t="s">
        <v>11113</v>
      </c>
      <c r="I296" s="14" t="s">
        <v>88</v>
      </c>
      <c r="J296" s="14">
        <v>1</v>
      </c>
      <c r="K296" s="14">
        <v>2</v>
      </c>
      <c r="L296" s="14" t="s">
        <v>11114</v>
      </c>
      <c r="M296" s="14" t="s">
        <v>9948</v>
      </c>
      <c r="N296" s="14" t="s">
        <v>11115</v>
      </c>
      <c r="O296" s="14" t="s">
        <v>11116</v>
      </c>
      <c r="P296" s="14" t="str">
        <f>HYPERLINK("https://dexscreener.com/solana/HWhmEAFjtHK35b4CjRSbdbhh2muqUpgeW4vzZZcbpump", "View")</f>
        <v>View</v>
      </c>
    </row>
    <row r="297" spans="1:16" x14ac:dyDescent="0.25">
      <c r="A297" s="16" t="s">
        <v>11117</v>
      </c>
      <c r="B297" s="17">
        <v>10968429</v>
      </c>
      <c r="C297" s="17">
        <v>0</v>
      </c>
      <c r="D297" s="17" t="s">
        <v>10465</v>
      </c>
      <c r="E297" s="17" t="s">
        <v>1007</v>
      </c>
      <c r="F297" s="17" t="s">
        <v>96</v>
      </c>
      <c r="G297" s="18" t="s">
        <v>9365</v>
      </c>
      <c r="H297" s="18" t="s">
        <v>98</v>
      </c>
      <c r="I297" s="17" t="s">
        <v>11118</v>
      </c>
      <c r="J297" s="17">
        <v>1</v>
      </c>
      <c r="K297" s="17">
        <v>0</v>
      </c>
      <c r="L297" s="17" t="s">
        <v>11119</v>
      </c>
      <c r="M297" s="19" t="s">
        <v>101</v>
      </c>
      <c r="N297" s="17" t="s">
        <v>507</v>
      </c>
      <c r="O297" s="17" t="s">
        <v>11120</v>
      </c>
      <c r="P297" s="17" t="str">
        <f>HYPERLINK("https://dexscreener.com/solana/BiWzdzQXKhDcb3LsGsBToyvmHnNy3acA1m85U5Yi2YEp", "View")</f>
        <v>View</v>
      </c>
    </row>
    <row r="298" spans="1:16" x14ac:dyDescent="0.25">
      <c r="A298" s="13" t="s">
        <v>11121</v>
      </c>
      <c r="B298" s="14">
        <v>876291</v>
      </c>
      <c r="C298" s="14">
        <v>0</v>
      </c>
      <c r="D298" s="14" t="s">
        <v>10465</v>
      </c>
      <c r="E298" s="14" t="s">
        <v>1007</v>
      </c>
      <c r="F298" s="14" t="s">
        <v>96</v>
      </c>
      <c r="G298" s="18" t="s">
        <v>9365</v>
      </c>
      <c r="H298" s="18" t="s">
        <v>98</v>
      </c>
      <c r="I298" s="14" t="s">
        <v>11122</v>
      </c>
      <c r="J298" s="14">
        <v>1</v>
      </c>
      <c r="K298" s="14">
        <v>0</v>
      </c>
      <c r="L298" s="14" t="s">
        <v>11123</v>
      </c>
      <c r="M298" s="19" t="s">
        <v>101</v>
      </c>
      <c r="N298" s="14" t="s">
        <v>11124</v>
      </c>
      <c r="O298" s="14" t="s">
        <v>11125</v>
      </c>
      <c r="P298" s="14" t="str">
        <f>HYPERLINK("https://dexscreener.com/solana/4uzbSwHSJRA43VErKVPWnBySc3stG2CsDwypQ6xVpump", "View")</f>
        <v>View</v>
      </c>
    </row>
    <row r="299" spans="1:16" x14ac:dyDescent="0.25">
      <c r="A299" s="16" t="s">
        <v>11126</v>
      </c>
      <c r="B299" s="17">
        <v>1814378</v>
      </c>
      <c r="C299" s="17">
        <v>1403705</v>
      </c>
      <c r="D299" s="17" t="s">
        <v>10517</v>
      </c>
      <c r="E299" s="17" t="s">
        <v>1007</v>
      </c>
      <c r="F299" s="17" t="s">
        <v>11127</v>
      </c>
      <c r="G299" s="20" t="s">
        <v>3453</v>
      </c>
      <c r="H299" s="20" t="s">
        <v>11128</v>
      </c>
      <c r="I299" s="17" t="s">
        <v>88</v>
      </c>
      <c r="J299" s="17">
        <v>1</v>
      </c>
      <c r="K299" s="17">
        <v>1</v>
      </c>
      <c r="L299" s="17" t="s">
        <v>11129</v>
      </c>
      <c r="M299" s="17" t="s">
        <v>1610</v>
      </c>
      <c r="N299" s="17" t="s">
        <v>11130</v>
      </c>
      <c r="O299" s="17" t="s">
        <v>11131</v>
      </c>
      <c r="P299" s="17" t="str">
        <f>HYPERLINK("https://dexscreener.com/solana/2DnQiJLsqpbs9VMKsrqMsja9ffPySYaF1JAxLgHxpump", "View")</f>
        <v>View</v>
      </c>
    </row>
    <row r="300" spans="1:16" x14ac:dyDescent="0.25">
      <c r="A300" s="13" t="s">
        <v>11067</v>
      </c>
      <c r="B300" s="14">
        <v>5878045</v>
      </c>
      <c r="C300" s="14">
        <v>4408533</v>
      </c>
      <c r="D300" s="14" t="s">
        <v>10987</v>
      </c>
      <c r="E300" s="14" t="s">
        <v>1007</v>
      </c>
      <c r="F300" s="14" t="s">
        <v>11132</v>
      </c>
      <c r="G300" s="21" t="s">
        <v>11133</v>
      </c>
      <c r="H300" s="21" t="s">
        <v>11134</v>
      </c>
      <c r="I300" s="14" t="s">
        <v>88</v>
      </c>
      <c r="J300" s="14">
        <v>1</v>
      </c>
      <c r="K300" s="14">
        <v>2</v>
      </c>
      <c r="L300" s="14" t="s">
        <v>11135</v>
      </c>
      <c r="M300" s="14" t="s">
        <v>680</v>
      </c>
      <c r="N300" s="14" t="s">
        <v>11136</v>
      </c>
      <c r="O300" s="14" t="s">
        <v>11137</v>
      </c>
      <c r="P300" s="14" t="str">
        <f>HYPERLINK("https://dexscreener.com/solana/9GuuVDvmMijVqa6nojZtJpgyEVDYpz4FKpSWfzSEpump", "View")</f>
        <v>View</v>
      </c>
    </row>
    <row r="301" spans="1:16" x14ac:dyDescent="0.25">
      <c r="A301" s="16" t="s">
        <v>11067</v>
      </c>
      <c r="B301" s="17">
        <v>3195773</v>
      </c>
      <c r="C301" s="17">
        <v>0</v>
      </c>
      <c r="D301" s="17" t="s">
        <v>10465</v>
      </c>
      <c r="E301" s="17" t="s">
        <v>1007</v>
      </c>
      <c r="F301" s="17" t="s">
        <v>96</v>
      </c>
      <c r="G301" s="18" t="s">
        <v>9365</v>
      </c>
      <c r="H301" s="18" t="s">
        <v>98</v>
      </c>
      <c r="I301" s="17" t="s">
        <v>11138</v>
      </c>
      <c r="J301" s="17">
        <v>1</v>
      </c>
      <c r="K301" s="17">
        <v>0</v>
      </c>
      <c r="L301" s="17" t="s">
        <v>11139</v>
      </c>
      <c r="M301" s="19" t="s">
        <v>101</v>
      </c>
      <c r="N301" s="17" t="s">
        <v>432</v>
      </c>
      <c r="O301" s="17" t="s">
        <v>11140</v>
      </c>
      <c r="P301" s="17" t="str">
        <f>HYPERLINK("https://dexscreener.com/solana/2Bj3YDphkwBr4PuF3QJPEusyLXwVTgsQ9ezn7PD3pump", "View")</f>
        <v>View</v>
      </c>
    </row>
    <row r="302" spans="1:16" x14ac:dyDescent="0.25">
      <c r="A302" s="13" t="s">
        <v>11141</v>
      </c>
      <c r="B302" s="14">
        <v>5332860</v>
      </c>
      <c r="C302" s="14">
        <v>3622</v>
      </c>
      <c r="D302" s="14" t="s">
        <v>1882</v>
      </c>
      <c r="E302" s="14" t="s">
        <v>10996</v>
      </c>
      <c r="F302" s="14" t="s">
        <v>4818</v>
      </c>
      <c r="G302" s="15" t="s">
        <v>11142</v>
      </c>
      <c r="H302" s="15" t="s">
        <v>11143</v>
      </c>
      <c r="I302" s="14" t="s">
        <v>88</v>
      </c>
      <c r="J302" s="14">
        <v>1</v>
      </c>
      <c r="K302" s="14">
        <v>1</v>
      </c>
      <c r="L302" s="14" t="s">
        <v>11144</v>
      </c>
      <c r="M302" s="14" t="s">
        <v>179</v>
      </c>
      <c r="N302" s="14" t="s">
        <v>11145</v>
      </c>
      <c r="O302" s="14" t="s">
        <v>11146</v>
      </c>
      <c r="P302" s="14" t="str">
        <f>HYPERLINK("https://dexscreener.com/solana/5J8fthTzJZ25BzTucmFkCn2QvpxEJVUQ6ft7xaDWybLo", "View")</f>
        <v>View</v>
      </c>
    </row>
    <row r="303" spans="1:16" x14ac:dyDescent="0.25">
      <c r="A303" s="16" t="s">
        <v>11147</v>
      </c>
      <c r="B303" s="17">
        <v>2727835</v>
      </c>
      <c r="C303" s="17">
        <v>2257252</v>
      </c>
      <c r="D303" s="17" t="s">
        <v>10987</v>
      </c>
      <c r="E303" s="17" t="s">
        <v>1007</v>
      </c>
      <c r="F303" s="17" t="s">
        <v>11148</v>
      </c>
      <c r="G303" s="21" t="s">
        <v>11149</v>
      </c>
      <c r="H303" s="21" t="s">
        <v>11150</v>
      </c>
      <c r="I303" s="17" t="s">
        <v>88</v>
      </c>
      <c r="J303" s="17">
        <v>1</v>
      </c>
      <c r="K303" s="17">
        <v>2</v>
      </c>
      <c r="L303" s="17" t="s">
        <v>11151</v>
      </c>
      <c r="M303" s="17" t="s">
        <v>4297</v>
      </c>
      <c r="N303" s="17" t="s">
        <v>11152</v>
      </c>
      <c r="O303" s="17" t="s">
        <v>11153</v>
      </c>
      <c r="P303" s="17" t="str">
        <f>HYPERLINK("https://dexscreener.com/solana/s88MQrEmdBgaFMskQW2jKvm1Spfoe1bVyYMKbc1pump", "View")</f>
        <v>View</v>
      </c>
    </row>
    <row r="304" spans="1:16" x14ac:dyDescent="0.25">
      <c r="A304" s="13" t="s">
        <v>11154</v>
      </c>
      <c r="B304" s="14">
        <v>3373832</v>
      </c>
      <c r="C304" s="14">
        <v>1685772</v>
      </c>
      <c r="D304" s="14" t="s">
        <v>10517</v>
      </c>
      <c r="E304" s="14" t="s">
        <v>1007</v>
      </c>
      <c r="F304" s="14" t="s">
        <v>3342</v>
      </c>
      <c r="G304" s="22" t="s">
        <v>3972</v>
      </c>
      <c r="H304" s="22" t="s">
        <v>11155</v>
      </c>
      <c r="I304" s="14" t="s">
        <v>88</v>
      </c>
      <c r="J304" s="14">
        <v>1</v>
      </c>
      <c r="K304" s="14">
        <v>1</v>
      </c>
      <c r="L304" s="14" t="s">
        <v>11156</v>
      </c>
      <c r="M304" s="14" t="s">
        <v>2617</v>
      </c>
      <c r="N304" s="14" t="s">
        <v>11157</v>
      </c>
      <c r="O304" s="14" t="s">
        <v>11158</v>
      </c>
      <c r="P304" s="14" t="str">
        <f>HYPERLINK("https://dexscreener.com/solana/5cNxrzqzcSKDtKNXAUsm9WDGFNiT8wqz4zyFt3iApump", "View")</f>
        <v>View</v>
      </c>
    </row>
    <row r="305" spans="1:16" x14ac:dyDescent="0.25">
      <c r="A305" s="16" t="s">
        <v>11159</v>
      </c>
      <c r="B305" s="17">
        <v>2431389</v>
      </c>
      <c r="C305" s="17">
        <v>1988466</v>
      </c>
      <c r="D305" s="17" t="s">
        <v>10517</v>
      </c>
      <c r="E305" s="17" t="s">
        <v>1007</v>
      </c>
      <c r="F305" s="17" t="s">
        <v>11160</v>
      </c>
      <c r="G305" s="22" t="s">
        <v>11161</v>
      </c>
      <c r="H305" s="22" t="s">
        <v>11162</v>
      </c>
      <c r="I305" s="17" t="s">
        <v>88</v>
      </c>
      <c r="J305" s="17">
        <v>1</v>
      </c>
      <c r="K305" s="17">
        <v>1</v>
      </c>
      <c r="L305" s="17" t="s">
        <v>11163</v>
      </c>
      <c r="M305" s="17" t="s">
        <v>8295</v>
      </c>
      <c r="N305" s="17" t="s">
        <v>11164</v>
      </c>
      <c r="O305" s="17" t="s">
        <v>11165</v>
      </c>
      <c r="P305" s="17" t="str">
        <f>HYPERLINK("https://dexscreener.com/solana/26bx1XK57MFrEdmVVUTEgsNgiy6MouCtcqT65rn1pump", "View")</f>
        <v>View</v>
      </c>
    </row>
    <row r="306" spans="1:16" x14ac:dyDescent="0.25">
      <c r="A306" s="13" t="s">
        <v>11166</v>
      </c>
      <c r="B306" s="14">
        <v>555289</v>
      </c>
      <c r="C306" s="14">
        <v>0</v>
      </c>
      <c r="D306" s="14" t="s">
        <v>10465</v>
      </c>
      <c r="E306" s="14" t="s">
        <v>1007</v>
      </c>
      <c r="F306" s="14" t="s">
        <v>96</v>
      </c>
      <c r="G306" s="18" t="s">
        <v>9365</v>
      </c>
      <c r="H306" s="18" t="s">
        <v>98</v>
      </c>
      <c r="I306" s="14" t="s">
        <v>11167</v>
      </c>
      <c r="J306" s="14">
        <v>1</v>
      </c>
      <c r="K306" s="14">
        <v>0</v>
      </c>
      <c r="L306" s="14" t="s">
        <v>11168</v>
      </c>
      <c r="M306" s="19" t="s">
        <v>101</v>
      </c>
      <c r="N306" s="14" t="s">
        <v>11169</v>
      </c>
      <c r="O306" s="14" t="s">
        <v>11170</v>
      </c>
      <c r="P306" s="14" t="str">
        <f>HYPERLINK("https://dexscreener.com/solana/5iU3Y5ckr6urU1q3mDDKifBPQsabrEPDpFt3u9Nfpump", "View")</f>
        <v>View</v>
      </c>
    </row>
    <row r="307" spans="1:16" x14ac:dyDescent="0.25">
      <c r="A307" s="16" t="s">
        <v>11171</v>
      </c>
      <c r="B307" s="17">
        <v>801076</v>
      </c>
      <c r="C307" s="17">
        <v>0</v>
      </c>
      <c r="D307" s="17" t="s">
        <v>10465</v>
      </c>
      <c r="E307" s="17" t="s">
        <v>1007</v>
      </c>
      <c r="F307" s="17" t="s">
        <v>96</v>
      </c>
      <c r="G307" s="18" t="s">
        <v>9365</v>
      </c>
      <c r="H307" s="18" t="s">
        <v>98</v>
      </c>
      <c r="I307" s="17" t="s">
        <v>11172</v>
      </c>
      <c r="J307" s="17">
        <v>1</v>
      </c>
      <c r="K307" s="17">
        <v>0</v>
      </c>
      <c r="L307" s="17" t="s">
        <v>11173</v>
      </c>
      <c r="M307" s="19" t="s">
        <v>101</v>
      </c>
      <c r="N307" s="17" t="s">
        <v>11174</v>
      </c>
      <c r="O307" s="17" t="s">
        <v>11175</v>
      </c>
      <c r="P307" s="17" t="str">
        <f>HYPERLINK("https://dexscreener.com/solana/G2XJk3yq1YNJJR26c9s3eJGkzTCMKYkLohAbTwcwpump", "View")</f>
        <v>View</v>
      </c>
    </row>
    <row r="308" spans="1:16" x14ac:dyDescent="0.25">
      <c r="A308" s="13" t="s">
        <v>11176</v>
      </c>
      <c r="B308" s="14">
        <v>4770144</v>
      </c>
      <c r="C308" s="14">
        <v>0</v>
      </c>
      <c r="D308" s="14" t="s">
        <v>10436</v>
      </c>
      <c r="E308" s="14" t="s">
        <v>10677</v>
      </c>
      <c r="F308" s="14" t="s">
        <v>96</v>
      </c>
      <c r="G308" s="18" t="s">
        <v>11177</v>
      </c>
      <c r="H308" s="18" t="s">
        <v>98</v>
      </c>
      <c r="I308" s="14" t="s">
        <v>11178</v>
      </c>
      <c r="J308" s="14">
        <v>1</v>
      </c>
      <c r="K308" s="14">
        <v>0</v>
      </c>
      <c r="L308" s="14" t="s">
        <v>11179</v>
      </c>
      <c r="M308" s="19" t="s">
        <v>101</v>
      </c>
      <c r="N308" s="14" t="s">
        <v>11180</v>
      </c>
      <c r="O308" s="14" t="s">
        <v>11181</v>
      </c>
      <c r="P308" s="14" t="str">
        <f>HYPERLINK("https://dexscreener.com/solana/CrKGNwXqgiMNFgGDhjmrAmvpT1LHEWhSWE8ZkpfNA2h5", "View")</f>
        <v>View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80D4-5206-43C6-B92B-FE9FE51AA526}">
  <dimension ref="A1:P25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HYPERLINK("https://gmgn.ai/sol/address/HNoTHms1Jt7oy7eFPm3QH3ea9tKuoTg9GPzs5CTNkD6w", "GMGN")</f>
        <v>GMGN</v>
      </c>
    </row>
    <row r="2" spans="1:14" x14ac:dyDescent="0.25">
      <c r="A2" s="3" t="s">
        <v>11182</v>
      </c>
      <c r="B2" s="3" t="s">
        <v>11183</v>
      </c>
      <c r="C2" s="3" t="s">
        <v>11184</v>
      </c>
      <c r="D2" s="3" t="s">
        <v>11185</v>
      </c>
      <c r="E2" s="3" t="s">
        <v>11186</v>
      </c>
      <c r="F2" s="3" t="s">
        <v>11187</v>
      </c>
      <c r="G2" s="3" t="s">
        <v>18</v>
      </c>
      <c r="H2" s="3">
        <v>237</v>
      </c>
      <c r="I2" s="3">
        <v>65</v>
      </c>
      <c r="J2" s="3" t="s">
        <v>11188</v>
      </c>
      <c r="K2" s="3" t="s">
        <v>4268</v>
      </c>
      <c r="L2" s="3">
        <v>87</v>
      </c>
      <c r="M2" s="3">
        <v>138</v>
      </c>
      <c r="N2" s="3" t="str">
        <f>HYPERLINK("https://solscan.io/account/HNoTHms1Jt7oy7eFPm3QH3ea9tKuoTg9GPzs5CTNkD6w",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HYPERLINK("https://birdeye.so/profile/HNoTHms1Jt7oy7eFPm3QH3ea9tKuoTg9GPzs5CTNkD6w", "Birdeye")</f>
        <v>Birdeye</v>
      </c>
    </row>
    <row r="4" spans="1:14" x14ac:dyDescent="0.25">
      <c r="A4" s="1" t="s">
        <v>25</v>
      </c>
      <c r="B4" s="3" t="s">
        <v>2004</v>
      </c>
      <c r="C4" s="3"/>
      <c r="D4" s="3" t="s">
        <v>26</v>
      </c>
      <c r="E4" s="3" t="s">
        <v>11189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11190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19</v>
      </c>
      <c r="D10" s="1">
        <v>13</v>
      </c>
      <c r="E10" s="1">
        <v>33</v>
      </c>
      <c r="F10" s="1">
        <v>32</v>
      </c>
      <c r="G10" s="1">
        <v>137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11191</v>
      </c>
      <c r="C11" s="1" t="s">
        <v>11192</v>
      </c>
      <c r="D11" s="1" t="s">
        <v>11193</v>
      </c>
      <c r="E11" s="1" t="s">
        <v>11194</v>
      </c>
      <c r="F11" s="1" t="s">
        <v>11195</v>
      </c>
      <c r="G11" s="1" t="s">
        <v>11196</v>
      </c>
      <c r="H11" s="3"/>
      <c r="I11" s="3" t="s">
        <v>50</v>
      </c>
      <c r="J11" s="3" t="s">
        <v>11197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11198</v>
      </c>
      <c r="C12" s="1" t="s">
        <v>11199</v>
      </c>
      <c r="D12" s="1" t="s">
        <v>11200</v>
      </c>
      <c r="E12" s="1" t="s">
        <v>11201</v>
      </c>
      <c r="F12" s="1" t="s">
        <v>11202</v>
      </c>
      <c r="G12" s="1" t="s">
        <v>11203</v>
      </c>
      <c r="H12" s="3"/>
      <c r="I12" s="3" t="s">
        <v>59</v>
      </c>
      <c r="J12" s="3" t="s">
        <v>4734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11204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11205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11206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11207</v>
      </c>
      <c r="B20" s="14">
        <v>9790346</v>
      </c>
      <c r="C20" s="14">
        <v>9790346</v>
      </c>
      <c r="D20" s="14" t="s">
        <v>9537</v>
      </c>
      <c r="E20" s="14" t="s">
        <v>10388</v>
      </c>
      <c r="F20" s="14" t="s">
        <v>2669</v>
      </c>
      <c r="G20" s="15" t="s">
        <v>11208</v>
      </c>
      <c r="H20" s="15" t="s">
        <v>11209</v>
      </c>
      <c r="I20" s="14" t="s">
        <v>88</v>
      </c>
      <c r="J20" s="14">
        <v>4</v>
      </c>
      <c r="K20" s="14">
        <v>1</v>
      </c>
      <c r="L20" s="14" t="s">
        <v>11210</v>
      </c>
      <c r="M20" s="14" t="s">
        <v>4393</v>
      </c>
      <c r="N20" s="14" t="s">
        <v>11211</v>
      </c>
      <c r="O20" s="14" t="s">
        <v>11212</v>
      </c>
      <c r="P20" s="14" t="str">
        <f>HYPERLINK("https://dexscreener.com/solana/4JuM1RNjXWQWBBGzP6dJykRGCwxiuJ1w3kgczbdKpump", "View")</f>
        <v>View</v>
      </c>
    </row>
    <row r="21" spans="1:16" x14ac:dyDescent="0.25">
      <c r="A21" s="16" t="s">
        <v>11213</v>
      </c>
      <c r="B21" s="17">
        <v>1900298</v>
      </c>
      <c r="C21" s="17">
        <v>0</v>
      </c>
      <c r="D21" s="17" t="s">
        <v>1882</v>
      </c>
      <c r="E21" s="17" t="s">
        <v>3706</v>
      </c>
      <c r="F21" s="17" t="s">
        <v>96</v>
      </c>
      <c r="G21" s="18" t="s">
        <v>11214</v>
      </c>
      <c r="H21" s="18" t="s">
        <v>98</v>
      </c>
      <c r="I21" s="17" t="s">
        <v>11215</v>
      </c>
      <c r="J21" s="17">
        <v>1</v>
      </c>
      <c r="K21" s="17">
        <v>0</v>
      </c>
      <c r="L21" s="17" t="s">
        <v>11216</v>
      </c>
      <c r="M21" s="19" t="s">
        <v>101</v>
      </c>
      <c r="N21" s="17" t="s">
        <v>11217</v>
      </c>
      <c r="O21" s="17" t="s">
        <v>11218</v>
      </c>
      <c r="P21" s="17" t="str">
        <f>HYPERLINK("https://photon-sol.tinyastro.io/en/lp/2FE7XDgAt2RQZziL5oR8sdyNtdPUXNjQ5TEbcqcdpump?handle=676050794bc1b1657a56b", "View")</f>
        <v>View</v>
      </c>
    </row>
    <row r="22" spans="1:16" x14ac:dyDescent="0.25">
      <c r="A22" s="13" t="s">
        <v>2107</v>
      </c>
      <c r="B22" s="14">
        <v>368513</v>
      </c>
      <c r="C22" s="14">
        <v>0</v>
      </c>
      <c r="D22" s="14" t="s">
        <v>1882</v>
      </c>
      <c r="E22" s="14" t="s">
        <v>9395</v>
      </c>
      <c r="F22" s="14" t="s">
        <v>96</v>
      </c>
      <c r="G22" s="18" t="s">
        <v>3707</v>
      </c>
      <c r="H22" s="18" t="s">
        <v>98</v>
      </c>
      <c r="I22" s="14" t="s">
        <v>11219</v>
      </c>
      <c r="J22" s="14">
        <v>1</v>
      </c>
      <c r="K22" s="14">
        <v>0</v>
      </c>
      <c r="L22" s="14" t="s">
        <v>11220</v>
      </c>
      <c r="M22" s="19" t="s">
        <v>101</v>
      </c>
      <c r="N22" s="14" t="s">
        <v>11221</v>
      </c>
      <c r="O22" s="14" t="s">
        <v>2115</v>
      </c>
      <c r="P22" s="14" t="str">
        <f>HYPERLINK("https://dexscreener.com/solana/FjqmRY2wjdBCJ4MdhtZctKGYWG5q9k9zNHa7kguQpump", "View")</f>
        <v>View</v>
      </c>
    </row>
    <row r="23" spans="1:16" x14ac:dyDescent="0.25">
      <c r="A23" s="16" t="s">
        <v>11222</v>
      </c>
      <c r="B23" s="17">
        <v>288953</v>
      </c>
      <c r="C23" s="17">
        <v>0</v>
      </c>
      <c r="D23" s="17" t="s">
        <v>1882</v>
      </c>
      <c r="E23" s="17" t="s">
        <v>9395</v>
      </c>
      <c r="F23" s="17" t="s">
        <v>96</v>
      </c>
      <c r="G23" s="18" t="s">
        <v>3707</v>
      </c>
      <c r="H23" s="18" t="s">
        <v>98</v>
      </c>
      <c r="I23" s="17" t="s">
        <v>11223</v>
      </c>
      <c r="J23" s="17">
        <v>1</v>
      </c>
      <c r="K23" s="17">
        <v>0</v>
      </c>
      <c r="L23" s="17" t="s">
        <v>6377</v>
      </c>
      <c r="M23" s="19" t="s">
        <v>101</v>
      </c>
      <c r="N23" s="17" t="s">
        <v>11224</v>
      </c>
      <c r="O23" s="17" t="s">
        <v>11225</v>
      </c>
      <c r="P23" s="17" t="str">
        <f>HYPERLINK("https://dexscreener.com/solana/43Kda9a6X6eMqehQ3vTj1oqVdXqF7j4k6T8zzJAwpump", "View")</f>
        <v>View</v>
      </c>
    </row>
    <row r="24" spans="1:16" x14ac:dyDescent="0.25">
      <c r="A24" s="13" t="s">
        <v>266</v>
      </c>
      <c r="B24" s="14">
        <v>298400</v>
      </c>
      <c r="C24" s="14">
        <v>298400</v>
      </c>
      <c r="D24" s="14" t="s">
        <v>7092</v>
      </c>
      <c r="E24" s="14" t="s">
        <v>3045</v>
      </c>
      <c r="F24" s="14" t="s">
        <v>9512</v>
      </c>
      <c r="G24" s="22" t="s">
        <v>11226</v>
      </c>
      <c r="H24" s="22" t="s">
        <v>11227</v>
      </c>
      <c r="I24" s="14" t="s">
        <v>88</v>
      </c>
      <c r="J24" s="14">
        <v>2</v>
      </c>
      <c r="K24" s="14">
        <v>2</v>
      </c>
      <c r="L24" s="14" t="s">
        <v>11228</v>
      </c>
      <c r="M24" s="14" t="s">
        <v>132</v>
      </c>
      <c r="N24" s="14" t="s">
        <v>11229</v>
      </c>
      <c r="O24" s="14" t="s">
        <v>270</v>
      </c>
      <c r="P24" s="14" t="str">
        <f>HYPERLINK("https://dexscreener.com/solana/E1vpyG4Yy7FV4Y1aGvGkRV5PH38JrEZv2QUm8PEdpump", "View")</f>
        <v>View</v>
      </c>
    </row>
    <row r="25" spans="1:16" x14ac:dyDescent="0.25">
      <c r="A25" s="16" t="s">
        <v>82</v>
      </c>
      <c r="B25" s="17">
        <v>28257</v>
      </c>
      <c r="C25" s="17">
        <v>14129</v>
      </c>
      <c r="D25" s="17" t="s">
        <v>1813</v>
      </c>
      <c r="E25" s="17" t="s">
        <v>9395</v>
      </c>
      <c r="F25" s="17" t="s">
        <v>11230</v>
      </c>
      <c r="G25" s="21" t="s">
        <v>5572</v>
      </c>
      <c r="H25" s="21" t="s">
        <v>11231</v>
      </c>
      <c r="I25" s="17" t="s">
        <v>88</v>
      </c>
      <c r="J25" s="17">
        <v>1</v>
      </c>
      <c r="K25" s="17">
        <v>1</v>
      </c>
      <c r="L25" s="17" t="s">
        <v>11232</v>
      </c>
      <c r="M25" s="17" t="s">
        <v>5644</v>
      </c>
      <c r="N25" s="17" t="s">
        <v>91</v>
      </c>
      <c r="O25" s="17" t="s">
        <v>92</v>
      </c>
      <c r="P25" s="17" t="str">
        <f>HYPERLINK("https://dexscreener.com/solana/Db7ZUaWTThwZy7bVhjn5Dda8D3fbbAhihcxPV4m9pump", "View")</f>
        <v>View</v>
      </c>
    </row>
    <row r="26" spans="1:16" x14ac:dyDescent="0.25">
      <c r="A26" s="13" t="s">
        <v>8623</v>
      </c>
      <c r="B26" s="14">
        <v>992312</v>
      </c>
      <c r="C26" s="14">
        <v>0</v>
      </c>
      <c r="D26" s="14" t="s">
        <v>1882</v>
      </c>
      <c r="E26" s="14" t="s">
        <v>3706</v>
      </c>
      <c r="F26" s="14" t="s">
        <v>96</v>
      </c>
      <c r="G26" s="18" t="s">
        <v>11214</v>
      </c>
      <c r="H26" s="18" t="s">
        <v>98</v>
      </c>
      <c r="I26" s="14" t="s">
        <v>11233</v>
      </c>
      <c r="J26" s="14">
        <v>1</v>
      </c>
      <c r="K26" s="14">
        <v>0</v>
      </c>
      <c r="L26" s="14" t="s">
        <v>11234</v>
      </c>
      <c r="M26" s="19" t="s">
        <v>101</v>
      </c>
      <c r="N26" s="14" t="s">
        <v>11235</v>
      </c>
      <c r="O26" s="14" t="s">
        <v>11236</v>
      </c>
      <c r="P26" s="14" t="str">
        <f>HYPERLINK("https://photon-sol.tinyastro.io/en/lp/Fw8wvevZL6avDfHd4euv6PAq15unDmAYWq7abBAUpump?handle=676050794bc1b1657a56b", "View")</f>
        <v>View</v>
      </c>
    </row>
    <row r="27" spans="1:16" x14ac:dyDescent="0.25">
      <c r="A27" s="16" t="s">
        <v>11237</v>
      </c>
      <c r="B27" s="17">
        <v>1734911</v>
      </c>
      <c r="C27" s="17">
        <v>0</v>
      </c>
      <c r="D27" s="17" t="s">
        <v>1882</v>
      </c>
      <c r="E27" s="17" t="s">
        <v>10121</v>
      </c>
      <c r="F27" s="17" t="s">
        <v>96</v>
      </c>
      <c r="G27" s="18" t="s">
        <v>11238</v>
      </c>
      <c r="H27" s="18" t="s">
        <v>98</v>
      </c>
      <c r="I27" s="17" t="s">
        <v>11239</v>
      </c>
      <c r="J27" s="17">
        <v>1</v>
      </c>
      <c r="K27" s="17">
        <v>0</v>
      </c>
      <c r="L27" s="17" t="s">
        <v>11240</v>
      </c>
      <c r="M27" s="19" t="s">
        <v>101</v>
      </c>
      <c r="N27" s="17" t="s">
        <v>11241</v>
      </c>
      <c r="O27" s="17" t="s">
        <v>11242</v>
      </c>
      <c r="P27" s="17" t="str">
        <f>HYPERLINK("https://dexscreener.com/solana/3Ts92KZw1C5VT5uQ2Uipe4SGHdMYnB9TtMa2AUHGpump", "View")</f>
        <v>View</v>
      </c>
    </row>
    <row r="28" spans="1:16" x14ac:dyDescent="0.25">
      <c r="A28" s="13" t="s">
        <v>9769</v>
      </c>
      <c r="B28" s="14">
        <v>297215</v>
      </c>
      <c r="C28" s="14">
        <v>148608</v>
      </c>
      <c r="D28" s="14" t="s">
        <v>1813</v>
      </c>
      <c r="E28" s="14" t="s">
        <v>9395</v>
      </c>
      <c r="F28" s="14" t="s">
        <v>4166</v>
      </c>
      <c r="G28" s="21" t="s">
        <v>9649</v>
      </c>
      <c r="H28" s="21" t="s">
        <v>11243</v>
      </c>
      <c r="I28" s="14" t="s">
        <v>88</v>
      </c>
      <c r="J28" s="14">
        <v>1</v>
      </c>
      <c r="K28" s="14">
        <v>1</v>
      </c>
      <c r="L28" s="14" t="s">
        <v>11244</v>
      </c>
      <c r="M28" s="14" t="s">
        <v>5729</v>
      </c>
      <c r="N28" s="14" t="s">
        <v>11245</v>
      </c>
      <c r="O28" s="14" t="s">
        <v>9773</v>
      </c>
      <c r="P28" s="14" t="str">
        <f>HYPERLINK("https://dexscreener.com/solana/8YYrkf1hvL5aCacfLXDvhVfjWZ7ce5NdVt4iLPxYsmdh", "View")</f>
        <v>View</v>
      </c>
    </row>
    <row r="29" spans="1:16" x14ac:dyDescent="0.25">
      <c r="A29" s="16" t="s">
        <v>11246</v>
      </c>
      <c r="B29" s="17">
        <v>762443</v>
      </c>
      <c r="C29" s="17">
        <v>762443</v>
      </c>
      <c r="D29" s="17" t="s">
        <v>9569</v>
      </c>
      <c r="E29" s="17" t="s">
        <v>9395</v>
      </c>
      <c r="F29" s="17" t="s">
        <v>6849</v>
      </c>
      <c r="G29" s="21" t="s">
        <v>3495</v>
      </c>
      <c r="H29" s="21" t="s">
        <v>11247</v>
      </c>
      <c r="I29" s="17" t="s">
        <v>88</v>
      </c>
      <c r="J29" s="17">
        <v>1</v>
      </c>
      <c r="K29" s="17">
        <v>2</v>
      </c>
      <c r="L29" s="17" t="s">
        <v>11248</v>
      </c>
      <c r="M29" s="17" t="s">
        <v>1714</v>
      </c>
      <c r="N29" s="17" t="s">
        <v>11249</v>
      </c>
      <c r="O29" s="17" t="s">
        <v>11250</v>
      </c>
      <c r="P29" s="17" t="str">
        <f>HYPERLINK("https://dexscreener.com/solana/3cFVS5jQNVgFQxBJiuuZL1jKa3fs7uhCetjKHSSipump", "View")</f>
        <v>View</v>
      </c>
    </row>
    <row r="30" spans="1:16" x14ac:dyDescent="0.25">
      <c r="A30" s="13" t="s">
        <v>11251</v>
      </c>
      <c r="B30" s="14">
        <v>2408501</v>
      </c>
      <c r="C30" s="14">
        <v>0</v>
      </c>
      <c r="D30" s="14" t="s">
        <v>1882</v>
      </c>
      <c r="E30" s="14" t="s">
        <v>9395</v>
      </c>
      <c r="F30" s="14" t="s">
        <v>96</v>
      </c>
      <c r="G30" s="18" t="s">
        <v>3707</v>
      </c>
      <c r="H30" s="18" t="s">
        <v>98</v>
      </c>
      <c r="I30" s="14" t="s">
        <v>11252</v>
      </c>
      <c r="J30" s="14">
        <v>1</v>
      </c>
      <c r="K30" s="14">
        <v>0</v>
      </c>
      <c r="L30" s="14" t="s">
        <v>11253</v>
      </c>
      <c r="M30" s="19" t="s">
        <v>101</v>
      </c>
      <c r="N30" s="14" t="s">
        <v>644</v>
      </c>
      <c r="O30" s="14" t="s">
        <v>11254</v>
      </c>
      <c r="P30" s="14" t="str">
        <f>HYPERLINK("https://dexscreener.com/solana/EbEHdS7H89nM7vDPRG7rbCAX5EPDjihFG1bp217upump", "View")</f>
        <v>View</v>
      </c>
    </row>
    <row r="31" spans="1:16" x14ac:dyDescent="0.25">
      <c r="A31" s="16" t="s">
        <v>11255</v>
      </c>
      <c r="B31" s="17">
        <v>632178</v>
      </c>
      <c r="C31" s="17">
        <v>0</v>
      </c>
      <c r="D31" s="17" t="s">
        <v>1882</v>
      </c>
      <c r="E31" s="17" t="s">
        <v>3733</v>
      </c>
      <c r="F31" s="17" t="s">
        <v>96</v>
      </c>
      <c r="G31" s="18" t="s">
        <v>11256</v>
      </c>
      <c r="H31" s="18" t="s">
        <v>98</v>
      </c>
      <c r="I31" s="17" t="s">
        <v>11257</v>
      </c>
      <c r="J31" s="17">
        <v>1</v>
      </c>
      <c r="K31" s="17">
        <v>0</v>
      </c>
      <c r="L31" s="17" t="s">
        <v>11258</v>
      </c>
      <c r="M31" s="19" t="s">
        <v>101</v>
      </c>
      <c r="N31" s="17" t="s">
        <v>11259</v>
      </c>
      <c r="O31" s="17" t="s">
        <v>11260</v>
      </c>
      <c r="P31" s="17" t="str">
        <f>HYPERLINK("https://dexscreener.com/solana/ezw1GD382kbzp9TCAEmQD4aLnG58q653hN2Vx7HJkKs", "View")</f>
        <v>View</v>
      </c>
    </row>
    <row r="32" spans="1:16" x14ac:dyDescent="0.25">
      <c r="A32" s="13" t="s">
        <v>8538</v>
      </c>
      <c r="B32" s="14">
        <v>1965887</v>
      </c>
      <c r="C32" s="14">
        <v>0</v>
      </c>
      <c r="D32" s="14" t="s">
        <v>1882</v>
      </c>
      <c r="E32" s="14" t="s">
        <v>3706</v>
      </c>
      <c r="F32" s="14" t="s">
        <v>96</v>
      </c>
      <c r="G32" s="18" t="s">
        <v>11214</v>
      </c>
      <c r="H32" s="18" t="s">
        <v>98</v>
      </c>
      <c r="I32" s="14" t="s">
        <v>11261</v>
      </c>
      <c r="J32" s="14">
        <v>1</v>
      </c>
      <c r="K32" s="14">
        <v>0</v>
      </c>
      <c r="L32" s="14" t="s">
        <v>11262</v>
      </c>
      <c r="M32" s="19" t="s">
        <v>101</v>
      </c>
      <c r="N32" s="14" t="s">
        <v>1264</v>
      </c>
      <c r="O32" s="14" t="s">
        <v>11263</v>
      </c>
      <c r="P32" s="14" t="str">
        <f>HYPERLINK("https://photon-sol.tinyastro.io/en/lp/9rcud8iDts7BWrMrf1onpSJLBuymE67VVaWzYJYMRXQ7?handle=676050794bc1b1657a56b", "View")</f>
        <v>View</v>
      </c>
    </row>
    <row r="33" spans="1:16" x14ac:dyDescent="0.25">
      <c r="A33" s="16" t="s">
        <v>11264</v>
      </c>
      <c r="B33" s="17">
        <v>879695</v>
      </c>
      <c r="C33" s="17">
        <v>879695</v>
      </c>
      <c r="D33" s="17" t="s">
        <v>1813</v>
      </c>
      <c r="E33" s="17" t="s">
        <v>3706</v>
      </c>
      <c r="F33" s="17" t="s">
        <v>5471</v>
      </c>
      <c r="G33" s="21" t="s">
        <v>11265</v>
      </c>
      <c r="H33" s="21" t="s">
        <v>11266</v>
      </c>
      <c r="I33" s="17" t="s">
        <v>88</v>
      </c>
      <c r="J33" s="17">
        <v>1</v>
      </c>
      <c r="K33" s="17">
        <v>1</v>
      </c>
      <c r="L33" s="17" t="s">
        <v>11267</v>
      </c>
      <c r="M33" s="17" t="s">
        <v>1610</v>
      </c>
      <c r="N33" s="17" t="s">
        <v>1233</v>
      </c>
      <c r="O33" s="17" t="s">
        <v>11268</v>
      </c>
      <c r="P33" s="17" t="str">
        <f>HYPERLINK("https://photon-sol.tinyastro.io/en/lp/GvtfZHpUCvp1W5TCfqqRWvuRbEMrkYu1oFRL34Wqpump?handle=676050794bc1b1657a56b", "View")</f>
        <v>View</v>
      </c>
    </row>
    <row r="34" spans="1:16" x14ac:dyDescent="0.25">
      <c r="A34" s="13" t="s">
        <v>11269</v>
      </c>
      <c r="B34" s="14">
        <v>3073251</v>
      </c>
      <c r="C34" s="14">
        <v>1069878</v>
      </c>
      <c r="D34" s="14" t="s">
        <v>9569</v>
      </c>
      <c r="E34" s="14" t="s">
        <v>3570</v>
      </c>
      <c r="F34" s="14" t="s">
        <v>2369</v>
      </c>
      <c r="G34" s="15" t="s">
        <v>4043</v>
      </c>
      <c r="H34" s="15" t="s">
        <v>11270</v>
      </c>
      <c r="I34" s="14" t="s">
        <v>88</v>
      </c>
      <c r="J34" s="14">
        <v>2</v>
      </c>
      <c r="K34" s="14">
        <v>1</v>
      </c>
      <c r="L34" s="14" t="s">
        <v>11271</v>
      </c>
      <c r="M34" s="14" t="s">
        <v>479</v>
      </c>
      <c r="N34" s="14" t="s">
        <v>11272</v>
      </c>
      <c r="O34" s="14" t="s">
        <v>11273</v>
      </c>
      <c r="P34" s="14" t="str">
        <f>HYPERLINK("https://dexscreener.com/solana/GAC88gYSjrTsSRjMKHH8JnFQmf7jBFcQs3BkHvH7pump", "View")</f>
        <v>View</v>
      </c>
    </row>
    <row r="35" spans="1:16" x14ac:dyDescent="0.25">
      <c r="A35" s="16" t="s">
        <v>2628</v>
      </c>
      <c r="B35" s="17">
        <v>614546</v>
      </c>
      <c r="C35" s="17">
        <v>307273</v>
      </c>
      <c r="D35" s="17" t="s">
        <v>1813</v>
      </c>
      <c r="E35" s="17" t="s">
        <v>9395</v>
      </c>
      <c r="F35" s="17" t="s">
        <v>11274</v>
      </c>
      <c r="G35" s="21" t="s">
        <v>4108</v>
      </c>
      <c r="H35" s="21" t="s">
        <v>11275</v>
      </c>
      <c r="I35" s="17" t="s">
        <v>88</v>
      </c>
      <c r="J35" s="17">
        <v>1</v>
      </c>
      <c r="K35" s="17">
        <v>1</v>
      </c>
      <c r="L35" s="17" t="s">
        <v>11276</v>
      </c>
      <c r="M35" s="17" t="s">
        <v>602</v>
      </c>
      <c r="N35" s="17" t="s">
        <v>11277</v>
      </c>
      <c r="O35" s="17" t="s">
        <v>2634</v>
      </c>
      <c r="P35" s="17" t="str">
        <f>HYPERLINK("https://dexscreener.com/solana/BoyAq9YacyJQn96e3SM4GQrxKQEHuLXs8sA3V4aspump", "View")</f>
        <v>View</v>
      </c>
    </row>
    <row r="36" spans="1:16" x14ac:dyDescent="0.25">
      <c r="A36" s="13" t="s">
        <v>11278</v>
      </c>
      <c r="B36" s="14">
        <v>7799</v>
      </c>
      <c r="C36" s="14">
        <v>7799</v>
      </c>
      <c r="D36" s="14" t="s">
        <v>1813</v>
      </c>
      <c r="E36" s="14" t="s">
        <v>3610</v>
      </c>
      <c r="F36" s="14" t="s">
        <v>11279</v>
      </c>
      <c r="G36" s="22" t="s">
        <v>2347</v>
      </c>
      <c r="H36" s="22" t="s">
        <v>11280</v>
      </c>
      <c r="I36" s="14" t="s">
        <v>88</v>
      </c>
      <c r="J36" s="14">
        <v>1</v>
      </c>
      <c r="K36" s="14">
        <v>1</v>
      </c>
      <c r="L36" s="14" t="s">
        <v>11281</v>
      </c>
      <c r="M36" s="14" t="s">
        <v>240</v>
      </c>
      <c r="N36" s="14" t="s">
        <v>11282</v>
      </c>
      <c r="O36" s="14" t="s">
        <v>11283</v>
      </c>
      <c r="P36" s="14" t="str">
        <f>HYPERLINK("https://dexscreener.com/solana/7G5DM7Jy7TMWKgH313tA3vF6AqHpbHP4TWZzpTVLWv9c", "View")</f>
        <v>View</v>
      </c>
    </row>
    <row r="37" spans="1:16" x14ac:dyDescent="0.25">
      <c r="A37" s="16" t="s">
        <v>11284</v>
      </c>
      <c r="B37" s="17">
        <v>716409</v>
      </c>
      <c r="C37" s="17">
        <v>0</v>
      </c>
      <c r="D37" s="17" t="s">
        <v>1882</v>
      </c>
      <c r="E37" s="17" t="s">
        <v>3706</v>
      </c>
      <c r="F37" s="17" t="s">
        <v>96</v>
      </c>
      <c r="G37" s="18" t="s">
        <v>11214</v>
      </c>
      <c r="H37" s="18" t="s">
        <v>98</v>
      </c>
      <c r="I37" s="17" t="s">
        <v>11285</v>
      </c>
      <c r="J37" s="17">
        <v>1</v>
      </c>
      <c r="K37" s="17">
        <v>0</v>
      </c>
      <c r="L37" s="17" t="s">
        <v>11286</v>
      </c>
      <c r="M37" s="19" t="s">
        <v>101</v>
      </c>
      <c r="N37" s="17" t="s">
        <v>1214</v>
      </c>
      <c r="O37" s="17" t="s">
        <v>11287</v>
      </c>
      <c r="P37" s="17" t="str">
        <f>HYPERLINK("https://photon-sol.tinyastro.io/en/lp/D19eugvwXv4hfwRrciyt75rTwwk8cVfL5AmSdYqopump?handle=676050794bc1b1657a56b", "View")</f>
        <v>View</v>
      </c>
    </row>
    <row r="38" spans="1:16" x14ac:dyDescent="0.25">
      <c r="A38" s="13" t="s">
        <v>8909</v>
      </c>
      <c r="B38" s="14">
        <v>727743</v>
      </c>
      <c r="C38" s="14">
        <v>727743</v>
      </c>
      <c r="D38" s="14" t="s">
        <v>1813</v>
      </c>
      <c r="E38" s="14" t="s">
        <v>3706</v>
      </c>
      <c r="F38" s="14" t="s">
        <v>1349</v>
      </c>
      <c r="G38" s="21" t="s">
        <v>4868</v>
      </c>
      <c r="H38" s="21" t="s">
        <v>11288</v>
      </c>
      <c r="I38" s="14" t="s">
        <v>88</v>
      </c>
      <c r="J38" s="14">
        <v>1</v>
      </c>
      <c r="K38" s="14">
        <v>1</v>
      </c>
      <c r="L38" s="14" t="s">
        <v>11289</v>
      </c>
      <c r="M38" s="14" t="s">
        <v>1526</v>
      </c>
      <c r="N38" s="14" t="s">
        <v>595</v>
      </c>
      <c r="O38" s="14" t="s">
        <v>11290</v>
      </c>
      <c r="P38" s="14" t="str">
        <f>HYPERLINK("https://photon-sol.tinyastro.io/en/lp/9ZEDrZLeCcpvEd8SUMsm4xeHoVK4d64qccC4dxL5JWQ8?handle=676050794bc1b1657a56b", "View")</f>
        <v>View</v>
      </c>
    </row>
    <row r="39" spans="1:16" x14ac:dyDescent="0.25">
      <c r="A39" s="16" t="s">
        <v>11291</v>
      </c>
      <c r="B39" s="17">
        <v>1500702</v>
      </c>
      <c r="C39" s="17">
        <v>0</v>
      </c>
      <c r="D39" s="17" t="s">
        <v>1882</v>
      </c>
      <c r="E39" s="17" t="s">
        <v>3706</v>
      </c>
      <c r="F39" s="17" t="s">
        <v>96</v>
      </c>
      <c r="G39" s="18" t="s">
        <v>11214</v>
      </c>
      <c r="H39" s="18" t="s">
        <v>98</v>
      </c>
      <c r="I39" s="17" t="s">
        <v>11292</v>
      </c>
      <c r="J39" s="17">
        <v>1</v>
      </c>
      <c r="K39" s="17">
        <v>0</v>
      </c>
      <c r="L39" s="17" t="s">
        <v>11293</v>
      </c>
      <c r="M39" s="19" t="s">
        <v>101</v>
      </c>
      <c r="N39" s="17" t="s">
        <v>11294</v>
      </c>
      <c r="O39" s="17" t="s">
        <v>11295</v>
      </c>
      <c r="P39" s="17" t="str">
        <f>HYPERLINK("https://photon-sol.tinyastro.io/en/lp/CaqhbeWDDDbdfCrGASa33YDDEU2WGidq7ph5xeAmpump?handle=676050794bc1b1657a56b", "View")</f>
        <v>View</v>
      </c>
    </row>
    <row r="40" spans="1:16" x14ac:dyDescent="0.25">
      <c r="A40" s="13" t="s">
        <v>11296</v>
      </c>
      <c r="B40" s="14">
        <v>510656</v>
      </c>
      <c r="C40" s="14">
        <v>0</v>
      </c>
      <c r="D40" s="14" t="s">
        <v>1882</v>
      </c>
      <c r="E40" s="14" t="s">
        <v>9395</v>
      </c>
      <c r="F40" s="14" t="s">
        <v>96</v>
      </c>
      <c r="G40" s="18" t="s">
        <v>3707</v>
      </c>
      <c r="H40" s="18" t="s">
        <v>98</v>
      </c>
      <c r="I40" s="14" t="s">
        <v>11297</v>
      </c>
      <c r="J40" s="14">
        <v>1</v>
      </c>
      <c r="K40" s="14">
        <v>0</v>
      </c>
      <c r="L40" s="14" t="s">
        <v>11298</v>
      </c>
      <c r="M40" s="19" t="s">
        <v>101</v>
      </c>
      <c r="N40" s="14" t="s">
        <v>11299</v>
      </c>
      <c r="O40" s="14" t="s">
        <v>11300</v>
      </c>
      <c r="P40" s="14" t="str">
        <f>HYPERLINK("https://dexscreener.com/solana/BXNY4eC6eGpx7jMqnL6wGdVMDKCMQp73PgN7eG4ChEdp", "View")</f>
        <v>View</v>
      </c>
    </row>
    <row r="41" spans="1:16" x14ac:dyDescent="0.25">
      <c r="A41" s="16" t="s">
        <v>5030</v>
      </c>
      <c r="B41" s="17">
        <v>62031</v>
      </c>
      <c r="C41" s="17">
        <v>62031</v>
      </c>
      <c r="D41" s="17" t="s">
        <v>11301</v>
      </c>
      <c r="E41" s="17" t="s">
        <v>11302</v>
      </c>
      <c r="F41" s="17" t="s">
        <v>11303</v>
      </c>
      <c r="G41" s="20" t="s">
        <v>11304</v>
      </c>
      <c r="H41" s="20" t="s">
        <v>5199</v>
      </c>
      <c r="I41" s="17" t="s">
        <v>88</v>
      </c>
      <c r="J41" s="17">
        <v>3</v>
      </c>
      <c r="K41" s="17">
        <v>3</v>
      </c>
      <c r="L41" s="17" t="s">
        <v>11305</v>
      </c>
      <c r="M41" s="17" t="s">
        <v>9534</v>
      </c>
      <c r="N41" s="17" t="s">
        <v>11306</v>
      </c>
      <c r="O41" s="17" t="s">
        <v>6498</v>
      </c>
      <c r="P41" s="17" t="str">
        <f>HYPERLINK("https://dexscreener.com/solana/4J5HoZWoKcbo2JQxEEVCKRBfUQtEroY1QdRrKtZFpump", "View")</f>
        <v>View</v>
      </c>
    </row>
    <row r="42" spans="1:16" x14ac:dyDescent="0.25">
      <c r="A42" s="13" t="s">
        <v>8038</v>
      </c>
      <c r="B42" s="14">
        <v>1222526</v>
      </c>
      <c r="C42" s="14">
        <v>0</v>
      </c>
      <c r="D42" s="14" t="s">
        <v>1882</v>
      </c>
      <c r="E42" s="14" t="s">
        <v>3993</v>
      </c>
      <c r="F42" s="14" t="s">
        <v>96</v>
      </c>
      <c r="G42" s="18" t="s">
        <v>11307</v>
      </c>
      <c r="H42" s="18" t="s">
        <v>98</v>
      </c>
      <c r="I42" s="14" t="s">
        <v>11308</v>
      </c>
      <c r="J42" s="14">
        <v>1</v>
      </c>
      <c r="K42" s="14">
        <v>0</v>
      </c>
      <c r="L42" s="14" t="s">
        <v>11309</v>
      </c>
      <c r="M42" s="19" t="s">
        <v>101</v>
      </c>
      <c r="N42" s="14" t="s">
        <v>1393</v>
      </c>
      <c r="O42" s="14" t="s">
        <v>11310</v>
      </c>
      <c r="P42" s="14" t="str">
        <f>HYPERLINK("https://photon-sol.tinyastro.io/en/lp/737uSyfj2ki1zkCwb7YFRrSKUo6DKJ3W7uDBNQrpump?handle=676050794bc1b1657a56b", "View")</f>
        <v>View</v>
      </c>
    </row>
    <row r="43" spans="1:16" x14ac:dyDescent="0.25">
      <c r="A43" s="16" t="s">
        <v>334</v>
      </c>
      <c r="B43" s="17">
        <v>41981</v>
      </c>
      <c r="C43" s="17">
        <v>0</v>
      </c>
      <c r="D43" s="17" t="s">
        <v>1882</v>
      </c>
      <c r="E43" s="17" t="s">
        <v>9395</v>
      </c>
      <c r="F43" s="17" t="s">
        <v>96</v>
      </c>
      <c r="G43" s="18" t="s">
        <v>3707</v>
      </c>
      <c r="H43" s="18" t="s">
        <v>98</v>
      </c>
      <c r="I43" s="17" t="s">
        <v>11311</v>
      </c>
      <c r="J43" s="17">
        <v>1</v>
      </c>
      <c r="K43" s="17">
        <v>0</v>
      </c>
      <c r="L43" s="17" t="s">
        <v>11312</v>
      </c>
      <c r="M43" s="19" t="s">
        <v>101</v>
      </c>
      <c r="N43" s="17" t="s">
        <v>385</v>
      </c>
      <c r="O43" s="17" t="s">
        <v>338</v>
      </c>
      <c r="P43" s="17" t="str">
        <f>HYPERLINK("https://dexscreener.com/solana/4yyB8a6vmTZ5RL6UkPx4eSy57cLqWk2f8LuKnED5pump", "View")</f>
        <v>View</v>
      </c>
    </row>
    <row r="44" spans="1:16" x14ac:dyDescent="0.25">
      <c r="A44" s="13" t="s">
        <v>11313</v>
      </c>
      <c r="B44" s="14">
        <v>1765782</v>
      </c>
      <c r="C44" s="14">
        <v>0</v>
      </c>
      <c r="D44" s="14" t="s">
        <v>1882</v>
      </c>
      <c r="E44" s="14" t="s">
        <v>9395</v>
      </c>
      <c r="F44" s="14" t="s">
        <v>96</v>
      </c>
      <c r="G44" s="18" t="s">
        <v>3707</v>
      </c>
      <c r="H44" s="18" t="s">
        <v>98</v>
      </c>
      <c r="I44" s="14" t="s">
        <v>11314</v>
      </c>
      <c r="J44" s="14">
        <v>1</v>
      </c>
      <c r="K44" s="14">
        <v>0</v>
      </c>
      <c r="L44" s="14" t="s">
        <v>11315</v>
      </c>
      <c r="M44" s="19" t="s">
        <v>101</v>
      </c>
      <c r="N44" s="14" t="s">
        <v>11316</v>
      </c>
      <c r="O44" s="14" t="s">
        <v>11317</v>
      </c>
      <c r="P44" s="14" t="str">
        <f>HYPERLINK("https://dexscreener.com/solana/AbhsbBeqYUabJeThQP9fFscSkuCicKG1wsh64M2Jpump", "View")</f>
        <v>View</v>
      </c>
    </row>
    <row r="45" spans="1:16" x14ac:dyDescent="0.25">
      <c r="A45" s="16" t="s">
        <v>11318</v>
      </c>
      <c r="B45" s="17">
        <v>550117</v>
      </c>
      <c r="C45" s="17">
        <v>335694</v>
      </c>
      <c r="D45" s="17" t="s">
        <v>9569</v>
      </c>
      <c r="E45" s="17" t="s">
        <v>3045</v>
      </c>
      <c r="F45" s="17" t="s">
        <v>8528</v>
      </c>
      <c r="G45" s="20" t="s">
        <v>11319</v>
      </c>
      <c r="H45" s="20" t="s">
        <v>11320</v>
      </c>
      <c r="I45" s="17" t="s">
        <v>88</v>
      </c>
      <c r="J45" s="17">
        <v>2</v>
      </c>
      <c r="K45" s="17">
        <v>1</v>
      </c>
      <c r="L45" s="17" t="s">
        <v>11321</v>
      </c>
      <c r="M45" s="17" t="s">
        <v>788</v>
      </c>
      <c r="N45" s="17" t="s">
        <v>11322</v>
      </c>
      <c r="O45" s="17" t="s">
        <v>11323</v>
      </c>
      <c r="P45" s="17" t="str">
        <f>HYPERLINK("https://dexscreener.com/solana/4su2qWj6wDaVRjQ2if5CcqX5g9LLbBLLpACD3rwWpump", "View")</f>
        <v>View</v>
      </c>
    </row>
    <row r="46" spans="1:16" x14ac:dyDescent="0.25">
      <c r="A46" s="13" t="s">
        <v>11324</v>
      </c>
      <c r="B46" s="14">
        <v>321070</v>
      </c>
      <c r="C46" s="14">
        <v>0</v>
      </c>
      <c r="D46" s="14" t="s">
        <v>1882</v>
      </c>
      <c r="E46" s="14" t="s">
        <v>9395</v>
      </c>
      <c r="F46" s="14" t="s">
        <v>96</v>
      </c>
      <c r="G46" s="18" t="s">
        <v>3707</v>
      </c>
      <c r="H46" s="18" t="s">
        <v>98</v>
      </c>
      <c r="I46" s="14" t="s">
        <v>11325</v>
      </c>
      <c r="J46" s="14">
        <v>1</v>
      </c>
      <c r="K46" s="14">
        <v>0</v>
      </c>
      <c r="L46" s="14" t="s">
        <v>11326</v>
      </c>
      <c r="M46" s="19" t="s">
        <v>101</v>
      </c>
      <c r="N46" s="14" t="s">
        <v>10462</v>
      </c>
      <c r="O46" s="14" t="s">
        <v>11327</v>
      </c>
      <c r="P46" s="14" t="str">
        <f>HYPERLINK("https://dexscreener.com/solana/8QhZnAPjV4rsVFEg9fSqHPXDMaHx3yxKpfrKuY7wpump", "View")</f>
        <v>View</v>
      </c>
    </row>
    <row r="47" spans="1:16" x14ac:dyDescent="0.25">
      <c r="A47" s="16" t="s">
        <v>3804</v>
      </c>
      <c r="B47" s="17">
        <v>263620</v>
      </c>
      <c r="C47" s="17">
        <v>131810</v>
      </c>
      <c r="D47" s="17" t="s">
        <v>1813</v>
      </c>
      <c r="E47" s="17" t="s">
        <v>3045</v>
      </c>
      <c r="F47" s="17" t="s">
        <v>976</v>
      </c>
      <c r="G47" s="21" t="s">
        <v>11328</v>
      </c>
      <c r="H47" s="21" t="s">
        <v>11329</v>
      </c>
      <c r="I47" s="17" t="s">
        <v>88</v>
      </c>
      <c r="J47" s="17">
        <v>1</v>
      </c>
      <c r="K47" s="17">
        <v>1</v>
      </c>
      <c r="L47" s="17" t="s">
        <v>11330</v>
      </c>
      <c r="M47" s="17" t="s">
        <v>179</v>
      </c>
      <c r="N47" s="17" t="s">
        <v>11331</v>
      </c>
      <c r="O47" s="17" t="s">
        <v>11332</v>
      </c>
      <c r="P47" s="17" t="str">
        <f>HYPERLINK("https://dexscreener.com/solana/5pKzD7VCY27no9cN31dYvgzZMAWRPUUHL4xK75FYpump", "View")</f>
        <v>View</v>
      </c>
    </row>
    <row r="48" spans="1:16" x14ac:dyDescent="0.25">
      <c r="A48" s="13" t="s">
        <v>11333</v>
      </c>
      <c r="B48" s="14">
        <v>592732</v>
      </c>
      <c r="C48" s="14">
        <v>0</v>
      </c>
      <c r="D48" s="14" t="s">
        <v>1882</v>
      </c>
      <c r="E48" s="14" t="s">
        <v>10121</v>
      </c>
      <c r="F48" s="14" t="s">
        <v>96</v>
      </c>
      <c r="G48" s="18" t="s">
        <v>11238</v>
      </c>
      <c r="H48" s="18" t="s">
        <v>98</v>
      </c>
      <c r="I48" s="14" t="s">
        <v>11334</v>
      </c>
      <c r="J48" s="14">
        <v>1</v>
      </c>
      <c r="K48" s="14">
        <v>0</v>
      </c>
      <c r="L48" s="14" t="s">
        <v>11335</v>
      </c>
      <c r="M48" s="19" t="s">
        <v>101</v>
      </c>
      <c r="N48" s="14" t="s">
        <v>1055</v>
      </c>
      <c r="O48" s="14" t="s">
        <v>11336</v>
      </c>
      <c r="P48" s="14" t="str">
        <f>HYPERLINK("https://dexscreener.com/solana/Dz21CQ2VyTyqQigiFdGLENGkyKA1WZR9Y9sQ2XGjpump", "View")</f>
        <v>View</v>
      </c>
    </row>
    <row r="49" spans="1:16" x14ac:dyDescent="0.25">
      <c r="A49" s="16" t="s">
        <v>10447</v>
      </c>
      <c r="B49" s="17">
        <v>134806</v>
      </c>
      <c r="C49" s="17">
        <v>134806</v>
      </c>
      <c r="D49" s="17" t="s">
        <v>11337</v>
      </c>
      <c r="E49" s="17" t="s">
        <v>11302</v>
      </c>
      <c r="F49" s="17" t="s">
        <v>11338</v>
      </c>
      <c r="G49" s="21" t="s">
        <v>10197</v>
      </c>
      <c r="H49" s="21" t="s">
        <v>11339</v>
      </c>
      <c r="I49" s="17" t="s">
        <v>88</v>
      </c>
      <c r="J49" s="17">
        <v>3</v>
      </c>
      <c r="K49" s="17">
        <v>4</v>
      </c>
      <c r="L49" s="17" t="s">
        <v>11340</v>
      </c>
      <c r="M49" s="17" t="s">
        <v>4413</v>
      </c>
      <c r="N49" s="17" t="s">
        <v>11341</v>
      </c>
      <c r="O49" s="17" t="s">
        <v>10454</v>
      </c>
      <c r="P49" s="17" t="str">
        <f>HYPERLINK("https://dexscreener.com/solana/GGHga4iRCxEvq9Ky4MNwk9amTbLLg53bBHcSjpJLpump", "View")</f>
        <v>View</v>
      </c>
    </row>
    <row r="50" spans="1:16" x14ac:dyDescent="0.25">
      <c r="A50" s="13" t="s">
        <v>11342</v>
      </c>
      <c r="B50" s="14">
        <v>643075</v>
      </c>
      <c r="C50" s="14">
        <v>321538</v>
      </c>
      <c r="D50" s="14" t="s">
        <v>1813</v>
      </c>
      <c r="E50" s="14" t="s">
        <v>8966</v>
      </c>
      <c r="F50" s="14" t="s">
        <v>10664</v>
      </c>
      <c r="G50" s="22" t="s">
        <v>5036</v>
      </c>
      <c r="H50" s="22" t="s">
        <v>11343</v>
      </c>
      <c r="I50" s="14" t="s">
        <v>88</v>
      </c>
      <c r="J50" s="14">
        <v>1</v>
      </c>
      <c r="K50" s="14">
        <v>1</v>
      </c>
      <c r="L50" s="14" t="s">
        <v>11344</v>
      </c>
      <c r="M50" s="14" t="s">
        <v>4719</v>
      </c>
      <c r="N50" s="14" t="s">
        <v>5875</v>
      </c>
      <c r="O50" s="14" t="s">
        <v>11345</v>
      </c>
      <c r="P50" s="14" t="str">
        <f>HYPERLINK("https://photon-sol.tinyastro.io/en/lp/CJE2AZ9PiSeBMcBduJdQPxJbGzSExj3fmVQ6rKBpump?handle=676050794bc1b1657a56b", "View")</f>
        <v>View</v>
      </c>
    </row>
    <row r="51" spans="1:16" x14ac:dyDescent="0.25">
      <c r="A51" s="16" t="s">
        <v>11346</v>
      </c>
      <c r="B51" s="17">
        <v>283416</v>
      </c>
      <c r="C51" s="17">
        <v>141708</v>
      </c>
      <c r="D51" s="17" t="s">
        <v>1813</v>
      </c>
      <c r="E51" s="17" t="s">
        <v>9395</v>
      </c>
      <c r="F51" s="17" t="s">
        <v>11347</v>
      </c>
      <c r="G51" s="21" t="s">
        <v>2621</v>
      </c>
      <c r="H51" s="21" t="s">
        <v>11348</v>
      </c>
      <c r="I51" s="17" t="s">
        <v>88</v>
      </c>
      <c r="J51" s="17">
        <v>1</v>
      </c>
      <c r="K51" s="17">
        <v>1</v>
      </c>
      <c r="L51" s="17" t="s">
        <v>11349</v>
      </c>
      <c r="M51" s="17" t="s">
        <v>3462</v>
      </c>
      <c r="N51" s="17" t="s">
        <v>11350</v>
      </c>
      <c r="O51" s="17" t="s">
        <v>11351</v>
      </c>
      <c r="P51" s="17" t="str">
        <f>HYPERLINK("https://dexscreener.com/solana/FLcPDfEdzwB1Z3NgMB1FWqbiUhCLMXUzKt6i5C1Ypump", "View")</f>
        <v>View</v>
      </c>
    </row>
    <row r="52" spans="1:16" x14ac:dyDescent="0.25">
      <c r="A52" s="13" t="s">
        <v>9977</v>
      </c>
      <c r="B52" s="14">
        <v>125670</v>
      </c>
      <c r="C52" s="14">
        <v>0</v>
      </c>
      <c r="D52" s="14" t="s">
        <v>1882</v>
      </c>
      <c r="E52" s="14" t="s">
        <v>9395</v>
      </c>
      <c r="F52" s="14" t="s">
        <v>96</v>
      </c>
      <c r="G52" s="18" t="s">
        <v>3707</v>
      </c>
      <c r="H52" s="18" t="s">
        <v>98</v>
      </c>
      <c r="I52" s="14" t="s">
        <v>11352</v>
      </c>
      <c r="J52" s="14">
        <v>1</v>
      </c>
      <c r="K52" s="14">
        <v>0</v>
      </c>
      <c r="L52" s="14" t="s">
        <v>11353</v>
      </c>
      <c r="M52" s="19" t="s">
        <v>101</v>
      </c>
      <c r="N52" s="14" t="s">
        <v>11354</v>
      </c>
      <c r="O52" s="14" t="s">
        <v>9982</v>
      </c>
      <c r="P52" s="14" t="str">
        <f>HYPERLINK("https://dexscreener.com/solana/GhnSqjk15XH7m1inUgK9Lpw4CpyHAvghLniCYbikpump", "View")</f>
        <v>View</v>
      </c>
    </row>
    <row r="53" spans="1:16" x14ac:dyDescent="0.25">
      <c r="A53" s="16" t="s">
        <v>11355</v>
      </c>
      <c r="B53" s="17">
        <v>383926</v>
      </c>
      <c r="C53" s="17">
        <v>0</v>
      </c>
      <c r="D53" s="17" t="s">
        <v>1882</v>
      </c>
      <c r="E53" s="17" t="s">
        <v>9395</v>
      </c>
      <c r="F53" s="17" t="s">
        <v>96</v>
      </c>
      <c r="G53" s="18" t="s">
        <v>3707</v>
      </c>
      <c r="H53" s="18" t="s">
        <v>98</v>
      </c>
      <c r="I53" s="17" t="s">
        <v>11356</v>
      </c>
      <c r="J53" s="17">
        <v>1</v>
      </c>
      <c r="K53" s="17">
        <v>0</v>
      </c>
      <c r="L53" s="17" t="s">
        <v>11357</v>
      </c>
      <c r="M53" s="19" t="s">
        <v>101</v>
      </c>
      <c r="N53" s="17" t="s">
        <v>11358</v>
      </c>
      <c r="O53" s="17" t="s">
        <v>11359</v>
      </c>
      <c r="P53" s="17" t="str">
        <f>HYPERLINK("https://dexscreener.com/solana/CuvfotYCp78YzgNsEZVaTnKeMJf2eqEdiiSA6ywjpump", "View")</f>
        <v>View</v>
      </c>
    </row>
    <row r="54" spans="1:16" x14ac:dyDescent="0.25">
      <c r="A54" s="13" t="s">
        <v>636</v>
      </c>
      <c r="B54" s="14">
        <v>91495</v>
      </c>
      <c r="C54" s="14">
        <v>0</v>
      </c>
      <c r="D54" s="14" t="s">
        <v>1882</v>
      </c>
      <c r="E54" s="14" t="s">
        <v>9395</v>
      </c>
      <c r="F54" s="14" t="s">
        <v>96</v>
      </c>
      <c r="G54" s="18" t="s">
        <v>3707</v>
      </c>
      <c r="H54" s="18" t="s">
        <v>98</v>
      </c>
      <c r="I54" s="14" t="s">
        <v>11360</v>
      </c>
      <c r="J54" s="14">
        <v>1</v>
      </c>
      <c r="K54" s="14">
        <v>0</v>
      </c>
      <c r="L54" s="14" t="s">
        <v>11361</v>
      </c>
      <c r="M54" s="19" t="s">
        <v>101</v>
      </c>
      <c r="N54" s="14" t="s">
        <v>11362</v>
      </c>
      <c r="O54" s="14" t="s">
        <v>640</v>
      </c>
      <c r="P54" s="14" t="str">
        <f>HYPERLINK("https://dexscreener.com/solana/AJtiNiKwLQUdAEkhqRKqVHMmvpifG5QYHqnL4uvMpump", "View")</f>
        <v>View</v>
      </c>
    </row>
    <row r="55" spans="1:16" x14ac:dyDescent="0.25">
      <c r="A55" s="16" t="s">
        <v>6828</v>
      </c>
      <c r="B55" s="17">
        <v>761372</v>
      </c>
      <c r="C55" s="17">
        <v>0</v>
      </c>
      <c r="D55" s="17" t="s">
        <v>1882</v>
      </c>
      <c r="E55" s="17" t="s">
        <v>9395</v>
      </c>
      <c r="F55" s="17" t="s">
        <v>96</v>
      </c>
      <c r="G55" s="18" t="s">
        <v>3707</v>
      </c>
      <c r="H55" s="18" t="s">
        <v>98</v>
      </c>
      <c r="I55" s="17" t="s">
        <v>11363</v>
      </c>
      <c r="J55" s="17">
        <v>1</v>
      </c>
      <c r="K55" s="17">
        <v>0</v>
      </c>
      <c r="L55" s="17" t="s">
        <v>11364</v>
      </c>
      <c r="M55" s="19" t="s">
        <v>101</v>
      </c>
      <c r="N55" s="17" t="s">
        <v>1055</v>
      </c>
      <c r="O55" s="17" t="s">
        <v>6833</v>
      </c>
      <c r="P55" s="17" t="str">
        <f>HYPERLINK("https://dexscreener.com/solana/9SuoX2v4mgqJQJauTJhamjRWWWCn4cPoFhhxBfRopump", "View")</f>
        <v>View</v>
      </c>
    </row>
    <row r="56" spans="1:16" x14ac:dyDescent="0.25">
      <c r="A56" s="13" t="s">
        <v>11365</v>
      </c>
      <c r="B56" s="14">
        <v>499156</v>
      </c>
      <c r="C56" s="14">
        <v>499156</v>
      </c>
      <c r="D56" s="14" t="s">
        <v>1813</v>
      </c>
      <c r="E56" s="14" t="s">
        <v>9395</v>
      </c>
      <c r="F56" s="14" t="s">
        <v>2966</v>
      </c>
      <c r="G56" s="22" t="s">
        <v>2384</v>
      </c>
      <c r="H56" s="22" t="s">
        <v>11366</v>
      </c>
      <c r="I56" s="14" t="s">
        <v>88</v>
      </c>
      <c r="J56" s="14">
        <v>1</v>
      </c>
      <c r="K56" s="14">
        <v>1</v>
      </c>
      <c r="L56" s="14" t="s">
        <v>11367</v>
      </c>
      <c r="M56" s="14" t="s">
        <v>1434</v>
      </c>
      <c r="N56" s="14" t="s">
        <v>11368</v>
      </c>
      <c r="O56" s="14" t="s">
        <v>11369</v>
      </c>
      <c r="P56" s="14" t="str">
        <f>HYPERLINK("https://dexscreener.com/solana/TYWkp9uub8NW8DCpPuMbuLjajBkc8w1LRV2ZoFVpump", "View")</f>
        <v>View</v>
      </c>
    </row>
    <row r="57" spans="1:16" x14ac:dyDescent="0.25">
      <c r="A57" s="16" t="s">
        <v>11370</v>
      </c>
      <c r="B57" s="17">
        <v>381225</v>
      </c>
      <c r="C57" s="17">
        <v>0</v>
      </c>
      <c r="D57" s="17" t="s">
        <v>1882</v>
      </c>
      <c r="E57" s="17" t="s">
        <v>9395</v>
      </c>
      <c r="F57" s="17" t="s">
        <v>96</v>
      </c>
      <c r="G57" s="18" t="s">
        <v>3707</v>
      </c>
      <c r="H57" s="18" t="s">
        <v>98</v>
      </c>
      <c r="I57" s="17" t="s">
        <v>11371</v>
      </c>
      <c r="J57" s="17">
        <v>1</v>
      </c>
      <c r="K57" s="17">
        <v>0</v>
      </c>
      <c r="L57" s="17" t="s">
        <v>11372</v>
      </c>
      <c r="M57" s="19" t="s">
        <v>101</v>
      </c>
      <c r="N57" s="17" t="s">
        <v>6104</v>
      </c>
      <c r="O57" s="17" t="s">
        <v>11373</v>
      </c>
      <c r="P57" s="17" t="str">
        <f>HYPERLINK("https://dexscreener.com/solana/HDdvp1hbkdMBr7w9rv5JjvVWk4n7AWGcNoDbFxkmpump", "View")</f>
        <v>View</v>
      </c>
    </row>
    <row r="58" spans="1:16" x14ac:dyDescent="0.25">
      <c r="A58" s="13" t="s">
        <v>11374</v>
      </c>
      <c r="B58" s="14">
        <v>92045</v>
      </c>
      <c r="C58" s="14">
        <v>0</v>
      </c>
      <c r="D58" s="14" t="s">
        <v>1882</v>
      </c>
      <c r="E58" s="14" t="s">
        <v>9395</v>
      </c>
      <c r="F58" s="14" t="s">
        <v>96</v>
      </c>
      <c r="G58" s="18" t="s">
        <v>3707</v>
      </c>
      <c r="H58" s="18" t="s">
        <v>98</v>
      </c>
      <c r="I58" s="14" t="s">
        <v>11375</v>
      </c>
      <c r="J58" s="14">
        <v>1</v>
      </c>
      <c r="K58" s="14">
        <v>0</v>
      </c>
      <c r="L58" s="14" t="s">
        <v>11376</v>
      </c>
      <c r="M58" s="19" t="s">
        <v>101</v>
      </c>
      <c r="N58" s="14" t="s">
        <v>11377</v>
      </c>
      <c r="O58" s="14" t="s">
        <v>11378</v>
      </c>
      <c r="P58" s="14" t="str">
        <f>HYPERLINK("https://dexscreener.com/solana/3vzLGVuVxVJYAmjd4jT2n4zh6DZbQhm198pfEQJopump", "View")</f>
        <v>View</v>
      </c>
    </row>
    <row r="59" spans="1:16" x14ac:dyDescent="0.25">
      <c r="A59" s="16" t="s">
        <v>11379</v>
      </c>
      <c r="B59" s="17">
        <v>594621</v>
      </c>
      <c r="C59" s="17">
        <v>0</v>
      </c>
      <c r="D59" s="17" t="s">
        <v>1882</v>
      </c>
      <c r="E59" s="17" t="s">
        <v>8966</v>
      </c>
      <c r="F59" s="17" t="s">
        <v>96</v>
      </c>
      <c r="G59" s="18" t="s">
        <v>3821</v>
      </c>
      <c r="H59" s="18" t="s">
        <v>98</v>
      </c>
      <c r="I59" s="17" t="s">
        <v>11380</v>
      </c>
      <c r="J59" s="17">
        <v>1</v>
      </c>
      <c r="K59" s="17">
        <v>0</v>
      </c>
      <c r="L59" s="17" t="s">
        <v>11381</v>
      </c>
      <c r="M59" s="19" t="s">
        <v>101</v>
      </c>
      <c r="N59" s="17" t="s">
        <v>10167</v>
      </c>
      <c r="O59" s="17" t="s">
        <v>11382</v>
      </c>
      <c r="P59" s="17" t="str">
        <f>HYPERLINK("https://photon-sol.tinyastro.io/en/lp/71eNcJY27Z7D27RnSUpv7L9S7qNY5VhkEEYHJ9a9pump?handle=676050794bc1b1657a56b", "View")</f>
        <v>View</v>
      </c>
    </row>
    <row r="60" spans="1:16" x14ac:dyDescent="0.25">
      <c r="A60" s="13" t="s">
        <v>351</v>
      </c>
      <c r="B60" s="14">
        <v>3661</v>
      </c>
      <c r="C60" s="14">
        <v>3661</v>
      </c>
      <c r="D60" s="14" t="s">
        <v>1813</v>
      </c>
      <c r="E60" s="14" t="s">
        <v>9395</v>
      </c>
      <c r="F60" s="14" t="s">
        <v>11383</v>
      </c>
      <c r="G60" s="22" t="s">
        <v>5065</v>
      </c>
      <c r="H60" s="22" t="s">
        <v>11384</v>
      </c>
      <c r="I60" s="14" t="s">
        <v>88</v>
      </c>
      <c r="J60" s="14">
        <v>1</v>
      </c>
      <c r="K60" s="14">
        <v>1</v>
      </c>
      <c r="L60" s="14" t="s">
        <v>11385</v>
      </c>
      <c r="M60" s="14" t="s">
        <v>823</v>
      </c>
      <c r="N60" s="14" t="s">
        <v>11386</v>
      </c>
      <c r="O60" s="14" t="s">
        <v>358</v>
      </c>
      <c r="P60" s="14" t="str">
        <f>HYPERLINK("https://dexscreener.com/solana/LX2mJPsutHkUc6iXNFgumSC6LVKyc66xpy2zDTZpump", "View")</f>
        <v>View</v>
      </c>
    </row>
    <row r="61" spans="1:16" x14ac:dyDescent="0.25">
      <c r="A61" s="16" t="s">
        <v>11387</v>
      </c>
      <c r="B61" s="17">
        <v>1177</v>
      </c>
      <c r="C61" s="17">
        <v>0</v>
      </c>
      <c r="D61" s="17" t="s">
        <v>1882</v>
      </c>
      <c r="E61" s="17" t="s">
        <v>9395</v>
      </c>
      <c r="F61" s="17" t="s">
        <v>96</v>
      </c>
      <c r="G61" s="18" t="s">
        <v>3707</v>
      </c>
      <c r="H61" s="18" t="s">
        <v>98</v>
      </c>
      <c r="I61" s="17" t="s">
        <v>11388</v>
      </c>
      <c r="J61" s="17">
        <v>1</v>
      </c>
      <c r="K61" s="17">
        <v>0</v>
      </c>
      <c r="L61" s="17" t="s">
        <v>11389</v>
      </c>
      <c r="M61" s="19" t="s">
        <v>101</v>
      </c>
      <c r="N61" s="17" t="s">
        <v>11390</v>
      </c>
      <c r="O61" s="17" t="s">
        <v>11391</v>
      </c>
      <c r="P61" s="17" t="str">
        <f>HYPERLINK("https://dexscreener.com/solana/4B3NXEKgsT9hsadpCKNEwSXj6aDqwR7iqe5GzvgKpump", "View")</f>
        <v>View</v>
      </c>
    </row>
    <row r="62" spans="1:16" x14ac:dyDescent="0.25">
      <c r="A62" s="13" t="s">
        <v>9229</v>
      </c>
      <c r="B62" s="14">
        <v>1756608</v>
      </c>
      <c r="C62" s="14">
        <v>0</v>
      </c>
      <c r="D62" s="14" t="s">
        <v>1882</v>
      </c>
      <c r="E62" s="14" t="s">
        <v>8966</v>
      </c>
      <c r="F62" s="14" t="s">
        <v>96</v>
      </c>
      <c r="G62" s="18" t="s">
        <v>3821</v>
      </c>
      <c r="H62" s="18" t="s">
        <v>98</v>
      </c>
      <c r="I62" s="14" t="s">
        <v>11392</v>
      </c>
      <c r="J62" s="14">
        <v>1</v>
      </c>
      <c r="K62" s="14">
        <v>0</v>
      </c>
      <c r="L62" s="14" t="s">
        <v>11393</v>
      </c>
      <c r="M62" s="19" t="s">
        <v>101</v>
      </c>
      <c r="N62" s="14" t="s">
        <v>507</v>
      </c>
      <c r="O62" s="14" t="s">
        <v>11394</v>
      </c>
      <c r="P62" s="14" t="str">
        <f>HYPERLINK("https://photon-sol.tinyastro.io/en/lp/D81pwqe76yZPU1YypyhoA1Kpbkv1vmeASTCefxbSpump?handle=676050794bc1b1657a56b", "View")</f>
        <v>View</v>
      </c>
    </row>
    <row r="63" spans="1:16" x14ac:dyDescent="0.25">
      <c r="A63" s="16" t="s">
        <v>11395</v>
      </c>
      <c r="B63" s="17">
        <v>167776</v>
      </c>
      <c r="C63" s="17">
        <v>0</v>
      </c>
      <c r="D63" s="17" t="s">
        <v>1882</v>
      </c>
      <c r="E63" s="17" t="s">
        <v>9395</v>
      </c>
      <c r="F63" s="17" t="s">
        <v>96</v>
      </c>
      <c r="G63" s="18" t="s">
        <v>3707</v>
      </c>
      <c r="H63" s="18" t="s">
        <v>98</v>
      </c>
      <c r="I63" s="17" t="s">
        <v>11396</v>
      </c>
      <c r="J63" s="17">
        <v>1</v>
      </c>
      <c r="K63" s="17">
        <v>0</v>
      </c>
      <c r="L63" s="17" t="s">
        <v>11397</v>
      </c>
      <c r="M63" s="19" t="s">
        <v>101</v>
      </c>
      <c r="N63" s="17" t="s">
        <v>11398</v>
      </c>
      <c r="O63" s="17" t="s">
        <v>11399</v>
      </c>
      <c r="P63" s="17" t="str">
        <f>HYPERLINK("https://dexscreener.com/solana/58JkF2Nj981v6yxM2aQMpoeL2MaA7dA3SGcGuRyepump", "View")</f>
        <v>View</v>
      </c>
    </row>
    <row r="64" spans="1:16" x14ac:dyDescent="0.25">
      <c r="A64" s="13" t="s">
        <v>6954</v>
      </c>
      <c r="B64" s="14">
        <v>13968</v>
      </c>
      <c r="C64" s="14">
        <v>0</v>
      </c>
      <c r="D64" s="14" t="s">
        <v>1882</v>
      </c>
      <c r="E64" s="14" t="s">
        <v>9395</v>
      </c>
      <c r="F64" s="14" t="s">
        <v>96</v>
      </c>
      <c r="G64" s="18" t="s">
        <v>3707</v>
      </c>
      <c r="H64" s="18" t="s">
        <v>98</v>
      </c>
      <c r="I64" s="14" t="s">
        <v>11400</v>
      </c>
      <c r="J64" s="14">
        <v>1</v>
      </c>
      <c r="K64" s="14">
        <v>0</v>
      </c>
      <c r="L64" s="14" t="s">
        <v>11401</v>
      </c>
      <c r="M64" s="19" t="s">
        <v>101</v>
      </c>
      <c r="N64" s="14" t="s">
        <v>11402</v>
      </c>
      <c r="O64" s="14" t="s">
        <v>6962</v>
      </c>
      <c r="P64" s="14" t="str">
        <f>HYPERLINK("https://dexscreener.com/solana/E5B5yyJWgNSQCHELcPWHsHPmpxj97rTnifNo28RXpump", "View")</f>
        <v>View</v>
      </c>
    </row>
    <row r="65" spans="1:16" x14ac:dyDescent="0.25">
      <c r="A65" s="16" t="s">
        <v>6971</v>
      </c>
      <c r="B65" s="17">
        <v>149631</v>
      </c>
      <c r="C65" s="17">
        <v>0</v>
      </c>
      <c r="D65" s="17" t="s">
        <v>1882</v>
      </c>
      <c r="E65" s="17" t="s">
        <v>9395</v>
      </c>
      <c r="F65" s="17" t="s">
        <v>96</v>
      </c>
      <c r="G65" s="18" t="s">
        <v>3707</v>
      </c>
      <c r="H65" s="18" t="s">
        <v>98</v>
      </c>
      <c r="I65" s="17" t="s">
        <v>11403</v>
      </c>
      <c r="J65" s="17">
        <v>1</v>
      </c>
      <c r="K65" s="17">
        <v>0</v>
      </c>
      <c r="L65" s="17" t="s">
        <v>11404</v>
      </c>
      <c r="M65" s="19" t="s">
        <v>101</v>
      </c>
      <c r="N65" s="17" t="s">
        <v>11405</v>
      </c>
      <c r="O65" s="17" t="s">
        <v>11406</v>
      </c>
      <c r="P65" s="17" t="str">
        <f>HYPERLINK("https://dexscreener.com/solana/DkLD5iPkJmqxa7iZ2XgnyPZTFCTxyRVrWXr9kjeRpump", "View")</f>
        <v>View</v>
      </c>
    </row>
    <row r="66" spans="1:16" x14ac:dyDescent="0.25">
      <c r="A66" s="13" t="s">
        <v>6971</v>
      </c>
      <c r="B66" s="14">
        <v>548514</v>
      </c>
      <c r="C66" s="14">
        <v>0</v>
      </c>
      <c r="D66" s="14" t="s">
        <v>1882</v>
      </c>
      <c r="E66" s="14" t="s">
        <v>9395</v>
      </c>
      <c r="F66" s="14" t="s">
        <v>96</v>
      </c>
      <c r="G66" s="18" t="s">
        <v>3707</v>
      </c>
      <c r="H66" s="18" t="s">
        <v>98</v>
      </c>
      <c r="I66" s="14" t="s">
        <v>11407</v>
      </c>
      <c r="J66" s="14">
        <v>1</v>
      </c>
      <c r="K66" s="14">
        <v>0</v>
      </c>
      <c r="L66" s="14" t="s">
        <v>11408</v>
      </c>
      <c r="M66" s="19" t="s">
        <v>101</v>
      </c>
      <c r="N66" s="14" t="s">
        <v>11409</v>
      </c>
      <c r="O66" s="14" t="s">
        <v>6979</v>
      </c>
      <c r="P66" s="14" t="str">
        <f>HYPERLINK("https://dexscreener.com/solana/6DvfVfWnY1C2Nz2r4vi3qmAgjtFBHZxPcAetNfMGpump", "View")</f>
        <v>View</v>
      </c>
    </row>
    <row r="67" spans="1:16" x14ac:dyDescent="0.25">
      <c r="A67" s="16" t="s">
        <v>870</v>
      </c>
      <c r="B67" s="17">
        <v>1037490</v>
      </c>
      <c r="C67" s="17">
        <v>0</v>
      </c>
      <c r="D67" s="17" t="s">
        <v>1813</v>
      </c>
      <c r="E67" s="17" t="s">
        <v>3570</v>
      </c>
      <c r="F67" s="17" t="s">
        <v>96</v>
      </c>
      <c r="G67" s="18" t="s">
        <v>11410</v>
      </c>
      <c r="H67" s="18" t="s">
        <v>98</v>
      </c>
      <c r="I67" s="17" t="s">
        <v>11411</v>
      </c>
      <c r="J67" s="17">
        <v>2</v>
      </c>
      <c r="K67" s="17">
        <v>0</v>
      </c>
      <c r="L67" s="17" t="s">
        <v>11412</v>
      </c>
      <c r="M67" s="17" t="s">
        <v>2047</v>
      </c>
      <c r="N67" s="17" t="s">
        <v>11413</v>
      </c>
      <c r="O67" s="17" t="s">
        <v>875</v>
      </c>
      <c r="P67" s="17" t="str">
        <f>HYPERLINK("https://dexscreener.com/solana/35Ahbg8yjGh9kKANhh1rTJnbqWYSfbQ4gXdqF4h4pump", "View")</f>
        <v>View</v>
      </c>
    </row>
    <row r="68" spans="1:16" x14ac:dyDescent="0.25">
      <c r="A68" s="13" t="s">
        <v>11414</v>
      </c>
      <c r="B68" s="14">
        <v>351647</v>
      </c>
      <c r="C68" s="14">
        <v>0</v>
      </c>
      <c r="D68" s="14" t="s">
        <v>1882</v>
      </c>
      <c r="E68" s="14" t="s">
        <v>9395</v>
      </c>
      <c r="F68" s="14" t="s">
        <v>96</v>
      </c>
      <c r="G68" s="18" t="s">
        <v>3707</v>
      </c>
      <c r="H68" s="18" t="s">
        <v>98</v>
      </c>
      <c r="I68" s="14" t="s">
        <v>11415</v>
      </c>
      <c r="J68" s="14">
        <v>1</v>
      </c>
      <c r="K68" s="14">
        <v>0</v>
      </c>
      <c r="L68" s="14" t="s">
        <v>11416</v>
      </c>
      <c r="M68" s="19" t="s">
        <v>101</v>
      </c>
      <c r="N68" s="14" t="s">
        <v>11417</v>
      </c>
      <c r="O68" s="14" t="s">
        <v>11418</v>
      </c>
      <c r="P68" s="14" t="str">
        <f>HYPERLINK("https://dexscreener.com/solana/AYKA69vt8dGabhiBSJ5hjsG9rK78nwC6ZvVVCV3opump", "View")</f>
        <v>View</v>
      </c>
    </row>
    <row r="69" spans="1:16" x14ac:dyDescent="0.25">
      <c r="A69" s="16" t="s">
        <v>11419</v>
      </c>
      <c r="B69" s="17">
        <v>494534</v>
      </c>
      <c r="C69" s="17">
        <v>0</v>
      </c>
      <c r="D69" s="17" t="s">
        <v>1882</v>
      </c>
      <c r="E69" s="17" t="s">
        <v>5534</v>
      </c>
      <c r="F69" s="17" t="s">
        <v>96</v>
      </c>
      <c r="G69" s="18" t="s">
        <v>3293</v>
      </c>
      <c r="H69" s="18" t="s">
        <v>98</v>
      </c>
      <c r="I69" s="17" t="s">
        <v>11420</v>
      </c>
      <c r="J69" s="17">
        <v>1</v>
      </c>
      <c r="K69" s="17">
        <v>0</v>
      </c>
      <c r="L69" s="17" t="s">
        <v>11421</v>
      </c>
      <c r="M69" s="19" t="s">
        <v>101</v>
      </c>
      <c r="N69" s="17" t="s">
        <v>968</v>
      </c>
      <c r="O69" s="17" t="s">
        <v>11422</v>
      </c>
      <c r="P69" s="17" t="str">
        <f>HYPERLINK("https://dexscreener.com/solana/9TeNh5FeCHLY2qNnvDztEdGcU5sH1yty8Q5tcuMjpump", "View")</f>
        <v>View</v>
      </c>
    </row>
    <row r="70" spans="1:16" x14ac:dyDescent="0.25">
      <c r="A70" s="13" t="s">
        <v>11423</v>
      </c>
      <c r="B70" s="14">
        <v>51321</v>
      </c>
      <c r="C70" s="14">
        <v>51321</v>
      </c>
      <c r="D70" s="14" t="s">
        <v>1813</v>
      </c>
      <c r="E70" s="14" t="s">
        <v>9395</v>
      </c>
      <c r="F70" s="14" t="s">
        <v>9553</v>
      </c>
      <c r="G70" s="20" t="s">
        <v>5733</v>
      </c>
      <c r="H70" s="20" t="s">
        <v>11424</v>
      </c>
      <c r="I70" s="14" t="s">
        <v>88</v>
      </c>
      <c r="J70" s="14">
        <v>1</v>
      </c>
      <c r="K70" s="14">
        <v>1</v>
      </c>
      <c r="L70" s="14" t="s">
        <v>11425</v>
      </c>
      <c r="M70" s="14" t="s">
        <v>2715</v>
      </c>
      <c r="N70" s="14" t="s">
        <v>11426</v>
      </c>
      <c r="O70" s="14" t="s">
        <v>11427</v>
      </c>
      <c r="P70" s="14" t="str">
        <f>HYPERLINK("https://dexscreener.com/solana/3JsKWXZ5rcjq8BkjuPdeTpABVSJgsCNQGe2iNBBtpump", "View")</f>
        <v>View</v>
      </c>
    </row>
    <row r="71" spans="1:16" x14ac:dyDescent="0.25">
      <c r="A71" s="16" t="s">
        <v>11428</v>
      </c>
      <c r="B71" s="17">
        <v>265690</v>
      </c>
      <c r="C71" s="17">
        <v>0</v>
      </c>
      <c r="D71" s="17" t="s">
        <v>1882</v>
      </c>
      <c r="E71" s="17" t="s">
        <v>9395</v>
      </c>
      <c r="F71" s="17" t="s">
        <v>96</v>
      </c>
      <c r="G71" s="18" t="s">
        <v>3707</v>
      </c>
      <c r="H71" s="18" t="s">
        <v>98</v>
      </c>
      <c r="I71" s="17" t="s">
        <v>11429</v>
      </c>
      <c r="J71" s="17">
        <v>1</v>
      </c>
      <c r="K71" s="17">
        <v>0</v>
      </c>
      <c r="L71" s="17" t="s">
        <v>11430</v>
      </c>
      <c r="M71" s="19" t="s">
        <v>101</v>
      </c>
      <c r="N71" s="17" t="s">
        <v>11431</v>
      </c>
      <c r="O71" s="17" t="s">
        <v>11432</v>
      </c>
      <c r="P71" s="17" t="str">
        <f>HYPERLINK("https://dexscreener.com/solana/A9U8t93QTB3U7y3G3bj2AfMdugpoKLqPUniSvXekpump", "View")</f>
        <v>View</v>
      </c>
    </row>
    <row r="72" spans="1:16" x14ac:dyDescent="0.25">
      <c r="A72" s="13" t="s">
        <v>11433</v>
      </c>
      <c r="B72" s="14">
        <v>58173</v>
      </c>
      <c r="C72" s="14">
        <v>0</v>
      </c>
      <c r="D72" s="14" t="s">
        <v>1882</v>
      </c>
      <c r="E72" s="14" t="s">
        <v>9395</v>
      </c>
      <c r="F72" s="14" t="s">
        <v>96</v>
      </c>
      <c r="G72" s="18" t="s">
        <v>3707</v>
      </c>
      <c r="H72" s="18" t="s">
        <v>98</v>
      </c>
      <c r="I72" s="14" t="s">
        <v>11434</v>
      </c>
      <c r="J72" s="14">
        <v>1</v>
      </c>
      <c r="K72" s="14">
        <v>0</v>
      </c>
      <c r="L72" s="14" t="s">
        <v>11435</v>
      </c>
      <c r="M72" s="19" t="s">
        <v>101</v>
      </c>
      <c r="N72" s="14" t="s">
        <v>11436</v>
      </c>
      <c r="O72" s="14" t="s">
        <v>11437</v>
      </c>
      <c r="P72" s="14" t="str">
        <f>HYPERLINK("https://dexscreener.com/solana/65jY1botppeWYuDmr7wrWFa2VJSo4UHau3oypAdFpump", "View")</f>
        <v>View</v>
      </c>
    </row>
    <row r="73" spans="1:16" x14ac:dyDescent="0.25">
      <c r="A73" s="16" t="s">
        <v>11438</v>
      </c>
      <c r="B73" s="17">
        <v>273365</v>
      </c>
      <c r="C73" s="17">
        <v>0</v>
      </c>
      <c r="D73" s="17" t="s">
        <v>1882</v>
      </c>
      <c r="E73" s="17" t="s">
        <v>9395</v>
      </c>
      <c r="F73" s="17" t="s">
        <v>96</v>
      </c>
      <c r="G73" s="18" t="s">
        <v>3707</v>
      </c>
      <c r="H73" s="18" t="s">
        <v>98</v>
      </c>
      <c r="I73" s="17" t="s">
        <v>11439</v>
      </c>
      <c r="J73" s="17">
        <v>1</v>
      </c>
      <c r="K73" s="17">
        <v>0</v>
      </c>
      <c r="L73" s="17" t="s">
        <v>11440</v>
      </c>
      <c r="M73" s="19" t="s">
        <v>101</v>
      </c>
      <c r="N73" s="17" t="s">
        <v>11441</v>
      </c>
      <c r="O73" s="17" t="s">
        <v>11442</v>
      </c>
      <c r="P73" s="17" t="str">
        <f>HYPERLINK("https://dexscreener.com/solana/HRnfcWw8xJY369fxU8yYaHqiLHRFWsAX4MbEWGpfpump", "View")</f>
        <v>View</v>
      </c>
    </row>
    <row r="74" spans="1:16" x14ac:dyDescent="0.25">
      <c r="A74" s="13" t="s">
        <v>11443</v>
      </c>
      <c r="B74" s="14">
        <v>32152</v>
      </c>
      <c r="C74" s="14">
        <v>16076</v>
      </c>
      <c r="D74" s="14" t="s">
        <v>1813</v>
      </c>
      <c r="E74" s="14" t="s">
        <v>9395</v>
      </c>
      <c r="F74" s="14" t="s">
        <v>2029</v>
      </c>
      <c r="G74" s="22" t="s">
        <v>4147</v>
      </c>
      <c r="H74" s="22" t="s">
        <v>11444</v>
      </c>
      <c r="I74" s="14" t="s">
        <v>88</v>
      </c>
      <c r="J74" s="14">
        <v>1</v>
      </c>
      <c r="K74" s="14">
        <v>1</v>
      </c>
      <c r="L74" s="14" t="s">
        <v>11445</v>
      </c>
      <c r="M74" s="14" t="s">
        <v>788</v>
      </c>
      <c r="N74" s="14" t="s">
        <v>11446</v>
      </c>
      <c r="O74" s="14" t="s">
        <v>11447</v>
      </c>
      <c r="P74" s="14" t="str">
        <f>HYPERLINK("https://dexscreener.com/solana/4HEN6QcmzjGfhSgpyyfTsE7ohdamb5jMPHRg2RXapump", "View")</f>
        <v>View</v>
      </c>
    </row>
    <row r="75" spans="1:16" x14ac:dyDescent="0.25">
      <c r="A75" s="16" t="s">
        <v>9357</v>
      </c>
      <c r="B75" s="17">
        <v>100491</v>
      </c>
      <c r="C75" s="17">
        <v>100491</v>
      </c>
      <c r="D75" s="17" t="s">
        <v>1813</v>
      </c>
      <c r="E75" s="17" t="s">
        <v>9395</v>
      </c>
      <c r="F75" s="17" t="s">
        <v>11448</v>
      </c>
      <c r="G75" s="22" t="s">
        <v>3047</v>
      </c>
      <c r="H75" s="22" t="s">
        <v>11449</v>
      </c>
      <c r="I75" s="17" t="s">
        <v>88</v>
      </c>
      <c r="J75" s="17">
        <v>1</v>
      </c>
      <c r="K75" s="17">
        <v>1</v>
      </c>
      <c r="L75" s="17" t="s">
        <v>11450</v>
      </c>
      <c r="M75" s="17" t="s">
        <v>179</v>
      </c>
      <c r="N75" s="17" t="s">
        <v>11451</v>
      </c>
      <c r="O75" s="17" t="s">
        <v>11452</v>
      </c>
      <c r="P75" s="17" t="str">
        <f>HYPERLINK("https://dexscreener.com/solana/A8h78muegtuonUxqAhpmWcM8pJskYsTW4Xp5C33ipump", "View")</f>
        <v>View</v>
      </c>
    </row>
    <row r="76" spans="1:16" x14ac:dyDescent="0.25">
      <c r="A76" s="13" t="s">
        <v>4518</v>
      </c>
      <c r="B76" s="14">
        <v>7489</v>
      </c>
      <c r="C76" s="14">
        <v>7489</v>
      </c>
      <c r="D76" s="14" t="s">
        <v>11337</v>
      </c>
      <c r="E76" s="14" t="s">
        <v>11302</v>
      </c>
      <c r="F76" s="14" t="s">
        <v>11453</v>
      </c>
      <c r="G76" s="22" t="s">
        <v>11454</v>
      </c>
      <c r="H76" s="22" t="s">
        <v>11455</v>
      </c>
      <c r="I76" s="14" t="s">
        <v>88</v>
      </c>
      <c r="J76" s="14">
        <v>3</v>
      </c>
      <c r="K76" s="14">
        <v>4</v>
      </c>
      <c r="L76" s="14" t="s">
        <v>11456</v>
      </c>
      <c r="M76" s="14" t="s">
        <v>414</v>
      </c>
      <c r="N76" s="14" t="s">
        <v>11457</v>
      </c>
      <c r="O76" s="14" t="s">
        <v>4525</v>
      </c>
      <c r="P76" s="14" t="str">
        <f>HYPERLINK("https://dexscreener.com/solana/FqvtZ2UFR9we82Ni4LeacC1zyTiQ77usDo31DUokpump", "View")</f>
        <v>View</v>
      </c>
    </row>
    <row r="77" spans="1:16" x14ac:dyDescent="0.25">
      <c r="A77" s="16" t="s">
        <v>11458</v>
      </c>
      <c r="B77" s="17">
        <v>111358</v>
      </c>
      <c r="C77" s="17">
        <v>0</v>
      </c>
      <c r="D77" s="17" t="s">
        <v>1882</v>
      </c>
      <c r="E77" s="17" t="s">
        <v>9395</v>
      </c>
      <c r="F77" s="17" t="s">
        <v>96</v>
      </c>
      <c r="G77" s="18" t="s">
        <v>3707</v>
      </c>
      <c r="H77" s="18" t="s">
        <v>98</v>
      </c>
      <c r="I77" s="17" t="s">
        <v>11459</v>
      </c>
      <c r="J77" s="17">
        <v>1</v>
      </c>
      <c r="K77" s="17">
        <v>0</v>
      </c>
      <c r="L77" s="17" t="s">
        <v>11460</v>
      </c>
      <c r="M77" s="19" t="s">
        <v>101</v>
      </c>
      <c r="N77" s="17" t="s">
        <v>11461</v>
      </c>
      <c r="O77" s="17" t="s">
        <v>11462</v>
      </c>
      <c r="P77" s="17" t="str">
        <f>HYPERLINK("https://dexscreener.com/solana/G7YVLUYbhiqBXFt4uhKF4Ejs1eC7yvbDhr2syFKWpump", "View")</f>
        <v>View</v>
      </c>
    </row>
    <row r="78" spans="1:16" x14ac:dyDescent="0.25">
      <c r="A78" s="13" t="s">
        <v>11463</v>
      </c>
      <c r="B78" s="14">
        <v>207987</v>
      </c>
      <c r="C78" s="14">
        <v>103994</v>
      </c>
      <c r="D78" s="14" t="s">
        <v>1813</v>
      </c>
      <c r="E78" s="14" t="s">
        <v>10121</v>
      </c>
      <c r="F78" s="14" t="s">
        <v>11464</v>
      </c>
      <c r="G78" s="21" t="s">
        <v>5894</v>
      </c>
      <c r="H78" s="21" t="s">
        <v>11465</v>
      </c>
      <c r="I78" s="14" t="s">
        <v>88</v>
      </c>
      <c r="J78" s="14">
        <v>1</v>
      </c>
      <c r="K78" s="14">
        <v>1</v>
      </c>
      <c r="L78" s="14" t="s">
        <v>11466</v>
      </c>
      <c r="M78" s="14" t="s">
        <v>1642</v>
      </c>
      <c r="N78" s="14" t="s">
        <v>11467</v>
      </c>
      <c r="O78" s="14" t="s">
        <v>11468</v>
      </c>
      <c r="P78" s="14" t="str">
        <f>HYPERLINK("https://dexscreener.com/solana/3tzcc3RLLnLcZNQ7v1WAsBDgNw1JdjnBCEs8PDXcpump", "View")</f>
        <v>View</v>
      </c>
    </row>
    <row r="79" spans="1:16" x14ac:dyDescent="0.25">
      <c r="A79" s="16" t="s">
        <v>11469</v>
      </c>
      <c r="B79" s="17">
        <v>254344</v>
      </c>
      <c r="C79" s="17">
        <v>127172</v>
      </c>
      <c r="D79" s="17" t="s">
        <v>1813</v>
      </c>
      <c r="E79" s="17" t="s">
        <v>9395</v>
      </c>
      <c r="F79" s="17" t="s">
        <v>10587</v>
      </c>
      <c r="G79" s="21" t="s">
        <v>5358</v>
      </c>
      <c r="H79" s="21" t="s">
        <v>11470</v>
      </c>
      <c r="I79" s="17" t="s">
        <v>88</v>
      </c>
      <c r="J79" s="17">
        <v>1</v>
      </c>
      <c r="K79" s="17">
        <v>1</v>
      </c>
      <c r="L79" s="17" t="s">
        <v>11471</v>
      </c>
      <c r="M79" s="17" t="s">
        <v>179</v>
      </c>
      <c r="N79" s="17" t="s">
        <v>11472</v>
      </c>
      <c r="O79" s="17" t="s">
        <v>11473</v>
      </c>
      <c r="P79" s="17" t="str">
        <f>HYPERLINK("https://dexscreener.com/solana/81dPU3F3aoxQ6Q1xDcvK6ergNWutLYyFnxsPBzRspump", "View")</f>
        <v>View</v>
      </c>
    </row>
    <row r="80" spans="1:16" x14ac:dyDescent="0.25">
      <c r="A80" s="13" t="s">
        <v>11474</v>
      </c>
      <c r="B80" s="14">
        <v>240815</v>
      </c>
      <c r="C80" s="14">
        <v>0</v>
      </c>
      <c r="D80" s="14" t="s">
        <v>1882</v>
      </c>
      <c r="E80" s="14" t="s">
        <v>9395</v>
      </c>
      <c r="F80" s="14" t="s">
        <v>96</v>
      </c>
      <c r="G80" s="18" t="s">
        <v>3707</v>
      </c>
      <c r="H80" s="18" t="s">
        <v>98</v>
      </c>
      <c r="I80" s="14" t="s">
        <v>11475</v>
      </c>
      <c r="J80" s="14">
        <v>1</v>
      </c>
      <c r="K80" s="14">
        <v>0</v>
      </c>
      <c r="L80" s="14" t="s">
        <v>11476</v>
      </c>
      <c r="M80" s="19" t="s">
        <v>101</v>
      </c>
      <c r="N80" s="14" t="s">
        <v>11477</v>
      </c>
      <c r="O80" s="14" t="s">
        <v>11478</v>
      </c>
      <c r="P80" s="14" t="str">
        <f>HYPERLINK("https://dexscreener.com/solana/7qYVbZY9apv1G5YFpmjjJedGMf1kNYbtW9dHQJ71pump", "View")</f>
        <v>View</v>
      </c>
    </row>
    <row r="81" spans="1:16" x14ac:dyDescent="0.25">
      <c r="A81" s="16" t="s">
        <v>4771</v>
      </c>
      <c r="B81" s="17">
        <v>87304</v>
      </c>
      <c r="C81" s="17">
        <v>43652</v>
      </c>
      <c r="D81" s="17" t="s">
        <v>1813</v>
      </c>
      <c r="E81" s="17" t="s">
        <v>9395</v>
      </c>
      <c r="F81" s="17" t="s">
        <v>4108</v>
      </c>
      <c r="G81" s="20" t="s">
        <v>11479</v>
      </c>
      <c r="H81" s="20" t="s">
        <v>11480</v>
      </c>
      <c r="I81" s="17" t="s">
        <v>88</v>
      </c>
      <c r="J81" s="17">
        <v>1</v>
      </c>
      <c r="K81" s="17">
        <v>1</v>
      </c>
      <c r="L81" s="17" t="s">
        <v>11481</v>
      </c>
      <c r="M81" s="17" t="s">
        <v>1705</v>
      </c>
      <c r="N81" s="17" t="s">
        <v>11482</v>
      </c>
      <c r="O81" s="17" t="s">
        <v>11483</v>
      </c>
      <c r="P81" s="17" t="str">
        <f>HYPERLINK("https://dexscreener.com/solana/71ZaewQ9qJ1rJRqwPj9t4sxSZCpdPnbfmK82VQ6mpump", "View")</f>
        <v>View</v>
      </c>
    </row>
    <row r="82" spans="1:16" x14ac:dyDescent="0.25">
      <c r="A82" s="13" t="s">
        <v>11484</v>
      </c>
      <c r="B82" s="14">
        <v>756227</v>
      </c>
      <c r="C82" s="14">
        <v>567170</v>
      </c>
      <c r="D82" s="14" t="s">
        <v>9537</v>
      </c>
      <c r="E82" s="14" t="s">
        <v>10388</v>
      </c>
      <c r="F82" s="14" t="s">
        <v>3359</v>
      </c>
      <c r="G82" s="20" t="s">
        <v>11485</v>
      </c>
      <c r="H82" s="20" t="s">
        <v>11486</v>
      </c>
      <c r="I82" s="14" t="s">
        <v>88</v>
      </c>
      <c r="J82" s="14">
        <v>4</v>
      </c>
      <c r="K82" s="14">
        <v>1</v>
      </c>
      <c r="L82" s="14" t="s">
        <v>11487</v>
      </c>
      <c r="M82" s="14" t="s">
        <v>680</v>
      </c>
      <c r="N82" s="14" t="s">
        <v>11488</v>
      </c>
      <c r="O82" s="14" t="s">
        <v>11489</v>
      </c>
      <c r="P82" s="14" t="str">
        <f>HYPERLINK("https://dexscreener.com/solana/72Mxi5AsAQ6fRqQSrqfRbtctib1XHQVamkhKLfP7pump", "View")</f>
        <v>View</v>
      </c>
    </row>
    <row r="83" spans="1:16" x14ac:dyDescent="0.25">
      <c r="A83" s="16" t="s">
        <v>7988</v>
      </c>
      <c r="B83" s="17">
        <v>219116</v>
      </c>
      <c r="C83" s="17">
        <v>219116</v>
      </c>
      <c r="D83" s="17" t="s">
        <v>1813</v>
      </c>
      <c r="E83" s="17" t="s">
        <v>9395</v>
      </c>
      <c r="F83" s="17" t="s">
        <v>4679</v>
      </c>
      <c r="G83" s="22" t="s">
        <v>5687</v>
      </c>
      <c r="H83" s="22" t="s">
        <v>11490</v>
      </c>
      <c r="I83" s="17" t="s">
        <v>88</v>
      </c>
      <c r="J83" s="17">
        <v>1</v>
      </c>
      <c r="K83" s="17">
        <v>1</v>
      </c>
      <c r="L83" s="17" t="s">
        <v>11491</v>
      </c>
      <c r="M83" s="17" t="s">
        <v>132</v>
      </c>
      <c r="N83" s="17" t="s">
        <v>11492</v>
      </c>
      <c r="O83" s="17" t="s">
        <v>7994</v>
      </c>
      <c r="P83" s="17" t="str">
        <f>HYPERLINK("https://dexscreener.com/solana/GpLF6vGzZvn2ZPdVxP7m1LTuAndbiKrpAbnFNVSEpump", "View")</f>
        <v>View</v>
      </c>
    </row>
    <row r="84" spans="1:16" x14ac:dyDescent="0.25">
      <c r="A84" s="13" t="s">
        <v>10184</v>
      </c>
      <c r="B84" s="14">
        <v>89252</v>
      </c>
      <c r="C84" s="14">
        <v>89252</v>
      </c>
      <c r="D84" s="14" t="s">
        <v>1813</v>
      </c>
      <c r="E84" s="14" t="s">
        <v>9395</v>
      </c>
      <c r="F84" s="14" t="s">
        <v>3785</v>
      </c>
      <c r="G84" s="22" t="s">
        <v>2890</v>
      </c>
      <c r="H84" s="22" t="s">
        <v>11493</v>
      </c>
      <c r="I84" s="14" t="s">
        <v>88</v>
      </c>
      <c r="J84" s="14">
        <v>1</v>
      </c>
      <c r="K84" s="14">
        <v>1</v>
      </c>
      <c r="L84" s="14" t="s">
        <v>11494</v>
      </c>
      <c r="M84" s="14" t="s">
        <v>379</v>
      </c>
      <c r="N84" s="14" t="s">
        <v>11495</v>
      </c>
      <c r="O84" s="14" t="s">
        <v>10188</v>
      </c>
      <c r="P84" s="14" t="str">
        <f>HYPERLINK("https://dexscreener.com/solana/FXPn4kM8M252tbRXV4mvdqSQvY6jrg3J5cuRCphXpump", "View")</f>
        <v>View</v>
      </c>
    </row>
    <row r="85" spans="1:16" x14ac:dyDescent="0.25">
      <c r="A85" s="16" t="s">
        <v>11496</v>
      </c>
      <c r="B85" s="17">
        <v>87009</v>
      </c>
      <c r="C85" s="17">
        <v>87009</v>
      </c>
      <c r="D85" s="17" t="s">
        <v>7092</v>
      </c>
      <c r="E85" s="17" t="s">
        <v>3045</v>
      </c>
      <c r="F85" s="17" t="s">
        <v>11497</v>
      </c>
      <c r="G85" s="21" t="s">
        <v>11498</v>
      </c>
      <c r="H85" s="21" t="s">
        <v>11499</v>
      </c>
      <c r="I85" s="17" t="s">
        <v>88</v>
      </c>
      <c r="J85" s="17">
        <v>2</v>
      </c>
      <c r="K85" s="17">
        <v>2</v>
      </c>
      <c r="L85" s="17" t="s">
        <v>11500</v>
      </c>
      <c r="M85" s="17" t="s">
        <v>414</v>
      </c>
      <c r="N85" s="17" t="s">
        <v>11501</v>
      </c>
      <c r="O85" s="17" t="s">
        <v>11502</v>
      </c>
      <c r="P85" s="17" t="str">
        <f>HYPERLINK("https://dexscreener.com/solana/dFVMDELpHeSL4CfCmNiuGS6XRyxSAgP7AwW266Lpump", "View")</f>
        <v>View</v>
      </c>
    </row>
    <row r="86" spans="1:16" x14ac:dyDescent="0.25">
      <c r="A86" s="13" t="s">
        <v>11503</v>
      </c>
      <c r="B86" s="14">
        <v>72159</v>
      </c>
      <c r="C86" s="14">
        <v>72159</v>
      </c>
      <c r="D86" s="14" t="s">
        <v>1813</v>
      </c>
      <c r="E86" s="14" t="s">
        <v>9395</v>
      </c>
      <c r="F86" s="14" t="s">
        <v>3563</v>
      </c>
      <c r="G86" s="20" t="s">
        <v>3446</v>
      </c>
      <c r="H86" s="20" t="s">
        <v>11504</v>
      </c>
      <c r="I86" s="14" t="s">
        <v>88</v>
      </c>
      <c r="J86" s="14">
        <v>1</v>
      </c>
      <c r="K86" s="14">
        <v>1</v>
      </c>
      <c r="L86" s="14" t="s">
        <v>11505</v>
      </c>
      <c r="M86" s="14" t="s">
        <v>672</v>
      </c>
      <c r="N86" s="14" t="s">
        <v>11506</v>
      </c>
      <c r="O86" s="14" t="s">
        <v>11507</v>
      </c>
      <c r="P86" s="14" t="str">
        <f>HYPERLINK("https://dexscreener.com/solana/AGLsGEYqNHxkZomHMo1jESRGZ98kfuaLGgNHgT92pump", "View")</f>
        <v>View</v>
      </c>
    </row>
    <row r="87" spans="1:16" x14ac:dyDescent="0.25">
      <c r="A87" s="16" t="s">
        <v>1205</v>
      </c>
      <c r="B87" s="17">
        <v>77752</v>
      </c>
      <c r="C87" s="17">
        <v>38876</v>
      </c>
      <c r="D87" s="17" t="s">
        <v>9569</v>
      </c>
      <c r="E87" s="17" t="s">
        <v>3045</v>
      </c>
      <c r="F87" s="17" t="s">
        <v>11508</v>
      </c>
      <c r="G87" s="20" t="s">
        <v>11509</v>
      </c>
      <c r="H87" s="20" t="s">
        <v>11510</v>
      </c>
      <c r="I87" s="17" t="s">
        <v>88</v>
      </c>
      <c r="J87" s="17">
        <v>2</v>
      </c>
      <c r="K87" s="17">
        <v>1</v>
      </c>
      <c r="L87" s="17" t="s">
        <v>11511</v>
      </c>
      <c r="M87" s="17" t="s">
        <v>150</v>
      </c>
      <c r="N87" s="17" t="s">
        <v>11512</v>
      </c>
      <c r="O87" s="17" t="s">
        <v>10208</v>
      </c>
      <c r="P87" s="17" t="str">
        <f>HYPERLINK("https://dexscreener.com/solana/79yTpy8uwmAkrdgZdq6ZSBTvxKsgPrNqTLvYQBh1pump", "View")</f>
        <v>View</v>
      </c>
    </row>
    <row r="88" spans="1:16" x14ac:dyDescent="0.25">
      <c r="A88" s="13" t="s">
        <v>5726</v>
      </c>
      <c r="B88" s="14">
        <v>292378</v>
      </c>
      <c r="C88" s="14">
        <v>292378</v>
      </c>
      <c r="D88" s="14" t="s">
        <v>7092</v>
      </c>
      <c r="E88" s="14" t="s">
        <v>9395</v>
      </c>
      <c r="F88" s="14" t="s">
        <v>11513</v>
      </c>
      <c r="G88" s="21" t="s">
        <v>11514</v>
      </c>
      <c r="H88" s="21" t="s">
        <v>11515</v>
      </c>
      <c r="I88" s="14" t="s">
        <v>88</v>
      </c>
      <c r="J88" s="14">
        <v>1</v>
      </c>
      <c r="K88" s="14">
        <v>3</v>
      </c>
      <c r="L88" s="14" t="s">
        <v>11516</v>
      </c>
      <c r="M88" s="14" t="s">
        <v>745</v>
      </c>
      <c r="N88" s="14" t="s">
        <v>11517</v>
      </c>
      <c r="O88" s="14" t="s">
        <v>5731</v>
      </c>
      <c r="P88" s="14" t="str">
        <f>HYPERLINK("https://dexscreener.com/solana/9pWPUXoZKWNPWyaegPQeR3Kn8aFz9nrGtm5jeAFzpump", "View")</f>
        <v>View</v>
      </c>
    </row>
    <row r="89" spans="1:16" x14ac:dyDescent="0.25">
      <c r="A89" s="16" t="s">
        <v>11518</v>
      </c>
      <c r="B89" s="17">
        <v>1992274</v>
      </c>
      <c r="C89" s="17">
        <v>0</v>
      </c>
      <c r="D89" s="17" t="s">
        <v>1882</v>
      </c>
      <c r="E89" s="17" t="s">
        <v>3045</v>
      </c>
      <c r="F89" s="17" t="s">
        <v>96</v>
      </c>
      <c r="G89" s="18" t="s">
        <v>11519</v>
      </c>
      <c r="H89" s="18" t="s">
        <v>98</v>
      </c>
      <c r="I89" s="17" t="s">
        <v>11520</v>
      </c>
      <c r="J89" s="17">
        <v>1</v>
      </c>
      <c r="K89" s="17">
        <v>0</v>
      </c>
      <c r="L89" s="17" t="s">
        <v>11521</v>
      </c>
      <c r="M89" s="19" t="s">
        <v>101</v>
      </c>
      <c r="N89" s="17" t="s">
        <v>11522</v>
      </c>
      <c r="O89" s="17" t="s">
        <v>11523</v>
      </c>
      <c r="P89" s="17" t="str">
        <f>HYPERLINK("https://dexscreener.com/solana/CfH6EWK9BMsYuebzde854TMpkQ43Yjp1jq3Yv289pump", "View")</f>
        <v>View</v>
      </c>
    </row>
    <row r="90" spans="1:16" x14ac:dyDescent="0.25">
      <c r="A90" s="13" t="s">
        <v>11524</v>
      </c>
      <c r="B90" s="14">
        <v>285934</v>
      </c>
      <c r="C90" s="14">
        <v>0</v>
      </c>
      <c r="D90" s="14" t="s">
        <v>1882</v>
      </c>
      <c r="E90" s="14" t="s">
        <v>9395</v>
      </c>
      <c r="F90" s="14" t="s">
        <v>96</v>
      </c>
      <c r="G90" s="18" t="s">
        <v>3707</v>
      </c>
      <c r="H90" s="18" t="s">
        <v>98</v>
      </c>
      <c r="I90" s="14" t="s">
        <v>11525</v>
      </c>
      <c r="J90" s="14">
        <v>1</v>
      </c>
      <c r="K90" s="14">
        <v>0</v>
      </c>
      <c r="L90" s="14" t="s">
        <v>11526</v>
      </c>
      <c r="M90" s="19" t="s">
        <v>101</v>
      </c>
      <c r="N90" s="14" t="s">
        <v>11527</v>
      </c>
      <c r="O90" s="14" t="s">
        <v>11528</v>
      </c>
      <c r="P90" s="14" t="str">
        <f>HYPERLINK("https://dexscreener.com/solana/B1LaQNzBvUV5Yog8qozfX8AzZjZVuTt8Gy2JALoqpump", "View")</f>
        <v>View</v>
      </c>
    </row>
    <row r="91" spans="1:16" x14ac:dyDescent="0.25">
      <c r="A91" s="16" t="s">
        <v>11529</v>
      </c>
      <c r="B91" s="17">
        <v>2240010</v>
      </c>
      <c r="C91" s="17">
        <v>0</v>
      </c>
      <c r="D91" s="17" t="s">
        <v>1882</v>
      </c>
      <c r="E91" s="17" t="s">
        <v>8966</v>
      </c>
      <c r="F91" s="17" t="s">
        <v>96</v>
      </c>
      <c r="G91" s="18" t="s">
        <v>3821</v>
      </c>
      <c r="H91" s="18" t="s">
        <v>98</v>
      </c>
      <c r="I91" s="17" t="s">
        <v>11530</v>
      </c>
      <c r="J91" s="17">
        <v>1</v>
      </c>
      <c r="K91" s="17">
        <v>0</v>
      </c>
      <c r="L91" s="17" t="s">
        <v>11531</v>
      </c>
      <c r="M91" s="19" t="s">
        <v>101</v>
      </c>
      <c r="N91" s="17" t="s">
        <v>1393</v>
      </c>
      <c r="O91" s="17" t="s">
        <v>11532</v>
      </c>
      <c r="P91" s="17" t="str">
        <f>HYPERLINK("https://photon-sol.tinyastro.io/en/lp/3KQm4KbjRsgK4mfPGz5ShpnGGozJBEZByor1Yomepump?handle=676050794bc1b1657a56b", "View")</f>
        <v>View</v>
      </c>
    </row>
    <row r="92" spans="1:16" x14ac:dyDescent="0.25">
      <c r="A92" s="13" t="s">
        <v>11533</v>
      </c>
      <c r="B92" s="14">
        <v>6116095</v>
      </c>
      <c r="C92" s="14">
        <v>6116095</v>
      </c>
      <c r="D92" s="14" t="s">
        <v>1813</v>
      </c>
      <c r="E92" s="14" t="s">
        <v>8966</v>
      </c>
      <c r="F92" s="14" t="s">
        <v>11534</v>
      </c>
      <c r="G92" s="20" t="s">
        <v>4081</v>
      </c>
      <c r="H92" s="20" t="s">
        <v>11535</v>
      </c>
      <c r="I92" s="14" t="s">
        <v>88</v>
      </c>
      <c r="J92" s="14">
        <v>1</v>
      </c>
      <c r="K92" s="14">
        <v>1</v>
      </c>
      <c r="L92" s="14" t="s">
        <v>11536</v>
      </c>
      <c r="M92" s="14" t="s">
        <v>8522</v>
      </c>
      <c r="N92" s="14" t="s">
        <v>1011</v>
      </c>
      <c r="O92" s="14" t="s">
        <v>11537</v>
      </c>
      <c r="P92" s="14" t="str">
        <f>HYPERLINK("https://photon-sol.tinyastro.io/en/lp/gJQXg7AYobJdxtJcH3fT194VheW9dX1JgGg64N4pump?handle=676050794bc1b1657a56b", "View")</f>
        <v>View</v>
      </c>
    </row>
    <row r="93" spans="1:16" x14ac:dyDescent="0.25">
      <c r="A93" s="16" t="s">
        <v>11538</v>
      </c>
      <c r="B93" s="17">
        <v>15876</v>
      </c>
      <c r="C93" s="17">
        <v>0</v>
      </c>
      <c r="D93" s="17" t="s">
        <v>1882</v>
      </c>
      <c r="E93" s="17" t="s">
        <v>5534</v>
      </c>
      <c r="F93" s="17" t="s">
        <v>96</v>
      </c>
      <c r="G93" s="18" t="s">
        <v>3293</v>
      </c>
      <c r="H93" s="18" t="s">
        <v>98</v>
      </c>
      <c r="I93" s="17" t="s">
        <v>11539</v>
      </c>
      <c r="J93" s="17">
        <v>1</v>
      </c>
      <c r="K93" s="17">
        <v>0</v>
      </c>
      <c r="L93" s="17" t="s">
        <v>11540</v>
      </c>
      <c r="M93" s="19" t="s">
        <v>101</v>
      </c>
      <c r="N93" s="17" t="s">
        <v>11541</v>
      </c>
      <c r="O93" s="17" t="s">
        <v>11542</v>
      </c>
      <c r="P93" s="17" t="str">
        <f>HYPERLINK("https://dexscreener.com/solana/GQ6x4duENNVqALeJv78MShAkbJzPKPe15VGnxkpYpump", "View")</f>
        <v>View</v>
      </c>
    </row>
    <row r="94" spans="1:16" x14ac:dyDescent="0.25">
      <c r="A94" s="13" t="s">
        <v>1080</v>
      </c>
      <c r="B94" s="14">
        <v>334967</v>
      </c>
      <c r="C94" s="14">
        <v>334967</v>
      </c>
      <c r="D94" s="14" t="s">
        <v>1813</v>
      </c>
      <c r="E94" s="14" t="s">
        <v>9395</v>
      </c>
      <c r="F94" s="14" t="s">
        <v>6269</v>
      </c>
      <c r="G94" s="20" t="s">
        <v>7351</v>
      </c>
      <c r="H94" s="20" t="s">
        <v>11543</v>
      </c>
      <c r="I94" s="14" t="s">
        <v>88</v>
      </c>
      <c r="J94" s="14">
        <v>1</v>
      </c>
      <c r="K94" s="14">
        <v>1</v>
      </c>
      <c r="L94" s="14" t="s">
        <v>11544</v>
      </c>
      <c r="M94" s="14" t="s">
        <v>602</v>
      </c>
      <c r="N94" s="14" t="s">
        <v>11545</v>
      </c>
      <c r="O94" s="14" t="s">
        <v>1084</v>
      </c>
      <c r="P94" s="14" t="str">
        <f>HYPERLINK("https://dexscreener.com/solana/EDNB87kSED7ER2Qe39xSsXDyjSK6LqBSyv6v8ocepump", "View")</f>
        <v>View</v>
      </c>
    </row>
    <row r="95" spans="1:16" x14ac:dyDescent="0.25">
      <c r="A95" s="16" t="s">
        <v>11546</v>
      </c>
      <c r="B95" s="17">
        <v>3075745</v>
      </c>
      <c r="C95" s="17">
        <v>3075745</v>
      </c>
      <c r="D95" s="17" t="s">
        <v>9569</v>
      </c>
      <c r="E95" s="17" t="s">
        <v>2118</v>
      </c>
      <c r="F95" s="17" t="s">
        <v>2904</v>
      </c>
      <c r="G95" s="15" t="s">
        <v>11547</v>
      </c>
      <c r="H95" s="15" t="s">
        <v>11548</v>
      </c>
      <c r="I95" s="17" t="s">
        <v>88</v>
      </c>
      <c r="J95" s="17">
        <v>2</v>
      </c>
      <c r="K95" s="17">
        <v>1</v>
      </c>
      <c r="L95" s="17" t="s">
        <v>11549</v>
      </c>
      <c r="M95" s="17" t="s">
        <v>414</v>
      </c>
      <c r="N95" s="17" t="s">
        <v>11550</v>
      </c>
      <c r="O95" s="17" t="s">
        <v>11551</v>
      </c>
      <c r="P95" s="17" t="str">
        <f>HYPERLINK("https://photon-sol.tinyastro.io/en/lp/HpMF4MWFE8J6Pjr5CUfrf5EvdCTTYyfjvG6eFW3cpump?handle=676050794bc1b1657a56b", "View")</f>
        <v>View</v>
      </c>
    </row>
    <row r="96" spans="1:16" x14ac:dyDescent="0.25">
      <c r="A96" s="13" t="s">
        <v>11552</v>
      </c>
      <c r="B96" s="14">
        <v>1039308</v>
      </c>
      <c r="C96" s="14">
        <v>1039308</v>
      </c>
      <c r="D96" s="14" t="s">
        <v>1813</v>
      </c>
      <c r="E96" s="14" t="s">
        <v>9395</v>
      </c>
      <c r="F96" s="14" t="s">
        <v>11553</v>
      </c>
      <c r="G96" s="20" t="s">
        <v>8279</v>
      </c>
      <c r="H96" s="20" t="s">
        <v>11554</v>
      </c>
      <c r="I96" s="14" t="s">
        <v>88</v>
      </c>
      <c r="J96" s="14">
        <v>1</v>
      </c>
      <c r="K96" s="14">
        <v>1</v>
      </c>
      <c r="L96" s="14" t="s">
        <v>11555</v>
      </c>
      <c r="M96" s="14" t="s">
        <v>1566</v>
      </c>
      <c r="N96" s="14" t="s">
        <v>11556</v>
      </c>
      <c r="O96" s="14" t="s">
        <v>11557</v>
      </c>
      <c r="P96" s="14" t="str">
        <f>HYPERLINK("https://dexscreener.com/solana/C9hmF1jY7RVuyzCrzFMiP79kjDVSun8SMJ78VV6tpump", "View")</f>
        <v>View</v>
      </c>
    </row>
    <row r="97" spans="1:16" x14ac:dyDescent="0.25">
      <c r="A97" s="16" t="s">
        <v>11558</v>
      </c>
      <c r="B97" s="17">
        <v>1207313</v>
      </c>
      <c r="C97" s="17">
        <v>0</v>
      </c>
      <c r="D97" s="17" t="s">
        <v>1882</v>
      </c>
      <c r="E97" s="17" t="s">
        <v>11559</v>
      </c>
      <c r="F97" s="17" t="s">
        <v>96</v>
      </c>
      <c r="G97" s="18" t="s">
        <v>11560</v>
      </c>
      <c r="H97" s="18" t="s">
        <v>98</v>
      </c>
      <c r="I97" s="17" t="s">
        <v>11561</v>
      </c>
      <c r="J97" s="17">
        <v>1</v>
      </c>
      <c r="K97" s="17">
        <v>0</v>
      </c>
      <c r="L97" s="17" t="s">
        <v>11562</v>
      </c>
      <c r="M97" s="19" t="s">
        <v>101</v>
      </c>
      <c r="N97" s="17" t="s">
        <v>2411</v>
      </c>
      <c r="O97" s="17" t="s">
        <v>11563</v>
      </c>
      <c r="P97" s="17" t="str">
        <f>HYPERLINK("https://photon-sol.tinyastro.io/en/lp/AQAHsgDViJ66x6GQcM9Xj5WCigYn7H3dD14LMFQ4pump?handle=676050794bc1b1657a56b", "View")</f>
        <v>View</v>
      </c>
    </row>
    <row r="98" spans="1:16" x14ac:dyDescent="0.25">
      <c r="A98" s="13" t="s">
        <v>1177</v>
      </c>
      <c r="B98" s="14">
        <v>39824</v>
      </c>
      <c r="C98" s="14">
        <v>39824</v>
      </c>
      <c r="D98" s="14" t="s">
        <v>7092</v>
      </c>
      <c r="E98" s="14" t="s">
        <v>3045</v>
      </c>
      <c r="F98" s="14" t="s">
        <v>11564</v>
      </c>
      <c r="G98" s="21" t="s">
        <v>3524</v>
      </c>
      <c r="H98" s="21" t="s">
        <v>11565</v>
      </c>
      <c r="I98" s="14" t="s">
        <v>88</v>
      </c>
      <c r="J98" s="14">
        <v>2</v>
      </c>
      <c r="K98" s="14">
        <v>2</v>
      </c>
      <c r="L98" s="14" t="s">
        <v>11566</v>
      </c>
      <c r="M98" s="14" t="s">
        <v>699</v>
      </c>
      <c r="N98" s="14" t="s">
        <v>11567</v>
      </c>
      <c r="O98" s="14" t="s">
        <v>1185</v>
      </c>
      <c r="P98" s="14" t="str">
        <f>HYPERLINK("https://dexscreener.com/solana/FAJW358HjJ2mHXSHbHyxghfVGzX5SBoupdjRr2y9pump", "View")</f>
        <v>View</v>
      </c>
    </row>
    <row r="99" spans="1:16" x14ac:dyDescent="0.25">
      <c r="A99" s="16" t="s">
        <v>11568</v>
      </c>
      <c r="B99" s="17">
        <v>134732</v>
      </c>
      <c r="C99" s="17">
        <v>0</v>
      </c>
      <c r="D99" s="17" t="s">
        <v>1882</v>
      </c>
      <c r="E99" s="17" t="s">
        <v>10121</v>
      </c>
      <c r="F99" s="17" t="s">
        <v>96</v>
      </c>
      <c r="G99" s="18" t="s">
        <v>11238</v>
      </c>
      <c r="H99" s="18" t="s">
        <v>98</v>
      </c>
      <c r="I99" s="17" t="s">
        <v>11569</v>
      </c>
      <c r="J99" s="17">
        <v>1</v>
      </c>
      <c r="K99" s="17">
        <v>0</v>
      </c>
      <c r="L99" s="17" t="s">
        <v>11570</v>
      </c>
      <c r="M99" s="19" t="s">
        <v>101</v>
      </c>
      <c r="N99" s="17" t="s">
        <v>11571</v>
      </c>
      <c r="O99" s="17" t="s">
        <v>11572</v>
      </c>
      <c r="P99" s="17" t="str">
        <f>HYPERLINK("https://dexscreener.com/solana/3oR4sG9Ka8S5ighG35KaD6tcyZDiR98Qk5wnD35Fpump", "View")</f>
        <v>View</v>
      </c>
    </row>
    <row r="100" spans="1:16" x14ac:dyDescent="0.25">
      <c r="A100" s="13" t="s">
        <v>11573</v>
      </c>
      <c r="B100" s="14">
        <v>558224</v>
      </c>
      <c r="C100" s="14">
        <v>0</v>
      </c>
      <c r="D100" s="14" t="s">
        <v>1882</v>
      </c>
      <c r="E100" s="14" t="s">
        <v>3993</v>
      </c>
      <c r="F100" s="14" t="s">
        <v>96</v>
      </c>
      <c r="G100" s="18" t="s">
        <v>11307</v>
      </c>
      <c r="H100" s="18" t="s">
        <v>98</v>
      </c>
      <c r="I100" s="14" t="s">
        <v>11574</v>
      </c>
      <c r="J100" s="14">
        <v>1</v>
      </c>
      <c r="K100" s="14">
        <v>0</v>
      </c>
      <c r="L100" s="14" t="s">
        <v>11575</v>
      </c>
      <c r="M100" s="19" t="s">
        <v>101</v>
      </c>
      <c r="N100" s="14" t="s">
        <v>4954</v>
      </c>
      <c r="O100" s="14" t="s">
        <v>11576</v>
      </c>
      <c r="P100" s="14" t="str">
        <f>HYPERLINK("https://photon-sol.tinyastro.io/en/lp/4fG8v8tcuMqYX3g7NV2p3SArakSKoxSJTJWxrJF2pump?handle=676050794bc1b1657a56b", "View")</f>
        <v>View</v>
      </c>
    </row>
    <row r="101" spans="1:16" x14ac:dyDescent="0.25">
      <c r="A101" s="16" t="s">
        <v>11577</v>
      </c>
      <c r="B101" s="17">
        <v>1278</v>
      </c>
      <c r="C101" s="17">
        <v>1278</v>
      </c>
      <c r="D101" s="17" t="s">
        <v>1813</v>
      </c>
      <c r="E101" s="17" t="s">
        <v>9395</v>
      </c>
      <c r="F101" s="17" t="s">
        <v>7639</v>
      </c>
      <c r="G101" s="22" t="s">
        <v>5311</v>
      </c>
      <c r="H101" s="22" t="s">
        <v>11578</v>
      </c>
      <c r="I101" s="17" t="s">
        <v>88</v>
      </c>
      <c r="J101" s="17">
        <v>1</v>
      </c>
      <c r="K101" s="17">
        <v>1</v>
      </c>
      <c r="L101" s="17" t="s">
        <v>11579</v>
      </c>
      <c r="M101" s="17" t="s">
        <v>179</v>
      </c>
      <c r="N101" s="17" t="s">
        <v>11580</v>
      </c>
      <c r="O101" s="17" t="s">
        <v>11581</v>
      </c>
      <c r="P101" s="17" t="str">
        <f>HYPERLINK("https://dexscreener.com/solana/GJAFwWjJ3vnTsrQVabjBVK2TYB1YtRCQXRDfDgUnpump", "View")</f>
        <v>View</v>
      </c>
    </row>
    <row r="102" spans="1:16" x14ac:dyDescent="0.25">
      <c r="A102" s="13" t="s">
        <v>11582</v>
      </c>
      <c r="B102" s="14">
        <v>547310</v>
      </c>
      <c r="C102" s="14">
        <v>0</v>
      </c>
      <c r="D102" s="14" t="s">
        <v>1882</v>
      </c>
      <c r="E102" s="14" t="s">
        <v>3993</v>
      </c>
      <c r="F102" s="14" t="s">
        <v>96</v>
      </c>
      <c r="G102" s="18" t="s">
        <v>11307</v>
      </c>
      <c r="H102" s="18" t="s">
        <v>98</v>
      </c>
      <c r="I102" s="14" t="s">
        <v>11583</v>
      </c>
      <c r="J102" s="14">
        <v>1</v>
      </c>
      <c r="K102" s="14">
        <v>0</v>
      </c>
      <c r="L102" s="14" t="s">
        <v>11584</v>
      </c>
      <c r="M102" s="19" t="s">
        <v>101</v>
      </c>
      <c r="N102" s="14" t="s">
        <v>4954</v>
      </c>
      <c r="O102" s="14" t="s">
        <v>11585</v>
      </c>
      <c r="P102" s="14" t="str">
        <f>HYPERLINK("https://photon-sol.tinyastro.io/en/lp/7wKWoYS5uoDfxzjFE289Ssiu7eALmfU16YHddpBxBff4?handle=676050794bc1b1657a56b", "View")</f>
        <v>View</v>
      </c>
    </row>
    <row r="103" spans="1:16" x14ac:dyDescent="0.25">
      <c r="A103" s="16" t="s">
        <v>11586</v>
      </c>
      <c r="B103" s="17">
        <v>32460</v>
      </c>
      <c r="C103" s="17">
        <v>0</v>
      </c>
      <c r="D103" s="17" t="s">
        <v>1882</v>
      </c>
      <c r="E103" s="17" t="s">
        <v>9395</v>
      </c>
      <c r="F103" s="17" t="s">
        <v>96</v>
      </c>
      <c r="G103" s="18" t="s">
        <v>3707</v>
      </c>
      <c r="H103" s="18" t="s">
        <v>98</v>
      </c>
      <c r="I103" s="17" t="s">
        <v>11587</v>
      </c>
      <c r="J103" s="17">
        <v>1</v>
      </c>
      <c r="K103" s="17">
        <v>0</v>
      </c>
      <c r="L103" s="17" t="s">
        <v>11588</v>
      </c>
      <c r="M103" s="19" t="s">
        <v>101</v>
      </c>
      <c r="N103" s="17" t="s">
        <v>11589</v>
      </c>
      <c r="O103" s="17" t="s">
        <v>11590</v>
      </c>
      <c r="P103" s="17" t="str">
        <f>HYPERLINK("https://dexscreener.com/solana/BgmCnJMcM925oHoRW8ogwDcTLA87Pr11ymcwv36Vpump", "View")</f>
        <v>View</v>
      </c>
    </row>
    <row r="104" spans="1:16" x14ac:dyDescent="0.25">
      <c r="A104" s="13" t="s">
        <v>11591</v>
      </c>
      <c r="B104" s="14">
        <v>283229</v>
      </c>
      <c r="C104" s="14">
        <v>0</v>
      </c>
      <c r="D104" s="14" t="s">
        <v>1882</v>
      </c>
      <c r="E104" s="14" t="s">
        <v>3993</v>
      </c>
      <c r="F104" s="14" t="s">
        <v>96</v>
      </c>
      <c r="G104" s="18" t="s">
        <v>11307</v>
      </c>
      <c r="H104" s="18" t="s">
        <v>98</v>
      </c>
      <c r="I104" s="14" t="s">
        <v>11592</v>
      </c>
      <c r="J104" s="14">
        <v>1</v>
      </c>
      <c r="K104" s="14">
        <v>0</v>
      </c>
      <c r="L104" s="14" t="s">
        <v>11593</v>
      </c>
      <c r="M104" s="19" t="s">
        <v>101</v>
      </c>
      <c r="N104" s="14" t="s">
        <v>9714</v>
      </c>
      <c r="O104" s="14" t="s">
        <v>11594</v>
      </c>
      <c r="P104" s="14" t="str">
        <f>HYPERLINK("https://photon-sol.tinyastro.io/en/lp/94mtohL6zNYenvEc6dA67SVzNJHsmCv9W4uacHukpump?handle=676050794bc1b1657a56b", "View")</f>
        <v>View</v>
      </c>
    </row>
    <row r="105" spans="1:16" x14ac:dyDescent="0.25">
      <c r="A105" s="16" t="s">
        <v>10585</v>
      </c>
      <c r="B105" s="17">
        <v>346810</v>
      </c>
      <c r="C105" s="17">
        <v>165218</v>
      </c>
      <c r="D105" s="17" t="s">
        <v>9569</v>
      </c>
      <c r="E105" s="17" t="s">
        <v>3045</v>
      </c>
      <c r="F105" s="17" t="s">
        <v>11595</v>
      </c>
      <c r="G105" s="20" t="s">
        <v>11596</v>
      </c>
      <c r="H105" s="20" t="s">
        <v>11597</v>
      </c>
      <c r="I105" s="17" t="s">
        <v>88</v>
      </c>
      <c r="J105" s="17">
        <v>2</v>
      </c>
      <c r="K105" s="17">
        <v>1</v>
      </c>
      <c r="L105" s="17" t="s">
        <v>11598</v>
      </c>
      <c r="M105" s="17" t="s">
        <v>117</v>
      </c>
      <c r="N105" s="17" t="s">
        <v>11599</v>
      </c>
      <c r="O105" s="17" t="s">
        <v>10591</v>
      </c>
      <c r="P105" s="17" t="str">
        <f>HYPERLINK("https://dexscreener.com/solana/BfUfnLMCNwKYamhJXzaxgUmFjrGFHdkjRLAxeaxqpump", "View")</f>
        <v>View</v>
      </c>
    </row>
    <row r="106" spans="1:16" x14ac:dyDescent="0.25">
      <c r="A106" s="13" t="s">
        <v>11600</v>
      </c>
      <c r="B106" s="14">
        <v>1150178</v>
      </c>
      <c r="C106" s="14">
        <v>575089</v>
      </c>
      <c r="D106" s="14" t="s">
        <v>1813</v>
      </c>
      <c r="E106" s="14" t="s">
        <v>8966</v>
      </c>
      <c r="F106" s="14" t="s">
        <v>5821</v>
      </c>
      <c r="G106" s="22" t="s">
        <v>4706</v>
      </c>
      <c r="H106" s="22" t="s">
        <v>11601</v>
      </c>
      <c r="I106" s="14" t="s">
        <v>88</v>
      </c>
      <c r="J106" s="14">
        <v>1</v>
      </c>
      <c r="K106" s="14">
        <v>1</v>
      </c>
      <c r="L106" s="14" t="s">
        <v>11602</v>
      </c>
      <c r="M106" s="14" t="s">
        <v>1705</v>
      </c>
      <c r="N106" s="14" t="s">
        <v>11603</v>
      </c>
      <c r="O106" s="14" t="s">
        <v>11604</v>
      </c>
      <c r="P106" s="14" t="str">
        <f>HYPERLINK("https://photon-sol.tinyastro.io/en/lp/TjDaLdaFPw8XTGyfvytQU78vKGq182QK4rb5YsJqW7R?handle=676050794bc1b1657a56b", "View")</f>
        <v>View</v>
      </c>
    </row>
    <row r="107" spans="1:16" x14ac:dyDescent="0.25">
      <c r="A107" s="16" t="s">
        <v>10597</v>
      </c>
      <c r="B107" s="17">
        <v>159879</v>
      </c>
      <c r="C107" s="17">
        <v>0</v>
      </c>
      <c r="D107" s="17" t="s">
        <v>1882</v>
      </c>
      <c r="E107" s="17" t="s">
        <v>9395</v>
      </c>
      <c r="F107" s="17" t="s">
        <v>96</v>
      </c>
      <c r="G107" s="18" t="s">
        <v>3707</v>
      </c>
      <c r="H107" s="18" t="s">
        <v>98</v>
      </c>
      <c r="I107" s="17" t="s">
        <v>11605</v>
      </c>
      <c r="J107" s="17">
        <v>1</v>
      </c>
      <c r="K107" s="17">
        <v>0</v>
      </c>
      <c r="L107" s="17" t="s">
        <v>11606</v>
      </c>
      <c r="M107" s="19" t="s">
        <v>101</v>
      </c>
      <c r="N107" s="17" t="s">
        <v>11607</v>
      </c>
      <c r="O107" s="17" t="s">
        <v>10603</v>
      </c>
      <c r="P107" s="17" t="str">
        <f>HYPERLINK("https://dexscreener.com/solana/9gxfYASoTq3RMejwrdpNBNzN1Af8Pn1jsWx9w7a4pump", "View")</f>
        <v>View</v>
      </c>
    </row>
    <row r="108" spans="1:16" x14ac:dyDescent="0.25">
      <c r="A108" s="13" t="s">
        <v>11608</v>
      </c>
      <c r="B108" s="14">
        <v>2078372</v>
      </c>
      <c r="C108" s="14">
        <v>2078372</v>
      </c>
      <c r="D108" s="14" t="s">
        <v>7092</v>
      </c>
      <c r="E108" s="14" t="s">
        <v>3045</v>
      </c>
      <c r="F108" s="14" t="s">
        <v>8251</v>
      </c>
      <c r="G108" s="22" t="s">
        <v>3912</v>
      </c>
      <c r="H108" s="22" t="s">
        <v>11609</v>
      </c>
      <c r="I108" s="14" t="s">
        <v>88</v>
      </c>
      <c r="J108" s="14">
        <v>2</v>
      </c>
      <c r="K108" s="14">
        <v>2</v>
      </c>
      <c r="L108" s="14" t="s">
        <v>11610</v>
      </c>
      <c r="M108" s="14" t="s">
        <v>132</v>
      </c>
      <c r="N108" s="14" t="s">
        <v>11611</v>
      </c>
      <c r="O108" s="14" t="s">
        <v>11612</v>
      </c>
      <c r="P108" s="14" t="str">
        <f>HYPERLINK("https://dexscreener.com/solana/HeWdnJqjmmFbs6ACUHuPTR8diasBjNRiyKumFvyypump", "View")</f>
        <v>View</v>
      </c>
    </row>
    <row r="109" spans="1:16" x14ac:dyDescent="0.25">
      <c r="A109" s="16" t="s">
        <v>11613</v>
      </c>
      <c r="B109" s="17">
        <v>1733517</v>
      </c>
      <c r="C109" s="17">
        <v>0</v>
      </c>
      <c r="D109" s="17" t="s">
        <v>1882</v>
      </c>
      <c r="E109" s="17" t="s">
        <v>3706</v>
      </c>
      <c r="F109" s="17" t="s">
        <v>96</v>
      </c>
      <c r="G109" s="18" t="s">
        <v>11214</v>
      </c>
      <c r="H109" s="18" t="s">
        <v>98</v>
      </c>
      <c r="I109" s="17" t="s">
        <v>11614</v>
      </c>
      <c r="J109" s="17">
        <v>1</v>
      </c>
      <c r="K109" s="17">
        <v>0</v>
      </c>
      <c r="L109" s="17" t="s">
        <v>11615</v>
      </c>
      <c r="M109" s="19" t="s">
        <v>101</v>
      </c>
      <c r="N109" s="17" t="s">
        <v>11616</v>
      </c>
      <c r="O109" s="17" t="s">
        <v>11617</v>
      </c>
      <c r="P109" s="17" t="str">
        <f>HYPERLINK("https://photon-sol.tinyastro.io/en/lp/CgjN5x9EZzR2dJpo3JMoYwHcCPLBhnPczZsVGDL9pump?handle=676050794bc1b1657a56b", "View")</f>
        <v>View</v>
      </c>
    </row>
    <row r="110" spans="1:16" x14ac:dyDescent="0.25">
      <c r="A110" s="13" t="s">
        <v>11618</v>
      </c>
      <c r="B110" s="14">
        <v>1708376</v>
      </c>
      <c r="C110" s="14">
        <v>1708376</v>
      </c>
      <c r="D110" s="14" t="s">
        <v>9569</v>
      </c>
      <c r="E110" s="14" t="s">
        <v>3706</v>
      </c>
      <c r="F110" s="14" t="s">
        <v>11619</v>
      </c>
      <c r="G110" s="21" t="s">
        <v>11620</v>
      </c>
      <c r="H110" s="21" t="s">
        <v>11621</v>
      </c>
      <c r="I110" s="14" t="s">
        <v>88</v>
      </c>
      <c r="J110" s="14">
        <v>1</v>
      </c>
      <c r="K110" s="14">
        <v>2</v>
      </c>
      <c r="L110" s="14" t="s">
        <v>11622</v>
      </c>
      <c r="M110" s="14" t="s">
        <v>680</v>
      </c>
      <c r="N110" s="14" t="s">
        <v>11623</v>
      </c>
      <c r="O110" s="14" t="s">
        <v>11624</v>
      </c>
      <c r="P110" s="14" t="str">
        <f>HYPERLINK("https://photon-sol.tinyastro.io/en/lp/8gfRYdxLxUbRBWrff6MR9QH6ZKPb4NYszcBWnNjBX6DW?handle=676050794bc1b1657a56b", "View")</f>
        <v>View</v>
      </c>
    </row>
    <row r="111" spans="1:16" x14ac:dyDescent="0.25">
      <c r="A111" s="16" t="s">
        <v>11625</v>
      </c>
      <c r="B111" s="17">
        <v>1320191</v>
      </c>
      <c r="C111" s="17">
        <v>0</v>
      </c>
      <c r="D111" s="17" t="s">
        <v>1882</v>
      </c>
      <c r="E111" s="17" t="s">
        <v>3993</v>
      </c>
      <c r="F111" s="17" t="s">
        <v>96</v>
      </c>
      <c r="G111" s="18" t="s">
        <v>11307</v>
      </c>
      <c r="H111" s="18" t="s">
        <v>98</v>
      </c>
      <c r="I111" s="17" t="s">
        <v>11626</v>
      </c>
      <c r="J111" s="17">
        <v>1</v>
      </c>
      <c r="K111" s="17">
        <v>0</v>
      </c>
      <c r="L111" s="17" t="s">
        <v>11627</v>
      </c>
      <c r="M111" s="19" t="s">
        <v>101</v>
      </c>
      <c r="N111" s="17" t="s">
        <v>11628</v>
      </c>
      <c r="O111" s="17" t="s">
        <v>11629</v>
      </c>
      <c r="P111" s="17" t="str">
        <f>HYPERLINK("https://photon-sol.tinyastro.io/en/lp/269iNn3SsK2X3T8p7ZqNGFSj3qnejfF7HhJtvVVkpump?handle=676050794bc1b1657a56b", "View")</f>
        <v>View</v>
      </c>
    </row>
    <row r="112" spans="1:16" x14ac:dyDescent="0.25">
      <c r="A112" s="13" t="s">
        <v>11630</v>
      </c>
      <c r="B112" s="14">
        <v>43156</v>
      </c>
      <c r="C112" s="14">
        <v>0</v>
      </c>
      <c r="D112" s="14" t="s">
        <v>1882</v>
      </c>
      <c r="E112" s="14" t="s">
        <v>9395</v>
      </c>
      <c r="F112" s="14" t="s">
        <v>96</v>
      </c>
      <c r="G112" s="18" t="s">
        <v>3707</v>
      </c>
      <c r="H112" s="18" t="s">
        <v>98</v>
      </c>
      <c r="I112" s="14" t="s">
        <v>11631</v>
      </c>
      <c r="J112" s="14">
        <v>1</v>
      </c>
      <c r="K112" s="14">
        <v>0</v>
      </c>
      <c r="L112" s="14" t="s">
        <v>11632</v>
      </c>
      <c r="M112" s="19" t="s">
        <v>101</v>
      </c>
      <c r="N112" s="14" t="s">
        <v>11633</v>
      </c>
      <c r="O112" s="14" t="s">
        <v>11634</v>
      </c>
      <c r="P112" s="14" t="str">
        <f>HYPERLINK("https://dexscreener.com/solana/Hp3WCQE2gfVBYxyXa3RMFeiudSM1KMANnqQbmDLVpump", "View")</f>
        <v>View</v>
      </c>
    </row>
    <row r="113" spans="1:16" x14ac:dyDescent="0.25">
      <c r="A113" s="16" t="s">
        <v>11635</v>
      </c>
      <c r="B113" s="17">
        <v>575379</v>
      </c>
      <c r="C113" s="17">
        <v>287690</v>
      </c>
      <c r="D113" s="17" t="s">
        <v>1813</v>
      </c>
      <c r="E113" s="17" t="s">
        <v>3993</v>
      </c>
      <c r="F113" s="17" t="s">
        <v>2653</v>
      </c>
      <c r="G113" s="22" t="s">
        <v>6151</v>
      </c>
      <c r="H113" s="22" t="s">
        <v>11636</v>
      </c>
      <c r="I113" s="17" t="s">
        <v>88</v>
      </c>
      <c r="J113" s="17">
        <v>1</v>
      </c>
      <c r="K113" s="17">
        <v>1</v>
      </c>
      <c r="L113" s="17" t="s">
        <v>11637</v>
      </c>
      <c r="M113" s="17" t="s">
        <v>1957</v>
      </c>
      <c r="N113" s="17" t="s">
        <v>11638</v>
      </c>
      <c r="O113" s="17" t="s">
        <v>11639</v>
      </c>
      <c r="P113" s="17" t="str">
        <f>HYPERLINK("https://photon-sol.tinyastro.io/en/lp/2X6dfSSaLQrru21Tn8Tg76p5eGLwZQyDWPfJp7GGpump?handle=676050794bc1b1657a56b", "View")</f>
        <v>View</v>
      </c>
    </row>
    <row r="114" spans="1:16" x14ac:dyDescent="0.25">
      <c r="A114" s="13" t="s">
        <v>11640</v>
      </c>
      <c r="B114" s="14">
        <v>421425</v>
      </c>
      <c r="C114" s="14">
        <v>421425</v>
      </c>
      <c r="D114" s="14" t="s">
        <v>1813</v>
      </c>
      <c r="E114" s="14" t="s">
        <v>9395</v>
      </c>
      <c r="F114" s="14" t="s">
        <v>7749</v>
      </c>
      <c r="G114" s="20" t="s">
        <v>6297</v>
      </c>
      <c r="H114" s="20" t="s">
        <v>11641</v>
      </c>
      <c r="I114" s="14" t="s">
        <v>88</v>
      </c>
      <c r="J114" s="14">
        <v>1</v>
      </c>
      <c r="K114" s="14">
        <v>1</v>
      </c>
      <c r="L114" s="14" t="s">
        <v>11642</v>
      </c>
      <c r="M114" s="14" t="s">
        <v>117</v>
      </c>
      <c r="N114" s="14" t="s">
        <v>1108</v>
      </c>
      <c r="O114" s="14" t="s">
        <v>11643</v>
      </c>
      <c r="P114" s="14" t="str">
        <f>HYPERLINK("https://dexscreener.com/solana/HAVUrTHqHNs1JTdVdXHAd2LKWjoRC6pDGD3bVF9Fpump", "View")</f>
        <v>View</v>
      </c>
    </row>
    <row r="115" spans="1:16" x14ac:dyDescent="0.25">
      <c r="A115" s="16" t="s">
        <v>11644</v>
      </c>
      <c r="B115" s="17">
        <v>716031</v>
      </c>
      <c r="C115" s="17">
        <v>537023</v>
      </c>
      <c r="D115" s="17" t="s">
        <v>9569</v>
      </c>
      <c r="E115" s="17" t="s">
        <v>10121</v>
      </c>
      <c r="F115" s="17" t="s">
        <v>11645</v>
      </c>
      <c r="G115" s="22" t="s">
        <v>6206</v>
      </c>
      <c r="H115" s="22" t="s">
        <v>11646</v>
      </c>
      <c r="I115" s="17" t="s">
        <v>88</v>
      </c>
      <c r="J115" s="17">
        <v>1</v>
      </c>
      <c r="K115" s="17">
        <v>2</v>
      </c>
      <c r="L115" s="17" t="s">
        <v>11647</v>
      </c>
      <c r="M115" s="17" t="s">
        <v>179</v>
      </c>
      <c r="N115" s="17" t="s">
        <v>11648</v>
      </c>
      <c r="O115" s="17" t="s">
        <v>11649</v>
      </c>
      <c r="P115" s="17" t="str">
        <f>HYPERLINK("https://dexscreener.com/solana/G5YgvGuNkmCAX4DF96Yn2hdrCwru9viA96o6on9Fpump", "View")</f>
        <v>View</v>
      </c>
    </row>
    <row r="116" spans="1:16" x14ac:dyDescent="0.25">
      <c r="A116" s="13" t="s">
        <v>11650</v>
      </c>
      <c r="B116" s="14">
        <v>65982</v>
      </c>
      <c r="C116" s="14">
        <v>0</v>
      </c>
      <c r="D116" s="14" t="s">
        <v>1882</v>
      </c>
      <c r="E116" s="14" t="s">
        <v>10121</v>
      </c>
      <c r="F116" s="14" t="s">
        <v>96</v>
      </c>
      <c r="G116" s="18" t="s">
        <v>11238</v>
      </c>
      <c r="H116" s="18" t="s">
        <v>98</v>
      </c>
      <c r="I116" s="14" t="s">
        <v>11651</v>
      </c>
      <c r="J116" s="14">
        <v>1</v>
      </c>
      <c r="K116" s="14">
        <v>0</v>
      </c>
      <c r="L116" s="14" t="s">
        <v>11652</v>
      </c>
      <c r="M116" s="19" t="s">
        <v>101</v>
      </c>
      <c r="N116" s="14" t="s">
        <v>11653</v>
      </c>
      <c r="O116" s="14" t="s">
        <v>11654</v>
      </c>
      <c r="P116" s="14" t="str">
        <f>HYPERLINK("https://dexscreener.com/solana/4AoUaXuSmTrq8jRktFkubqWkxSWXR4DqH8xNgek8pump", "View")</f>
        <v>View</v>
      </c>
    </row>
    <row r="117" spans="1:16" x14ac:dyDescent="0.25">
      <c r="A117" s="16" t="s">
        <v>11655</v>
      </c>
      <c r="B117" s="17">
        <v>1862587</v>
      </c>
      <c r="C117" s="17">
        <v>1862587</v>
      </c>
      <c r="D117" s="17" t="s">
        <v>1813</v>
      </c>
      <c r="E117" s="17" t="s">
        <v>3993</v>
      </c>
      <c r="F117" s="17" t="s">
        <v>5687</v>
      </c>
      <c r="G117" s="15" t="s">
        <v>1977</v>
      </c>
      <c r="H117" s="15" t="s">
        <v>11656</v>
      </c>
      <c r="I117" s="17" t="s">
        <v>88</v>
      </c>
      <c r="J117" s="17">
        <v>1</v>
      </c>
      <c r="K117" s="17">
        <v>1</v>
      </c>
      <c r="L117" s="17" t="s">
        <v>11657</v>
      </c>
      <c r="M117" s="17" t="s">
        <v>132</v>
      </c>
      <c r="N117" s="17" t="s">
        <v>507</v>
      </c>
      <c r="O117" s="17" t="s">
        <v>11658</v>
      </c>
      <c r="P117" s="17" t="str">
        <f>HYPERLINK("https://photon-sol.tinyastro.io/en/lp/4YTWPqHQwwpQUxHV7RjZSnzZRYFo7s9gZZZvM9Tbpump?handle=676050794bc1b1657a56b", "View")</f>
        <v>View</v>
      </c>
    </row>
    <row r="118" spans="1:16" x14ac:dyDescent="0.25">
      <c r="A118" s="13" t="s">
        <v>11659</v>
      </c>
      <c r="B118" s="14">
        <v>106728</v>
      </c>
      <c r="C118" s="14">
        <v>106728</v>
      </c>
      <c r="D118" s="14" t="s">
        <v>1813</v>
      </c>
      <c r="E118" s="14" t="s">
        <v>2369</v>
      </c>
      <c r="F118" s="14" t="s">
        <v>3093</v>
      </c>
      <c r="G118" s="21" t="s">
        <v>11660</v>
      </c>
      <c r="H118" s="21" t="s">
        <v>11661</v>
      </c>
      <c r="I118" s="14" t="s">
        <v>88</v>
      </c>
      <c r="J118" s="14">
        <v>1</v>
      </c>
      <c r="K118" s="14">
        <v>1</v>
      </c>
      <c r="L118" s="14" t="s">
        <v>11662</v>
      </c>
      <c r="M118" s="14" t="s">
        <v>132</v>
      </c>
      <c r="N118" s="14" t="s">
        <v>11663</v>
      </c>
      <c r="O118" s="14" t="s">
        <v>11664</v>
      </c>
      <c r="P118" s="14" t="str">
        <f>HYPERLINK("https://dexscreener.com/solana/4zdAbkyoYoT2F8ZSt6va4WZrmAwgFCfQsTEUo8zNpump", "View")</f>
        <v>View</v>
      </c>
    </row>
    <row r="119" spans="1:16" x14ac:dyDescent="0.25">
      <c r="A119" s="16" t="s">
        <v>1205</v>
      </c>
      <c r="B119" s="17">
        <v>411799</v>
      </c>
      <c r="C119" s="17">
        <v>0</v>
      </c>
      <c r="D119" s="17" t="s">
        <v>1882</v>
      </c>
      <c r="E119" s="17" t="s">
        <v>5534</v>
      </c>
      <c r="F119" s="17" t="s">
        <v>96</v>
      </c>
      <c r="G119" s="18" t="s">
        <v>3293</v>
      </c>
      <c r="H119" s="18" t="s">
        <v>98</v>
      </c>
      <c r="I119" s="17" t="s">
        <v>11665</v>
      </c>
      <c r="J119" s="17">
        <v>1</v>
      </c>
      <c r="K119" s="17">
        <v>0</v>
      </c>
      <c r="L119" s="17" t="s">
        <v>11666</v>
      </c>
      <c r="M119" s="19" t="s">
        <v>101</v>
      </c>
      <c r="N119" s="17" t="s">
        <v>5283</v>
      </c>
      <c r="O119" s="17" t="s">
        <v>1209</v>
      </c>
      <c r="P119" s="17" t="str">
        <f>HYPERLINK("https://dexscreener.com/solana/3aRvNjgAgcHBs3Dv1D6SLFMNHNLiMmm9eg64FBoppump", "View")</f>
        <v>View</v>
      </c>
    </row>
    <row r="120" spans="1:16" x14ac:dyDescent="0.25">
      <c r="A120" s="13" t="s">
        <v>1210</v>
      </c>
      <c r="B120" s="14">
        <v>732682</v>
      </c>
      <c r="C120" s="14">
        <v>0</v>
      </c>
      <c r="D120" s="14" t="s">
        <v>1882</v>
      </c>
      <c r="E120" s="14" t="s">
        <v>9395</v>
      </c>
      <c r="F120" s="14" t="s">
        <v>96</v>
      </c>
      <c r="G120" s="18" t="s">
        <v>3707</v>
      </c>
      <c r="H120" s="18" t="s">
        <v>98</v>
      </c>
      <c r="I120" s="14" t="s">
        <v>11667</v>
      </c>
      <c r="J120" s="14">
        <v>1</v>
      </c>
      <c r="K120" s="14">
        <v>0</v>
      </c>
      <c r="L120" s="14" t="s">
        <v>11668</v>
      </c>
      <c r="M120" s="19" t="s">
        <v>101</v>
      </c>
      <c r="N120" s="14" t="s">
        <v>425</v>
      </c>
      <c r="O120" s="14" t="s">
        <v>1215</v>
      </c>
      <c r="P120" s="14" t="str">
        <f>HYPERLINK("https://dexscreener.com/solana/8oG6okLneVnD7h2L4ATBZcCT9m8ng7UhvcgdUeuUpump", "View")</f>
        <v>View</v>
      </c>
    </row>
    <row r="121" spans="1:16" x14ac:dyDescent="0.25">
      <c r="A121" s="16" t="s">
        <v>11669</v>
      </c>
      <c r="B121" s="17">
        <v>133450</v>
      </c>
      <c r="C121" s="17">
        <v>0</v>
      </c>
      <c r="D121" s="17" t="s">
        <v>1882</v>
      </c>
      <c r="E121" s="17" t="s">
        <v>9395</v>
      </c>
      <c r="F121" s="17" t="s">
        <v>96</v>
      </c>
      <c r="G121" s="18" t="s">
        <v>3707</v>
      </c>
      <c r="H121" s="18" t="s">
        <v>98</v>
      </c>
      <c r="I121" s="17" t="s">
        <v>11670</v>
      </c>
      <c r="J121" s="17">
        <v>1</v>
      </c>
      <c r="K121" s="17">
        <v>0</v>
      </c>
      <c r="L121" s="17" t="s">
        <v>11671</v>
      </c>
      <c r="M121" s="19" t="s">
        <v>101</v>
      </c>
      <c r="N121" s="17" t="s">
        <v>11672</v>
      </c>
      <c r="O121" s="17" t="s">
        <v>11673</v>
      </c>
      <c r="P121" s="17" t="str">
        <f>HYPERLINK("https://dexscreener.com/solana/Gb4cNCK8UuFRM1P1uZCAaefztE8kwFhHFfM8yy8Fpump", "View")</f>
        <v>View</v>
      </c>
    </row>
    <row r="122" spans="1:16" x14ac:dyDescent="0.25">
      <c r="A122" s="13" t="s">
        <v>11674</v>
      </c>
      <c r="B122" s="14">
        <v>430287</v>
      </c>
      <c r="C122" s="14">
        <v>215144</v>
      </c>
      <c r="D122" s="14" t="s">
        <v>1813</v>
      </c>
      <c r="E122" s="14" t="s">
        <v>10121</v>
      </c>
      <c r="F122" s="14" t="s">
        <v>11675</v>
      </c>
      <c r="G122" s="20" t="s">
        <v>3420</v>
      </c>
      <c r="H122" s="20" t="s">
        <v>4033</v>
      </c>
      <c r="I122" s="14" t="s">
        <v>88</v>
      </c>
      <c r="J122" s="14">
        <v>1</v>
      </c>
      <c r="K122" s="14">
        <v>1</v>
      </c>
      <c r="L122" s="14" t="s">
        <v>11676</v>
      </c>
      <c r="M122" s="14" t="s">
        <v>3180</v>
      </c>
      <c r="N122" s="14" t="s">
        <v>11677</v>
      </c>
      <c r="O122" s="14" t="s">
        <v>11678</v>
      </c>
      <c r="P122" s="14" t="str">
        <f>HYPERLINK("https://dexscreener.com/solana/jLNGYVPdJ7WsimJw8jAHVQYWvUQJRrXVZFwdHUCpump", "View")</f>
        <v>View</v>
      </c>
    </row>
    <row r="123" spans="1:16" x14ac:dyDescent="0.25">
      <c r="A123" s="16" t="s">
        <v>8249</v>
      </c>
      <c r="B123" s="17">
        <v>876758</v>
      </c>
      <c r="C123" s="17">
        <v>0</v>
      </c>
      <c r="D123" s="17" t="s">
        <v>1882</v>
      </c>
      <c r="E123" s="17" t="s">
        <v>8966</v>
      </c>
      <c r="F123" s="17" t="s">
        <v>96</v>
      </c>
      <c r="G123" s="18" t="s">
        <v>3821</v>
      </c>
      <c r="H123" s="18" t="s">
        <v>98</v>
      </c>
      <c r="I123" s="17" t="s">
        <v>11679</v>
      </c>
      <c r="J123" s="17">
        <v>1</v>
      </c>
      <c r="K123" s="17">
        <v>0</v>
      </c>
      <c r="L123" s="17" t="s">
        <v>11680</v>
      </c>
      <c r="M123" s="19" t="s">
        <v>101</v>
      </c>
      <c r="N123" s="17" t="s">
        <v>11681</v>
      </c>
      <c r="O123" s="17" t="s">
        <v>8256</v>
      </c>
      <c r="P123" s="17" t="str">
        <f>HYPERLINK("https://photon-sol.tinyastro.io/en/lp/5j2sn474JVJh2Emy2oUQGsaQQaBD2SVSt9GuQ69Jpump?handle=676050794bc1b1657a56b", "View")</f>
        <v>View</v>
      </c>
    </row>
    <row r="124" spans="1:16" x14ac:dyDescent="0.25">
      <c r="A124" s="13" t="s">
        <v>11682</v>
      </c>
      <c r="B124" s="14">
        <v>902399</v>
      </c>
      <c r="C124" s="14">
        <v>0</v>
      </c>
      <c r="D124" s="14" t="s">
        <v>1813</v>
      </c>
      <c r="E124" s="14" t="s">
        <v>11683</v>
      </c>
      <c r="F124" s="14" t="s">
        <v>96</v>
      </c>
      <c r="G124" s="18" t="s">
        <v>11684</v>
      </c>
      <c r="H124" s="18" t="s">
        <v>98</v>
      </c>
      <c r="I124" s="14" t="s">
        <v>11685</v>
      </c>
      <c r="J124" s="14">
        <v>2</v>
      </c>
      <c r="K124" s="14">
        <v>0</v>
      </c>
      <c r="L124" s="14" t="s">
        <v>11686</v>
      </c>
      <c r="M124" s="14" t="s">
        <v>3180</v>
      </c>
      <c r="N124" s="14" t="s">
        <v>11687</v>
      </c>
      <c r="O124" s="14" t="s">
        <v>11688</v>
      </c>
      <c r="P124" s="14" t="str">
        <f>HYPERLINK("https://dexscreener.com/solana/DUnEr82vouuEhahEcoVzpQyRJFtvafTk2eyh9fAMYvQS", "View")</f>
        <v>View</v>
      </c>
    </row>
    <row r="125" spans="1:16" x14ac:dyDescent="0.25">
      <c r="A125" s="16" t="s">
        <v>11689</v>
      </c>
      <c r="B125" s="17">
        <v>678585</v>
      </c>
      <c r="C125" s="17">
        <v>0</v>
      </c>
      <c r="D125" s="17" t="s">
        <v>1882</v>
      </c>
      <c r="E125" s="17" t="s">
        <v>9395</v>
      </c>
      <c r="F125" s="17" t="s">
        <v>96</v>
      </c>
      <c r="G125" s="18" t="s">
        <v>3707</v>
      </c>
      <c r="H125" s="18" t="s">
        <v>98</v>
      </c>
      <c r="I125" s="17" t="s">
        <v>11690</v>
      </c>
      <c r="J125" s="17">
        <v>1</v>
      </c>
      <c r="K125" s="17">
        <v>0</v>
      </c>
      <c r="L125" s="17" t="s">
        <v>11691</v>
      </c>
      <c r="M125" s="19" t="s">
        <v>101</v>
      </c>
      <c r="N125" s="17" t="s">
        <v>5105</v>
      </c>
      <c r="O125" s="17" t="s">
        <v>11692</v>
      </c>
      <c r="P125" s="17" t="str">
        <f>HYPERLINK("https://dexscreener.com/solana/8FfFCfRTadsQ7ibDkyCrB9X7WoN3d7HNjxRjbxgepump", "View")</f>
        <v>View</v>
      </c>
    </row>
    <row r="126" spans="1:16" x14ac:dyDescent="0.25">
      <c r="A126" s="13" t="s">
        <v>11693</v>
      </c>
      <c r="B126" s="14">
        <v>355122</v>
      </c>
      <c r="C126" s="14">
        <v>0</v>
      </c>
      <c r="D126" s="14" t="s">
        <v>1882</v>
      </c>
      <c r="E126" s="14" t="s">
        <v>10121</v>
      </c>
      <c r="F126" s="14" t="s">
        <v>96</v>
      </c>
      <c r="G126" s="18" t="s">
        <v>11238</v>
      </c>
      <c r="H126" s="18" t="s">
        <v>98</v>
      </c>
      <c r="I126" s="14" t="s">
        <v>11694</v>
      </c>
      <c r="J126" s="14">
        <v>1</v>
      </c>
      <c r="K126" s="14">
        <v>0</v>
      </c>
      <c r="L126" s="14" t="s">
        <v>11695</v>
      </c>
      <c r="M126" s="19" t="s">
        <v>101</v>
      </c>
      <c r="N126" s="14" t="s">
        <v>6099</v>
      </c>
      <c r="O126" s="14" t="s">
        <v>11696</v>
      </c>
      <c r="P126" s="14" t="str">
        <f>HYPERLINK("https://dexscreener.com/solana/CyJ1ZH8PFBS4KXwEe6cedR6ZCxnZkRwa7oDc3WpEpump", "View")</f>
        <v>View</v>
      </c>
    </row>
    <row r="127" spans="1:16" x14ac:dyDescent="0.25">
      <c r="A127" s="16" t="s">
        <v>11697</v>
      </c>
      <c r="B127" s="17">
        <v>199406</v>
      </c>
      <c r="C127" s="17">
        <v>199406</v>
      </c>
      <c r="D127" s="17" t="s">
        <v>11301</v>
      </c>
      <c r="E127" s="17" t="s">
        <v>11302</v>
      </c>
      <c r="F127" s="17" t="s">
        <v>8990</v>
      </c>
      <c r="G127" s="21" t="s">
        <v>11698</v>
      </c>
      <c r="H127" s="21" t="s">
        <v>11699</v>
      </c>
      <c r="I127" s="17" t="s">
        <v>88</v>
      </c>
      <c r="J127" s="17">
        <v>3</v>
      </c>
      <c r="K127" s="17">
        <v>3</v>
      </c>
      <c r="L127" s="17" t="s">
        <v>11700</v>
      </c>
      <c r="M127" s="17" t="s">
        <v>699</v>
      </c>
      <c r="N127" s="17" t="s">
        <v>11701</v>
      </c>
      <c r="O127" s="17" t="s">
        <v>11702</v>
      </c>
      <c r="P127" s="17" t="str">
        <f>HYPERLINK("https://dexscreener.com/solana/EvNBoWwZFF6pPpjTnNSzrurxkDfw1PGUmih1eAStpump", "View")</f>
        <v>View</v>
      </c>
    </row>
    <row r="128" spans="1:16" x14ac:dyDescent="0.25">
      <c r="A128" s="13" t="s">
        <v>11703</v>
      </c>
      <c r="B128" s="14">
        <v>37258</v>
      </c>
      <c r="C128" s="14">
        <v>37258</v>
      </c>
      <c r="D128" s="14" t="s">
        <v>1813</v>
      </c>
      <c r="E128" s="14" t="s">
        <v>9395</v>
      </c>
      <c r="F128" s="14" t="s">
        <v>10121</v>
      </c>
      <c r="G128" s="20" t="s">
        <v>3800</v>
      </c>
      <c r="H128" s="20" t="s">
        <v>11704</v>
      </c>
      <c r="I128" s="14" t="s">
        <v>88</v>
      </c>
      <c r="J128" s="14">
        <v>1</v>
      </c>
      <c r="K128" s="14">
        <v>1</v>
      </c>
      <c r="L128" s="14" t="s">
        <v>11705</v>
      </c>
      <c r="M128" s="14" t="s">
        <v>5027</v>
      </c>
      <c r="N128" s="14" t="s">
        <v>11706</v>
      </c>
      <c r="O128" s="14" t="s">
        <v>11707</v>
      </c>
      <c r="P128" s="14" t="str">
        <f>HYPERLINK("https://dexscreener.com/solana/9Q8BNPzujkGcrGnybA2BqB5xh3Q3cYUGYmfnz2bYpump", "View")</f>
        <v>View</v>
      </c>
    </row>
    <row r="129" spans="1:16" x14ac:dyDescent="0.25">
      <c r="A129" s="16" t="s">
        <v>10744</v>
      </c>
      <c r="B129" s="17">
        <v>215387</v>
      </c>
      <c r="C129" s="17">
        <v>0</v>
      </c>
      <c r="D129" s="17" t="s">
        <v>1882</v>
      </c>
      <c r="E129" s="17" t="s">
        <v>9395</v>
      </c>
      <c r="F129" s="17" t="s">
        <v>96</v>
      </c>
      <c r="G129" s="18" t="s">
        <v>3707</v>
      </c>
      <c r="H129" s="18" t="s">
        <v>98</v>
      </c>
      <c r="I129" s="17" t="s">
        <v>11708</v>
      </c>
      <c r="J129" s="17">
        <v>1</v>
      </c>
      <c r="K129" s="17">
        <v>0</v>
      </c>
      <c r="L129" s="17" t="s">
        <v>11709</v>
      </c>
      <c r="M129" s="19" t="s">
        <v>101</v>
      </c>
      <c r="N129" s="17" t="s">
        <v>11710</v>
      </c>
      <c r="O129" s="17" t="s">
        <v>10748</v>
      </c>
      <c r="P129" s="17" t="str">
        <f>HYPERLINK("https://dexscreener.com/solana/DB3M5ggNLurVeSezKKJb68wEZrnodcPN4jCCFoBdcKG7", "View")</f>
        <v>View</v>
      </c>
    </row>
    <row r="130" spans="1:16" x14ac:dyDescent="0.25">
      <c r="A130" s="13" t="s">
        <v>11711</v>
      </c>
      <c r="B130" s="14">
        <v>175310</v>
      </c>
      <c r="C130" s="14">
        <v>0</v>
      </c>
      <c r="D130" s="14" t="s">
        <v>1813</v>
      </c>
      <c r="E130" s="14" t="s">
        <v>2506</v>
      </c>
      <c r="F130" s="14" t="s">
        <v>96</v>
      </c>
      <c r="G130" s="18" t="s">
        <v>11519</v>
      </c>
      <c r="H130" s="18" t="s">
        <v>98</v>
      </c>
      <c r="I130" s="14" t="s">
        <v>11712</v>
      </c>
      <c r="J130" s="14">
        <v>2</v>
      </c>
      <c r="K130" s="14">
        <v>0</v>
      </c>
      <c r="L130" s="14" t="s">
        <v>11713</v>
      </c>
      <c r="M130" s="14" t="s">
        <v>1610</v>
      </c>
      <c r="N130" s="14" t="s">
        <v>507</v>
      </c>
      <c r="O130" s="14" t="s">
        <v>11714</v>
      </c>
      <c r="P130" s="14" t="str">
        <f>HYPERLINK("https://dexscreener.com/solana/DR62qNTkq4t1BzFMARsvs2XyvwVHZwN1oh9sYshLpump", "View")</f>
        <v>View</v>
      </c>
    </row>
    <row r="131" spans="1:16" x14ac:dyDescent="0.25">
      <c r="A131" s="16" t="s">
        <v>10573</v>
      </c>
      <c r="B131" s="17">
        <v>122772</v>
      </c>
      <c r="C131" s="17">
        <v>0</v>
      </c>
      <c r="D131" s="17" t="s">
        <v>1882</v>
      </c>
      <c r="E131" s="17" t="s">
        <v>5534</v>
      </c>
      <c r="F131" s="17" t="s">
        <v>96</v>
      </c>
      <c r="G131" s="18" t="s">
        <v>3293</v>
      </c>
      <c r="H131" s="18" t="s">
        <v>98</v>
      </c>
      <c r="I131" s="17" t="s">
        <v>11715</v>
      </c>
      <c r="J131" s="17">
        <v>1</v>
      </c>
      <c r="K131" s="17">
        <v>0</v>
      </c>
      <c r="L131" s="17" t="s">
        <v>11716</v>
      </c>
      <c r="M131" s="19" t="s">
        <v>101</v>
      </c>
      <c r="N131" s="17" t="s">
        <v>11717</v>
      </c>
      <c r="O131" s="17" t="s">
        <v>10578</v>
      </c>
      <c r="P131" s="17" t="str">
        <f>HYPERLINK("https://dexscreener.com/solana/EVRWBUYGN5BdJcwagB7sYHy9cAo6xPUqD1j5VHv6pump", "View")</f>
        <v>View</v>
      </c>
    </row>
    <row r="132" spans="1:16" x14ac:dyDescent="0.25">
      <c r="A132" s="13" t="s">
        <v>11718</v>
      </c>
      <c r="B132" s="14">
        <v>1011001</v>
      </c>
      <c r="C132" s="14">
        <v>0</v>
      </c>
      <c r="D132" s="14" t="s">
        <v>1882</v>
      </c>
      <c r="E132" s="14" t="s">
        <v>9395</v>
      </c>
      <c r="F132" s="14" t="s">
        <v>96</v>
      </c>
      <c r="G132" s="18" t="s">
        <v>3707</v>
      </c>
      <c r="H132" s="18" t="s">
        <v>98</v>
      </c>
      <c r="I132" s="14" t="s">
        <v>11719</v>
      </c>
      <c r="J132" s="14">
        <v>1</v>
      </c>
      <c r="K132" s="14">
        <v>0</v>
      </c>
      <c r="L132" s="14" t="s">
        <v>11720</v>
      </c>
      <c r="M132" s="19" t="s">
        <v>101</v>
      </c>
      <c r="N132" s="14" t="s">
        <v>11721</v>
      </c>
      <c r="O132" s="14" t="s">
        <v>11722</v>
      </c>
      <c r="P132" s="14" t="str">
        <f>HYPERLINK("https://dexscreener.com/solana/CwUPvQz27au3YkYbPcjqprbHuT8qF9CDhijaSpGJpump", "View")</f>
        <v>View</v>
      </c>
    </row>
    <row r="133" spans="1:16" x14ac:dyDescent="0.25">
      <c r="A133" s="16" t="s">
        <v>11723</v>
      </c>
      <c r="B133" s="17">
        <v>746955</v>
      </c>
      <c r="C133" s="17">
        <v>0</v>
      </c>
      <c r="D133" s="17" t="s">
        <v>1882</v>
      </c>
      <c r="E133" s="17" t="s">
        <v>8966</v>
      </c>
      <c r="F133" s="17" t="s">
        <v>96</v>
      </c>
      <c r="G133" s="18" t="s">
        <v>3821</v>
      </c>
      <c r="H133" s="18" t="s">
        <v>98</v>
      </c>
      <c r="I133" s="17" t="s">
        <v>11724</v>
      </c>
      <c r="J133" s="17">
        <v>1</v>
      </c>
      <c r="K133" s="17">
        <v>0</v>
      </c>
      <c r="L133" s="17" t="s">
        <v>11725</v>
      </c>
      <c r="M133" s="19" t="s">
        <v>101</v>
      </c>
      <c r="N133" s="17" t="s">
        <v>11726</v>
      </c>
      <c r="O133" s="17" t="s">
        <v>11727</v>
      </c>
      <c r="P133" s="17" t="str">
        <f>HYPERLINK("https://photon-sol.tinyastro.io/en/lp/GWKJXUsSxHo7dRmcqSm47ZtmJ2k15PgoE2TTVbzGpump?handle=676050794bc1b1657a56b", "View")</f>
        <v>View</v>
      </c>
    </row>
    <row r="134" spans="1:16" x14ac:dyDescent="0.25">
      <c r="A134" s="13" t="s">
        <v>11728</v>
      </c>
      <c r="B134" s="14">
        <v>86226</v>
      </c>
      <c r="C134" s="14">
        <v>0</v>
      </c>
      <c r="D134" s="14" t="s">
        <v>1882</v>
      </c>
      <c r="E134" s="14" t="s">
        <v>9395</v>
      </c>
      <c r="F134" s="14" t="s">
        <v>96</v>
      </c>
      <c r="G134" s="18" t="s">
        <v>3707</v>
      </c>
      <c r="H134" s="18" t="s">
        <v>98</v>
      </c>
      <c r="I134" s="14" t="s">
        <v>11729</v>
      </c>
      <c r="J134" s="14">
        <v>1</v>
      </c>
      <c r="K134" s="14">
        <v>0</v>
      </c>
      <c r="L134" s="14" t="s">
        <v>11730</v>
      </c>
      <c r="M134" s="19" t="s">
        <v>101</v>
      </c>
      <c r="N134" s="14" t="s">
        <v>11731</v>
      </c>
      <c r="O134" s="14" t="s">
        <v>11732</v>
      </c>
      <c r="P134" s="14" t="str">
        <f>HYPERLINK("https://dexscreener.com/solana/FKpQJa9bAsaGEhWhcuNTpKmU3iechaqnNprz6Ccjpump", "View")</f>
        <v>View</v>
      </c>
    </row>
    <row r="135" spans="1:16" x14ac:dyDescent="0.25">
      <c r="A135" s="16" t="s">
        <v>11733</v>
      </c>
      <c r="B135" s="17">
        <v>422364</v>
      </c>
      <c r="C135" s="17">
        <v>422364</v>
      </c>
      <c r="D135" s="17" t="s">
        <v>1813</v>
      </c>
      <c r="E135" s="17" t="s">
        <v>9395</v>
      </c>
      <c r="F135" s="17" t="s">
        <v>11734</v>
      </c>
      <c r="G135" s="22" t="s">
        <v>4818</v>
      </c>
      <c r="H135" s="22" t="s">
        <v>11735</v>
      </c>
      <c r="I135" s="17" t="s">
        <v>88</v>
      </c>
      <c r="J135" s="17">
        <v>1</v>
      </c>
      <c r="K135" s="17">
        <v>1</v>
      </c>
      <c r="L135" s="17" t="s">
        <v>11736</v>
      </c>
      <c r="M135" s="17" t="s">
        <v>5702</v>
      </c>
      <c r="N135" s="17" t="s">
        <v>11737</v>
      </c>
      <c r="O135" s="17" t="s">
        <v>11738</v>
      </c>
      <c r="P135" s="17" t="str">
        <f>HYPERLINK("https://dexscreener.com/solana/AshCp63UfAaagrGmiuuMTAotvNeGUWwmnPSsqW7mpump", "View")</f>
        <v>View</v>
      </c>
    </row>
    <row r="136" spans="1:16" x14ac:dyDescent="0.25">
      <c r="A136" s="13" t="s">
        <v>11739</v>
      </c>
      <c r="B136" s="14">
        <v>698982</v>
      </c>
      <c r="C136" s="14">
        <v>0</v>
      </c>
      <c r="D136" s="14" t="s">
        <v>1882</v>
      </c>
      <c r="E136" s="14" t="s">
        <v>3706</v>
      </c>
      <c r="F136" s="14" t="s">
        <v>96</v>
      </c>
      <c r="G136" s="18" t="s">
        <v>11214</v>
      </c>
      <c r="H136" s="18" t="s">
        <v>98</v>
      </c>
      <c r="I136" s="14" t="s">
        <v>11740</v>
      </c>
      <c r="J136" s="14">
        <v>1</v>
      </c>
      <c r="K136" s="14">
        <v>0</v>
      </c>
      <c r="L136" s="14" t="s">
        <v>11741</v>
      </c>
      <c r="M136" s="19" t="s">
        <v>101</v>
      </c>
      <c r="N136" s="14" t="s">
        <v>11742</v>
      </c>
      <c r="O136" s="14" t="s">
        <v>11743</v>
      </c>
      <c r="P136" s="14" t="str">
        <f>HYPERLINK("https://photon-sol.tinyastro.io/en/lp/Dvy2WBM6XrELZXsa7EQzbMStw2DVg3cxXj9YwJeypump?handle=676050794bc1b1657a56b", "View")</f>
        <v>View</v>
      </c>
    </row>
    <row r="137" spans="1:16" x14ac:dyDescent="0.25">
      <c r="A137" s="16" t="s">
        <v>11744</v>
      </c>
      <c r="B137" s="17">
        <v>2595187</v>
      </c>
      <c r="C137" s="17">
        <v>2595187</v>
      </c>
      <c r="D137" s="17" t="s">
        <v>1813</v>
      </c>
      <c r="E137" s="17" t="s">
        <v>10121</v>
      </c>
      <c r="F137" s="17" t="s">
        <v>4680</v>
      </c>
      <c r="G137" s="22" t="s">
        <v>3979</v>
      </c>
      <c r="H137" s="22" t="s">
        <v>11745</v>
      </c>
      <c r="I137" s="17" t="s">
        <v>88</v>
      </c>
      <c r="J137" s="17">
        <v>1</v>
      </c>
      <c r="K137" s="17">
        <v>1</v>
      </c>
      <c r="L137" s="17" t="s">
        <v>11746</v>
      </c>
      <c r="M137" s="17" t="s">
        <v>414</v>
      </c>
      <c r="N137" s="17" t="s">
        <v>11747</v>
      </c>
      <c r="O137" s="17" t="s">
        <v>11748</v>
      </c>
      <c r="P137" s="17" t="str">
        <f>HYPERLINK("https://dexscreener.com/solana/6XHDQWZPtQCvkBRkkeZDh95X9xvmLsz5sMDxsXSHTohU", "View")</f>
        <v>View</v>
      </c>
    </row>
    <row r="138" spans="1:16" x14ac:dyDescent="0.25">
      <c r="A138" s="13" t="s">
        <v>11749</v>
      </c>
      <c r="B138" s="14">
        <v>299261</v>
      </c>
      <c r="C138" s="14">
        <v>0</v>
      </c>
      <c r="D138" s="14" t="s">
        <v>1882</v>
      </c>
      <c r="E138" s="14" t="s">
        <v>9395</v>
      </c>
      <c r="F138" s="14" t="s">
        <v>96</v>
      </c>
      <c r="G138" s="18" t="s">
        <v>3707</v>
      </c>
      <c r="H138" s="18" t="s">
        <v>98</v>
      </c>
      <c r="I138" s="14" t="s">
        <v>11750</v>
      </c>
      <c r="J138" s="14">
        <v>1</v>
      </c>
      <c r="K138" s="14">
        <v>0</v>
      </c>
      <c r="L138" s="14" t="s">
        <v>11751</v>
      </c>
      <c r="M138" s="19" t="s">
        <v>101</v>
      </c>
      <c r="N138" s="14" t="s">
        <v>6017</v>
      </c>
      <c r="O138" s="14" t="s">
        <v>11752</v>
      </c>
      <c r="P138" s="14" t="str">
        <f>HYPERLINK("https://dexscreener.com/solana/3N9i4Wd2DtWFYAg7vizGce7JRUW4Phmk1SQzLQ6Wpump", "View")</f>
        <v>View</v>
      </c>
    </row>
    <row r="139" spans="1:16" x14ac:dyDescent="0.25">
      <c r="A139" s="16" t="s">
        <v>11753</v>
      </c>
      <c r="B139" s="17">
        <v>353005</v>
      </c>
      <c r="C139" s="17">
        <v>353005</v>
      </c>
      <c r="D139" s="17" t="s">
        <v>1813</v>
      </c>
      <c r="E139" s="17" t="s">
        <v>9395</v>
      </c>
      <c r="F139" s="17" t="s">
        <v>4482</v>
      </c>
      <c r="G139" s="15" t="s">
        <v>2101</v>
      </c>
      <c r="H139" s="15" t="s">
        <v>11754</v>
      </c>
      <c r="I139" s="17" t="s">
        <v>88</v>
      </c>
      <c r="J139" s="17">
        <v>1</v>
      </c>
      <c r="K139" s="17">
        <v>1</v>
      </c>
      <c r="L139" s="17" t="s">
        <v>11755</v>
      </c>
      <c r="M139" s="17" t="s">
        <v>1566</v>
      </c>
      <c r="N139" s="17" t="s">
        <v>11756</v>
      </c>
      <c r="O139" s="17" t="s">
        <v>11757</v>
      </c>
      <c r="P139" s="17" t="str">
        <f>HYPERLINK("https://dexscreener.com/solana/5wrsXCYez1TewV5gEG7frkuHMJwMUSYXqARjboe1pump", "View")</f>
        <v>View</v>
      </c>
    </row>
    <row r="140" spans="1:16" x14ac:dyDescent="0.25">
      <c r="A140" s="13" t="s">
        <v>11758</v>
      </c>
      <c r="B140" s="14">
        <v>1225049</v>
      </c>
      <c r="C140" s="14">
        <v>1225049</v>
      </c>
      <c r="D140" s="14" t="s">
        <v>7092</v>
      </c>
      <c r="E140" s="14" t="s">
        <v>11759</v>
      </c>
      <c r="F140" s="14" t="s">
        <v>11760</v>
      </c>
      <c r="G140" s="21" t="s">
        <v>11761</v>
      </c>
      <c r="H140" s="21" t="s">
        <v>11762</v>
      </c>
      <c r="I140" s="14" t="s">
        <v>88</v>
      </c>
      <c r="J140" s="14">
        <v>2</v>
      </c>
      <c r="K140" s="14">
        <v>2</v>
      </c>
      <c r="L140" s="14" t="s">
        <v>11763</v>
      </c>
      <c r="M140" s="14" t="s">
        <v>479</v>
      </c>
      <c r="N140" s="14" t="s">
        <v>11764</v>
      </c>
      <c r="O140" s="14" t="s">
        <v>11765</v>
      </c>
      <c r="P140" s="14" t="str">
        <f>HYPERLINK("https://dexscreener.com/solana/4zCL9Lcb7D1d4DZwrCLKXXUxYEWhjEuGJwC7eNaMXBT2", "View")</f>
        <v>View</v>
      </c>
    </row>
    <row r="141" spans="1:16" x14ac:dyDescent="0.25">
      <c r="A141" s="16" t="s">
        <v>11766</v>
      </c>
      <c r="B141" s="17">
        <v>1505588</v>
      </c>
      <c r="C141" s="17">
        <v>1505588</v>
      </c>
      <c r="D141" s="17" t="s">
        <v>1813</v>
      </c>
      <c r="E141" s="17" t="s">
        <v>3706</v>
      </c>
      <c r="F141" s="17" t="s">
        <v>4951</v>
      </c>
      <c r="G141" s="20" t="s">
        <v>11767</v>
      </c>
      <c r="H141" s="20" t="s">
        <v>11768</v>
      </c>
      <c r="I141" s="17" t="s">
        <v>88</v>
      </c>
      <c r="J141" s="17">
        <v>1</v>
      </c>
      <c r="K141" s="17">
        <v>1</v>
      </c>
      <c r="L141" s="17" t="s">
        <v>11769</v>
      </c>
      <c r="M141" s="17" t="s">
        <v>1957</v>
      </c>
      <c r="N141" s="17" t="s">
        <v>507</v>
      </c>
      <c r="O141" s="17" t="s">
        <v>11770</v>
      </c>
      <c r="P141" s="17" t="str">
        <f>HYPERLINK("https://photon-sol.tinyastro.io/en/lp/GdZsQrkVT6Rr3ykhFzPZwaiWeqT4abAmvPaHjbNbpump?handle=676050794bc1b1657a56b", "View")</f>
        <v>View</v>
      </c>
    </row>
    <row r="142" spans="1:16" x14ac:dyDescent="0.25">
      <c r="A142" s="13" t="s">
        <v>11771</v>
      </c>
      <c r="B142" s="14">
        <v>489942</v>
      </c>
      <c r="C142" s="14">
        <v>489942</v>
      </c>
      <c r="D142" s="14" t="s">
        <v>9569</v>
      </c>
      <c r="E142" s="14" t="s">
        <v>3993</v>
      </c>
      <c r="F142" s="14" t="s">
        <v>11553</v>
      </c>
      <c r="G142" s="21" t="s">
        <v>5534</v>
      </c>
      <c r="H142" s="21" t="s">
        <v>11772</v>
      </c>
      <c r="I142" s="14" t="s">
        <v>88</v>
      </c>
      <c r="J142" s="14">
        <v>1</v>
      </c>
      <c r="K142" s="14">
        <v>2</v>
      </c>
      <c r="L142" s="14" t="s">
        <v>11773</v>
      </c>
      <c r="M142" s="14" t="s">
        <v>179</v>
      </c>
      <c r="N142" s="14" t="s">
        <v>11522</v>
      </c>
      <c r="O142" s="14" t="s">
        <v>11774</v>
      </c>
      <c r="P142" s="14" t="str">
        <f>HYPERLINK("https://photon-sol.tinyastro.io/en/lp/2s7VV1EhcuVNv9vbmYif5Mn1tH88JgQVx5SYnuoBpump?handle=676050794bc1b1657a56b", "View")</f>
        <v>View</v>
      </c>
    </row>
    <row r="143" spans="1:16" x14ac:dyDescent="0.25">
      <c r="A143" s="16" t="s">
        <v>11775</v>
      </c>
      <c r="B143" s="17">
        <v>1205233</v>
      </c>
      <c r="C143" s="17">
        <v>0</v>
      </c>
      <c r="D143" s="17" t="s">
        <v>1882</v>
      </c>
      <c r="E143" s="17" t="s">
        <v>8966</v>
      </c>
      <c r="F143" s="17" t="s">
        <v>96</v>
      </c>
      <c r="G143" s="18" t="s">
        <v>3821</v>
      </c>
      <c r="H143" s="18" t="s">
        <v>98</v>
      </c>
      <c r="I143" s="17" t="s">
        <v>11776</v>
      </c>
      <c r="J143" s="17">
        <v>1</v>
      </c>
      <c r="K143" s="17">
        <v>0</v>
      </c>
      <c r="L143" s="17" t="s">
        <v>11777</v>
      </c>
      <c r="M143" s="19" t="s">
        <v>101</v>
      </c>
      <c r="N143" s="17" t="s">
        <v>507</v>
      </c>
      <c r="O143" s="17" t="s">
        <v>11778</v>
      </c>
      <c r="P143" s="17" t="str">
        <f>HYPERLINK("https://photon-sol.tinyastro.io/en/lp/9Z1vk8UENXMrPUtXEyXtBETEBJSx2z1SjKLU632Wpump?handle=676050794bc1b1657a56b", "View")</f>
        <v>View</v>
      </c>
    </row>
    <row r="144" spans="1:16" x14ac:dyDescent="0.25">
      <c r="A144" s="13" t="s">
        <v>11779</v>
      </c>
      <c r="B144" s="14">
        <v>1072160</v>
      </c>
      <c r="C144" s="14">
        <v>1072160</v>
      </c>
      <c r="D144" s="14" t="s">
        <v>9569</v>
      </c>
      <c r="E144" s="14" t="s">
        <v>10636</v>
      </c>
      <c r="F144" s="14" t="s">
        <v>3228</v>
      </c>
      <c r="G144" s="21" t="s">
        <v>11780</v>
      </c>
      <c r="H144" s="21" t="s">
        <v>11781</v>
      </c>
      <c r="I144" s="14" t="s">
        <v>88</v>
      </c>
      <c r="J144" s="14">
        <v>1</v>
      </c>
      <c r="K144" s="14">
        <v>2</v>
      </c>
      <c r="L144" s="14" t="s">
        <v>11782</v>
      </c>
      <c r="M144" s="14" t="s">
        <v>5501</v>
      </c>
      <c r="N144" s="14" t="s">
        <v>11783</v>
      </c>
      <c r="O144" s="14" t="s">
        <v>11784</v>
      </c>
      <c r="P144" s="14" t="str">
        <f>HYPERLINK("https://photon-sol.tinyastro.io/en/lp/BEwyzgPoXpMSwqyshHR2PTJ5S2Yo14Tc2Gzi3RoBpump?handle=676050794bc1b1657a56b", "View")</f>
        <v>View</v>
      </c>
    </row>
    <row r="145" spans="1:16" x14ac:dyDescent="0.25">
      <c r="A145" s="16" t="s">
        <v>10736</v>
      </c>
      <c r="B145" s="17">
        <v>12692</v>
      </c>
      <c r="C145" s="17">
        <v>12692</v>
      </c>
      <c r="D145" s="17" t="s">
        <v>1813</v>
      </c>
      <c r="E145" s="17" t="s">
        <v>9395</v>
      </c>
      <c r="F145" s="17" t="s">
        <v>3413</v>
      </c>
      <c r="G145" s="22" t="s">
        <v>3979</v>
      </c>
      <c r="H145" s="22" t="s">
        <v>11785</v>
      </c>
      <c r="I145" s="17" t="s">
        <v>88</v>
      </c>
      <c r="J145" s="17">
        <v>1</v>
      </c>
      <c r="K145" s="17">
        <v>1</v>
      </c>
      <c r="L145" s="17" t="s">
        <v>11786</v>
      </c>
      <c r="M145" s="17" t="s">
        <v>179</v>
      </c>
      <c r="N145" s="17" t="s">
        <v>11787</v>
      </c>
      <c r="O145" s="17" t="s">
        <v>10743</v>
      </c>
      <c r="P145" s="17" t="str">
        <f>HYPERLINK("https://dexscreener.com/solana/HuiVprCHCucHUb5bX6EXFJd7wuwvdASFzzge4ahXpump", "View")</f>
        <v>View</v>
      </c>
    </row>
    <row r="146" spans="1:16" x14ac:dyDescent="0.25">
      <c r="A146" s="13" t="s">
        <v>10783</v>
      </c>
      <c r="B146" s="14">
        <v>345455</v>
      </c>
      <c r="C146" s="14">
        <v>0</v>
      </c>
      <c r="D146" s="14" t="s">
        <v>1882</v>
      </c>
      <c r="E146" s="14" t="s">
        <v>9395</v>
      </c>
      <c r="F146" s="14" t="s">
        <v>96</v>
      </c>
      <c r="G146" s="18" t="s">
        <v>3707</v>
      </c>
      <c r="H146" s="18" t="s">
        <v>98</v>
      </c>
      <c r="I146" s="14" t="s">
        <v>11788</v>
      </c>
      <c r="J146" s="14">
        <v>1</v>
      </c>
      <c r="K146" s="14">
        <v>0</v>
      </c>
      <c r="L146" s="14" t="s">
        <v>11789</v>
      </c>
      <c r="M146" s="19" t="s">
        <v>101</v>
      </c>
      <c r="N146" s="14" t="s">
        <v>4657</v>
      </c>
      <c r="O146" s="14" t="s">
        <v>11790</v>
      </c>
      <c r="P146" s="14" t="str">
        <f>HYPERLINK("https://dexscreener.com/solana/F8exHpwRrJV7fzvwHtd5K5wHUemk2p6XhdmnjdJepump", "View")</f>
        <v>View</v>
      </c>
    </row>
    <row r="147" spans="1:16" x14ac:dyDescent="0.25">
      <c r="A147" s="16" t="s">
        <v>11791</v>
      </c>
      <c r="B147" s="17">
        <v>1200798</v>
      </c>
      <c r="C147" s="17">
        <v>1200798</v>
      </c>
      <c r="D147" s="17" t="s">
        <v>7092</v>
      </c>
      <c r="E147" s="17" t="s">
        <v>11792</v>
      </c>
      <c r="F147" s="17" t="s">
        <v>5459</v>
      </c>
      <c r="G147" s="20" t="s">
        <v>1616</v>
      </c>
      <c r="H147" s="20" t="s">
        <v>11793</v>
      </c>
      <c r="I147" s="17" t="s">
        <v>88</v>
      </c>
      <c r="J147" s="17">
        <v>2</v>
      </c>
      <c r="K147" s="17">
        <v>2</v>
      </c>
      <c r="L147" s="17" t="s">
        <v>11794</v>
      </c>
      <c r="M147" s="17" t="s">
        <v>5695</v>
      </c>
      <c r="N147" s="17" t="s">
        <v>11795</v>
      </c>
      <c r="O147" s="17" t="s">
        <v>11796</v>
      </c>
      <c r="P147" s="17" t="str">
        <f>HYPERLINK("https://dexscreener.com/solana/AwpV53hcFf5onNw82ya8uGKGYm1JNRXbxmfeN1oCpump", "View")</f>
        <v>View</v>
      </c>
    </row>
    <row r="148" spans="1:16" x14ac:dyDescent="0.25">
      <c r="A148" s="13" t="s">
        <v>11797</v>
      </c>
      <c r="B148" s="14">
        <v>637078</v>
      </c>
      <c r="C148" s="14">
        <v>318539</v>
      </c>
      <c r="D148" s="14" t="s">
        <v>1813</v>
      </c>
      <c r="E148" s="14" t="s">
        <v>9395</v>
      </c>
      <c r="F148" s="14" t="s">
        <v>2546</v>
      </c>
      <c r="G148" s="21" t="s">
        <v>11798</v>
      </c>
      <c r="H148" s="21" t="s">
        <v>11799</v>
      </c>
      <c r="I148" s="14" t="s">
        <v>88</v>
      </c>
      <c r="J148" s="14">
        <v>1</v>
      </c>
      <c r="K148" s="14">
        <v>1</v>
      </c>
      <c r="L148" s="14" t="s">
        <v>11800</v>
      </c>
      <c r="M148" s="14" t="s">
        <v>2047</v>
      </c>
      <c r="N148" s="14" t="s">
        <v>11801</v>
      </c>
      <c r="O148" s="14" t="s">
        <v>11802</v>
      </c>
      <c r="P148" s="14" t="str">
        <f>HYPERLINK("https://dexscreener.com/solana/AnLV6URRUi6gSaRunA141ZuBySuNMTvaWpSXbgLXpump", "View")</f>
        <v>View</v>
      </c>
    </row>
    <row r="149" spans="1:16" x14ac:dyDescent="0.25">
      <c r="A149" s="16" t="s">
        <v>11803</v>
      </c>
      <c r="B149" s="17">
        <v>931127</v>
      </c>
      <c r="C149" s="17">
        <v>0</v>
      </c>
      <c r="D149" s="17" t="s">
        <v>1882</v>
      </c>
      <c r="E149" s="17" t="s">
        <v>3706</v>
      </c>
      <c r="F149" s="17" t="s">
        <v>96</v>
      </c>
      <c r="G149" s="18" t="s">
        <v>11214</v>
      </c>
      <c r="H149" s="18" t="s">
        <v>98</v>
      </c>
      <c r="I149" s="17" t="s">
        <v>11804</v>
      </c>
      <c r="J149" s="17">
        <v>1</v>
      </c>
      <c r="K149" s="17">
        <v>0</v>
      </c>
      <c r="L149" s="17" t="s">
        <v>11805</v>
      </c>
      <c r="M149" s="19" t="s">
        <v>101</v>
      </c>
      <c r="N149" s="17" t="s">
        <v>11806</v>
      </c>
      <c r="O149" s="17" t="s">
        <v>11807</v>
      </c>
      <c r="P149" s="17" t="str">
        <f>HYPERLINK("https://photon-sol.tinyastro.io/en/lp/4tgEBNfMUxJBFJWG48fuxuxuFQkPBNRMhMEc6JHUywC4?handle=676050794bc1b1657a56b", "View")</f>
        <v>View</v>
      </c>
    </row>
    <row r="150" spans="1:16" x14ac:dyDescent="0.25">
      <c r="A150" s="13" t="s">
        <v>11808</v>
      </c>
      <c r="B150" s="14">
        <v>142357</v>
      </c>
      <c r="C150" s="14">
        <v>142357</v>
      </c>
      <c r="D150" s="14" t="s">
        <v>1813</v>
      </c>
      <c r="E150" s="14" t="s">
        <v>9395</v>
      </c>
      <c r="F150" s="14" t="s">
        <v>11809</v>
      </c>
      <c r="G150" s="20" t="s">
        <v>5692</v>
      </c>
      <c r="H150" s="20" t="s">
        <v>11810</v>
      </c>
      <c r="I150" s="14" t="s">
        <v>88</v>
      </c>
      <c r="J150" s="14">
        <v>1</v>
      </c>
      <c r="K150" s="14">
        <v>1</v>
      </c>
      <c r="L150" s="14" t="s">
        <v>11811</v>
      </c>
      <c r="M150" s="14" t="s">
        <v>4922</v>
      </c>
      <c r="N150" s="14" t="s">
        <v>11812</v>
      </c>
      <c r="O150" s="14" t="s">
        <v>11813</v>
      </c>
      <c r="P150" s="14" t="str">
        <f>HYPERLINK("https://dexscreener.com/solana/DiK4gxmhENUcZfo45Lfyh2sYYSFPpk3k7fVXWEYupump", "View")</f>
        <v>View</v>
      </c>
    </row>
    <row r="151" spans="1:16" x14ac:dyDescent="0.25">
      <c r="A151" s="16" t="s">
        <v>11814</v>
      </c>
      <c r="B151" s="17">
        <v>84361</v>
      </c>
      <c r="C151" s="17">
        <v>0</v>
      </c>
      <c r="D151" s="17" t="s">
        <v>1882</v>
      </c>
      <c r="E151" s="17" t="s">
        <v>5534</v>
      </c>
      <c r="F151" s="17" t="s">
        <v>96</v>
      </c>
      <c r="G151" s="18" t="s">
        <v>3293</v>
      </c>
      <c r="H151" s="18" t="s">
        <v>98</v>
      </c>
      <c r="I151" s="17" t="s">
        <v>11815</v>
      </c>
      <c r="J151" s="17">
        <v>1</v>
      </c>
      <c r="K151" s="17">
        <v>0</v>
      </c>
      <c r="L151" s="17" t="s">
        <v>11816</v>
      </c>
      <c r="M151" s="19" t="s">
        <v>101</v>
      </c>
      <c r="N151" s="17" t="s">
        <v>11817</v>
      </c>
      <c r="O151" s="17" t="s">
        <v>11818</v>
      </c>
      <c r="P151" s="17" t="str">
        <f>HYPERLINK("https://dexscreener.com/solana/82ksVMfHApHu7T2ov2ZXibmmbCLsZfen8fSpn7Qrpump", "View")</f>
        <v>View</v>
      </c>
    </row>
    <row r="152" spans="1:16" x14ac:dyDescent="0.25">
      <c r="A152" s="13" t="s">
        <v>11819</v>
      </c>
      <c r="B152" s="14">
        <v>2373781</v>
      </c>
      <c r="C152" s="14">
        <v>0</v>
      </c>
      <c r="D152" s="14" t="s">
        <v>1882</v>
      </c>
      <c r="E152" s="14" t="s">
        <v>3993</v>
      </c>
      <c r="F152" s="14" t="s">
        <v>96</v>
      </c>
      <c r="G152" s="18" t="s">
        <v>11307</v>
      </c>
      <c r="H152" s="18" t="s">
        <v>98</v>
      </c>
      <c r="I152" s="14" t="s">
        <v>11820</v>
      </c>
      <c r="J152" s="14">
        <v>1</v>
      </c>
      <c r="K152" s="14">
        <v>0</v>
      </c>
      <c r="L152" s="14" t="s">
        <v>11821</v>
      </c>
      <c r="M152" s="19" t="s">
        <v>101</v>
      </c>
      <c r="N152" s="14" t="s">
        <v>507</v>
      </c>
      <c r="O152" s="14" t="s">
        <v>11822</v>
      </c>
      <c r="P152" s="14" t="str">
        <f>HYPERLINK("https://photon-sol.tinyastro.io/en/lp/2mh294YEabBv69pCdMQmzEBwZRbZByZqcTuWyE9JGQLA?handle=676050794bc1b1657a56b", "View")</f>
        <v>View</v>
      </c>
    </row>
    <row r="153" spans="1:16" x14ac:dyDescent="0.25">
      <c r="A153" s="16" t="s">
        <v>11823</v>
      </c>
      <c r="B153" s="17">
        <v>471705</v>
      </c>
      <c r="C153" s="17">
        <v>235852</v>
      </c>
      <c r="D153" s="17" t="s">
        <v>1813</v>
      </c>
      <c r="E153" s="17" t="s">
        <v>5534</v>
      </c>
      <c r="F153" s="17" t="s">
        <v>9683</v>
      </c>
      <c r="G153" s="21" t="s">
        <v>2581</v>
      </c>
      <c r="H153" s="21" t="s">
        <v>11824</v>
      </c>
      <c r="I153" s="17" t="s">
        <v>88</v>
      </c>
      <c r="J153" s="17">
        <v>1</v>
      </c>
      <c r="K153" s="17">
        <v>1</v>
      </c>
      <c r="L153" s="17" t="s">
        <v>11825</v>
      </c>
      <c r="M153" s="17" t="s">
        <v>1566</v>
      </c>
      <c r="N153" s="17" t="s">
        <v>11826</v>
      </c>
      <c r="O153" s="17" t="s">
        <v>11827</v>
      </c>
      <c r="P153" s="17" t="str">
        <f>HYPERLINK("https://dexscreener.com/solana/HEgT8gD9wDfmGsvBtTsvdArnp4M3257ffee8BTjkpump", "View")</f>
        <v>View</v>
      </c>
    </row>
    <row r="154" spans="1:16" x14ac:dyDescent="0.25">
      <c r="A154" s="13" t="s">
        <v>11828</v>
      </c>
      <c r="B154" s="14">
        <v>559716</v>
      </c>
      <c r="C154" s="14">
        <v>0</v>
      </c>
      <c r="D154" s="14" t="s">
        <v>1882</v>
      </c>
      <c r="E154" s="14" t="s">
        <v>8966</v>
      </c>
      <c r="F154" s="14" t="s">
        <v>96</v>
      </c>
      <c r="G154" s="18" t="s">
        <v>3821</v>
      </c>
      <c r="H154" s="18" t="s">
        <v>98</v>
      </c>
      <c r="I154" s="14" t="s">
        <v>11829</v>
      </c>
      <c r="J154" s="14">
        <v>1</v>
      </c>
      <c r="K154" s="14">
        <v>0</v>
      </c>
      <c r="L154" s="14" t="s">
        <v>11830</v>
      </c>
      <c r="M154" s="19" t="s">
        <v>101</v>
      </c>
      <c r="N154" s="14" t="s">
        <v>9882</v>
      </c>
      <c r="O154" s="14" t="s">
        <v>11831</v>
      </c>
      <c r="P154" s="14" t="str">
        <f>HYPERLINK("https://photon-sol.tinyastro.io/en/lp/Bb4FaD8sysY85JxVwozkcnvN8NBjjs9ePanJTw7Xpump?handle=676050794bc1b1657a56b", "View")</f>
        <v>View</v>
      </c>
    </row>
    <row r="155" spans="1:16" x14ac:dyDescent="0.25">
      <c r="A155" s="16" t="s">
        <v>11832</v>
      </c>
      <c r="B155" s="17">
        <v>726844</v>
      </c>
      <c r="C155" s="17">
        <v>0</v>
      </c>
      <c r="D155" s="17" t="s">
        <v>1882</v>
      </c>
      <c r="E155" s="17" t="s">
        <v>3993</v>
      </c>
      <c r="F155" s="17" t="s">
        <v>96</v>
      </c>
      <c r="G155" s="18" t="s">
        <v>11307</v>
      </c>
      <c r="H155" s="18" t="s">
        <v>98</v>
      </c>
      <c r="I155" s="17" t="s">
        <v>11833</v>
      </c>
      <c r="J155" s="17">
        <v>1</v>
      </c>
      <c r="K155" s="17">
        <v>0</v>
      </c>
      <c r="L155" s="17" t="s">
        <v>11834</v>
      </c>
      <c r="M155" s="19" t="s">
        <v>101</v>
      </c>
      <c r="N155" s="17" t="s">
        <v>507</v>
      </c>
      <c r="O155" s="17" t="s">
        <v>11835</v>
      </c>
      <c r="P155" s="17" t="str">
        <f>HYPERLINK("https://photon-sol.tinyastro.io/en/lp/4Qfsoo5a4wP29KvTVXkxagwYdF2sZ1m8m2dGDmSApump?handle=676050794bc1b1657a56b", "View")</f>
        <v>View</v>
      </c>
    </row>
    <row r="156" spans="1:16" x14ac:dyDescent="0.25">
      <c r="A156" s="13" t="s">
        <v>11836</v>
      </c>
      <c r="B156" s="14">
        <v>820753</v>
      </c>
      <c r="C156" s="14">
        <v>0</v>
      </c>
      <c r="D156" s="14" t="s">
        <v>1882</v>
      </c>
      <c r="E156" s="14" t="s">
        <v>3706</v>
      </c>
      <c r="F156" s="14" t="s">
        <v>96</v>
      </c>
      <c r="G156" s="18" t="s">
        <v>11214</v>
      </c>
      <c r="H156" s="18" t="s">
        <v>98</v>
      </c>
      <c r="I156" s="14" t="s">
        <v>11837</v>
      </c>
      <c r="J156" s="14">
        <v>1</v>
      </c>
      <c r="K156" s="14">
        <v>0</v>
      </c>
      <c r="L156" s="14" t="s">
        <v>11838</v>
      </c>
      <c r="M156" s="19" t="s">
        <v>101</v>
      </c>
      <c r="N156" s="14" t="s">
        <v>11839</v>
      </c>
      <c r="O156" s="14" t="s">
        <v>11840</v>
      </c>
      <c r="P156" s="14" t="str">
        <f>HYPERLINK("https://photon-sol.tinyastro.io/en/lp/E1PyFNK2vhSrcGTEnvMajRP8DuEUkr3cEfUQYakApump?handle=676050794bc1b1657a56b", "View")</f>
        <v>View</v>
      </c>
    </row>
    <row r="157" spans="1:16" x14ac:dyDescent="0.25">
      <c r="A157" s="16" t="s">
        <v>11841</v>
      </c>
      <c r="B157" s="17">
        <v>2486383863</v>
      </c>
      <c r="C157" s="17">
        <v>0</v>
      </c>
      <c r="D157" s="17" t="s">
        <v>1882</v>
      </c>
      <c r="E157" s="17" t="s">
        <v>10121</v>
      </c>
      <c r="F157" s="17" t="s">
        <v>96</v>
      </c>
      <c r="G157" s="18" t="s">
        <v>11238</v>
      </c>
      <c r="H157" s="18" t="s">
        <v>98</v>
      </c>
      <c r="I157" s="17" t="s">
        <v>11842</v>
      </c>
      <c r="J157" s="17">
        <v>1</v>
      </c>
      <c r="K157" s="17">
        <v>0</v>
      </c>
      <c r="L157" s="17" t="s">
        <v>11843</v>
      </c>
      <c r="M157" s="19" t="s">
        <v>101</v>
      </c>
      <c r="N157" s="17" t="s">
        <v>11844</v>
      </c>
      <c r="O157" s="17" t="s">
        <v>11845</v>
      </c>
      <c r="P157" s="17" t="str">
        <f>HYPERLINK("https://dexscreener.com/solana/3cy8N3asQY3WKBWaeBY3MzBQzbD4Mpy1nyGYoYKdNioA", "View")</f>
        <v>View</v>
      </c>
    </row>
    <row r="158" spans="1:16" x14ac:dyDescent="0.25">
      <c r="A158" s="13" t="s">
        <v>11846</v>
      </c>
      <c r="B158" s="14">
        <v>1311410</v>
      </c>
      <c r="C158" s="14">
        <v>1311410</v>
      </c>
      <c r="D158" s="14" t="s">
        <v>1813</v>
      </c>
      <c r="E158" s="14" t="s">
        <v>10121</v>
      </c>
      <c r="F158" s="14" t="s">
        <v>3912</v>
      </c>
      <c r="G158" s="22" t="s">
        <v>4687</v>
      </c>
      <c r="H158" s="22" t="s">
        <v>11847</v>
      </c>
      <c r="I158" s="14" t="s">
        <v>88</v>
      </c>
      <c r="J158" s="14">
        <v>1</v>
      </c>
      <c r="K158" s="14">
        <v>1</v>
      </c>
      <c r="L158" s="14" t="s">
        <v>11848</v>
      </c>
      <c r="M158" s="14" t="s">
        <v>8522</v>
      </c>
      <c r="N158" s="14" t="s">
        <v>11849</v>
      </c>
      <c r="O158" s="14" t="s">
        <v>11850</v>
      </c>
      <c r="P158" s="14" t="str">
        <f>HYPERLINK("https://dexscreener.com/solana/3kFpo4AM6sjR6vU61U8crCqRvNAtrFaVu6J2qD9upump", "View")</f>
        <v>View</v>
      </c>
    </row>
    <row r="159" spans="1:16" x14ac:dyDescent="0.25">
      <c r="A159" s="16" t="s">
        <v>2366</v>
      </c>
      <c r="B159" s="17">
        <v>1303423</v>
      </c>
      <c r="C159" s="17">
        <v>1303423</v>
      </c>
      <c r="D159" s="17" t="s">
        <v>9569</v>
      </c>
      <c r="E159" s="17" t="s">
        <v>3706</v>
      </c>
      <c r="F159" s="17" t="s">
        <v>3836</v>
      </c>
      <c r="G159" s="21" t="s">
        <v>3563</v>
      </c>
      <c r="H159" s="21" t="s">
        <v>11851</v>
      </c>
      <c r="I159" s="17" t="s">
        <v>88</v>
      </c>
      <c r="J159" s="17">
        <v>1</v>
      </c>
      <c r="K159" s="17">
        <v>2</v>
      </c>
      <c r="L159" s="17" t="s">
        <v>11852</v>
      </c>
      <c r="M159" s="17" t="s">
        <v>656</v>
      </c>
      <c r="N159" s="17" t="s">
        <v>11853</v>
      </c>
      <c r="O159" s="17" t="s">
        <v>11854</v>
      </c>
      <c r="P159" s="17" t="str">
        <f>HYPERLINK("https://photon-sol.tinyastro.io/en/lp/GsL6xKMfaKATM8iL8ssdmgpd1ApBHJ9gKLD3MsXypump?handle=676050794bc1b1657a56b", "View")</f>
        <v>View</v>
      </c>
    </row>
    <row r="160" spans="1:16" x14ac:dyDescent="0.25">
      <c r="A160" s="13" t="s">
        <v>11855</v>
      </c>
      <c r="B160" s="14">
        <v>781484</v>
      </c>
      <c r="C160" s="14">
        <v>781484</v>
      </c>
      <c r="D160" s="14" t="s">
        <v>1813</v>
      </c>
      <c r="E160" s="14" t="s">
        <v>10121</v>
      </c>
      <c r="F160" s="14" t="s">
        <v>11856</v>
      </c>
      <c r="G160" s="20" t="s">
        <v>5305</v>
      </c>
      <c r="H160" s="20" t="s">
        <v>11857</v>
      </c>
      <c r="I160" s="14" t="s">
        <v>88</v>
      </c>
      <c r="J160" s="14">
        <v>1</v>
      </c>
      <c r="K160" s="14">
        <v>1</v>
      </c>
      <c r="L160" s="14" t="s">
        <v>11858</v>
      </c>
      <c r="M160" s="14" t="s">
        <v>5061</v>
      </c>
      <c r="N160" s="14" t="s">
        <v>11859</v>
      </c>
      <c r="O160" s="14" t="s">
        <v>11860</v>
      </c>
      <c r="P160" s="14" t="str">
        <f>HYPERLINK("https://dexscreener.com/solana/HkzxcLMCFFCvsA1zfzfTWgpsCGAJW2n7eu6EVwPspump", "View")</f>
        <v>View</v>
      </c>
    </row>
    <row r="161" spans="1:16" x14ac:dyDescent="0.25">
      <c r="A161" s="16" t="s">
        <v>11861</v>
      </c>
      <c r="B161" s="17">
        <v>690238</v>
      </c>
      <c r="C161" s="17">
        <v>0</v>
      </c>
      <c r="D161" s="17" t="s">
        <v>1882</v>
      </c>
      <c r="E161" s="17" t="s">
        <v>9395</v>
      </c>
      <c r="F161" s="17" t="s">
        <v>96</v>
      </c>
      <c r="G161" s="18" t="s">
        <v>3707</v>
      </c>
      <c r="H161" s="18" t="s">
        <v>98</v>
      </c>
      <c r="I161" s="17" t="s">
        <v>11862</v>
      </c>
      <c r="J161" s="17">
        <v>1</v>
      </c>
      <c r="K161" s="17">
        <v>0</v>
      </c>
      <c r="L161" s="17" t="s">
        <v>11863</v>
      </c>
      <c r="M161" s="19" t="s">
        <v>101</v>
      </c>
      <c r="N161" s="17" t="s">
        <v>5517</v>
      </c>
      <c r="O161" s="17" t="s">
        <v>11864</v>
      </c>
      <c r="P161" s="17" t="str">
        <f>HYPERLINK("https://dexscreener.com/solana/2ZVNcLF5aeFP7anV8RsUFpwXT2tChH1U3eoHaLrzpump", "View")</f>
        <v>View</v>
      </c>
    </row>
    <row r="162" spans="1:16" x14ac:dyDescent="0.25">
      <c r="A162" s="13" t="s">
        <v>11865</v>
      </c>
      <c r="B162" s="14">
        <v>170180</v>
      </c>
      <c r="C162" s="14">
        <v>0</v>
      </c>
      <c r="D162" s="14" t="s">
        <v>1882</v>
      </c>
      <c r="E162" s="14" t="s">
        <v>9395</v>
      </c>
      <c r="F162" s="14" t="s">
        <v>96</v>
      </c>
      <c r="G162" s="18" t="s">
        <v>3707</v>
      </c>
      <c r="H162" s="18" t="s">
        <v>98</v>
      </c>
      <c r="I162" s="14" t="s">
        <v>11866</v>
      </c>
      <c r="J162" s="14">
        <v>1</v>
      </c>
      <c r="K162" s="14">
        <v>0</v>
      </c>
      <c r="L162" s="14" t="s">
        <v>11867</v>
      </c>
      <c r="M162" s="19" t="s">
        <v>101</v>
      </c>
      <c r="N162" s="14" t="s">
        <v>11868</v>
      </c>
      <c r="O162" s="14" t="s">
        <v>11869</v>
      </c>
      <c r="P162" s="14" t="str">
        <f>HYPERLINK("https://dexscreener.com/solana/5b39hnBZ24a2LzLRqmzj8eTUc8GXpnTVTBwEvPoRpump", "View")</f>
        <v>View</v>
      </c>
    </row>
    <row r="163" spans="1:16" x14ac:dyDescent="0.25">
      <c r="A163" s="16" t="s">
        <v>11870</v>
      </c>
      <c r="B163" s="17">
        <v>1775648</v>
      </c>
      <c r="C163" s="17">
        <v>0</v>
      </c>
      <c r="D163" s="17" t="s">
        <v>1882</v>
      </c>
      <c r="E163" s="17" t="s">
        <v>8575</v>
      </c>
      <c r="F163" s="17" t="s">
        <v>96</v>
      </c>
      <c r="G163" s="18" t="s">
        <v>3209</v>
      </c>
      <c r="H163" s="18" t="s">
        <v>98</v>
      </c>
      <c r="I163" s="17" t="s">
        <v>11871</v>
      </c>
      <c r="J163" s="17">
        <v>1</v>
      </c>
      <c r="K163" s="17">
        <v>0</v>
      </c>
      <c r="L163" s="17" t="s">
        <v>11872</v>
      </c>
      <c r="M163" s="19" t="s">
        <v>101</v>
      </c>
      <c r="N163" s="17" t="s">
        <v>507</v>
      </c>
      <c r="O163" s="17" t="s">
        <v>11873</v>
      </c>
      <c r="P163" s="17" t="str">
        <f>HYPERLINK("https://photon-sol.tinyastro.io/en/lp/GQYD4faGbg3MuZahczeKb1f7819XDMoxiaZpu52Kpump?handle=676050794bc1b1657a56b", "View")</f>
        <v>View</v>
      </c>
    </row>
    <row r="164" spans="1:16" x14ac:dyDescent="0.25">
      <c r="A164" s="13" t="s">
        <v>11874</v>
      </c>
      <c r="B164" s="14">
        <v>3721216</v>
      </c>
      <c r="C164" s="14">
        <v>3721216</v>
      </c>
      <c r="D164" s="14" t="s">
        <v>9569</v>
      </c>
      <c r="E164" s="14" t="s">
        <v>3706</v>
      </c>
      <c r="F164" s="14" t="s">
        <v>2044</v>
      </c>
      <c r="G164" s="22" t="s">
        <v>5077</v>
      </c>
      <c r="H164" s="22" t="s">
        <v>11875</v>
      </c>
      <c r="I164" s="14" t="s">
        <v>88</v>
      </c>
      <c r="J164" s="14">
        <v>1</v>
      </c>
      <c r="K164" s="14">
        <v>2</v>
      </c>
      <c r="L164" s="14" t="s">
        <v>11876</v>
      </c>
      <c r="M164" s="14" t="s">
        <v>602</v>
      </c>
      <c r="N164" s="14" t="s">
        <v>507</v>
      </c>
      <c r="O164" s="14" t="s">
        <v>11877</v>
      </c>
      <c r="P164" s="14" t="str">
        <f>HYPERLINK("https://photon-sol.tinyastro.io/en/lp/HZPakhtQ9p1iLf436JAZXWpLjzDfV47ubyjJALYCpump?handle=676050794bc1b1657a56b", "View")</f>
        <v>View</v>
      </c>
    </row>
    <row r="165" spans="1:16" x14ac:dyDescent="0.25">
      <c r="A165" s="16" t="s">
        <v>11878</v>
      </c>
      <c r="B165" s="17">
        <v>535514</v>
      </c>
      <c r="C165" s="17">
        <v>0</v>
      </c>
      <c r="D165" s="17" t="s">
        <v>1882</v>
      </c>
      <c r="E165" s="17" t="s">
        <v>10121</v>
      </c>
      <c r="F165" s="17" t="s">
        <v>96</v>
      </c>
      <c r="G165" s="18" t="s">
        <v>11238</v>
      </c>
      <c r="H165" s="18" t="s">
        <v>98</v>
      </c>
      <c r="I165" s="17" t="s">
        <v>11879</v>
      </c>
      <c r="J165" s="17">
        <v>1</v>
      </c>
      <c r="K165" s="17">
        <v>0</v>
      </c>
      <c r="L165" s="17" t="s">
        <v>11880</v>
      </c>
      <c r="M165" s="19" t="s">
        <v>101</v>
      </c>
      <c r="N165" s="17" t="s">
        <v>595</v>
      </c>
      <c r="O165" s="17" t="s">
        <v>11881</v>
      </c>
      <c r="P165" s="17" t="str">
        <f>HYPERLINK("https://dexscreener.com/solana/59jZrCBeMKDg3Z7iLwMCfq2BANyVcdjTCvDkTzVPpump", "View")</f>
        <v>View</v>
      </c>
    </row>
    <row r="166" spans="1:16" x14ac:dyDescent="0.25">
      <c r="A166" s="13" t="s">
        <v>11882</v>
      </c>
      <c r="B166" s="14">
        <v>1154773</v>
      </c>
      <c r="C166" s="14">
        <v>577386</v>
      </c>
      <c r="D166" s="14" t="s">
        <v>1813</v>
      </c>
      <c r="E166" s="14" t="s">
        <v>3993</v>
      </c>
      <c r="F166" s="14" t="s">
        <v>11883</v>
      </c>
      <c r="G166" s="21" t="s">
        <v>2077</v>
      </c>
      <c r="H166" s="21" t="s">
        <v>11884</v>
      </c>
      <c r="I166" s="14" t="s">
        <v>88</v>
      </c>
      <c r="J166" s="14">
        <v>1</v>
      </c>
      <c r="K166" s="14">
        <v>1</v>
      </c>
      <c r="L166" s="14" t="s">
        <v>11885</v>
      </c>
      <c r="M166" s="14" t="s">
        <v>1610</v>
      </c>
      <c r="N166" s="14" t="s">
        <v>11886</v>
      </c>
      <c r="O166" s="14" t="s">
        <v>11887</v>
      </c>
      <c r="P166" s="14" t="str">
        <f>HYPERLINK("https://photon-sol.tinyastro.io/en/lp/5njPgyEfBDvGxHtMTN86yQnNr1XTd3zy9D2eb84zpump?handle=676050794bc1b1657a56b", "View")</f>
        <v>View</v>
      </c>
    </row>
    <row r="167" spans="1:16" x14ac:dyDescent="0.25">
      <c r="A167" s="16" t="s">
        <v>11888</v>
      </c>
      <c r="B167" s="17">
        <v>4657544</v>
      </c>
      <c r="C167" s="17">
        <v>4657544</v>
      </c>
      <c r="D167" s="17" t="s">
        <v>1813</v>
      </c>
      <c r="E167" s="17" t="s">
        <v>11889</v>
      </c>
      <c r="F167" s="17" t="s">
        <v>5220</v>
      </c>
      <c r="G167" s="20" t="s">
        <v>11890</v>
      </c>
      <c r="H167" s="20" t="s">
        <v>11891</v>
      </c>
      <c r="I167" s="17" t="s">
        <v>88</v>
      </c>
      <c r="J167" s="17">
        <v>1</v>
      </c>
      <c r="K167" s="17">
        <v>1</v>
      </c>
      <c r="L167" s="17" t="s">
        <v>11892</v>
      </c>
      <c r="M167" s="17" t="s">
        <v>1434</v>
      </c>
      <c r="N167" s="17" t="s">
        <v>507</v>
      </c>
      <c r="O167" s="17" t="s">
        <v>11893</v>
      </c>
      <c r="P167" s="17" t="str">
        <f>HYPERLINK("https://photon-sol.tinyastro.io/en/lp/gGuYybzgCNAdctPMdPuLJj94rfvhaJgFx78zcVGpump?handle=676050794bc1b1657a56b", "View")</f>
        <v>View</v>
      </c>
    </row>
    <row r="168" spans="1:16" x14ac:dyDescent="0.25">
      <c r="A168" s="13" t="s">
        <v>6124</v>
      </c>
      <c r="B168" s="14">
        <v>1685848</v>
      </c>
      <c r="C168" s="14">
        <v>0</v>
      </c>
      <c r="D168" s="14" t="s">
        <v>1813</v>
      </c>
      <c r="E168" s="14" t="s">
        <v>3919</v>
      </c>
      <c r="F168" s="14" t="s">
        <v>96</v>
      </c>
      <c r="G168" s="18" t="s">
        <v>11894</v>
      </c>
      <c r="H168" s="18" t="s">
        <v>98</v>
      </c>
      <c r="I168" s="14" t="s">
        <v>11895</v>
      </c>
      <c r="J168" s="14">
        <v>2</v>
      </c>
      <c r="K168" s="14">
        <v>0</v>
      </c>
      <c r="L168" s="14" t="s">
        <v>11896</v>
      </c>
      <c r="M168" s="14" t="s">
        <v>2047</v>
      </c>
      <c r="N168" s="14" t="s">
        <v>11897</v>
      </c>
      <c r="O168" s="14" t="s">
        <v>11898</v>
      </c>
      <c r="P168" s="14" t="str">
        <f>HYPERLINK("https://photon-sol.tinyastro.io/en/lp/DMRFTHbQ79zeWZUGXRPpcFF86iZM8NoMUkjWAzQtpump?handle=676050794bc1b1657a56b", "View")</f>
        <v>View</v>
      </c>
    </row>
    <row r="169" spans="1:16" x14ac:dyDescent="0.25">
      <c r="A169" s="16" t="s">
        <v>5893</v>
      </c>
      <c r="B169" s="17">
        <v>3421887</v>
      </c>
      <c r="C169" s="17">
        <v>3421887</v>
      </c>
      <c r="D169" s="17" t="s">
        <v>1813</v>
      </c>
      <c r="E169" s="17" t="s">
        <v>3993</v>
      </c>
      <c r="F169" s="17" t="s">
        <v>5077</v>
      </c>
      <c r="G169" s="20" t="s">
        <v>2582</v>
      </c>
      <c r="H169" s="20" t="s">
        <v>11899</v>
      </c>
      <c r="I169" s="17" t="s">
        <v>88</v>
      </c>
      <c r="J169" s="17">
        <v>1</v>
      </c>
      <c r="K169" s="17">
        <v>1</v>
      </c>
      <c r="L169" s="17" t="s">
        <v>11900</v>
      </c>
      <c r="M169" s="17" t="s">
        <v>5027</v>
      </c>
      <c r="N169" s="17" t="s">
        <v>507</v>
      </c>
      <c r="O169" s="17" t="s">
        <v>11901</v>
      </c>
      <c r="P169" s="17" t="str">
        <f>HYPERLINK("https://photon-sol.tinyastro.io/en/lp/6pRHBqYUgNCw6bA89JPBpy428nVce7pnu6Jpevjupump?handle=676050794bc1b1657a56b", "View")</f>
        <v>View</v>
      </c>
    </row>
    <row r="170" spans="1:16" x14ac:dyDescent="0.25">
      <c r="A170" s="13" t="s">
        <v>1045</v>
      </c>
      <c r="B170" s="14">
        <v>3494424</v>
      </c>
      <c r="C170" s="14">
        <v>3494424</v>
      </c>
      <c r="D170" s="14" t="s">
        <v>1813</v>
      </c>
      <c r="E170" s="14" t="s">
        <v>3993</v>
      </c>
      <c r="F170" s="14" t="s">
        <v>10011</v>
      </c>
      <c r="G170" s="20" t="s">
        <v>4904</v>
      </c>
      <c r="H170" s="20" t="s">
        <v>11902</v>
      </c>
      <c r="I170" s="14" t="s">
        <v>88</v>
      </c>
      <c r="J170" s="14">
        <v>1</v>
      </c>
      <c r="K170" s="14">
        <v>1</v>
      </c>
      <c r="L170" s="14" t="s">
        <v>11903</v>
      </c>
      <c r="M170" s="14" t="s">
        <v>5027</v>
      </c>
      <c r="N170" s="14" t="s">
        <v>507</v>
      </c>
      <c r="O170" s="14" t="s">
        <v>11904</v>
      </c>
      <c r="P170" s="14" t="str">
        <f>HYPERLINK("https://photon-sol.tinyastro.io/en/lp/7pEeDYqMqzgtGAKJtFiUim3RB6kWCNaurWq1gRXSpump?handle=676050794bc1b1657a56b", "View")</f>
        <v>View</v>
      </c>
    </row>
    <row r="171" spans="1:16" x14ac:dyDescent="0.25">
      <c r="A171" s="16" t="s">
        <v>11905</v>
      </c>
      <c r="B171" s="17">
        <v>3494424</v>
      </c>
      <c r="C171" s="17">
        <v>3494424</v>
      </c>
      <c r="D171" s="17" t="s">
        <v>1813</v>
      </c>
      <c r="E171" s="17" t="s">
        <v>3993</v>
      </c>
      <c r="F171" s="17" t="s">
        <v>10011</v>
      </c>
      <c r="G171" s="20" t="s">
        <v>4904</v>
      </c>
      <c r="H171" s="20" t="s">
        <v>11906</v>
      </c>
      <c r="I171" s="17" t="s">
        <v>88</v>
      </c>
      <c r="J171" s="17">
        <v>1</v>
      </c>
      <c r="K171" s="17">
        <v>1</v>
      </c>
      <c r="L171" s="17" t="s">
        <v>11907</v>
      </c>
      <c r="M171" s="17" t="s">
        <v>5061</v>
      </c>
      <c r="N171" s="17" t="s">
        <v>507</v>
      </c>
      <c r="O171" s="17" t="s">
        <v>11908</v>
      </c>
      <c r="P171" s="17" t="str">
        <f>HYPERLINK("https://photon-sol.tinyastro.io/en/lp/9qTAniAuQNvEo1hbbvzpEmXv14cM6JTyb8y5FUtMpump?handle=676050794bc1b1657a56b", "View")</f>
        <v>View</v>
      </c>
    </row>
    <row r="172" spans="1:16" x14ac:dyDescent="0.25">
      <c r="A172" s="13" t="s">
        <v>11909</v>
      </c>
      <c r="B172" s="14">
        <v>6072215</v>
      </c>
      <c r="C172" s="14">
        <v>6072215</v>
      </c>
      <c r="D172" s="14" t="s">
        <v>1813</v>
      </c>
      <c r="E172" s="14" t="s">
        <v>11889</v>
      </c>
      <c r="F172" s="14" t="s">
        <v>2164</v>
      </c>
      <c r="G172" s="20" t="s">
        <v>2172</v>
      </c>
      <c r="H172" s="20" t="s">
        <v>11910</v>
      </c>
      <c r="I172" s="14" t="s">
        <v>88</v>
      </c>
      <c r="J172" s="14">
        <v>1</v>
      </c>
      <c r="K172" s="14">
        <v>1</v>
      </c>
      <c r="L172" s="14" t="s">
        <v>11911</v>
      </c>
      <c r="M172" s="14" t="s">
        <v>5061</v>
      </c>
      <c r="N172" s="14" t="s">
        <v>507</v>
      </c>
      <c r="O172" s="14" t="s">
        <v>11912</v>
      </c>
      <c r="P172" s="14" t="str">
        <f>HYPERLINK("https://photon-sol.tinyastro.io/en/lp/JBgPGmfzZVNTmdp2NesTcDeV9ZpUMN43JSr7iaaopump?handle=676050794bc1b1657a56b", "View")</f>
        <v>View</v>
      </c>
    </row>
    <row r="173" spans="1:16" x14ac:dyDescent="0.25">
      <c r="A173" s="16" t="s">
        <v>11913</v>
      </c>
      <c r="B173" s="17">
        <v>6094298</v>
      </c>
      <c r="C173" s="17">
        <v>6094298</v>
      </c>
      <c r="D173" s="17" t="s">
        <v>1813</v>
      </c>
      <c r="E173" s="17" t="s">
        <v>8966</v>
      </c>
      <c r="F173" s="17" t="s">
        <v>4951</v>
      </c>
      <c r="G173" s="20" t="s">
        <v>4066</v>
      </c>
      <c r="H173" s="20" t="s">
        <v>11914</v>
      </c>
      <c r="I173" s="17" t="s">
        <v>88</v>
      </c>
      <c r="J173" s="17">
        <v>1</v>
      </c>
      <c r="K173" s="17">
        <v>1</v>
      </c>
      <c r="L173" s="17" t="s">
        <v>11915</v>
      </c>
      <c r="M173" s="17" t="s">
        <v>5061</v>
      </c>
      <c r="N173" s="17" t="s">
        <v>507</v>
      </c>
      <c r="O173" s="17" t="s">
        <v>11916</v>
      </c>
      <c r="P173" s="17" t="str">
        <f>HYPERLINK("https://photon-sol.tinyastro.io/en/lp/FboAhhUkqipjTAigtsB17nPFQZ57xdUknMxHzqnppump?handle=676050794bc1b1657a56b", "View")</f>
        <v>View</v>
      </c>
    </row>
    <row r="174" spans="1:16" x14ac:dyDescent="0.25">
      <c r="A174" s="13" t="s">
        <v>11917</v>
      </c>
      <c r="B174" s="14">
        <v>2856501</v>
      </c>
      <c r="C174" s="14">
        <v>2856501</v>
      </c>
      <c r="D174" s="14" t="s">
        <v>1813</v>
      </c>
      <c r="E174" s="14" t="s">
        <v>9395</v>
      </c>
      <c r="F174" s="14" t="s">
        <v>10664</v>
      </c>
      <c r="G174" s="20" t="s">
        <v>5589</v>
      </c>
      <c r="H174" s="20" t="s">
        <v>11918</v>
      </c>
      <c r="I174" s="14" t="s">
        <v>88</v>
      </c>
      <c r="J174" s="14">
        <v>1</v>
      </c>
      <c r="K174" s="14">
        <v>1</v>
      </c>
      <c r="L174" s="14" t="s">
        <v>11919</v>
      </c>
      <c r="M174" s="14" t="s">
        <v>231</v>
      </c>
      <c r="N174" s="14" t="s">
        <v>11920</v>
      </c>
      <c r="O174" s="14" t="s">
        <v>11921</v>
      </c>
      <c r="P174" s="14" t="str">
        <f>HYPERLINK("https://dexscreener.com/solana/9qyMyv6uNR71ZBgFJmyJFjHWCgSSQuN3Lk58EUFJfoVL", "View")</f>
        <v>View</v>
      </c>
    </row>
    <row r="175" spans="1:16" x14ac:dyDescent="0.25">
      <c r="A175" s="16" t="s">
        <v>5963</v>
      </c>
      <c r="B175" s="17">
        <v>993597</v>
      </c>
      <c r="C175" s="17">
        <v>993597</v>
      </c>
      <c r="D175" s="17" t="s">
        <v>9569</v>
      </c>
      <c r="E175" s="17" t="s">
        <v>3706</v>
      </c>
      <c r="F175" s="17" t="s">
        <v>11922</v>
      </c>
      <c r="G175" s="21" t="s">
        <v>5721</v>
      </c>
      <c r="H175" s="21" t="s">
        <v>11923</v>
      </c>
      <c r="I175" s="17" t="s">
        <v>88</v>
      </c>
      <c r="J175" s="17">
        <v>1</v>
      </c>
      <c r="K175" s="17">
        <v>2</v>
      </c>
      <c r="L175" s="17" t="s">
        <v>11924</v>
      </c>
      <c r="M175" s="17" t="s">
        <v>179</v>
      </c>
      <c r="N175" s="17" t="s">
        <v>11925</v>
      </c>
      <c r="O175" s="17" t="s">
        <v>11926</v>
      </c>
      <c r="P175" s="17" t="str">
        <f>HYPERLINK("https://photon-sol.tinyastro.io/en/lp/8HfFvgutvKBjdbTqm8h6qZ2VSJ3TxwrZxHT3m34Cpump?handle=676050794bc1b1657a56b", "View")</f>
        <v>View</v>
      </c>
    </row>
    <row r="176" spans="1:16" x14ac:dyDescent="0.25">
      <c r="A176" s="13" t="s">
        <v>11927</v>
      </c>
      <c r="B176" s="14">
        <v>254000</v>
      </c>
      <c r="C176" s="14">
        <v>0</v>
      </c>
      <c r="D176" s="14" t="s">
        <v>1882</v>
      </c>
      <c r="E176" s="14" t="s">
        <v>9395</v>
      </c>
      <c r="F176" s="14" t="s">
        <v>96</v>
      </c>
      <c r="G176" s="18" t="s">
        <v>3707</v>
      </c>
      <c r="H176" s="18" t="s">
        <v>98</v>
      </c>
      <c r="I176" s="14" t="s">
        <v>11928</v>
      </c>
      <c r="J176" s="14">
        <v>1</v>
      </c>
      <c r="K176" s="14">
        <v>0</v>
      </c>
      <c r="L176" s="14" t="s">
        <v>11929</v>
      </c>
      <c r="M176" s="19" t="s">
        <v>101</v>
      </c>
      <c r="N176" s="14" t="s">
        <v>11930</v>
      </c>
      <c r="O176" s="14" t="s">
        <v>11931</v>
      </c>
      <c r="P176" s="14" t="str">
        <f>HYPERLINK("https://dexscreener.com/solana/3uqyLzQzdrXaiTos1XR9kJJJQSwAvc2TcejrpDXppump", "View")</f>
        <v>View</v>
      </c>
    </row>
    <row r="177" spans="1:16" x14ac:dyDescent="0.25">
      <c r="A177" s="16" t="s">
        <v>11932</v>
      </c>
      <c r="B177" s="17">
        <v>423079</v>
      </c>
      <c r="C177" s="17">
        <v>423079</v>
      </c>
      <c r="D177" s="17" t="s">
        <v>1813</v>
      </c>
      <c r="E177" s="17" t="s">
        <v>5534</v>
      </c>
      <c r="F177" s="17" t="s">
        <v>11933</v>
      </c>
      <c r="G177" s="21" t="s">
        <v>11934</v>
      </c>
      <c r="H177" s="21" t="s">
        <v>11935</v>
      </c>
      <c r="I177" s="17" t="s">
        <v>88</v>
      </c>
      <c r="J177" s="17">
        <v>1</v>
      </c>
      <c r="K177" s="17">
        <v>1</v>
      </c>
      <c r="L177" s="17" t="s">
        <v>11936</v>
      </c>
      <c r="M177" s="17" t="s">
        <v>699</v>
      </c>
      <c r="N177" s="17" t="s">
        <v>11937</v>
      </c>
      <c r="O177" s="17" t="s">
        <v>11938</v>
      </c>
      <c r="P177" s="17" t="str">
        <f>HYPERLINK("https://dexscreener.com/solana/2rARgGWBQfhfTkrTc9gGUvKTpPDjtNkFsrWQeEJwpump", "View")</f>
        <v>View</v>
      </c>
    </row>
    <row r="178" spans="1:16" x14ac:dyDescent="0.25">
      <c r="A178" s="13" t="s">
        <v>11939</v>
      </c>
      <c r="B178" s="14">
        <v>421370</v>
      </c>
      <c r="C178" s="14">
        <v>0</v>
      </c>
      <c r="D178" s="14" t="s">
        <v>1882</v>
      </c>
      <c r="E178" s="14" t="s">
        <v>5534</v>
      </c>
      <c r="F178" s="14" t="s">
        <v>96</v>
      </c>
      <c r="G178" s="18" t="s">
        <v>3293</v>
      </c>
      <c r="H178" s="18" t="s">
        <v>98</v>
      </c>
      <c r="I178" s="14" t="s">
        <v>11940</v>
      </c>
      <c r="J178" s="14">
        <v>1</v>
      </c>
      <c r="K178" s="14">
        <v>0</v>
      </c>
      <c r="L178" s="14" t="s">
        <v>11941</v>
      </c>
      <c r="M178" s="19" t="s">
        <v>101</v>
      </c>
      <c r="N178" s="14" t="s">
        <v>11942</v>
      </c>
      <c r="O178" s="14" t="s">
        <v>11943</v>
      </c>
      <c r="P178" s="14" t="str">
        <f>HYPERLINK("https://dexscreener.com/solana/DssYSrZWyEoceq2LDGLgj5MAnWU3L4t9MWuKFN4Gpump", "View")</f>
        <v>View</v>
      </c>
    </row>
    <row r="179" spans="1:16" x14ac:dyDescent="0.25">
      <c r="A179" s="16" t="s">
        <v>11944</v>
      </c>
      <c r="B179" s="17">
        <v>1858473</v>
      </c>
      <c r="C179" s="17">
        <v>0</v>
      </c>
      <c r="D179" s="17" t="s">
        <v>1882</v>
      </c>
      <c r="E179" s="17" t="s">
        <v>3993</v>
      </c>
      <c r="F179" s="17" t="s">
        <v>96</v>
      </c>
      <c r="G179" s="18" t="s">
        <v>11307</v>
      </c>
      <c r="H179" s="18" t="s">
        <v>98</v>
      </c>
      <c r="I179" s="17" t="s">
        <v>11945</v>
      </c>
      <c r="J179" s="17">
        <v>1</v>
      </c>
      <c r="K179" s="17">
        <v>0</v>
      </c>
      <c r="L179" s="17" t="s">
        <v>11946</v>
      </c>
      <c r="M179" s="19" t="s">
        <v>101</v>
      </c>
      <c r="N179" s="17" t="s">
        <v>507</v>
      </c>
      <c r="O179" s="17" t="s">
        <v>11947</v>
      </c>
      <c r="P179" s="17" t="str">
        <f>HYPERLINK("https://photon-sol.tinyastro.io/en/lp/vDrMKJpCb32d1QruZ77WYwUBAXReb31GojGhJ93pump?handle=676050794bc1b1657a56b", "View")</f>
        <v>View</v>
      </c>
    </row>
    <row r="180" spans="1:16" x14ac:dyDescent="0.25">
      <c r="A180" s="13" t="s">
        <v>3971</v>
      </c>
      <c r="B180" s="14">
        <v>456038</v>
      </c>
      <c r="C180" s="14">
        <v>0</v>
      </c>
      <c r="D180" s="14" t="s">
        <v>1882</v>
      </c>
      <c r="E180" s="14" t="s">
        <v>10121</v>
      </c>
      <c r="F180" s="14" t="s">
        <v>96</v>
      </c>
      <c r="G180" s="18" t="s">
        <v>11238</v>
      </c>
      <c r="H180" s="18" t="s">
        <v>98</v>
      </c>
      <c r="I180" s="14" t="s">
        <v>11948</v>
      </c>
      <c r="J180" s="14">
        <v>1</v>
      </c>
      <c r="K180" s="14">
        <v>0</v>
      </c>
      <c r="L180" s="14" t="s">
        <v>11949</v>
      </c>
      <c r="M180" s="19" t="s">
        <v>101</v>
      </c>
      <c r="N180" s="14" t="s">
        <v>11950</v>
      </c>
      <c r="O180" s="14" t="s">
        <v>5980</v>
      </c>
      <c r="P180" s="14" t="str">
        <f>HYPERLINK("https://dexscreener.com/solana/B43WbANTe76SSdNj6VWRGgz6fouhsXXbwFNSXb9tpump", "View")</f>
        <v>View</v>
      </c>
    </row>
    <row r="181" spans="1:16" x14ac:dyDescent="0.25">
      <c r="A181" s="16" t="s">
        <v>11951</v>
      </c>
      <c r="B181" s="17">
        <v>244011</v>
      </c>
      <c r="C181" s="17">
        <v>0</v>
      </c>
      <c r="D181" s="17" t="s">
        <v>1882</v>
      </c>
      <c r="E181" s="17" t="s">
        <v>10121</v>
      </c>
      <c r="F181" s="17" t="s">
        <v>96</v>
      </c>
      <c r="G181" s="18" t="s">
        <v>11238</v>
      </c>
      <c r="H181" s="18" t="s">
        <v>98</v>
      </c>
      <c r="I181" s="17" t="s">
        <v>11952</v>
      </c>
      <c r="J181" s="17">
        <v>1</v>
      </c>
      <c r="K181" s="17">
        <v>0</v>
      </c>
      <c r="L181" s="17" t="s">
        <v>11953</v>
      </c>
      <c r="M181" s="19" t="s">
        <v>101</v>
      </c>
      <c r="N181" s="17" t="s">
        <v>11717</v>
      </c>
      <c r="O181" s="17" t="s">
        <v>11954</v>
      </c>
      <c r="P181" s="17" t="str">
        <f>HYPERLINK("https://dexscreener.com/solana/ALW1DD65EtewCiRz65gUDvYYAqQWLwjo68XAnsR7pump", "View")</f>
        <v>View</v>
      </c>
    </row>
    <row r="182" spans="1:16" x14ac:dyDescent="0.25">
      <c r="A182" s="13" t="s">
        <v>11955</v>
      </c>
      <c r="B182" s="14">
        <v>304225</v>
      </c>
      <c r="C182" s="14">
        <v>0</v>
      </c>
      <c r="D182" s="14" t="s">
        <v>1882</v>
      </c>
      <c r="E182" s="14" t="s">
        <v>9395</v>
      </c>
      <c r="F182" s="14" t="s">
        <v>96</v>
      </c>
      <c r="G182" s="18" t="s">
        <v>3707</v>
      </c>
      <c r="H182" s="18" t="s">
        <v>98</v>
      </c>
      <c r="I182" s="14" t="s">
        <v>11956</v>
      </c>
      <c r="J182" s="14">
        <v>1</v>
      </c>
      <c r="K182" s="14">
        <v>0</v>
      </c>
      <c r="L182" s="14" t="s">
        <v>11957</v>
      </c>
      <c r="M182" s="19" t="s">
        <v>101</v>
      </c>
      <c r="N182" s="14" t="s">
        <v>11958</v>
      </c>
      <c r="O182" s="14" t="s">
        <v>11959</v>
      </c>
      <c r="P182" s="14" t="str">
        <f>HYPERLINK("https://dexscreener.com/solana/GJuz9K3eAGWjjDTARtsSXuyGNUXnvAyrGSMdEYk1pump", "View")</f>
        <v>View</v>
      </c>
    </row>
    <row r="183" spans="1:16" x14ac:dyDescent="0.25">
      <c r="A183" s="16" t="s">
        <v>11960</v>
      </c>
      <c r="B183" s="17">
        <v>33875</v>
      </c>
      <c r="C183" s="17">
        <v>33875</v>
      </c>
      <c r="D183" s="17" t="s">
        <v>7092</v>
      </c>
      <c r="E183" s="17" t="s">
        <v>3045</v>
      </c>
      <c r="F183" s="17" t="s">
        <v>4562</v>
      </c>
      <c r="G183" s="21" t="s">
        <v>11961</v>
      </c>
      <c r="H183" s="21" t="s">
        <v>11962</v>
      </c>
      <c r="I183" s="17" t="s">
        <v>88</v>
      </c>
      <c r="J183" s="17">
        <v>1</v>
      </c>
      <c r="K183" s="17">
        <v>3</v>
      </c>
      <c r="L183" s="17" t="s">
        <v>11963</v>
      </c>
      <c r="M183" s="17" t="s">
        <v>4413</v>
      </c>
      <c r="N183" s="17" t="s">
        <v>11964</v>
      </c>
      <c r="O183" s="17" t="s">
        <v>11965</v>
      </c>
      <c r="P183" s="17" t="str">
        <f>HYPERLINK("https://dexscreener.com/solana/E6AujzX54E1ZoPDFP2CyG3HHUVKygEkp6DRqig61pump", "View")</f>
        <v>View</v>
      </c>
    </row>
    <row r="184" spans="1:16" x14ac:dyDescent="0.25">
      <c r="A184" s="13" t="s">
        <v>7669</v>
      </c>
      <c r="B184" s="14">
        <v>445899</v>
      </c>
      <c r="C184" s="14">
        <v>0</v>
      </c>
      <c r="D184" s="14" t="s">
        <v>1882</v>
      </c>
      <c r="E184" s="14" t="s">
        <v>9395</v>
      </c>
      <c r="F184" s="14" t="s">
        <v>96</v>
      </c>
      <c r="G184" s="18" t="s">
        <v>3707</v>
      </c>
      <c r="H184" s="18" t="s">
        <v>98</v>
      </c>
      <c r="I184" s="14" t="s">
        <v>11966</v>
      </c>
      <c r="J184" s="14">
        <v>1</v>
      </c>
      <c r="K184" s="14">
        <v>0</v>
      </c>
      <c r="L184" s="14" t="s">
        <v>11967</v>
      </c>
      <c r="M184" s="19" t="s">
        <v>101</v>
      </c>
      <c r="N184" s="14" t="s">
        <v>6099</v>
      </c>
      <c r="O184" s="14" t="s">
        <v>11054</v>
      </c>
      <c r="P184" s="14" t="str">
        <f>HYPERLINK("https://dexscreener.com/solana/9PwmbpEVjz45bfuCJ7ATr6seArTzwf77o8tY6HnKpump", "View")</f>
        <v>View</v>
      </c>
    </row>
    <row r="185" spans="1:16" x14ac:dyDescent="0.25">
      <c r="A185" s="16" t="s">
        <v>11968</v>
      </c>
      <c r="B185" s="17">
        <v>8608465</v>
      </c>
      <c r="C185" s="17">
        <v>0</v>
      </c>
      <c r="D185" s="17" t="s">
        <v>1882</v>
      </c>
      <c r="E185" s="17" t="s">
        <v>5534</v>
      </c>
      <c r="F185" s="17" t="s">
        <v>96</v>
      </c>
      <c r="G185" s="18" t="s">
        <v>3293</v>
      </c>
      <c r="H185" s="18" t="s">
        <v>98</v>
      </c>
      <c r="I185" s="17" t="s">
        <v>11969</v>
      </c>
      <c r="J185" s="17">
        <v>1</v>
      </c>
      <c r="K185" s="17">
        <v>0</v>
      </c>
      <c r="L185" s="17" t="s">
        <v>11970</v>
      </c>
      <c r="M185" s="19" t="s">
        <v>101</v>
      </c>
      <c r="N185" s="17" t="s">
        <v>507</v>
      </c>
      <c r="O185" s="17" t="s">
        <v>11971</v>
      </c>
      <c r="P185" s="17" t="str">
        <f>HYPERLINK("https://dexscreener.com/solana/3HpibUcfA6Pg6Lym9C5NNQRYu8QjG9JeRqk763VSWvez", "View")</f>
        <v>View</v>
      </c>
    </row>
    <row r="186" spans="1:16" x14ac:dyDescent="0.25">
      <c r="A186" s="13" t="s">
        <v>11972</v>
      </c>
      <c r="B186" s="14">
        <v>441480</v>
      </c>
      <c r="C186" s="14">
        <v>441480</v>
      </c>
      <c r="D186" s="14" t="s">
        <v>9569</v>
      </c>
      <c r="E186" s="14" t="s">
        <v>9395</v>
      </c>
      <c r="F186" s="14" t="s">
        <v>3489</v>
      </c>
      <c r="G186" s="21" t="s">
        <v>4224</v>
      </c>
      <c r="H186" s="21" t="s">
        <v>11973</v>
      </c>
      <c r="I186" s="14" t="s">
        <v>88</v>
      </c>
      <c r="J186" s="14">
        <v>1</v>
      </c>
      <c r="K186" s="14">
        <v>2</v>
      </c>
      <c r="L186" s="14" t="s">
        <v>11974</v>
      </c>
      <c r="M186" s="14" t="s">
        <v>699</v>
      </c>
      <c r="N186" s="14" t="s">
        <v>11975</v>
      </c>
      <c r="O186" s="14" t="s">
        <v>11976</v>
      </c>
      <c r="P186" s="14" t="str">
        <f>HYPERLINK("https://dexscreener.com/solana/3vrC3YS5V7Dctb9VmETPKdJffKoVbtxo3ECQg98Spump", "View")</f>
        <v>View</v>
      </c>
    </row>
    <row r="187" spans="1:16" x14ac:dyDescent="0.25">
      <c r="A187" s="16" t="s">
        <v>11977</v>
      </c>
      <c r="B187" s="17">
        <v>2332332</v>
      </c>
      <c r="C187" s="17">
        <v>0</v>
      </c>
      <c r="D187" s="17" t="s">
        <v>1882</v>
      </c>
      <c r="E187" s="17" t="s">
        <v>10121</v>
      </c>
      <c r="F187" s="17" t="s">
        <v>96</v>
      </c>
      <c r="G187" s="18" t="s">
        <v>11238</v>
      </c>
      <c r="H187" s="18" t="s">
        <v>98</v>
      </c>
      <c r="I187" s="17" t="s">
        <v>11978</v>
      </c>
      <c r="J187" s="17">
        <v>1</v>
      </c>
      <c r="K187" s="17">
        <v>0</v>
      </c>
      <c r="L187" s="17" t="s">
        <v>11979</v>
      </c>
      <c r="M187" s="19" t="s">
        <v>101</v>
      </c>
      <c r="N187" s="17" t="s">
        <v>11980</v>
      </c>
      <c r="O187" s="17" t="s">
        <v>11981</v>
      </c>
      <c r="P187" s="17" t="str">
        <f>HYPERLINK("https://dexscreener.com/solana/EXAmmisHH7aTJWf8fsiBEbiXEKruugNu5j1LkiJzpump", "View")</f>
        <v>View</v>
      </c>
    </row>
    <row r="188" spans="1:16" x14ac:dyDescent="0.25">
      <c r="A188" s="13" t="s">
        <v>11982</v>
      </c>
      <c r="B188" s="14">
        <v>3716168</v>
      </c>
      <c r="C188" s="14">
        <v>0</v>
      </c>
      <c r="D188" s="14" t="s">
        <v>9569</v>
      </c>
      <c r="E188" s="14" t="s">
        <v>6107</v>
      </c>
      <c r="F188" s="14" t="s">
        <v>96</v>
      </c>
      <c r="G188" s="18" t="s">
        <v>11983</v>
      </c>
      <c r="H188" s="18" t="s">
        <v>98</v>
      </c>
      <c r="I188" s="14" t="s">
        <v>11984</v>
      </c>
      <c r="J188" s="14">
        <v>3</v>
      </c>
      <c r="K188" s="14">
        <v>0</v>
      </c>
      <c r="L188" s="14" t="s">
        <v>11985</v>
      </c>
      <c r="M188" s="14" t="s">
        <v>937</v>
      </c>
      <c r="N188" s="14" t="s">
        <v>11986</v>
      </c>
      <c r="O188" s="14" t="s">
        <v>11987</v>
      </c>
      <c r="P188" s="14" t="str">
        <f>HYPERLINK("https://dexscreener.com/solana/5BUedmQbpiCV9eVZVyBdBxE7GrbFqV6gfP3CEr6BkKsp", "View")</f>
        <v>View</v>
      </c>
    </row>
    <row r="189" spans="1:16" x14ac:dyDescent="0.25">
      <c r="A189" s="16" t="s">
        <v>11988</v>
      </c>
      <c r="B189" s="17">
        <v>426684</v>
      </c>
      <c r="C189" s="17">
        <v>0</v>
      </c>
      <c r="D189" s="17" t="s">
        <v>1882</v>
      </c>
      <c r="E189" s="17" t="s">
        <v>3993</v>
      </c>
      <c r="F189" s="17" t="s">
        <v>96</v>
      </c>
      <c r="G189" s="18" t="s">
        <v>11307</v>
      </c>
      <c r="H189" s="18" t="s">
        <v>98</v>
      </c>
      <c r="I189" s="17" t="s">
        <v>11989</v>
      </c>
      <c r="J189" s="17">
        <v>1</v>
      </c>
      <c r="K189" s="17">
        <v>0</v>
      </c>
      <c r="L189" s="17" t="s">
        <v>11990</v>
      </c>
      <c r="M189" s="19" t="s">
        <v>101</v>
      </c>
      <c r="N189" s="17" t="s">
        <v>507</v>
      </c>
      <c r="O189" s="17" t="s">
        <v>11991</v>
      </c>
      <c r="P189" s="17" t="str">
        <f>HYPERLINK("https://photon-sol.tinyastro.io/en/lp/8i7tJoZYeKSRbyTqj9f4X98ZzqqQcq2saArnB4X2pump?handle=676050794bc1b1657a56b", "View")</f>
        <v>View</v>
      </c>
    </row>
    <row r="190" spans="1:16" x14ac:dyDescent="0.25">
      <c r="A190" s="13" t="s">
        <v>11992</v>
      </c>
      <c r="B190" s="14">
        <v>1970304</v>
      </c>
      <c r="C190" s="14">
        <v>0</v>
      </c>
      <c r="D190" s="14" t="s">
        <v>1882</v>
      </c>
      <c r="E190" s="14" t="s">
        <v>3993</v>
      </c>
      <c r="F190" s="14" t="s">
        <v>96</v>
      </c>
      <c r="G190" s="18" t="s">
        <v>11307</v>
      </c>
      <c r="H190" s="18" t="s">
        <v>98</v>
      </c>
      <c r="I190" s="14" t="s">
        <v>11993</v>
      </c>
      <c r="J190" s="14">
        <v>1</v>
      </c>
      <c r="K190" s="14">
        <v>0</v>
      </c>
      <c r="L190" s="14" t="s">
        <v>11994</v>
      </c>
      <c r="M190" s="19" t="s">
        <v>101</v>
      </c>
      <c r="N190" s="14" t="s">
        <v>507</v>
      </c>
      <c r="O190" s="14" t="s">
        <v>11995</v>
      </c>
      <c r="P190" s="14" t="str">
        <f>HYPERLINK("https://photon-sol.tinyastro.io/en/lp/7veEn74WqMBLHkhC49HnWUAb3x9emvRFjJ2aqkvipump?handle=676050794bc1b1657a56b", "View")</f>
        <v>View</v>
      </c>
    </row>
    <row r="191" spans="1:16" x14ac:dyDescent="0.25">
      <c r="A191" s="16" t="s">
        <v>11996</v>
      </c>
      <c r="B191" s="17">
        <v>2349444</v>
      </c>
      <c r="C191" s="17">
        <v>0</v>
      </c>
      <c r="D191" s="17" t="s">
        <v>1882</v>
      </c>
      <c r="E191" s="17" t="s">
        <v>3706</v>
      </c>
      <c r="F191" s="17" t="s">
        <v>96</v>
      </c>
      <c r="G191" s="18" t="s">
        <v>11214</v>
      </c>
      <c r="H191" s="18" t="s">
        <v>98</v>
      </c>
      <c r="I191" s="17" t="s">
        <v>11997</v>
      </c>
      <c r="J191" s="17">
        <v>1</v>
      </c>
      <c r="K191" s="17">
        <v>0</v>
      </c>
      <c r="L191" s="17" t="s">
        <v>11998</v>
      </c>
      <c r="M191" s="19" t="s">
        <v>101</v>
      </c>
      <c r="N191" s="17" t="s">
        <v>1973</v>
      </c>
      <c r="O191" s="17" t="s">
        <v>11999</v>
      </c>
      <c r="P191" s="17" t="str">
        <f>HYPERLINK("https://photon-sol.tinyastro.io/en/lp/FPrmKWKsAde9MXgyoGpPn4Ki6YfGCMB2Fd5ALDZcpump?handle=676050794bc1b1657a56b", "View")</f>
        <v>View</v>
      </c>
    </row>
    <row r="192" spans="1:16" x14ac:dyDescent="0.25">
      <c r="A192" s="13" t="s">
        <v>12000</v>
      </c>
      <c r="B192" s="14">
        <v>83213</v>
      </c>
      <c r="C192" s="14">
        <v>0</v>
      </c>
      <c r="D192" s="14" t="s">
        <v>1882</v>
      </c>
      <c r="E192" s="14" t="s">
        <v>5534</v>
      </c>
      <c r="F192" s="14" t="s">
        <v>96</v>
      </c>
      <c r="G192" s="18" t="s">
        <v>3293</v>
      </c>
      <c r="H192" s="18" t="s">
        <v>98</v>
      </c>
      <c r="I192" s="14" t="s">
        <v>12001</v>
      </c>
      <c r="J192" s="14">
        <v>1</v>
      </c>
      <c r="K192" s="14">
        <v>0</v>
      </c>
      <c r="L192" s="14" t="s">
        <v>12002</v>
      </c>
      <c r="M192" s="19" t="s">
        <v>101</v>
      </c>
      <c r="N192" s="14" t="s">
        <v>12003</v>
      </c>
      <c r="O192" s="14" t="s">
        <v>12004</v>
      </c>
      <c r="P192" s="14" t="str">
        <f>HYPERLINK("https://dexscreener.com/solana/7t3gRJFjr2qQi6CSz6PcdHKdsbLwgkH21wCnmB5Rpump", "View")</f>
        <v>View</v>
      </c>
    </row>
    <row r="193" spans="1:16" x14ac:dyDescent="0.25">
      <c r="A193" s="16" t="s">
        <v>12005</v>
      </c>
      <c r="B193" s="17">
        <v>3484502</v>
      </c>
      <c r="C193" s="17">
        <v>3484502</v>
      </c>
      <c r="D193" s="17" t="s">
        <v>9569</v>
      </c>
      <c r="E193" s="17" t="s">
        <v>9395</v>
      </c>
      <c r="F193" s="17" t="s">
        <v>12006</v>
      </c>
      <c r="G193" s="21" t="s">
        <v>3820</v>
      </c>
      <c r="H193" s="21" t="s">
        <v>12007</v>
      </c>
      <c r="I193" s="17" t="s">
        <v>88</v>
      </c>
      <c r="J193" s="17">
        <v>1</v>
      </c>
      <c r="K193" s="17">
        <v>2</v>
      </c>
      <c r="L193" s="17" t="s">
        <v>12008</v>
      </c>
      <c r="M193" s="17" t="s">
        <v>672</v>
      </c>
      <c r="N193" s="17" t="s">
        <v>12009</v>
      </c>
      <c r="O193" s="17" t="s">
        <v>12010</v>
      </c>
      <c r="P193" s="17" t="str">
        <f>HYPERLINK("https://dexscreener.com/solana/6VoaeYmGgEF7qMYtwdwRi4TZNj8qN6UomhpynsTFpump", "View")</f>
        <v>View</v>
      </c>
    </row>
    <row r="194" spans="1:16" x14ac:dyDescent="0.25">
      <c r="A194" s="13" t="s">
        <v>12011</v>
      </c>
      <c r="B194" s="14">
        <v>3275902</v>
      </c>
      <c r="C194" s="14">
        <v>3275902</v>
      </c>
      <c r="D194" s="14" t="s">
        <v>1813</v>
      </c>
      <c r="E194" s="14" t="s">
        <v>3993</v>
      </c>
      <c r="F194" s="14" t="s">
        <v>2384</v>
      </c>
      <c r="G194" s="20" t="s">
        <v>4187</v>
      </c>
      <c r="H194" s="20" t="s">
        <v>12012</v>
      </c>
      <c r="I194" s="14" t="s">
        <v>88</v>
      </c>
      <c r="J194" s="14">
        <v>1</v>
      </c>
      <c r="K194" s="14">
        <v>1</v>
      </c>
      <c r="L194" s="14" t="s">
        <v>12013</v>
      </c>
      <c r="M194" s="14" t="s">
        <v>680</v>
      </c>
      <c r="N194" s="14" t="s">
        <v>507</v>
      </c>
      <c r="O194" s="14" t="s">
        <v>12014</v>
      </c>
      <c r="P194" s="14" t="str">
        <f>HYPERLINK("https://photon-sol.tinyastro.io/en/lp/4R8S3q3SJRrM9QFuMWPEAMAdAnXEqFmiQ1NiHZPCpump?handle=676050794bc1b1657a56b", "View")</f>
        <v>View</v>
      </c>
    </row>
    <row r="195" spans="1:16" x14ac:dyDescent="0.25">
      <c r="A195" s="16" t="s">
        <v>12015</v>
      </c>
      <c r="B195" s="17">
        <v>337454</v>
      </c>
      <c r="C195" s="17">
        <v>0</v>
      </c>
      <c r="D195" s="17" t="s">
        <v>1882</v>
      </c>
      <c r="E195" s="17" t="s">
        <v>3993</v>
      </c>
      <c r="F195" s="17" t="s">
        <v>96</v>
      </c>
      <c r="G195" s="18" t="s">
        <v>11307</v>
      </c>
      <c r="H195" s="18" t="s">
        <v>98</v>
      </c>
      <c r="I195" s="17" t="s">
        <v>12016</v>
      </c>
      <c r="J195" s="17">
        <v>1</v>
      </c>
      <c r="K195" s="17">
        <v>0</v>
      </c>
      <c r="L195" s="17" t="s">
        <v>12017</v>
      </c>
      <c r="M195" s="19" t="s">
        <v>101</v>
      </c>
      <c r="N195" s="17" t="s">
        <v>507</v>
      </c>
      <c r="O195" s="17" t="s">
        <v>12018</v>
      </c>
      <c r="P195" s="17" t="str">
        <f>HYPERLINK("https://photon-sol.tinyastro.io/en/lp/6v87Ei632kpToFFaQ9ggq7PmKPVjwZRsj4ssi5MWpump?handle=676050794bc1b1657a56b", "View")</f>
        <v>View</v>
      </c>
    </row>
    <row r="196" spans="1:16" x14ac:dyDescent="0.25">
      <c r="A196" s="13" t="s">
        <v>6458</v>
      </c>
      <c r="B196" s="14">
        <v>188370</v>
      </c>
      <c r="C196" s="14">
        <v>0</v>
      </c>
      <c r="D196" s="14" t="s">
        <v>1882</v>
      </c>
      <c r="E196" s="14" t="s">
        <v>10121</v>
      </c>
      <c r="F196" s="14" t="s">
        <v>96</v>
      </c>
      <c r="G196" s="18" t="s">
        <v>11238</v>
      </c>
      <c r="H196" s="18" t="s">
        <v>98</v>
      </c>
      <c r="I196" s="14" t="s">
        <v>12019</v>
      </c>
      <c r="J196" s="14">
        <v>1</v>
      </c>
      <c r="K196" s="14">
        <v>0</v>
      </c>
      <c r="L196" s="14" t="s">
        <v>12020</v>
      </c>
      <c r="M196" s="19" t="s">
        <v>101</v>
      </c>
      <c r="N196" s="14" t="s">
        <v>323</v>
      </c>
      <c r="O196" s="14" t="s">
        <v>12021</v>
      </c>
      <c r="P196" s="14" t="str">
        <f>HYPERLINK("https://dexscreener.com/solana/25XqXpSnJjxufsNAgCNn87ucEwE9eLNT6awUzwWspump", "View")</f>
        <v>View</v>
      </c>
    </row>
    <row r="197" spans="1:16" x14ac:dyDescent="0.25">
      <c r="A197" s="16" t="s">
        <v>12022</v>
      </c>
      <c r="B197" s="17">
        <v>1031589</v>
      </c>
      <c r="C197" s="17">
        <v>0</v>
      </c>
      <c r="D197" s="17" t="s">
        <v>1882</v>
      </c>
      <c r="E197" s="17" t="s">
        <v>8966</v>
      </c>
      <c r="F197" s="17" t="s">
        <v>96</v>
      </c>
      <c r="G197" s="18" t="s">
        <v>3821</v>
      </c>
      <c r="H197" s="18" t="s">
        <v>98</v>
      </c>
      <c r="I197" s="17" t="s">
        <v>12023</v>
      </c>
      <c r="J197" s="17">
        <v>1</v>
      </c>
      <c r="K197" s="17">
        <v>0</v>
      </c>
      <c r="L197" s="17" t="s">
        <v>12024</v>
      </c>
      <c r="M197" s="19" t="s">
        <v>101</v>
      </c>
      <c r="N197" s="17" t="s">
        <v>507</v>
      </c>
      <c r="O197" s="17" t="s">
        <v>12025</v>
      </c>
      <c r="P197" s="17" t="str">
        <f>HYPERLINK("https://dexscreener.com/solana/jszi2PFsKBXWq5wpNybLM8B9Us8RRy4K6oVitNu9gsF", "View")</f>
        <v>View</v>
      </c>
    </row>
    <row r="198" spans="1:16" x14ac:dyDescent="0.25">
      <c r="A198" s="13" t="s">
        <v>12026</v>
      </c>
      <c r="B198" s="14">
        <v>1529468</v>
      </c>
      <c r="C198" s="14">
        <v>0</v>
      </c>
      <c r="D198" s="14" t="s">
        <v>1882</v>
      </c>
      <c r="E198" s="14" t="s">
        <v>3993</v>
      </c>
      <c r="F198" s="14" t="s">
        <v>96</v>
      </c>
      <c r="G198" s="18" t="s">
        <v>11307</v>
      </c>
      <c r="H198" s="18" t="s">
        <v>98</v>
      </c>
      <c r="I198" s="14" t="s">
        <v>12027</v>
      </c>
      <c r="J198" s="14">
        <v>1</v>
      </c>
      <c r="K198" s="14">
        <v>0</v>
      </c>
      <c r="L198" s="14" t="s">
        <v>12028</v>
      </c>
      <c r="M198" s="19" t="s">
        <v>101</v>
      </c>
      <c r="N198" s="14" t="s">
        <v>507</v>
      </c>
      <c r="O198" s="14" t="s">
        <v>12029</v>
      </c>
      <c r="P198" s="14" t="str">
        <f>HYPERLINK("https://dexscreener.com/solana/8tfkPtSUiXXA4CRgm2HcjFpinvtqZed8YzRJdHauCfuu", "View")</f>
        <v>View</v>
      </c>
    </row>
    <row r="199" spans="1:16" x14ac:dyDescent="0.25">
      <c r="A199" s="16" t="s">
        <v>12030</v>
      </c>
      <c r="B199" s="17">
        <v>192997</v>
      </c>
      <c r="C199" s="17">
        <v>0</v>
      </c>
      <c r="D199" s="17" t="s">
        <v>1882</v>
      </c>
      <c r="E199" s="17" t="s">
        <v>9395</v>
      </c>
      <c r="F199" s="17" t="s">
        <v>96</v>
      </c>
      <c r="G199" s="18" t="s">
        <v>3707</v>
      </c>
      <c r="H199" s="18" t="s">
        <v>98</v>
      </c>
      <c r="I199" s="17" t="s">
        <v>12031</v>
      </c>
      <c r="J199" s="17">
        <v>1</v>
      </c>
      <c r="K199" s="17">
        <v>0</v>
      </c>
      <c r="L199" s="17" t="s">
        <v>12032</v>
      </c>
      <c r="M199" s="19" t="s">
        <v>101</v>
      </c>
      <c r="N199" s="17" t="s">
        <v>10917</v>
      </c>
      <c r="O199" s="17" t="s">
        <v>12033</v>
      </c>
      <c r="P199" s="17" t="str">
        <f>HYPERLINK("https://dexscreener.com/solana/3kgSusfV5F47T4vgrjqbrepdQUUZkEBwTwr5HRFum36h", "View")</f>
        <v>View</v>
      </c>
    </row>
    <row r="200" spans="1:16" x14ac:dyDescent="0.25">
      <c r="A200" s="13" t="s">
        <v>12034</v>
      </c>
      <c r="B200" s="14">
        <v>541506</v>
      </c>
      <c r="C200" s="14">
        <v>541506</v>
      </c>
      <c r="D200" s="14" t="s">
        <v>9569</v>
      </c>
      <c r="E200" s="14" t="s">
        <v>12035</v>
      </c>
      <c r="F200" s="14" t="s">
        <v>4006</v>
      </c>
      <c r="G200" s="22" t="s">
        <v>12036</v>
      </c>
      <c r="H200" s="22" t="s">
        <v>9161</v>
      </c>
      <c r="I200" s="14" t="s">
        <v>88</v>
      </c>
      <c r="J200" s="14">
        <v>1</v>
      </c>
      <c r="K200" s="14">
        <v>2</v>
      </c>
      <c r="L200" s="14" t="s">
        <v>12037</v>
      </c>
      <c r="M200" s="14" t="s">
        <v>179</v>
      </c>
      <c r="N200" s="14" t="s">
        <v>12038</v>
      </c>
      <c r="O200" s="14" t="s">
        <v>12039</v>
      </c>
      <c r="P200" s="14" t="str">
        <f>HYPERLINK("https://photon-sol.tinyastro.io/en/lp/Cy6fYJXsTYmrNnEWuShsxSnApsDjFhXSVJyFxVseNWBV?handle=676050794bc1b1657a56b", "View")</f>
        <v>View</v>
      </c>
    </row>
    <row r="201" spans="1:16" x14ac:dyDescent="0.25">
      <c r="A201" s="16" t="s">
        <v>12040</v>
      </c>
      <c r="B201" s="17">
        <v>562736</v>
      </c>
      <c r="C201" s="17">
        <v>0</v>
      </c>
      <c r="D201" s="17" t="s">
        <v>1882</v>
      </c>
      <c r="E201" s="17" t="s">
        <v>10121</v>
      </c>
      <c r="F201" s="17" t="s">
        <v>96</v>
      </c>
      <c r="G201" s="18" t="s">
        <v>11238</v>
      </c>
      <c r="H201" s="18" t="s">
        <v>98</v>
      </c>
      <c r="I201" s="17" t="s">
        <v>12041</v>
      </c>
      <c r="J201" s="17">
        <v>1</v>
      </c>
      <c r="K201" s="17">
        <v>0</v>
      </c>
      <c r="L201" s="17" t="s">
        <v>12042</v>
      </c>
      <c r="M201" s="19" t="s">
        <v>101</v>
      </c>
      <c r="N201" s="17" t="s">
        <v>12043</v>
      </c>
      <c r="O201" s="17" t="s">
        <v>12044</v>
      </c>
      <c r="P201" s="17" t="str">
        <f>HYPERLINK("https://dexscreener.com/solana/5nQ7yjbQQacXUFg6vm4PkguizC4Rps55kzZsf6c3pump", "View")</f>
        <v>View</v>
      </c>
    </row>
    <row r="202" spans="1:16" x14ac:dyDescent="0.25">
      <c r="A202" s="13" t="s">
        <v>6914</v>
      </c>
      <c r="B202" s="14">
        <v>794929</v>
      </c>
      <c r="C202" s="14">
        <v>0</v>
      </c>
      <c r="D202" s="14" t="s">
        <v>1882</v>
      </c>
      <c r="E202" s="14" t="s">
        <v>3706</v>
      </c>
      <c r="F202" s="14" t="s">
        <v>96</v>
      </c>
      <c r="G202" s="18" t="s">
        <v>11214</v>
      </c>
      <c r="H202" s="18" t="s">
        <v>98</v>
      </c>
      <c r="I202" s="14" t="s">
        <v>12045</v>
      </c>
      <c r="J202" s="14">
        <v>1</v>
      </c>
      <c r="K202" s="14">
        <v>0</v>
      </c>
      <c r="L202" s="14" t="s">
        <v>12046</v>
      </c>
      <c r="M202" s="19" t="s">
        <v>101</v>
      </c>
      <c r="N202" s="14" t="s">
        <v>507</v>
      </c>
      <c r="O202" s="14" t="s">
        <v>12047</v>
      </c>
      <c r="P202" s="14" t="str">
        <f>HYPERLINK("https://photon-sol.tinyastro.io/en/lp/37BqCYeWPaZryBxjHKon4ym7DPM18732cTvSoR4Dpump?handle=676050794bc1b1657a56b", "View")</f>
        <v>View</v>
      </c>
    </row>
    <row r="203" spans="1:16" x14ac:dyDescent="0.25">
      <c r="A203" s="16" t="s">
        <v>12048</v>
      </c>
      <c r="B203" s="17">
        <v>981415</v>
      </c>
      <c r="C203" s="17">
        <v>0</v>
      </c>
      <c r="D203" s="17" t="s">
        <v>1882</v>
      </c>
      <c r="E203" s="17" t="s">
        <v>8966</v>
      </c>
      <c r="F203" s="17" t="s">
        <v>96</v>
      </c>
      <c r="G203" s="18" t="s">
        <v>3821</v>
      </c>
      <c r="H203" s="18" t="s">
        <v>98</v>
      </c>
      <c r="I203" s="17" t="s">
        <v>12049</v>
      </c>
      <c r="J203" s="17">
        <v>1</v>
      </c>
      <c r="K203" s="17">
        <v>0</v>
      </c>
      <c r="L203" s="17" t="s">
        <v>12050</v>
      </c>
      <c r="M203" s="19" t="s">
        <v>101</v>
      </c>
      <c r="N203" s="17" t="s">
        <v>799</v>
      </c>
      <c r="O203" s="17" t="s">
        <v>12051</v>
      </c>
      <c r="P203" s="17" t="str">
        <f>HYPERLINK("https://photon-sol.tinyastro.io/en/lp/EXb3DdGK5utTT7NF8QRTp8X7bC8JR7BM5CP2j2Mvpump?handle=676050794bc1b1657a56b", "View")</f>
        <v>View</v>
      </c>
    </row>
    <row r="204" spans="1:16" x14ac:dyDescent="0.25">
      <c r="A204" s="13" t="s">
        <v>11067</v>
      </c>
      <c r="B204" s="14">
        <v>603483</v>
      </c>
      <c r="C204" s="14">
        <v>301741</v>
      </c>
      <c r="D204" s="14" t="s">
        <v>9569</v>
      </c>
      <c r="E204" s="14" t="s">
        <v>3570</v>
      </c>
      <c r="F204" s="14" t="s">
        <v>9023</v>
      </c>
      <c r="G204" s="22" t="s">
        <v>5012</v>
      </c>
      <c r="H204" s="22" t="s">
        <v>12052</v>
      </c>
      <c r="I204" s="14" t="s">
        <v>88</v>
      </c>
      <c r="J204" s="14">
        <v>2</v>
      </c>
      <c r="K204" s="14">
        <v>1</v>
      </c>
      <c r="L204" s="14" t="s">
        <v>12053</v>
      </c>
      <c r="M204" s="14" t="s">
        <v>1705</v>
      </c>
      <c r="N204" s="14" t="s">
        <v>12054</v>
      </c>
      <c r="O204" s="14" t="s">
        <v>12055</v>
      </c>
      <c r="P204" s="14" t="str">
        <f>HYPERLINK("https://dexscreener.com/solana/9T9ZBxLgVPgyz5Z18N57WZ5Hbbv3taiJWPDqQJBbpump", "View")</f>
        <v>View</v>
      </c>
    </row>
    <row r="205" spans="1:16" x14ac:dyDescent="0.25">
      <c r="A205" s="16" t="s">
        <v>12056</v>
      </c>
      <c r="B205" s="17">
        <v>764759</v>
      </c>
      <c r="C205" s="17">
        <v>0</v>
      </c>
      <c r="D205" s="17" t="s">
        <v>1882</v>
      </c>
      <c r="E205" s="17" t="s">
        <v>3993</v>
      </c>
      <c r="F205" s="17" t="s">
        <v>96</v>
      </c>
      <c r="G205" s="18" t="s">
        <v>11307</v>
      </c>
      <c r="H205" s="18" t="s">
        <v>98</v>
      </c>
      <c r="I205" s="17" t="s">
        <v>12057</v>
      </c>
      <c r="J205" s="17">
        <v>1</v>
      </c>
      <c r="K205" s="17">
        <v>0</v>
      </c>
      <c r="L205" s="17" t="s">
        <v>12058</v>
      </c>
      <c r="M205" s="19" t="s">
        <v>101</v>
      </c>
      <c r="N205" s="17" t="s">
        <v>507</v>
      </c>
      <c r="O205" s="17" t="s">
        <v>12059</v>
      </c>
      <c r="P205" s="17" t="str">
        <f>HYPERLINK("https://photon-sol.tinyastro.io/en/lp/EUnVNjP4WWfRgYj7H9GKTy65eAtjt8Yy8Z2Lmq63pump?handle=676050794bc1b1657a56b", "View")</f>
        <v>View</v>
      </c>
    </row>
    <row r="206" spans="1:16" x14ac:dyDescent="0.25">
      <c r="A206" s="13" t="s">
        <v>12060</v>
      </c>
      <c r="B206" s="14">
        <v>272628</v>
      </c>
      <c r="C206" s="14">
        <v>272628</v>
      </c>
      <c r="D206" s="14" t="s">
        <v>9569</v>
      </c>
      <c r="E206" s="14" t="s">
        <v>10121</v>
      </c>
      <c r="F206" s="14" t="s">
        <v>12061</v>
      </c>
      <c r="G206" s="21" t="s">
        <v>6335</v>
      </c>
      <c r="H206" s="21" t="s">
        <v>12062</v>
      </c>
      <c r="I206" s="14" t="s">
        <v>88</v>
      </c>
      <c r="J206" s="14">
        <v>1</v>
      </c>
      <c r="K206" s="14">
        <v>2</v>
      </c>
      <c r="L206" s="14" t="s">
        <v>12063</v>
      </c>
      <c r="M206" s="14" t="s">
        <v>414</v>
      </c>
      <c r="N206" s="14" t="s">
        <v>12064</v>
      </c>
      <c r="O206" s="14" t="s">
        <v>12065</v>
      </c>
      <c r="P206" s="14" t="str">
        <f>HYPERLINK("https://dexscreener.com/solana/9FUbhTkjXBP43y1eLLQa12WsM9CW1BPkTNUzWbSVpump", "View")</f>
        <v>View</v>
      </c>
    </row>
    <row r="207" spans="1:16" x14ac:dyDescent="0.25">
      <c r="A207" s="16" t="s">
        <v>12066</v>
      </c>
      <c r="B207" s="17">
        <v>641663</v>
      </c>
      <c r="C207" s="17">
        <v>0</v>
      </c>
      <c r="D207" s="17" t="s">
        <v>1882</v>
      </c>
      <c r="E207" s="17" t="s">
        <v>8966</v>
      </c>
      <c r="F207" s="17" t="s">
        <v>96</v>
      </c>
      <c r="G207" s="18" t="s">
        <v>3821</v>
      </c>
      <c r="H207" s="18" t="s">
        <v>98</v>
      </c>
      <c r="I207" s="17" t="s">
        <v>12067</v>
      </c>
      <c r="J207" s="17">
        <v>1</v>
      </c>
      <c r="K207" s="17">
        <v>0</v>
      </c>
      <c r="L207" s="17" t="s">
        <v>12068</v>
      </c>
      <c r="M207" s="19" t="s">
        <v>101</v>
      </c>
      <c r="N207" s="17" t="s">
        <v>12069</v>
      </c>
      <c r="O207" s="17" t="s">
        <v>12070</v>
      </c>
      <c r="P207" s="17" t="str">
        <f>HYPERLINK("https://photon-sol.tinyastro.io/en/lp/Ap6XuWyZ4UKEH6s5SuDXB4pEup1SynNzWxJyk598pump?handle=676050794bc1b1657a56b", "View")</f>
        <v>View</v>
      </c>
    </row>
    <row r="208" spans="1:16" x14ac:dyDescent="0.25">
      <c r="A208" s="13" t="s">
        <v>12071</v>
      </c>
      <c r="B208" s="14">
        <v>603672</v>
      </c>
      <c r="C208" s="14">
        <v>603672</v>
      </c>
      <c r="D208" s="14" t="s">
        <v>1813</v>
      </c>
      <c r="E208" s="14" t="s">
        <v>9395</v>
      </c>
      <c r="F208" s="14" t="s">
        <v>5588</v>
      </c>
      <c r="G208" s="15" t="s">
        <v>12072</v>
      </c>
      <c r="H208" s="15" t="s">
        <v>12073</v>
      </c>
      <c r="I208" s="14" t="s">
        <v>88</v>
      </c>
      <c r="J208" s="14">
        <v>1</v>
      </c>
      <c r="K208" s="14">
        <v>1</v>
      </c>
      <c r="L208" s="14" t="s">
        <v>12074</v>
      </c>
      <c r="M208" s="14" t="s">
        <v>1434</v>
      </c>
      <c r="N208" s="14" t="s">
        <v>12075</v>
      </c>
      <c r="O208" s="14" t="s">
        <v>12076</v>
      </c>
      <c r="P208" s="14" t="str">
        <f>HYPERLINK("https://dexscreener.com/solana/8otf3hEDMY4kbZ2sWvAcW8jPFNiMx7D5bxWYAdi5pump", "View")</f>
        <v>View</v>
      </c>
    </row>
    <row r="209" spans="1:16" x14ac:dyDescent="0.25">
      <c r="A209" s="16" t="s">
        <v>12077</v>
      </c>
      <c r="B209" s="17">
        <v>1456374</v>
      </c>
      <c r="C209" s="17">
        <v>728187</v>
      </c>
      <c r="D209" s="17" t="s">
        <v>1813</v>
      </c>
      <c r="E209" s="17" t="s">
        <v>3706</v>
      </c>
      <c r="F209" s="17" t="s">
        <v>9188</v>
      </c>
      <c r="G209" s="22" t="s">
        <v>3531</v>
      </c>
      <c r="H209" s="22" t="s">
        <v>12078</v>
      </c>
      <c r="I209" s="17" t="s">
        <v>88</v>
      </c>
      <c r="J209" s="17">
        <v>1</v>
      </c>
      <c r="K209" s="17">
        <v>1</v>
      </c>
      <c r="L209" s="17" t="s">
        <v>12079</v>
      </c>
      <c r="M209" s="17" t="s">
        <v>2984</v>
      </c>
      <c r="N209" s="17" t="s">
        <v>12080</v>
      </c>
      <c r="O209" s="17" t="s">
        <v>12081</v>
      </c>
      <c r="P209" s="17" t="str">
        <f>HYPERLINK("https://photon-sol.tinyastro.io/en/lp/95uMW9DVx432KrafpeXbe9PwGNkVd1tyBaEf2LKHpump?handle=676050794bc1b1657a56b", "View")</f>
        <v>View</v>
      </c>
    </row>
    <row r="210" spans="1:16" x14ac:dyDescent="0.25">
      <c r="A210" s="13" t="s">
        <v>1177</v>
      </c>
      <c r="B210" s="14">
        <v>249585</v>
      </c>
      <c r="C210" s="14">
        <v>0</v>
      </c>
      <c r="D210" s="14" t="s">
        <v>1882</v>
      </c>
      <c r="E210" s="14" t="s">
        <v>9395</v>
      </c>
      <c r="F210" s="14" t="s">
        <v>96</v>
      </c>
      <c r="G210" s="18" t="s">
        <v>3707</v>
      </c>
      <c r="H210" s="18" t="s">
        <v>98</v>
      </c>
      <c r="I210" s="14" t="s">
        <v>12082</v>
      </c>
      <c r="J210" s="14">
        <v>1</v>
      </c>
      <c r="K210" s="14">
        <v>0</v>
      </c>
      <c r="L210" s="14" t="s">
        <v>12083</v>
      </c>
      <c r="M210" s="19" t="s">
        <v>101</v>
      </c>
      <c r="N210" s="14" t="s">
        <v>12084</v>
      </c>
      <c r="O210" s="14" t="s">
        <v>12085</v>
      </c>
      <c r="P210" s="14" t="str">
        <f>HYPERLINK("https://dexscreener.com/solana/DNJ2xxiBuGTFmgNG4QMjZM5wttV96VmsQr7nSvWRnA3d", "View")</f>
        <v>View</v>
      </c>
    </row>
    <row r="211" spans="1:16" x14ac:dyDescent="0.25">
      <c r="A211" s="16" t="s">
        <v>12086</v>
      </c>
      <c r="B211" s="17">
        <v>788701</v>
      </c>
      <c r="C211" s="17">
        <v>788701</v>
      </c>
      <c r="D211" s="17" t="s">
        <v>1813</v>
      </c>
      <c r="E211" s="17" t="s">
        <v>3993</v>
      </c>
      <c r="F211" s="17" t="s">
        <v>5608</v>
      </c>
      <c r="G211" s="15" t="s">
        <v>3453</v>
      </c>
      <c r="H211" s="15" t="s">
        <v>12087</v>
      </c>
      <c r="I211" s="17" t="s">
        <v>88</v>
      </c>
      <c r="J211" s="17">
        <v>1</v>
      </c>
      <c r="K211" s="17">
        <v>1</v>
      </c>
      <c r="L211" s="17" t="s">
        <v>12088</v>
      </c>
      <c r="M211" s="17" t="s">
        <v>1526</v>
      </c>
      <c r="N211" s="17" t="s">
        <v>507</v>
      </c>
      <c r="O211" s="17" t="s">
        <v>12089</v>
      </c>
      <c r="P211" s="17" t="str">
        <f>HYPERLINK("https://photon-sol.tinyastro.io/en/lp/Ex777c1d3NSoVPcRnqdzNuCNmvZScZxr2zjnfqhYpump?handle=676050794bc1b1657a56b", "View")</f>
        <v>View</v>
      </c>
    </row>
    <row r="212" spans="1:16" x14ac:dyDescent="0.25">
      <c r="A212" s="13" t="s">
        <v>12090</v>
      </c>
      <c r="B212" s="14">
        <v>2272828</v>
      </c>
      <c r="C212" s="14">
        <v>0</v>
      </c>
      <c r="D212" s="14" t="s">
        <v>1882</v>
      </c>
      <c r="E212" s="14" t="s">
        <v>3706</v>
      </c>
      <c r="F212" s="14" t="s">
        <v>96</v>
      </c>
      <c r="G212" s="18" t="s">
        <v>11214</v>
      </c>
      <c r="H212" s="18" t="s">
        <v>98</v>
      </c>
      <c r="I212" s="14" t="s">
        <v>12091</v>
      </c>
      <c r="J212" s="14">
        <v>1</v>
      </c>
      <c r="K212" s="14">
        <v>0</v>
      </c>
      <c r="L212" s="14" t="s">
        <v>12092</v>
      </c>
      <c r="M212" s="19" t="s">
        <v>101</v>
      </c>
      <c r="N212" s="14" t="s">
        <v>1208</v>
      </c>
      <c r="O212" s="14" t="s">
        <v>12093</v>
      </c>
      <c r="P212" s="14" t="str">
        <f>HYPERLINK("https://photon-sol.tinyastro.io/en/lp/4MAQPE53dxEV1T5oC1Zo9qooA2JFrXDR3qDAPos9pump?handle=676050794bc1b1657a56b", "View")</f>
        <v>View</v>
      </c>
    </row>
    <row r="213" spans="1:16" x14ac:dyDescent="0.25">
      <c r="A213" s="16" t="s">
        <v>12094</v>
      </c>
      <c r="B213" s="17">
        <v>4506967</v>
      </c>
      <c r="C213" s="17">
        <v>2253483</v>
      </c>
      <c r="D213" s="17" t="s">
        <v>1813</v>
      </c>
      <c r="E213" s="17" t="s">
        <v>3706</v>
      </c>
      <c r="F213" s="17" t="s">
        <v>3897</v>
      </c>
      <c r="G213" s="20" t="s">
        <v>4252</v>
      </c>
      <c r="H213" s="20" t="s">
        <v>12095</v>
      </c>
      <c r="I213" s="17" t="s">
        <v>88</v>
      </c>
      <c r="J213" s="17">
        <v>1</v>
      </c>
      <c r="K213" s="17">
        <v>1</v>
      </c>
      <c r="L213" s="17" t="s">
        <v>12096</v>
      </c>
      <c r="M213" s="19" t="s">
        <v>1827</v>
      </c>
      <c r="N213" s="17" t="s">
        <v>507</v>
      </c>
      <c r="O213" s="17" t="s">
        <v>12097</v>
      </c>
      <c r="P213" s="17" t="str">
        <f>HYPERLINK("https://photon-sol.tinyastro.io/en/lp/F5jNBrznxtL4UmeCefbgWwMD89mm8uVxZh976zVQpump?handle=676050794bc1b1657a56b", "View")</f>
        <v>View</v>
      </c>
    </row>
    <row r="214" spans="1:16" x14ac:dyDescent="0.25">
      <c r="A214" s="13" t="s">
        <v>1473</v>
      </c>
      <c r="B214" s="14">
        <v>807252</v>
      </c>
      <c r="C214" s="14">
        <v>807252</v>
      </c>
      <c r="D214" s="14" t="s">
        <v>9569</v>
      </c>
      <c r="E214" s="14" t="s">
        <v>8966</v>
      </c>
      <c r="F214" s="14" t="s">
        <v>4343</v>
      </c>
      <c r="G214" s="21" t="s">
        <v>12098</v>
      </c>
      <c r="H214" s="21" t="s">
        <v>12099</v>
      </c>
      <c r="I214" s="14" t="s">
        <v>88</v>
      </c>
      <c r="J214" s="14">
        <v>1</v>
      </c>
      <c r="K214" s="14">
        <v>2</v>
      </c>
      <c r="L214" s="14" t="s">
        <v>12100</v>
      </c>
      <c r="M214" s="14" t="s">
        <v>4922</v>
      </c>
      <c r="N214" s="14" t="s">
        <v>12101</v>
      </c>
      <c r="O214" s="14" t="s">
        <v>1480</v>
      </c>
      <c r="P214" s="14" t="str">
        <f>HYPERLINK("https://photon-sol.tinyastro.io/en/lp/BWzZQswJRUh5aHQ5P6txtgC2GwYdmJ58ukwriUFFpump?handle=676050794bc1b1657a56b", "View")</f>
        <v>View</v>
      </c>
    </row>
    <row r="215" spans="1:16" x14ac:dyDescent="0.25">
      <c r="A215" s="16" t="s">
        <v>12102</v>
      </c>
      <c r="B215" s="17">
        <v>2333161</v>
      </c>
      <c r="C215" s="17">
        <v>2333161</v>
      </c>
      <c r="D215" s="17" t="s">
        <v>7092</v>
      </c>
      <c r="E215" s="17" t="s">
        <v>5720</v>
      </c>
      <c r="F215" s="17" t="s">
        <v>3595</v>
      </c>
      <c r="G215" s="22" t="s">
        <v>4020</v>
      </c>
      <c r="H215" s="22" t="s">
        <v>12103</v>
      </c>
      <c r="I215" s="17" t="s">
        <v>88</v>
      </c>
      <c r="J215" s="17">
        <v>2</v>
      </c>
      <c r="K215" s="17">
        <v>2</v>
      </c>
      <c r="L215" s="17" t="s">
        <v>12104</v>
      </c>
      <c r="M215" s="17" t="s">
        <v>788</v>
      </c>
      <c r="N215" s="17" t="s">
        <v>12105</v>
      </c>
      <c r="O215" s="17" t="s">
        <v>12106</v>
      </c>
      <c r="P215" s="17" t="str">
        <f>HYPERLINK("https://photon-sol.tinyastro.io/en/lp/Evec98CXU1AnF4qFTfVcNBd5297BgD9nUGqQHdpSpump?handle=676050794bc1b1657a56b", "View")</f>
        <v>View</v>
      </c>
    </row>
    <row r="216" spans="1:16" x14ac:dyDescent="0.25">
      <c r="A216" s="13" t="s">
        <v>12107</v>
      </c>
      <c r="B216" s="14">
        <v>2527962</v>
      </c>
      <c r="C216" s="14">
        <v>0</v>
      </c>
      <c r="D216" s="14" t="s">
        <v>1882</v>
      </c>
      <c r="E216" s="14" t="s">
        <v>3706</v>
      </c>
      <c r="F216" s="14" t="s">
        <v>96</v>
      </c>
      <c r="G216" s="18" t="s">
        <v>11214</v>
      </c>
      <c r="H216" s="18" t="s">
        <v>98</v>
      </c>
      <c r="I216" s="14" t="s">
        <v>12108</v>
      </c>
      <c r="J216" s="14">
        <v>1</v>
      </c>
      <c r="K216" s="14">
        <v>0</v>
      </c>
      <c r="L216" s="14" t="s">
        <v>12109</v>
      </c>
      <c r="M216" s="19" t="s">
        <v>101</v>
      </c>
      <c r="N216" s="14" t="s">
        <v>507</v>
      </c>
      <c r="O216" s="14" t="s">
        <v>12110</v>
      </c>
      <c r="P216" s="14" t="str">
        <f>HYPERLINK("https://photon-sol.tinyastro.io/en/lp/7UuDyjEFSFfCpwqhGmEPTKSX552RsLHUfxMExvELpump?handle=676050794bc1b1657a56b", "View")</f>
        <v>View</v>
      </c>
    </row>
    <row r="217" spans="1:16" x14ac:dyDescent="0.25">
      <c r="A217" s="16" t="s">
        <v>12111</v>
      </c>
      <c r="B217" s="17">
        <v>737678</v>
      </c>
      <c r="C217" s="17">
        <v>368839</v>
      </c>
      <c r="D217" s="17" t="s">
        <v>1813</v>
      </c>
      <c r="E217" s="17" t="s">
        <v>3706</v>
      </c>
      <c r="F217" s="17" t="s">
        <v>4679</v>
      </c>
      <c r="G217" s="22" t="s">
        <v>4555</v>
      </c>
      <c r="H217" s="22" t="s">
        <v>12112</v>
      </c>
      <c r="I217" s="17" t="s">
        <v>88</v>
      </c>
      <c r="J217" s="17">
        <v>1</v>
      </c>
      <c r="K217" s="17">
        <v>1</v>
      </c>
      <c r="L217" s="17" t="s">
        <v>12113</v>
      </c>
      <c r="M217" s="17" t="s">
        <v>602</v>
      </c>
      <c r="N217" s="17" t="s">
        <v>12114</v>
      </c>
      <c r="O217" s="17" t="s">
        <v>12115</v>
      </c>
      <c r="P217" s="17" t="str">
        <f>HYPERLINK("https://photon-sol.tinyastro.io/en/lp/BcAgwbvdgW5k8HqmYqmQ5CTZrNL8sST8G88xyPZ3pump?handle=676050794bc1b1657a56b", "View")</f>
        <v>View</v>
      </c>
    </row>
    <row r="218" spans="1:16" x14ac:dyDescent="0.25">
      <c r="A218" s="13" t="s">
        <v>12116</v>
      </c>
      <c r="B218" s="14">
        <v>918238</v>
      </c>
      <c r="C218" s="14">
        <v>0</v>
      </c>
      <c r="D218" s="14" t="s">
        <v>1882</v>
      </c>
      <c r="E218" s="14" t="s">
        <v>8966</v>
      </c>
      <c r="F218" s="14" t="s">
        <v>96</v>
      </c>
      <c r="G218" s="18" t="s">
        <v>3821</v>
      </c>
      <c r="H218" s="18" t="s">
        <v>98</v>
      </c>
      <c r="I218" s="14" t="s">
        <v>12117</v>
      </c>
      <c r="J218" s="14">
        <v>1</v>
      </c>
      <c r="K218" s="14">
        <v>0</v>
      </c>
      <c r="L218" s="14" t="s">
        <v>12118</v>
      </c>
      <c r="M218" s="19" t="s">
        <v>101</v>
      </c>
      <c r="N218" s="14" t="s">
        <v>507</v>
      </c>
      <c r="O218" s="14" t="s">
        <v>12119</v>
      </c>
      <c r="P218" s="14" t="str">
        <f>HYPERLINK("https://photon-sol.tinyastro.io/en/lp/EtZXMpA6pF9Amsv78B2qgBe3TGswqGyR3AuGEAcApump?handle=676050794bc1b1657a56b", "View")</f>
        <v>View</v>
      </c>
    </row>
    <row r="219" spans="1:16" x14ac:dyDescent="0.25">
      <c r="A219" s="16" t="s">
        <v>12120</v>
      </c>
      <c r="B219" s="17">
        <v>415615</v>
      </c>
      <c r="C219" s="17">
        <v>207808</v>
      </c>
      <c r="D219" s="17" t="s">
        <v>1813</v>
      </c>
      <c r="E219" s="17" t="s">
        <v>10121</v>
      </c>
      <c r="F219" s="17" t="s">
        <v>8966</v>
      </c>
      <c r="G219" s="22" t="s">
        <v>5036</v>
      </c>
      <c r="H219" s="22" t="s">
        <v>12121</v>
      </c>
      <c r="I219" s="17" t="s">
        <v>88</v>
      </c>
      <c r="J219" s="17">
        <v>1</v>
      </c>
      <c r="K219" s="17">
        <v>1</v>
      </c>
      <c r="L219" s="17" t="s">
        <v>12122</v>
      </c>
      <c r="M219" s="17" t="s">
        <v>1932</v>
      </c>
      <c r="N219" s="17" t="s">
        <v>12123</v>
      </c>
      <c r="O219" s="17" t="s">
        <v>12124</v>
      </c>
      <c r="P219" s="17" t="str">
        <f>HYPERLINK("https://dexscreener.com/solana/GmVstndqubU1GvdByqdML8QUiokRA9tEhc99Upa6pump", "View")</f>
        <v>View</v>
      </c>
    </row>
    <row r="220" spans="1:16" x14ac:dyDescent="0.25">
      <c r="A220" s="13" t="s">
        <v>12125</v>
      </c>
      <c r="B220" s="14">
        <v>281727</v>
      </c>
      <c r="C220" s="14">
        <v>0</v>
      </c>
      <c r="D220" s="14" t="s">
        <v>1882</v>
      </c>
      <c r="E220" s="14" t="s">
        <v>3993</v>
      </c>
      <c r="F220" s="14" t="s">
        <v>96</v>
      </c>
      <c r="G220" s="18" t="s">
        <v>11307</v>
      </c>
      <c r="H220" s="18" t="s">
        <v>98</v>
      </c>
      <c r="I220" s="14" t="s">
        <v>12126</v>
      </c>
      <c r="J220" s="14">
        <v>1</v>
      </c>
      <c r="K220" s="14">
        <v>0</v>
      </c>
      <c r="L220" s="14" t="s">
        <v>12127</v>
      </c>
      <c r="M220" s="19" t="s">
        <v>101</v>
      </c>
      <c r="N220" s="14" t="s">
        <v>12128</v>
      </c>
      <c r="O220" s="14" t="s">
        <v>12129</v>
      </c>
      <c r="P220" s="14" t="str">
        <f>HYPERLINK("https://photon-sol.tinyastro.io/en/lp/J9DfhWrGwoRL7ctJHKaQe95LF8RNMcjHHV9fUWpUpump?handle=676050794bc1b1657a56b", "View")</f>
        <v>View</v>
      </c>
    </row>
    <row r="221" spans="1:16" x14ac:dyDescent="0.25">
      <c r="A221" s="16" t="s">
        <v>12130</v>
      </c>
      <c r="B221" s="17">
        <v>940945</v>
      </c>
      <c r="C221" s="17">
        <v>940945</v>
      </c>
      <c r="D221" s="17" t="s">
        <v>9537</v>
      </c>
      <c r="E221" s="17" t="s">
        <v>3045</v>
      </c>
      <c r="F221" s="17" t="s">
        <v>3945</v>
      </c>
      <c r="G221" s="22" t="s">
        <v>5534</v>
      </c>
      <c r="H221" s="22" t="s">
        <v>12131</v>
      </c>
      <c r="I221" s="17" t="s">
        <v>88</v>
      </c>
      <c r="J221" s="17">
        <v>2</v>
      </c>
      <c r="K221" s="17">
        <v>3</v>
      </c>
      <c r="L221" s="17" t="s">
        <v>12132</v>
      </c>
      <c r="M221" s="17" t="s">
        <v>179</v>
      </c>
      <c r="N221" s="17" t="s">
        <v>12133</v>
      </c>
      <c r="O221" s="17" t="s">
        <v>12134</v>
      </c>
      <c r="P221" s="17" t="str">
        <f>HYPERLINK("https://dexscreener.com/solana/Hrro7XsywzNy5bcuvqvZBocuKtu2rwKDW385RowNpump", "View")</f>
        <v>View</v>
      </c>
    </row>
    <row r="222" spans="1:16" x14ac:dyDescent="0.25">
      <c r="A222" s="13" t="s">
        <v>12135</v>
      </c>
      <c r="B222" s="14">
        <v>4525775</v>
      </c>
      <c r="C222" s="14">
        <v>0</v>
      </c>
      <c r="D222" s="14" t="s">
        <v>9569</v>
      </c>
      <c r="E222" s="14" t="s">
        <v>12136</v>
      </c>
      <c r="F222" s="14" t="s">
        <v>96</v>
      </c>
      <c r="G222" s="18" t="s">
        <v>12137</v>
      </c>
      <c r="H222" s="18" t="s">
        <v>98</v>
      </c>
      <c r="I222" s="14" t="s">
        <v>12138</v>
      </c>
      <c r="J222" s="14">
        <v>3</v>
      </c>
      <c r="K222" s="14">
        <v>0</v>
      </c>
      <c r="L222" s="14" t="s">
        <v>12139</v>
      </c>
      <c r="M222" s="14" t="s">
        <v>3171</v>
      </c>
      <c r="N222" s="14" t="s">
        <v>507</v>
      </c>
      <c r="O222" s="14" t="s">
        <v>12140</v>
      </c>
      <c r="P222" s="14" t="str">
        <f>HYPERLINK("https://photon-sol.tinyastro.io/en/lp/AK9FwVj9t43eJCehPKKmHrf5t9FRMvxvsEdxvyipump?handle=676050794bc1b1657a56b", "View")</f>
        <v>View</v>
      </c>
    </row>
    <row r="223" spans="1:16" x14ac:dyDescent="0.25">
      <c r="A223" s="16" t="s">
        <v>12141</v>
      </c>
      <c r="B223" s="17">
        <v>329671</v>
      </c>
      <c r="C223" s="17">
        <v>329671</v>
      </c>
      <c r="D223" s="17" t="s">
        <v>1813</v>
      </c>
      <c r="E223" s="17" t="s">
        <v>9395</v>
      </c>
      <c r="F223" s="17" t="s">
        <v>9395</v>
      </c>
      <c r="G223" s="20" t="s">
        <v>5589</v>
      </c>
      <c r="H223" s="20" t="s">
        <v>12142</v>
      </c>
      <c r="I223" s="17" t="s">
        <v>88</v>
      </c>
      <c r="J223" s="17">
        <v>1</v>
      </c>
      <c r="K223" s="17">
        <v>1</v>
      </c>
      <c r="L223" s="17" t="s">
        <v>12143</v>
      </c>
      <c r="M223" s="17" t="s">
        <v>788</v>
      </c>
      <c r="N223" s="17" t="s">
        <v>1016</v>
      </c>
      <c r="O223" s="17" t="s">
        <v>12144</v>
      </c>
      <c r="P223" s="17" t="str">
        <f>HYPERLINK("https://dexscreener.com/solana/GGCXJyrq4Hj1tF9cEyJwSs6iDNEqLyYPnNXbp5Dxpump", "View")</f>
        <v>View</v>
      </c>
    </row>
    <row r="224" spans="1:16" x14ac:dyDescent="0.25">
      <c r="A224" s="13" t="s">
        <v>12145</v>
      </c>
      <c r="B224" s="14">
        <v>312291</v>
      </c>
      <c r="C224" s="14">
        <v>312291</v>
      </c>
      <c r="D224" s="14" t="s">
        <v>7092</v>
      </c>
      <c r="E224" s="14" t="s">
        <v>3045</v>
      </c>
      <c r="F224" s="14" t="s">
        <v>3637</v>
      </c>
      <c r="G224" s="20" t="s">
        <v>3751</v>
      </c>
      <c r="H224" s="20" t="s">
        <v>12146</v>
      </c>
      <c r="I224" s="14" t="s">
        <v>88</v>
      </c>
      <c r="J224" s="14">
        <v>2</v>
      </c>
      <c r="K224" s="14">
        <v>2</v>
      </c>
      <c r="L224" s="14" t="s">
        <v>12147</v>
      </c>
      <c r="M224" s="14" t="s">
        <v>788</v>
      </c>
      <c r="N224" s="14" t="s">
        <v>12148</v>
      </c>
      <c r="O224" s="14" t="s">
        <v>12149</v>
      </c>
      <c r="P224" s="14" t="str">
        <f>HYPERLINK("https://dexscreener.com/solana/2xyJt9cxJMXFfVHLiwQ3V6N9eJvborVHiN2SsNACpump", "View")</f>
        <v>View</v>
      </c>
    </row>
    <row r="225" spans="1:16" x14ac:dyDescent="0.25">
      <c r="A225" s="16" t="s">
        <v>12150</v>
      </c>
      <c r="B225" s="17">
        <v>348482</v>
      </c>
      <c r="C225" s="17">
        <v>0</v>
      </c>
      <c r="D225" s="17" t="s">
        <v>1882</v>
      </c>
      <c r="E225" s="17" t="s">
        <v>11809</v>
      </c>
      <c r="F225" s="17" t="s">
        <v>96</v>
      </c>
      <c r="G225" s="18" t="s">
        <v>12151</v>
      </c>
      <c r="H225" s="18" t="s">
        <v>98</v>
      </c>
      <c r="I225" s="17" t="s">
        <v>12152</v>
      </c>
      <c r="J225" s="17">
        <v>1</v>
      </c>
      <c r="K225" s="17">
        <v>0</v>
      </c>
      <c r="L225" s="17" t="s">
        <v>12153</v>
      </c>
      <c r="M225" s="19" t="s">
        <v>101</v>
      </c>
      <c r="N225" s="17" t="s">
        <v>12154</v>
      </c>
      <c r="O225" s="17" t="s">
        <v>12155</v>
      </c>
      <c r="P225" s="17" t="str">
        <f>HYPERLINK("https://dexscreener.com/solana/96vfj1VTvnRnvjgSKft7w7TFmdNNCRrpMSsjA1EEgx8w", "View")</f>
        <v>View</v>
      </c>
    </row>
    <row r="226" spans="1:16" x14ac:dyDescent="0.25">
      <c r="A226" s="13" t="s">
        <v>12156</v>
      </c>
      <c r="B226" s="14">
        <v>744070</v>
      </c>
      <c r="C226" s="14">
        <v>0</v>
      </c>
      <c r="D226" s="14" t="s">
        <v>1882</v>
      </c>
      <c r="E226" s="14" t="s">
        <v>3706</v>
      </c>
      <c r="F226" s="14" t="s">
        <v>96</v>
      </c>
      <c r="G226" s="18" t="s">
        <v>11214</v>
      </c>
      <c r="H226" s="18" t="s">
        <v>98</v>
      </c>
      <c r="I226" s="14" t="s">
        <v>12157</v>
      </c>
      <c r="J226" s="14">
        <v>1</v>
      </c>
      <c r="K226" s="14">
        <v>0</v>
      </c>
      <c r="L226" s="14" t="s">
        <v>12158</v>
      </c>
      <c r="M226" s="19" t="s">
        <v>101</v>
      </c>
      <c r="N226" s="14" t="s">
        <v>507</v>
      </c>
      <c r="O226" s="14" t="s">
        <v>12159</v>
      </c>
      <c r="P226" s="14" t="str">
        <f>HYPERLINK("https://photon-sol.tinyastro.io/en/lp/4pSVCsXPqq3sjQF639Sru1Sc9jby38zCFffs53Gzpump?handle=676050794bc1b1657a56b", "View")</f>
        <v>View</v>
      </c>
    </row>
    <row r="227" spans="1:16" x14ac:dyDescent="0.25">
      <c r="A227" s="16" t="s">
        <v>12160</v>
      </c>
      <c r="B227" s="17">
        <v>472344</v>
      </c>
      <c r="C227" s="17">
        <v>0</v>
      </c>
      <c r="D227" s="17" t="s">
        <v>1882</v>
      </c>
      <c r="E227" s="17" t="s">
        <v>3993</v>
      </c>
      <c r="F227" s="17" t="s">
        <v>96</v>
      </c>
      <c r="G227" s="18" t="s">
        <v>11307</v>
      </c>
      <c r="H227" s="18" t="s">
        <v>98</v>
      </c>
      <c r="I227" s="17" t="s">
        <v>12161</v>
      </c>
      <c r="J227" s="17">
        <v>1</v>
      </c>
      <c r="K227" s="17">
        <v>0</v>
      </c>
      <c r="L227" s="17" t="s">
        <v>12162</v>
      </c>
      <c r="M227" s="19" t="s">
        <v>101</v>
      </c>
      <c r="N227" s="17" t="s">
        <v>12163</v>
      </c>
      <c r="O227" s="17" t="s">
        <v>12164</v>
      </c>
      <c r="P227" s="17" t="str">
        <f>HYPERLINK("https://photon-sol.tinyastro.io/en/lp/D6cD2iS872QPd3gAZK6X7hmZmvqq36rWor3YAR4upump?handle=676050794bc1b1657a56b", "View")</f>
        <v>View</v>
      </c>
    </row>
    <row r="228" spans="1:16" x14ac:dyDescent="0.25">
      <c r="A228" s="13" t="s">
        <v>12165</v>
      </c>
      <c r="B228" s="14">
        <v>178807</v>
      </c>
      <c r="C228" s="14">
        <v>0</v>
      </c>
      <c r="D228" s="14" t="s">
        <v>1882</v>
      </c>
      <c r="E228" s="14" t="s">
        <v>10121</v>
      </c>
      <c r="F228" s="14" t="s">
        <v>96</v>
      </c>
      <c r="G228" s="18" t="s">
        <v>11238</v>
      </c>
      <c r="H228" s="18" t="s">
        <v>98</v>
      </c>
      <c r="I228" s="14" t="s">
        <v>12166</v>
      </c>
      <c r="J228" s="14">
        <v>1</v>
      </c>
      <c r="K228" s="14">
        <v>0</v>
      </c>
      <c r="L228" s="14" t="s">
        <v>12167</v>
      </c>
      <c r="M228" s="19" t="s">
        <v>101</v>
      </c>
      <c r="N228" s="14" t="s">
        <v>12168</v>
      </c>
      <c r="O228" s="14" t="s">
        <v>12169</v>
      </c>
      <c r="P228" s="14" t="str">
        <f>HYPERLINK("https://dexscreener.com/solana/adtbVm24n9JuABKfwsP9wSYRE9hfmrgRAgdDzPXpump", "View")</f>
        <v>View</v>
      </c>
    </row>
    <row r="229" spans="1:16" x14ac:dyDescent="0.25">
      <c r="A229" s="16" t="s">
        <v>12170</v>
      </c>
      <c r="B229" s="17">
        <v>3995275</v>
      </c>
      <c r="C229" s="17">
        <v>0</v>
      </c>
      <c r="D229" s="17" t="s">
        <v>1882</v>
      </c>
      <c r="E229" s="17" t="s">
        <v>3706</v>
      </c>
      <c r="F229" s="17" t="s">
        <v>96</v>
      </c>
      <c r="G229" s="18" t="s">
        <v>11214</v>
      </c>
      <c r="H229" s="18" t="s">
        <v>98</v>
      </c>
      <c r="I229" s="17" t="s">
        <v>12171</v>
      </c>
      <c r="J229" s="17">
        <v>1</v>
      </c>
      <c r="K229" s="17">
        <v>0</v>
      </c>
      <c r="L229" s="17" t="s">
        <v>12172</v>
      </c>
      <c r="M229" s="19" t="s">
        <v>101</v>
      </c>
      <c r="N229" s="17" t="s">
        <v>507</v>
      </c>
      <c r="O229" s="17" t="s">
        <v>12173</v>
      </c>
      <c r="P229" s="17" t="str">
        <f>HYPERLINK("https://photon-sol.tinyastro.io/en/lp/8fSjP8PS7xKY88ToTHDErJnR78AvDm9gZFmC8G8Spump?handle=676050794bc1b1657a56b", "View")</f>
        <v>View</v>
      </c>
    </row>
    <row r="230" spans="1:16" x14ac:dyDescent="0.25">
      <c r="A230" s="13" t="s">
        <v>12174</v>
      </c>
      <c r="B230" s="14">
        <v>1842739</v>
      </c>
      <c r="C230" s="14">
        <v>1842739</v>
      </c>
      <c r="D230" s="14" t="s">
        <v>1813</v>
      </c>
      <c r="E230" s="14" t="s">
        <v>3706</v>
      </c>
      <c r="F230" s="14" t="s">
        <v>4868</v>
      </c>
      <c r="G230" s="20" t="s">
        <v>3537</v>
      </c>
      <c r="H230" s="20" t="s">
        <v>12175</v>
      </c>
      <c r="I230" s="14" t="s">
        <v>88</v>
      </c>
      <c r="J230" s="14">
        <v>1</v>
      </c>
      <c r="K230" s="14">
        <v>1</v>
      </c>
      <c r="L230" s="14" t="s">
        <v>12176</v>
      </c>
      <c r="M230" s="14" t="s">
        <v>1957</v>
      </c>
      <c r="N230" s="14" t="s">
        <v>12177</v>
      </c>
      <c r="O230" s="14" t="s">
        <v>12178</v>
      </c>
      <c r="P230" s="14" t="str">
        <f>HYPERLINK("https://photon-sol.tinyastro.io/en/lp/Dz1nbovr2ijpdW4RFVSxLi3tp39jH8rcXmZUXM4zpump?handle=676050794bc1b1657a56b", "View")</f>
        <v>View</v>
      </c>
    </row>
    <row r="231" spans="1:16" x14ac:dyDescent="0.25">
      <c r="A231" s="16" t="s">
        <v>11960</v>
      </c>
      <c r="B231" s="17">
        <v>325944</v>
      </c>
      <c r="C231" s="17">
        <v>0</v>
      </c>
      <c r="D231" s="17" t="s">
        <v>1882</v>
      </c>
      <c r="E231" s="17" t="s">
        <v>9395</v>
      </c>
      <c r="F231" s="17" t="s">
        <v>96</v>
      </c>
      <c r="G231" s="18" t="s">
        <v>3707</v>
      </c>
      <c r="H231" s="18" t="s">
        <v>98</v>
      </c>
      <c r="I231" s="17" t="s">
        <v>12179</v>
      </c>
      <c r="J231" s="17">
        <v>1</v>
      </c>
      <c r="K231" s="17">
        <v>0</v>
      </c>
      <c r="L231" s="17" t="s">
        <v>12180</v>
      </c>
      <c r="M231" s="19" t="s">
        <v>101</v>
      </c>
      <c r="N231" s="17" t="s">
        <v>507</v>
      </c>
      <c r="O231" s="17" t="s">
        <v>12181</v>
      </c>
      <c r="P231" s="17" t="str">
        <f>HYPERLINK("https://dexscreener.com/solana/BfU8Vryy5GjrxeUU617JfNi53EzDyWvper8ghfc4pump", "View")</f>
        <v>View</v>
      </c>
    </row>
    <row r="232" spans="1:16" x14ac:dyDescent="0.25">
      <c r="A232" s="13" t="s">
        <v>12182</v>
      </c>
      <c r="B232" s="14">
        <v>362774</v>
      </c>
      <c r="C232" s="14">
        <v>181387</v>
      </c>
      <c r="D232" s="14" t="s">
        <v>1813</v>
      </c>
      <c r="E232" s="14" t="s">
        <v>10121</v>
      </c>
      <c r="F232" s="14" t="s">
        <v>12183</v>
      </c>
      <c r="G232" s="22" t="s">
        <v>7291</v>
      </c>
      <c r="H232" s="22" t="s">
        <v>12184</v>
      </c>
      <c r="I232" s="14" t="s">
        <v>88</v>
      </c>
      <c r="J232" s="14">
        <v>1</v>
      </c>
      <c r="K232" s="14">
        <v>1</v>
      </c>
      <c r="L232" s="14" t="s">
        <v>12185</v>
      </c>
      <c r="M232" s="14" t="s">
        <v>160</v>
      </c>
      <c r="N232" s="14" t="s">
        <v>12186</v>
      </c>
      <c r="O232" s="14" t="s">
        <v>12187</v>
      </c>
      <c r="P232" s="14" t="str">
        <f>HYPERLINK("https://dexscreener.com/solana/EAMU6WF4SzcWaVEPf6q6YmG7tsaC5jtmjXFWyjorpump", "View")</f>
        <v>View</v>
      </c>
    </row>
    <row r="233" spans="1:16" x14ac:dyDescent="0.25">
      <c r="A233" s="16" t="s">
        <v>12188</v>
      </c>
      <c r="B233" s="17">
        <v>1366989</v>
      </c>
      <c r="C233" s="17">
        <v>0</v>
      </c>
      <c r="D233" s="17" t="s">
        <v>1882</v>
      </c>
      <c r="E233" s="17" t="s">
        <v>8966</v>
      </c>
      <c r="F233" s="17" t="s">
        <v>96</v>
      </c>
      <c r="G233" s="18" t="s">
        <v>3821</v>
      </c>
      <c r="H233" s="18" t="s">
        <v>98</v>
      </c>
      <c r="I233" s="17" t="s">
        <v>12189</v>
      </c>
      <c r="J233" s="17">
        <v>1</v>
      </c>
      <c r="K233" s="17">
        <v>0</v>
      </c>
      <c r="L233" s="17" t="s">
        <v>12190</v>
      </c>
      <c r="M233" s="19" t="s">
        <v>101</v>
      </c>
      <c r="N233" s="17" t="s">
        <v>507</v>
      </c>
      <c r="O233" s="17" t="s">
        <v>12191</v>
      </c>
      <c r="P233" s="17" t="str">
        <f>HYPERLINK("https://photon-sol.tinyastro.io/en/lp/GdckgUGfGfhzfadnc3KnRwuNrct8Y496Fb2cxCrppump?handle=676050794bc1b1657a56b", "View")</f>
        <v>View</v>
      </c>
    </row>
    <row r="234" spans="1:16" x14ac:dyDescent="0.25">
      <c r="A234" s="13" t="s">
        <v>12192</v>
      </c>
      <c r="B234" s="14">
        <v>1651174</v>
      </c>
      <c r="C234" s="14">
        <v>1651174</v>
      </c>
      <c r="D234" s="14" t="s">
        <v>9569</v>
      </c>
      <c r="E234" s="14" t="s">
        <v>3706</v>
      </c>
      <c r="F234" s="14" t="s">
        <v>3938</v>
      </c>
      <c r="G234" s="21" t="s">
        <v>7749</v>
      </c>
      <c r="H234" s="21" t="s">
        <v>12193</v>
      </c>
      <c r="I234" s="14" t="s">
        <v>88</v>
      </c>
      <c r="J234" s="14">
        <v>1</v>
      </c>
      <c r="K234" s="14">
        <v>2</v>
      </c>
      <c r="L234" s="14" t="s">
        <v>12194</v>
      </c>
      <c r="M234" s="14" t="s">
        <v>5922</v>
      </c>
      <c r="N234" s="14" t="s">
        <v>12195</v>
      </c>
      <c r="O234" s="14" t="s">
        <v>12196</v>
      </c>
      <c r="P234" s="14" t="str">
        <f>HYPERLINK("https://photon-sol.tinyastro.io/en/lp/9V2zZpDQm4z1TLefRLqrUKpWFMnZpKanEMmhNpGPpump?handle=676050794bc1b1657a56b", "View")</f>
        <v>View</v>
      </c>
    </row>
    <row r="235" spans="1:16" x14ac:dyDescent="0.25">
      <c r="A235" s="16" t="s">
        <v>12197</v>
      </c>
      <c r="B235" s="17">
        <v>961126</v>
      </c>
      <c r="C235" s="17">
        <v>0</v>
      </c>
      <c r="D235" s="17" t="s">
        <v>1882</v>
      </c>
      <c r="E235" s="17" t="s">
        <v>9395</v>
      </c>
      <c r="F235" s="17" t="s">
        <v>96</v>
      </c>
      <c r="G235" s="18" t="s">
        <v>3707</v>
      </c>
      <c r="H235" s="18" t="s">
        <v>98</v>
      </c>
      <c r="I235" s="17" t="s">
        <v>12198</v>
      </c>
      <c r="J235" s="17">
        <v>1</v>
      </c>
      <c r="K235" s="17">
        <v>0</v>
      </c>
      <c r="L235" s="17" t="s">
        <v>12199</v>
      </c>
      <c r="M235" s="19" t="s">
        <v>101</v>
      </c>
      <c r="N235" s="17" t="s">
        <v>5392</v>
      </c>
      <c r="O235" s="17" t="s">
        <v>12200</v>
      </c>
      <c r="P235" s="17" t="str">
        <f>HYPERLINK("https://dexscreener.com/solana/HdeskaKhMmS1d1H3fgrYLeZCSytp2SBAaqSsphTppump", "View")</f>
        <v>View</v>
      </c>
    </row>
    <row r="236" spans="1:16" x14ac:dyDescent="0.25">
      <c r="A236" s="13" t="s">
        <v>12201</v>
      </c>
      <c r="B236" s="14">
        <v>41992</v>
      </c>
      <c r="C236" s="14">
        <v>41992</v>
      </c>
      <c r="D236" s="14" t="s">
        <v>1813</v>
      </c>
      <c r="E236" s="14" t="s">
        <v>9395</v>
      </c>
      <c r="F236" s="14" t="s">
        <v>7742</v>
      </c>
      <c r="G236" s="22" t="s">
        <v>12202</v>
      </c>
      <c r="H236" s="22" t="s">
        <v>12203</v>
      </c>
      <c r="I236" s="14" t="s">
        <v>88</v>
      </c>
      <c r="J236" s="14">
        <v>1</v>
      </c>
      <c r="K236" s="14">
        <v>1</v>
      </c>
      <c r="L236" s="14" t="s">
        <v>12204</v>
      </c>
      <c r="M236" s="14" t="s">
        <v>4922</v>
      </c>
      <c r="N236" s="14" t="s">
        <v>12205</v>
      </c>
      <c r="O236" s="14" t="s">
        <v>12206</v>
      </c>
      <c r="P236" s="14" t="str">
        <f>HYPERLINK("https://dexscreener.com/solana/7aQmCjLsC3pgBsdXXBmxSMebDy6NL1Xp6cJsBxVxQR5c", "View")</f>
        <v>View</v>
      </c>
    </row>
    <row r="237" spans="1:16" x14ac:dyDescent="0.25">
      <c r="A237" s="16" t="s">
        <v>12207</v>
      </c>
      <c r="B237" s="17">
        <v>1140803</v>
      </c>
      <c r="C237" s="17">
        <v>0</v>
      </c>
      <c r="D237" s="17" t="s">
        <v>1882</v>
      </c>
      <c r="E237" s="17" t="s">
        <v>6179</v>
      </c>
      <c r="F237" s="17" t="s">
        <v>96</v>
      </c>
      <c r="G237" s="18" t="s">
        <v>12208</v>
      </c>
      <c r="H237" s="18" t="s">
        <v>98</v>
      </c>
      <c r="I237" s="17" t="s">
        <v>12209</v>
      </c>
      <c r="J237" s="17">
        <v>1</v>
      </c>
      <c r="K237" s="17">
        <v>0</v>
      </c>
      <c r="L237" s="17" t="s">
        <v>12210</v>
      </c>
      <c r="M237" s="19" t="s">
        <v>101</v>
      </c>
      <c r="N237" s="17" t="s">
        <v>507</v>
      </c>
      <c r="O237" s="17" t="s">
        <v>12211</v>
      </c>
      <c r="P237" s="17" t="str">
        <f>HYPERLINK("https://photon-sol.tinyastro.io/en/lp/9SdazNLoUKqbm5fHcMntiAmnzGKS95jjMC3uJjVzpump?handle=676050794bc1b1657a56b", "View")</f>
        <v>View</v>
      </c>
    </row>
    <row r="238" spans="1:16" x14ac:dyDescent="0.25">
      <c r="A238" s="13" t="s">
        <v>12212</v>
      </c>
      <c r="B238" s="14">
        <v>3153623</v>
      </c>
      <c r="C238" s="14">
        <v>0</v>
      </c>
      <c r="D238" s="14" t="s">
        <v>1882</v>
      </c>
      <c r="E238" s="14" t="s">
        <v>8966</v>
      </c>
      <c r="F238" s="14" t="s">
        <v>96</v>
      </c>
      <c r="G238" s="18" t="s">
        <v>3821</v>
      </c>
      <c r="H238" s="18" t="s">
        <v>98</v>
      </c>
      <c r="I238" s="14" t="s">
        <v>12213</v>
      </c>
      <c r="J238" s="14">
        <v>1</v>
      </c>
      <c r="K238" s="14">
        <v>0</v>
      </c>
      <c r="L238" s="14" t="s">
        <v>12214</v>
      </c>
      <c r="M238" s="19" t="s">
        <v>101</v>
      </c>
      <c r="N238" s="14" t="s">
        <v>507</v>
      </c>
      <c r="O238" s="14" t="s">
        <v>12215</v>
      </c>
      <c r="P238" s="14" t="str">
        <f>HYPERLINK("https://photon-sol.tinyastro.io/en/lp/Azahf4bYv9AUk9LTbKGb4e92euBnVgjfnbtcWLsbpump?handle=676050794bc1b1657a56b", "View")</f>
        <v>View</v>
      </c>
    </row>
    <row r="239" spans="1:16" x14ac:dyDescent="0.25">
      <c r="A239" s="16" t="s">
        <v>12216</v>
      </c>
      <c r="B239" s="17">
        <v>815916</v>
      </c>
      <c r="C239" s="17">
        <v>815916</v>
      </c>
      <c r="D239" s="17" t="s">
        <v>9569</v>
      </c>
      <c r="E239" s="17" t="s">
        <v>3706</v>
      </c>
      <c r="F239" s="17" t="s">
        <v>6843</v>
      </c>
      <c r="G239" s="21" t="s">
        <v>9592</v>
      </c>
      <c r="H239" s="21" t="s">
        <v>12217</v>
      </c>
      <c r="I239" s="17" t="s">
        <v>88</v>
      </c>
      <c r="J239" s="17">
        <v>1</v>
      </c>
      <c r="K239" s="17">
        <v>2</v>
      </c>
      <c r="L239" s="17" t="s">
        <v>12218</v>
      </c>
      <c r="M239" s="17" t="s">
        <v>980</v>
      </c>
      <c r="N239" s="17" t="s">
        <v>12219</v>
      </c>
      <c r="O239" s="17" t="s">
        <v>12220</v>
      </c>
      <c r="P239" s="17" t="str">
        <f>HYPERLINK("https://photon-sol.tinyastro.io/en/lp/6N2L1hQsrpaNKt41CU19cjMmFzsYqpuSQYM6maJfpump?handle=676050794bc1b1657a56b", "View")</f>
        <v>View</v>
      </c>
    </row>
    <row r="240" spans="1:16" x14ac:dyDescent="0.25">
      <c r="A240" s="13" t="s">
        <v>12221</v>
      </c>
      <c r="B240" s="14">
        <v>1200162</v>
      </c>
      <c r="C240" s="14">
        <v>0</v>
      </c>
      <c r="D240" s="14" t="s">
        <v>1813</v>
      </c>
      <c r="E240" s="14" t="s">
        <v>3570</v>
      </c>
      <c r="F240" s="14" t="s">
        <v>96</v>
      </c>
      <c r="G240" s="18" t="s">
        <v>11410</v>
      </c>
      <c r="H240" s="18" t="s">
        <v>98</v>
      </c>
      <c r="I240" s="14" t="s">
        <v>12222</v>
      </c>
      <c r="J240" s="14">
        <v>2</v>
      </c>
      <c r="K240" s="14">
        <v>0</v>
      </c>
      <c r="L240" s="14" t="s">
        <v>12223</v>
      </c>
      <c r="M240" s="14" t="s">
        <v>179</v>
      </c>
      <c r="N240" s="14" t="s">
        <v>12224</v>
      </c>
      <c r="O240" s="14" t="s">
        <v>12225</v>
      </c>
      <c r="P240" s="14" t="str">
        <f>HYPERLINK("https://dexscreener.com/solana/CvCmLqYRsZQbLk9Fxc5HY2jGvnSXS1UxVaCgKyRkpump", "View")</f>
        <v>View</v>
      </c>
    </row>
    <row r="241" spans="1:16" x14ac:dyDescent="0.25">
      <c r="A241" s="16" t="s">
        <v>12226</v>
      </c>
      <c r="B241" s="17">
        <v>9281342</v>
      </c>
      <c r="C241" s="17">
        <v>0</v>
      </c>
      <c r="D241" s="17" t="s">
        <v>1813</v>
      </c>
      <c r="E241" s="17" t="s">
        <v>3570</v>
      </c>
      <c r="F241" s="17" t="s">
        <v>96</v>
      </c>
      <c r="G241" s="18" t="s">
        <v>11410</v>
      </c>
      <c r="H241" s="18" t="s">
        <v>98</v>
      </c>
      <c r="I241" s="17" t="s">
        <v>12227</v>
      </c>
      <c r="J241" s="17">
        <v>2</v>
      </c>
      <c r="K241" s="17">
        <v>0</v>
      </c>
      <c r="L241" s="17" t="s">
        <v>12228</v>
      </c>
      <c r="M241" s="17" t="s">
        <v>5061</v>
      </c>
      <c r="N241" s="17" t="s">
        <v>12229</v>
      </c>
      <c r="O241" s="17" t="s">
        <v>12230</v>
      </c>
      <c r="P241" s="17" t="str">
        <f>HYPERLINK("https://dexscreener.com/solana/EWBdpQoBLLACQJhSHYxv3BufBnZR9g4Q89PLEDwLpump", "View")</f>
        <v>View</v>
      </c>
    </row>
    <row r="242" spans="1:16" x14ac:dyDescent="0.25">
      <c r="A242" s="13" t="s">
        <v>12231</v>
      </c>
      <c r="B242" s="14">
        <v>398005</v>
      </c>
      <c r="C242" s="14">
        <v>0</v>
      </c>
      <c r="D242" s="14" t="s">
        <v>1882</v>
      </c>
      <c r="E242" s="14" t="s">
        <v>10121</v>
      </c>
      <c r="F242" s="14" t="s">
        <v>96</v>
      </c>
      <c r="G242" s="18" t="s">
        <v>11238</v>
      </c>
      <c r="H242" s="18" t="s">
        <v>98</v>
      </c>
      <c r="I242" s="14" t="s">
        <v>12232</v>
      </c>
      <c r="J242" s="14">
        <v>1</v>
      </c>
      <c r="K242" s="14">
        <v>0</v>
      </c>
      <c r="L242" s="14" t="s">
        <v>12233</v>
      </c>
      <c r="M242" s="19" t="s">
        <v>101</v>
      </c>
      <c r="N242" s="14" t="s">
        <v>12234</v>
      </c>
      <c r="O242" s="14" t="s">
        <v>12235</v>
      </c>
      <c r="P242" s="14" t="str">
        <f>HYPERLINK("https://dexscreener.com/solana/2jiBRjhsnmERifNuDEN3uSvF86JCwGRotGJ5ZWa6pump", "View")</f>
        <v>View</v>
      </c>
    </row>
    <row r="243" spans="1:16" x14ac:dyDescent="0.25">
      <c r="A243" s="16" t="s">
        <v>12236</v>
      </c>
      <c r="B243" s="17">
        <v>379090</v>
      </c>
      <c r="C243" s="17">
        <v>379090</v>
      </c>
      <c r="D243" s="17" t="s">
        <v>1813</v>
      </c>
      <c r="E243" s="17" t="s">
        <v>9395</v>
      </c>
      <c r="F243" s="17" t="s">
        <v>5097</v>
      </c>
      <c r="G243" s="22" t="s">
        <v>12237</v>
      </c>
      <c r="H243" s="22" t="s">
        <v>12238</v>
      </c>
      <c r="I243" s="17" t="s">
        <v>88</v>
      </c>
      <c r="J243" s="17">
        <v>1</v>
      </c>
      <c r="K243" s="17">
        <v>1</v>
      </c>
      <c r="L243" s="17" t="s">
        <v>12239</v>
      </c>
      <c r="M243" s="17" t="s">
        <v>602</v>
      </c>
      <c r="N243" s="17" t="s">
        <v>12240</v>
      </c>
      <c r="O243" s="17" t="s">
        <v>12241</v>
      </c>
      <c r="P243" s="17" t="str">
        <f>HYPERLINK("https://dexscreener.com/solana/ocCxa3Z24FSGBVwCDTMxfvEvXyc3gJLCH4DxcsJpump", "View")</f>
        <v>View</v>
      </c>
    </row>
    <row r="244" spans="1:16" x14ac:dyDescent="0.25">
      <c r="A244" s="13" t="s">
        <v>7551</v>
      </c>
      <c r="B244" s="14">
        <v>814423</v>
      </c>
      <c r="C244" s="14">
        <v>610817</v>
      </c>
      <c r="D244" s="14" t="s">
        <v>9569</v>
      </c>
      <c r="E244" s="14" t="s">
        <v>3706</v>
      </c>
      <c r="F244" s="14" t="s">
        <v>12242</v>
      </c>
      <c r="G244" s="21" t="s">
        <v>1936</v>
      </c>
      <c r="H244" s="21" t="s">
        <v>12243</v>
      </c>
      <c r="I244" s="14" t="s">
        <v>88</v>
      </c>
      <c r="J244" s="14">
        <v>1</v>
      </c>
      <c r="K244" s="14">
        <v>2</v>
      </c>
      <c r="L244" s="14" t="s">
        <v>12244</v>
      </c>
      <c r="M244" s="14" t="s">
        <v>3304</v>
      </c>
      <c r="N244" s="14" t="s">
        <v>12245</v>
      </c>
      <c r="O244" s="14" t="s">
        <v>12246</v>
      </c>
      <c r="P244" s="14" t="str">
        <f>HYPERLINK("https://photon-sol.tinyastro.io/en/lp/GT1jji4gqNgigvtwmjyQWiv5wNooWCXjn5aokXJEpump?handle=676050794bc1b1657a56b", "View")</f>
        <v>View</v>
      </c>
    </row>
    <row r="245" spans="1:16" x14ac:dyDescent="0.25">
      <c r="A245" s="16" t="s">
        <v>12247</v>
      </c>
      <c r="B245" s="17">
        <v>2169155</v>
      </c>
      <c r="C245" s="17">
        <v>2169155</v>
      </c>
      <c r="D245" s="17" t="s">
        <v>7092</v>
      </c>
      <c r="E245" s="17" t="s">
        <v>8850</v>
      </c>
      <c r="F245" s="17" t="s">
        <v>2821</v>
      </c>
      <c r="G245" s="22" t="s">
        <v>12202</v>
      </c>
      <c r="H245" s="22" t="s">
        <v>2780</v>
      </c>
      <c r="I245" s="17" t="s">
        <v>88</v>
      </c>
      <c r="J245" s="17">
        <v>2</v>
      </c>
      <c r="K245" s="17">
        <v>2</v>
      </c>
      <c r="L245" s="17" t="s">
        <v>12248</v>
      </c>
      <c r="M245" s="17" t="s">
        <v>3171</v>
      </c>
      <c r="N245" s="17" t="s">
        <v>12249</v>
      </c>
      <c r="O245" s="17" t="s">
        <v>12250</v>
      </c>
      <c r="P245" s="17" t="str">
        <f>HYPERLINK("https://photon-sol.tinyastro.io/en/lp/5pbSnindcfYjxFJAKPvHYDWaBmEXyx5C5koWSXYXpump?handle=676050794bc1b1657a56b", "View")</f>
        <v>View</v>
      </c>
    </row>
    <row r="246" spans="1:16" x14ac:dyDescent="0.25">
      <c r="A246" s="13" t="s">
        <v>12251</v>
      </c>
      <c r="B246" s="14">
        <v>2507098</v>
      </c>
      <c r="C246" s="14">
        <v>2507098</v>
      </c>
      <c r="D246" s="14" t="s">
        <v>1813</v>
      </c>
      <c r="E246" s="14" t="s">
        <v>9395</v>
      </c>
      <c r="F246" s="14" t="s">
        <v>12252</v>
      </c>
      <c r="G246" s="22" t="s">
        <v>2882</v>
      </c>
      <c r="H246" s="22" t="s">
        <v>12253</v>
      </c>
      <c r="I246" s="14" t="s">
        <v>88</v>
      </c>
      <c r="J246" s="14">
        <v>1</v>
      </c>
      <c r="K246" s="14">
        <v>1</v>
      </c>
      <c r="L246" s="14" t="s">
        <v>12254</v>
      </c>
      <c r="M246" s="14" t="s">
        <v>414</v>
      </c>
      <c r="N246" s="14" t="s">
        <v>12255</v>
      </c>
      <c r="O246" s="14" t="s">
        <v>12256</v>
      </c>
      <c r="P246" s="14" t="str">
        <f>HYPERLINK("https://dexscreener.com/solana/3qqrPQdRXa4pjrsEpe3MAcyTHKZkT9vcnEH4UjJxpump", "View")</f>
        <v>View</v>
      </c>
    </row>
    <row r="247" spans="1:16" x14ac:dyDescent="0.25">
      <c r="A247" s="16" t="s">
        <v>12257</v>
      </c>
      <c r="B247" s="17">
        <v>1688975</v>
      </c>
      <c r="C247" s="17">
        <v>0</v>
      </c>
      <c r="D247" s="17" t="s">
        <v>1882</v>
      </c>
      <c r="E247" s="17" t="s">
        <v>3993</v>
      </c>
      <c r="F247" s="17" t="s">
        <v>96</v>
      </c>
      <c r="G247" s="18" t="s">
        <v>11307</v>
      </c>
      <c r="H247" s="18" t="s">
        <v>98</v>
      </c>
      <c r="I247" s="17" t="s">
        <v>12258</v>
      </c>
      <c r="J247" s="17">
        <v>1</v>
      </c>
      <c r="K247" s="17">
        <v>0</v>
      </c>
      <c r="L247" s="17" t="s">
        <v>12259</v>
      </c>
      <c r="M247" s="19" t="s">
        <v>101</v>
      </c>
      <c r="N247" s="17" t="s">
        <v>507</v>
      </c>
      <c r="O247" s="17" t="s">
        <v>12260</v>
      </c>
      <c r="P247" s="17" t="str">
        <f>HYPERLINK("https://photon-sol.tinyastro.io/en/lp/DwWHWGxEQkoKYKD7JDgDGxLzrUrkChpUKuAExusxpump?handle=676050794bc1b1657a56b", "View")</f>
        <v>View</v>
      </c>
    </row>
    <row r="248" spans="1:16" x14ac:dyDescent="0.25">
      <c r="A248" s="13" t="s">
        <v>12261</v>
      </c>
      <c r="B248" s="14">
        <v>1329887</v>
      </c>
      <c r="C248" s="14">
        <v>664944</v>
      </c>
      <c r="D248" s="14" t="s">
        <v>9569</v>
      </c>
      <c r="E248" s="14" t="s">
        <v>3045</v>
      </c>
      <c r="F248" s="14" t="s">
        <v>7541</v>
      </c>
      <c r="G248" s="20" t="s">
        <v>4049</v>
      </c>
      <c r="H248" s="20" t="s">
        <v>12262</v>
      </c>
      <c r="I248" s="14" t="s">
        <v>88</v>
      </c>
      <c r="J248" s="14">
        <v>2</v>
      </c>
      <c r="K248" s="14">
        <v>1</v>
      </c>
      <c r="L248" s="14" t="s">
        <v>12263</v>
      </c>
      <c r="M248" s="14" t="s">
        <v>1957</v>
      </c>
      <c r="N248" s="14" t="s">
        <v>12264</v>
      </c>
      <c r="O248" s="14" t="s">
        <v>12265</v>
      </c>
      <c r="P248" s="14" t="str">
        <f>HYPERLINK("https://dexscreener.com/solana/4BBjpGwLgGmUxtT82YFK9xMhcvyy3zgf3HpxTRip1YoU", "View")</f>
        <v>View</v>
      </c>
    </row>
    <row r="249" spans="1:16" x14ac:dyDescent="0.25">
      <c r="A249" s="16" t="s">
        <v>12266</v>
      </c>
      <c r="B249" s="17">
        <v>463971</v>
      </c>
      <c r="C249" s="17">
        <v>0</v>
      </c>
      <c r="D249" s="17" t="s">
        <v>1882</v>
      </c>
      <c r="E249" s="17" t="s">
        <v>9395</v>
      </c>
      <c r="F249" s="17" t="s">
        <v>96</v>
      </c>
      <c r="G249" s="18" t="s">
        <v>3707</v>
      </c>
      <c r="H249" s="18" t="s">
        <v>98</v>
      </c>
      <c r="I249" s="17" t="s">
        <v>12267</v>
      </c>
      <c r="J249" s="17">
        <v>1</v>
      </c>
      <c r="K249" s="17">
        <v>0</v>
      </c>
      <c r="L249" s="17" t="s">
        <v>12268</v>
      </c>
      <c r="M249" s="19" t="s">
        <v>101</v>
      </c>
      <c r="N249" s="17" t="s">
        <v>12269</v>
      </c>
      <c r="O249" s="17" t="s">
        <v>12270</v>
      </c>
      <c r="P249" s="17" t="str">
        <f>HYPERLINK("https://dexscreener.com/solana/9AbobZM1UCuVifTeYH1751kfnEYbypWB9dMKm1kTpump", "View")</f>
        <v>View</v>
      </c>
    </row>
    <row r="250" spans="1:16" x14ac:dyDescent="0.25">
      <c r="A250" s="13" t="s">
        <v>12271</v>
      </c>
      <c r="B250" s="14">
        <v>1407715</v>
      </c>
      <c r="C250" s="14">
        <v>1407715</v>
      </c>
      <c r="D250" s="14" t="s">
        <v>1813</v>
      </c>
      <c r="E250" s="14" t="s">
        <v>3993</v>
      </c>
      <c r="F250" s="14" t="s">
        <v>12272</v>
      </c>
      <c r="G250" s="15" t="s">
        <v>11304</v>
      </c>
      <c r="H250" s="15" t="s">
        <v>12273</v>
      </c>
      <c r="I250" s="14" t="s">
        <v>88</v>
      </c>
      <c r="J250" s="14">
        <v>1</v>
      </c>
      <c r="K250" s="14">
        <v>1</v>
      </c>
      <c r="L250" s="14" t="s">
        <v>12274</v>
      </c>
      <c r="M250" s="14" t="s">
        <v>1610</v>
      </c>
      <c r="N250" s="14" t="s">
        <v>507</v>
      </c>
      <c r="O250" s="14" t="s">
        <v>12275</v>
      </c>
      <c r="P250" s="14" t="str">
        <f>HYPERLINK("https://photon-sol.tinyastro.io/en/lp/GY21JB6vLprNLsR6pNZX2GHmd3uyYiCXEf4pM5Ajpump?handle=676050794bc1b1657a56b", "View")</f>
        <v>View</v>
      </c>
    </row>
    <row r="251" spans="1:16" x14ac:dyDescent="0.25">
      <c r="A251" s="16" t="s">
        <v>12276</v>
      </c>
      <c r="B251" s="17">
        <v>127893</v>
      </c>
      <c r="C251" s="17">
        <v>0</v>
      </c>
      <c r="D251" s="17" t="s">
        <v>1882</v>
      </c>
      <c r="E251" s="17" t="s">
        <v>10121</v>
      </c>
      <c r="F251" s="17" t="s">
        <v>96</v>
      </c>
      <c r="G251" s="18" t="s">
        <v>11238</v>
      </c>
      <c r="H251" s="18" t="s">
        <v>98</v>
      </c>
      <c r="I251" s="17" t="s">
        <v>12277</v>
      </c>
      <c r="J251" s="17">
        <v>1</v>
      </c>
      <c r="K251" s="17">
        <v>0</v>
      </c>
      <c r="L251" s="17" t="s">
        <v>12278</v>
      </c>
      <c r="M251" s="19" t="s">
        <v>101</v>
      </c>
      <c r="N251" s="17" t="s">
        <v>12279</v>
      </c>
      <c r="O251" s="17" t="s">
        <v>12280</v>
      </c>
      <c r="P251" s="17" t="str">
        <f>HYPERLINK("https://dexscreener.com/solana/ETg3wBLAgWDpEXkXufvNBrMVrrMDyPHgVVN5e2Qnpump", "View")</f>
        <v>View</v>
      </c>
    </row>
    <row r="252" spans="1:16" x14ac:dyDescent="0.25">
      <c r="A252" s="13" t="s">
        <v>12281</v>
      </c>
      <c r="B252" s="14">
        <v>1818220</v>
      </c>
      <c r="C252" s="14">
        <v>0</v>
      </c>
      <c r="D252" s="14" t="s">
        <v>1813</v>
      </c>
      <c r="E252" s="14" t="s">
        <v>5720</v>
      </c>
      <c r="F252" s="14" t="s">
        <v>96</v>
      </c>
      <c r="G252" s="18" t="s">
        <v>12282</v>
      </c>
      <c r="H252" s="18" t="s">
        <v>98</v>
      </c>
      <c r="I252" s="14" t="s">
        <v>12283</v>
      </c>
      <c r="J252" s="14">
        <v>2</v>
      </c>
      <c r="K252" s="14">
        <v>0</v>
      </c>
      <c r="L252" s="14" t="s">
        <v>12284</v>
      </c>
      <c r="M252" s="14" t="s">
        <v>1957</v>
      </c>
      <c r="N252" s="14" t="s">
        <v>12285</v>
      </c>
      <c r="O252" s="14" t="s">
        <v>12286</v>
      </c>
      <c r="P252" s="14" t="str">
        <f>HYPERLINK("https://photon-sol.tinyastro.io/en/lp/38vZDwRCYCWrxmZfRgfWyz1SvnuLLxyFbJ48LfJ5pump?handle=676050794bc1b1657a56b", "View")</f>
        <v>View</v>
      </c>
    </row>
    <row r="253" spans="1:16" x14ac:dyDescent="0.25">
      <c r="A253" s="16" t="s">
        <v>12287</v>
      </c>
      <c r="B253" s="17">
        <v>2648501</v>
      </c>
      <c r="C253" s="17">
        <v>2648501</v>
      </c>
      <c r="D253" s="17" t="s">
        <v>9569</v>
      </c>
      <c r="E253" s="17" t="s">
        <v>3706</v>
      </c>
      <c r="F253" s="17" t="s">
        <v>2029</v>
      </c>
      <c r="G253" s="20" t="s">
        <v>3420</v>
      </c>
      <c r="H253" s="20" t="s">
        <v>12288</v>
      </c>
      <c r="I253" s="17" t="s">
        <v>88</v>
      </c>
      <c r="J253" s="17">
        <v>1</v>
      </c>
      <c r="K253" s="17">
        <v>2</v>
      </c>
      <c r="L253" s="17" t="s">
        <v>12289</v>
      </c>
      <c r="M253" s="17" t="s">
        <v>788</v>
      </c>
      <c r="N253" s="17" t="s">
        <v>507</v>
      </c>
      <c r="O253" s="17" t="s">
        <v>12290</v>
      </c>
      <c r="P253" s="17" t="str">
        <f>HYPERLINK("https://photon-sol.tinyastro.io/en/lp/GVZdLA3s5YccFY2xgfTivP7H4au4n3GK4nmzu3dJpump?handle=676050794bc1b1657a56b", "View")</f>
        <v>View</v>
      </c>
    </row>
    <row r="254" spans="1:16" x14ac:dyDescent="0.25">
      <c r="A254" s="13" t="s">
        <v>12291</v>
      </c>
      <c r="B254" s="14">
        <v>712698</v>
      </c>
      <c r="C254" s="14">
        <v>0</v>
      </c>
      <c r="D254" s="14" t="s">
        <v>1882</v>
      </c>
      <c r="E254" s="14" t="s">
        <v>3993</v>
      </c>
      <c r="F254" s="14" t="s">
        <v>96</v>
      </c>
      <c r="G254" s="18" t="s">
        <v>11307</v>
      </c>
      <c r="H254" s="18" t="s">
        <v>98</v>
      </c>
      <c r="I254" s="14" t="s">
        <v>12292</v>
      </c>
      <c r="J254" s="14">
        <v>1</v>
      </c>
      <c r="K254" s="14">
        <v>0</v>
      </c>
      <c r="L254" s="14" t="s">
        <v>12293</v>
      </c>
      <c r="M254" s="19" t="s">
        <v>101</v>
      </c>
      <c r="N254" s="14" t="s">
        <v>507</v>
      </c>
      <c r="O254" s="14" t="s">
        <v>12294</v>
      </c>
      <c r="P254" s="14" t="str">
        <f>HYPERLINK("https://photon-sol.tinyastro.io/en/lp/Ebj9NfyBVhkmLK2XGm7NWZgS7dJ8QPe9GCqQXacSpump?handle=676050794bc1b1657a56b", "View")</f>
        <v>View</v>
      </c>
    </row>
    <row r="255" spans="1:16" x14ac:dyDescent="0.25">
      <c r="A255" s="16" t="s">
        <v>12295</v>
      </c>
      <c r="B255" s="17">
        <v>2750835</v>
      </c>
      <c r="C255" s="17">
        <v>2750835</v>
      </c>
      <c r="D255" s="17" t="s">
        <v>9537</v>
      </c>
      <c r="E255" s="17" t="s">
        <v>5720</v>
      </c>
      <c r="F255" s="17" t="s">
        <v>12296</v>
      </c>
      <c r="G255" s="21" t="s">
        <v>12242</v>
      </c>
      <c r="H255" s="21" t="s">
        <v>12297</v>
      </c>
      <c r="I255" s="17" t="s">
        <v>88</v>
      </c>
      <c r="J255" s="17">
        <v>2</v>
      </c>
      <c r="K255" s="17">
        <v>3</v>
      </c>
      <c r="L255" s="17" t="s">
        <v>12298</v>
      </c>
      <c r="M255" s="17" t="s">
        <v>117</v>
      </c>
      <c r="N255" s="17" t="s">
        <v>12299</v>
      </c>
      <c r="O255" s="17" t="s">
        <v>12300</v>
      </c>
      <c r="P255" s="17" t="str">
        <f>HYPERLINK("https://photon-sol.tinyastro.io/en/lp/9K6jn2usb1YJGcTpFVLwkUvsroKyDLVY6amgDEoMpump?handle=676050794bc1b1657a56b", "View")</f>
        <v>View</v>
      </c>
    </row>
    <row r="256" spans="1:16" x14ac:dyDescent="0.25">
      <c r="A256" s="13" t="s">
        <v>12301</v>
      </c>
      <c r="B256" s="14">
        <v>1629046</v>
      </c>
      <c r="C256" s="14">
        <v>1629046</v>
      </c>
      <c r="D256" s="14" t="s">
        <v>1813</v>
      </c>
      <c r="E256" s="14" t="s">
        <v>5534</v>
      </c>
      <c r="F256" s="14" t="s">
        <v>11780</v>
      </c>
      <c r="G256" s="22" t="s">
        <v>5311</v>
      </c>
      <c r="H256" s="22" t="s">
        <v>12302</v>
      </c>
      <c r="I256" s="14" t="s">
        <v>88</v>
      </c>
      <c r="J256" s="14">
        <v>1</v>
      </c>
      <c r="K256" s="14">
        <v>1</v>
      </c>
      <c r="L256" s="14" t="s">
        <v>12303</v>
      </c>
      <c r="M256" s="14" t="s">
        <v>179</v>
      </c>
      <c r="N256" s="14" t="s">
        <v>12304</v>
      </c>
      <c r="O256" s="14" t="s">
        <v>12305</v>
      </c>
      <c r="P256" s="14" t="str">
        <f>HYPERLINK("https://dexscreener.com/solana/9QksbthJCAwLorLapSXvSv7sKFSPseY7yYz5RCy3pump", "View")</f>
        <v>View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06E7-DC72-4599-9F29-CE962FCAAEFC}">
  <dimension ref="A1:P316"/>
  <sheetViews>
    <sheetView workbookViewId="0"/>
  </sheetViews>
  <sheetFormatPr defaultRowHeight="15" x14ac:dyDescent="0.25"/>
  <cols>
    <col min="1" max="1" width="46" style="2" customWidth="1"/>
    <col min="2" max="3" width="13" style="2" customWidth="1"/>
    <col min="4" max="5" width="16" style="2" customWidth="1"/>
    <col min="6" max="6" width="14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HYPERLINK("https://gmgn.ai/sol/address/FB17KCgFjwtEWduJAykvRcJnM5nYZvpHfWWg135V18KR", "GMGN")</f>
        <v>GMGN</v>
      </c>
    </row>
    <row r="2" spans="1:14" x14ac:dyDescent="0.25">
      <c r="A2" s="3" t="s">
        <v>12306</v>
      </c>
      <c r="B2" s="3" t="s">
        <v>12307</v>
      </c>
      <c r="C2" s="3" t="s">
        <v>1562</v>
      </c>
      <c r="D2" s="3" t="s">
        <v>12308</v>
      </c>
      <c r="E2" s="3" t="s">
        <v>12309</v>
      </c>
      <c r="F2" s="3" t="s">
        <v>12310</v>
      </c>
      <c r="G2" s="3" t="s">
        <v>12311</v>
      </c>
      <c r="H2" s="3">
        <v>297</v>
      </c>
      <c r="I2" s="3">
        <v>1</v>
      </c>
      <c r="J2" s="3" t="s">
        <v>12312</v>
      </c>
      <c r="K2" s="3" t="s">
        <v>3171</v>
      </c>
      <c r="L2" s="3">
        <v>151</v>
      </c>
      <c r="M2" s="3">
        <v>317</v>
      </c>
      <c r="N2" s="3" t="str">
        <f>HYPERLINK("https://solscan.io/account/FB17KCgFjwtEWduJAykvRcJnM5nYZvpHfWWg135V18KR", "Solscan")</f>
        <v>Solscan</v>
      </c>
    </row>
    <row r="3" spans="1:14" x14ac:dyDescent="0.25">
      <c r="A3" s="1" t="s">
        <v>21</v>
      </c>
      <c r="B3" s="4" t="s">
        <v>12313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HYPERLINK("https://birdeye.so/profile/FB17KCgFjwtEWduJAykvRcJnM5nYZvpHfWWg135V18KR", "Birdeye")</f>
        <v>Birdeye</v>
      </c>
    </row>
    <row r="4" spans="1:14" x14ac:dyDescent="0.25">
      <c r="A4" s="1" t="s">
        <v>25</v>
      </c>
      <c r="B4" s="3" t="s">
        <v>12314</v>
      </c>
      <c r="C4" s="3"/>
      <c r="D4" s="3" t="s">
        <v>12315</v>
      </c>
      <c r="E4" s="3" t="s">
        <v>12316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12317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14</v>
      </c>
      <c r="D10" s="1">
        <v>10</v>
      </c>
      <c r="E10" s="1">
        <v>102</v>
      </c>
      <c r="F10" s="1">
        <v>137</v>
      </c>
      <c r="G10" s="1">
        <v>31</v>
      </c>
      <c r="H10" s="3"/>
      <c r="I10" s="3" t="s">
        <v>42</v>
      </c>
      <c r="J10" s="3" t="s">
        <v>12318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12319</v>
      </c>
      <c r="C11" s="1" t="s">
        <v>12320</v>
      </c>
      <c r="D11" s="1" t="s">
        <v>12321</v>
      </c>
      <c r="E11" s="1" t="s">
        <v>12322</v>
      </c>
      <c r="F11" s="1" t="s">
        <v>12323</v>
      </c>
      <c r="G11" s="1" t="s">
        <v>12324</v>
      </c>
      <c r="H11" s="3"/>
      <c r="I11" s="3" t="s">
        <v>50</v>
      </c>
      <c r="J11" s="3" t="s">
        <v>12325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12326</v>
      </c>
      <c r="C12" s="1" t="s">
        <v>12327</v>
      </c>
      <c r="D12" s="1" t="s">
        <v>7508</v>
      </c>
      <c r="E12" s="1" t="s">
        <v>12328</v>
      </c>
      <c r="F12" s="1" t="s">
        <v>12329</v>
      </c>
      <c r="G12" s="1" t="s">
        <v>12330</v>
      </c>
      <c r="H12" s="3"/>
      <c r="I12" s="3" t="s">
        <v>59</v>
      </c>
      <c r="J12" s="3" t="s">
        <v>12331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4368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2022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4131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12332</v>
      </c>
      <c r="B20" s="14">
        <v>149749</v>
      </c>
      <c r="C20" s="14">
        <v>149749</v>
      </c>
      <c r="D20" s="14" t="s">
        <v>7514</v>
      </c>
      <c r="E20" s="14" t="s">
        <v>219</v>
      </c>
      <c r="F20" s="14" t="s">
        <v>12333</v>
      </c>
      <c r="G20" s="22" t="s">
        <v>5753</v>
      </c>
      <c r="H20" s="22" t="s">
        <v>12334</v>
      </c>
      <c r="I20" s="14" t="s">
        <v>88</v>
      </c>
      <c r="J20" s="14">
        <v>1</v>
      </c>
      <c r="K20" s="14">
        <v>1</v>
      </c>
      <c r="L20" s="14" t="s">
        <v>12335</v>
      </c>
      <c r="M20" s="14" t="s">
        <v>1434</v>
      </c>
      <c r="N20" s="14" t="s">
        <v>12336</v>
      </c>
      <c r="O20" s="14" t="s">
        <v>12337</v>
      </c>
      <c r="P20" s="14" t="str">
        <f>HYPERLINK("https://dexscreener.com/solana/2sAdWe7WQbfmGjgMLgGzsCapDf6Raebj4ETQv79TYhJi", "View")</f>
        <v>View</v>
      </c>
    </row>
    <row r="21" spans="1:16" x14ac:dyDescent="0.25">
      <c r="A21" s="16" t="s">
        <v>8638</v>
      </c>
      <c r="B21" s="17">
        <v>314968725</v>
      </c>
      <c r="C21" s="17">
        <v>314968725</v>
      </c>
      <c r="D21" s="17" t="s">
        <v>7514</v>
      </c>
      <c r="E21" s="17" t="s">
        <v>165</v>
      </c>
      <c r="F21" s="17" t="s">
        <v>12338</v>
      </c>
      <c r="G21" s="22" t="s">
        <v>3706</v>
      </c>
      <c r="H21" s="22" t="s">
        <v>12339</v>
      </c>
      <c r="I21" s="17" t="s">
        <v>88</v>
      </c>
      <c r="J21" s="17">
        <v>1</v>
      </c>
      <c r="K21" s="17">
        <v>1</v>
      </c>
      <c r="L21" s="17" t="s">
        <v>12340</v>
      </c>
      <c r="M21" s="19" t="s">
        <v>2189</v>
      </c>
      <c r="N21" s="17" t="s">
        <v>4769</v>
      </c>
      <c r="O21" s="17" t="s">
        <v>12341</v>
      </c>
      <c r="P21" s="17" t="str">
        <f>HYPERLINK("https://dexscreener.com/solana/H21337WEn4GZVvttWBvsL7P3esB7xL81xRgRQAk1pump", "View")</f>
        <v>View</v>
      </c>
    </row>
    <row r="22" spans="1:16" x14ac:dyDescent="0.25">
      <c r="A22" s="13" t="s">
        <v>12342</v>
      </c>
      <c r="B22" s="14">
        <v>34054064</v>
      </c>
      <c r="C22" s="14">
        <v>34054064</v>
      </c>
      <c r="D22" s="14" t="s">
        <v>12343</v>
      </c>
      <c r="E22" s="14" t="s">
        <v>2178</v>
      </c>
      <c r="F22" s="14" t="s">
        <v>12344</v>
      </c>
      <c r="G22" s="21" t="s">
        <v>12345</v>
      </c>
      <c r="H22" s="21" t="s">
        <v>12346</v>
      </c>
      <c r="I22" s="14" t="s">
        <v>88</v>
      </c>
      <c r="J22" s="14">
        <v>1</v>
      </c>
      <c r="K22" s="14">
        <v>1</v>
      </c>
      <c r="L22" s="14" t="s">
        <v>12347</v>
      </c>
      <c r="M22" s="14" t="s">
        <v>7661</v>
      </c>
      <c r="N22" s="14" t="s">
        <v>12348</v>
      </c>
      <c r="O22" s="14" t="s">
        <v>12349</v>
      </c>
      <c r="P22" s="14" t="str">
        <f>HYPERLINK("https://photon-sol.tinyastro.io/en/lp/2GDEnpDPsiagGH1xfVfYtnczuv7RyfouWWBSEsi2pump?handle=676050794bc1b1657a56b", "View")</f>
        <v>View</v>
      </c>
    </row>
    <row r="23" spans="1:16" x14ac:dyDescent="0.25">
      <c r="A23" s="16" t="s">
        <v>312</v>
      </c>
      <c r="B23" s="17">
        <v>6242628</v>
      </c>
      <c r="C23" s="17">
        <v>3213003</v>
      </c>
      <c r="D23" s="17" t="s">
        <v>10098</v>
      </c>
      <c r="E23" s="17" t="s">
        <v>165</v>
      </c>
      <c r="F23" s="17" t="s">
        <v>12350</v>
      </c>
      <c r="G23" s="20" t="s">
        <v>12351</v>
      </c>
      <c r="H23" s="20" t="s">
        <v>12352</v>
      </c>
      <c r="I23" s="17" t="s">
        <v>88</v>
      </c>
      <c r="J23" s="17">
        <v>2</v>
      </c>
      <c r="K23" s="17">
        <v>1</v>
      </c>
      <c r="L23" s="17" t="s">
        <v>12353</v>
      </c>
      <c r="M23" s="17" t="s">
        <v>3355</v>
      </c>
      <c r="N23" s="17" t="s">
        <v>12354</v>
      </c>
      <c r="O23" s="17" t="s">
        <v>12355</v>
      </c>
      <c r="P23" s="17" t="str">
        <f>HYPERLINK("https://dexscreener.com/solana/N2faGE8j6vn2cJevgmw4XfPeVpGvtw4iPUghLvPpump", "View")</f>
        <v>View</v>
      </c>
    </row>
    <row r="24" spans="1:16" x14ac:dyDescent="0.25">
      <c r="A24" s="13" t="s">
        <v>12356</v>
      </c>
      <c r="B24" s="14">
        <v>153285714</v>
      </c>
      <c r="C24" s="14">
        <v>153285714</v>
      </c>
      <c r="D24" s="14" t="s">
        <v>7514</v>
      </c>
      <c r="E24" s="14" t="s">
        <v>685</v>
      </c>
      <c r="F24" s="14" t="s">
        <v>12357</v>
      </c>
      <c r="G24" s="22" t="s">
        <v>5076</v>
      </c>
      <c r="H24" s="22" t="s">
        <v>12358</v>
      </c>
      <c r="I24" s="14" t="s">
        <v>88</v>
      </c>
      <c r="J24" s="14">
        <v>1</v>
      </c>
      <c r="K24" s="14">
        <v>1</v>
      </c>
      <c r="L24" s="14" t="s">
        <v>12359</v>
      </c>
      <c r="M24" s="19" t="s">
        <v>3000</v>
      </c>
      <c r="N24" s="14" t="s">
        <v>2308</v>
      </c>
      <c r="O24" s="14" t="s">
        <v>12360</v>
      </c>
      <c r="P24" s="14" t="str">
        <f>HYPERLINK("https://photon-sol.tinyastro.io/en/lp/9mpfcHGT4PhwpoCxN5xoKgpkGmEkXc6cAhGvpUUQpump?handle=676050794bc1b1657a56b", "View")</f>
        <v>View</v>
      </c>
    </row>
    <row r="25" spans="1:16" x14ac:dyDescent="0.25">
      <c r="A25" s="16" t="s">
        <v>12361</v>
      </c>
      <c r="B25" s="17">
        <v>153247765</v>
      </c>
      <c r="C25" s="17">
        <v>153247765</v>
      </c>
      <c r="D25" s="17" t="s">
        <v>7514</v>
      </c>
      <c r="E25" s="17" t="s">
        <v>685</v>
      </c>
      <c r="F25" s="17" t="s">
        <v>12362</v>
      </c>
      <c r="G25" s="22" t="s">
        <v>3904</v>
      </c>
      <c r="H25" s="22" t="s">
        <v>12363</v>
      </c>
      <c r="I25" s="17" t="s">
        <v>88</v>
      </c>
      <c r="J25" s="17">
        <v>1</v>
      </c>
      <c r="K25" s="17">
        <v>1</v>
      </c>
      <c r="L25" s="17" t="s">
        <v>12364</v>
      </c>
      <c r="M25" s="19" t="s">
        <v>1872</v>
      </c>
      <c r="N25" s="17" t="s">
        <v>2223</v>
      </c>
      <c r="O25" s="17" t="s">
        <v>12365</v>
      </c>
      <c r="P25" s="17" t="str">
        <f>HYPERLINK("https://photon-sol.tinyastro.io/en/lp/9biy49BUm8et1rR3bEF73eHqhfsBxaM5CrHddqwHpump?handle=676050794bc1b1657a56b", "View")</f>
        <v>View</v>
      </c>
    </row>
    <row r="26" spans="1:16" x14ac:dyDescent="0.25">
      <c r="A26" s="13" t="s">
        <v>12366</v>
      </c>
      <c r="B26" s="14">
        <v>87248887</v>
      </c>
      <c r="C26" s="14">
        <v>87248887</v>
      </c>
      <c r="D26" s="14" t="s">
        <v>12343</v>
      </c>
      <c r="E26" s="14" t="s">
        <v>12367</v>
      </c>
      <c r="F26" s="14" t="s">
        <v>1508</v>
      </c>
      <c r="G26" s="22" t="s">
        <v>6151</v>
      </c>
      <c r="H26" s="22" t="s">
        <v>12368</v>
      </c>
      <c r="I26" s="14" t="s">
        <v>88</v>
      </c>
      <c r="J26" s="14">
        <v>1</v>
      </c>
      <c r="K26" s="14">
        <v>1</v>
      </c>
      <c r="L26" s="14" t="s">
        <v>12369</v>
      </c>
      <c r="M26" s="14" t="s">
        <v>179</v>
      </c>
      <c r="N26" s="14" t="s">
        <v>2308</v>
      </c>
      <c r="O26" s="14" t="s">
        <v>12370</v>
      </c>
      <c r="P26" s="14" t="str">
        <f>HYPERLINK("https://photon-sol.tinyastro.io/en/lp/EE4mdHRch6eJZXDuhxPRP5WWkpgJcHi2qz83o8AApump?handle=676050794bc1b1657a56b", "View")</f>
        <v>View</v>
      </c>
    </row>
    <row r="27" spans="1:16" x14ac:dyDescent="0.25">
      <c r="A27" s="16" t="s">
        <v>12371</v>
      </c>
      <c r="B27" s="17">
        <v>87037930</v>
      </c>
      <c r="C27" s="17">
        <v>40000000</v>
      </c>
      <c r="D27" s="17" t="s">
        <v>12343</v>
      </c>
      <c r="E27" s="17" t="s">
        <v>12367</v>
      </c>
      <c r="F27" s="17" t="s">
        <v>9055</v>
      </c>
      <c r="G27" s="20" t="s">
        <v>12372</v>
      </c>
      <c r="H27" s="20" t="s">
        <v>12373</v>
      </c>
      <c r="I27" s="17" t="s">
        <v>88</v>
      </c>
      <c r="J27" s="17">
        <v>1</v>
      </c>
      <c r="K27" s="17">
        <v>1</v>
      </c>
      <c r="L27" s="17" t="s">
        <v>8724</v>
      </c>
      <c r="M27" s="17" t="s">
        <v>398</v>
      </c>
      <c r="N27" s="17" t="s">
        <v>2308</v>
      </c>
      <c r="O27" s="17" t="s">
        <v>12374</v>
      </c>
      <c r="P27" s="17" t="str">
        <f>HYPERLINK("https://photon-sol.tinyastro.io/en/lp/GgcMoeSCrZVkMzz8eooJEHEHSc5U7NAbX86fKztzpump?handle=676050794bc1b1657a56b", "View")</f>
        <v>View</v>
      </c>
    </row>
    <row r="28" spans="1:16" x14ac:dyDescent="0.25">
      <c r="A28" s="13" t="s">
        <v>12375</v>
      </c>
      <c r="B28" s="14">
        <v>240770222</v>
      </c>
      <c r="C28" s="14">
        <v>240770222</v>
      </c>
      <c r="D28" s="14" t="s">
        <v>7514</v>
      </c>
      <c r="E28" s="14" t="s">
        <v>165</v>
      </c>
      <c r="F28" s="14" t="s">
        <v>12376</v>
      </c>
      <c r="G28" s="22" t="s">
        <v>12377</v>
      </c>
      <c r="H28" s="22" t="s">
        <v>12378</v>
      </c>
      <c r="I28" s="14" t="s">
        <v>88</v>
      </c>
      <c r="J28" s="14">
        <v>1</v>
      </c>
      <c r="K28" s="14">
        <v>1</v>
      </c>
      <c r="L28" s="14" t="s">
        <v>12379</v>
      </c>
      <c r="M28" s="19" t="s">
        <v>1948</v>
      </c>
      <c r="N28" s="14" t="s">
        <v>4634</v>
      </c>
      <c r="O28" s="14" t="s">
        <v>12380</v>
      </c>
      <c r="P28" s="14" t="str">
        <f>HYPERLINK("https://dexscreener.com/solana/7aU549JnULybKcmBLJiYMpmXDeZcQ92uRVKsTVK6pump", "View")</f>
        <v>View</v>
      </c>
    </row>
    <row r="29" spans="1:16" x14ac:dyDescent="0.25">
      <c r="A29" s="16" t="s">
        <v>12381</v>
      </c>
      <c r="B29" s="17">
        <v>53521747</v>
      </c>
      <c r="C29" s="17">
        <v>53521747</v>
      </c>
      <c r="D29" s="17" t="s">
        <v>9425</v>
      </c>
      <c r="E29" s="17" t="s">
        <v>12382</v>
      </c>
      <c r="F29" s="17" t="s">
        <v>12383</v>
      </c>
      <c r="G29" s="15" t="s">
        <v>12384</v>
      </c>
      <c r="H29" s="15" t="s">
        <v>12385</v>
      </c>
      <c r="I29" s="17" t="s">
        <v>88</v>
      </c>
      <c r="J29" s="17">
        <v>3</v>
      </c>
      <c r="K29" s="17">
        <v>2</v>
      </c>
      <c r="L29" s="17" t="s">
        <v>12386</v>
      </c>
      <c r="M29" s="17" t="s">
        <v>690</v>
      </c>
      <c r="N29" s="17" t="s">
        <v>8752</v>
      </c>
      <c r="O29" s="17" t="s">
        <v>12387</v>
      </c>
      <c r="P29" s="17" t="str">
        <f>HYPERLINK("https://photon-sol.tinyastro.io/en/lp/ggvw6wJ4aaGLKe7QVHCb1hq5VyAZTYE5yCiSHhwpump?handle=676050794bc1b1657a56b", "View")</f>
        <v>View</v>
      </c>
    </row>
    <row r="30" spans="1:16" x14ac:dyDescent="0.25">
      <c r="A30" s="13" t="s">
        <v>12388</v>
      </c>
      <c r="B30" s="14">
        <v>18027585</v>
      </c>
      <c r="C30" s="14">
        <v>7973871</v>
      </c>
      <c r="D30" s="14" t="s">
        <v>12389</v>
      </c>
      <c r="E30" s="14" t="s">
        <v>7656</v>
      </c>
      <c r="F30" s="14" t="s">
        <v>12390</v>
      </c>
      <c r="G30" s="21" t="s">
        <v>12391</v>
      </c>
      <c r="H30" s="21" t="s">
        <v>12392</v>
      </c>
      <c r="I30" s="14" t="s">
        <v>88</v>
      </c>
      <c r="J30" s="14">
        <v>3</v>
      </c>
      <c r="K30" s="14">
        <v>5</v>
      </c>
      <c r="L30" s="14" t="s">
        <v>12393</v>
      </c>
      <c r="M30" s="14" t="s">
        <v>150</v>
      </c>
      <c r="N30" s="14" t="s">
        <v>12394</v>
      </c>
      <c r="O30" s="14" t="s">
        <v>12395</v>
      </c>
      <c r="P30" s="14" t="str">
        <f>HYPERLINK("https://dexscreener.com/solana/6Xx8p2WmY1Uk2GD35uxhEyuniNrVEeSu3CUThb8Upump", "View")</f>
        <v>View</v>
      </c>
    </row>
    <row r="31" spans="1:16" x14ac:dyDescent="0.25">
      <c r="A31" s="16" t="s">
        <v>12396</v>
      </c>
      <c r="B31" s="17">
        <v>54127199</v>
      </c>
      <c r="C31" s="17">
        <v>54127199</v>
      </c>
      <c r="D31" s="17" t="s">
        <v>12397</v>
      </c>
      <c r="E31" s="17" t="s">
        <v>12398</v>
      </c>
      <c r="F31" s="17" t="s">
        <v>12399</v>
      </c>
      <c r="G31" s="21" t="s">
        <v>12400</v>
      </c>
      <c r="H31" s="21" t="s">
        <v>12401</v>
      </c>
      <c r="I31" s="17" t="s">
        <v>88</v>
      </c>
      <c r="J31" s="17">
        <v>1</v>
      </c>
      <c r="K31" s="17">
        <v>5</v>
      </c>
      <c r="L31" s="17" t="s">
        <v>12402</v>
      </c>
      <c r="M31" s="17" t="s">
        <v>179</v>
      </c>
      <c r="N31" s="17" t="s">
        <v>12403</v>
      </c>
      <c r="O31" s="17" t="s">
        <v>12404</v>
      </c>
      <c r="P31" s="17" t="str">
        <f>HYPERLINK("https://photon-sol.tinyastro.io/en/lp/GkLxURpEnvc7YacNgSw9zGUWZDXPTG7nECMGoAdVpump?handle=676050794bc1b1657a56b", "View")</f>
        <v>View</v>
      </c>
    </row>
    <row r="32" spans="1:16" x14ac:dyDescent="0.25">
      <c r="A32" s="13" t="s">
        <v>12405</v>
      </c>
      <c r="B32" s="14">
        <v>301953706</v>
      </c>
      <c r="C32" s="14">
        <v>301953706</v>
      </c>
      <c r="D32" s="14" t="s">
        <v>7546</v>
      </c>
      <c r="E32" s="14" t="s">
        <v>105</v>
      </c>
      <c r="F32" s="14" t="s">
        <v>12406</v>
      </c>
      <c r="G32" s="22" t="s">
        <v>2267</v>
      </c>
      <c r="H32" s="22" t="s">
        <v>12407</v>
      </c>
      <c r="I32" s="14" t="s">
        <v>88</v>
      </c>
      <c r="J32" s="14">
        <v>2</v>
      </c>
      <c r="K32" s="14">
        <v>2</v>
      </c>
      <c r="L32" s="14" t="s">
        <v>12408</v>
      </c>
      <c r="M32" s="14" t="s">
        <v>1434</v>
      </c>
      <c r="N32" s="14" t="s">
        <v>556</v>
      </c>
      <c r="O32" s="14" t="s">
        <v>12409</v>
      </c>
      <c r="P32" s="14" t="str">
        <f>HYPERLINK("https://dexscreener.com/solana/3F6rLmLw794uP3JvvZiU8uXcDmqa1REp84hrQ8Akpump", "View")</f>
        <v>View</v>
      </c>
    </row>
    <row r="33" spans="1:16" x14ac:dyDescent="0.25">
      <c r="A33" s="16" t="s">
        <v>12410</v>
      </c>
      <c r="B33" s="17">
        <v>33180557</v>
      </c>
      <c r="C33" s="17">
        <v>33180557</v>
      </c>
      <c r="D33" s="17" t="s">
        <v>12343</v>
      </c>
      <c r="E33" s="17" t="s">
        <v>10388</v>
      </c>
      <c r="F33" s="17" t="s">
        <v>2251</v>
      </c>
      <c r="G33" s="22" t="s">
        <v>3759</v>
      </c>
      <c r="H33" s="22" t="s">
        <v>12411</v>
      </c>
      <c r="I33" s="17" t="s">
        <v>88</v>
      </c>
      <c r="J33" s="17">
        <v>1</v>
      </c>
      <c r="K33" s="17">
        <v>1</v>
      </c>
      <c r="L33" s="17" t="s">
        <v>12412</v>
      </c>
      <c r="M33" s="17" t="s">
        <v>1957</v>
      </c>
      <c r="N33" s="17" t="s">
        <v>2308</v>
      </c>
      <c r="O33" s="17" t="s">
        <v>12413</v>
      </c>
      <c r="P33" s="17" t="str">
        <f>HYPERLINK("https://photon-sol.tinyastro.io/en/lp/7tKAeeitqaPLt94JKa3HiA6hKrRbJv3qQrRjVkJypump?handle=676050794bc1b1657a56b", "View")</f>
        <v>View</v>
      </c>
    </row>
    <row r="34" spans="1:16" x14ac:dyDescent="0.25">
      <c r="A34" s="13" t="s">
        <v>12414</v>
      </c>
      <c r="B34" s="14">
        <v>27362907</v>
      </c>
      <c r="C34" s="14">
        <v>27362907</v>
      </c>
      <c r="D34" s="14" t="s">
        <v>12343</v>
      </c>
      <c r="E34" s="14" t="s">
        <v>2178</v>
      </c>
      <c r="F34" s="14" t="s">
        <v>12415</v>
      </c>
      <c r="G34" s="20" t="s">
        <v>6131</v>
      </c>
      <c r="H34" s="20" t="s">
        <v>12416</v>
      </c>
      <c r="I34" s="14" t="s">
        <v>88</v>
      </c>
      <c r="J34" s="14">
        <v>1</v>
      </c>
      <c r="K34" s="14">
        <v>1</v>
      </c>
      <c r="L34" s="14" t="s">
        <v>12417</v>
      </c>
      <c r="M34" s="14" t="s">
        <v>1610</v>
      </c>
      <c r="N34" s="14" t="s">
        <v>2585</v>
      </c>
      <c r="O34" s="14" t="s">
        <v>12418</v>
      </c>
      <c r="P34" s="14" t="str">
        <f>HYPERLINK("https://photon-sol.tinyastro.io/en/lp/BsQV5W245S4sdkTVASGZc32ECQuV11tqEj2vMWjEpump?handle=676050794bc1b1657a56b", "View")</f>
        <v>View</v>
      </c>
    </row>
    <row r="35" spans="1:16" x14ac:dyDescent="0.25">
      <c r="A35" s="16" t="s">
        <v>12419</v>
      </c>
      <c r="B35" s="17">
        <v>63944916</v>
      </c>
      <c r="C35" s="17">
        <v>63944916</v>
      </c>
      <c r="D35" s="17" t="s">
        <v>12343</v>
      </c>
      <c r="E35" s="17" t="s">
        <v>12420</v>
      </c>
      <c r="F35" s="17" t="s">
        <v>8944</v>
      </c>
      <c r="G35" s="22" t="s">
        <v>3853</v>
      </c>
      <c r="H35" s="22" t="s">
        <v>12421</v>
      </c>
      <c r="I35" s="17" t="s">
        <v>88</v>
      </c>
      <c r="J35" s="17">
        <v>1</v>
      </c>
      <c r="K35" s="17">
        <v>1</v>
      </c>
      <c r="L35" s="17" t="s">
        <v>12422</v>
      </c>
      <c r="M35" s="17" t="s">
        <v>179</v>
      </c>
      <c r="N35" s="17" t="s">
        <v>2223</v>
      </c>
      <c r="O35" s="17" t="s">
        <v>12423</v>
      </c>
      <c r="P35" s="17" t="str">
        <f>HYPERLINK("https://photon-sol.tinyastro.io/en/lp/52YwEuzmXYoFGFmSdwLtfqSQwye7eqXZu8Ljt5Bxpump?handle=676050794bc1b1657a56b", "View")</f>
        <v>View</v>
      </c>
    </row>
    <row r="36" spans="1:16" x14ac:dyDescent="0.25">
      <c r="A36" s="13" t="s">
        <v>12424</v>
      </c>
      <c r="B36" s="14">
        <v>62337887</v>
      </c>
      <c r="C36" s="14">
        <v>62337887</v>
      </c>
      <c r="D36" s="14" t="s">
        <v>12343</v>
      </c>
      <c r="E36" s="14" t="s">
        <v>12398</v>
      </c>
      <c r="F36" s="14" t="s">
        <v>12425</v>
      </c>
      <c r="G36" s="20" t="s">
        <v>4066</v>
      </c>
      <c r="H36" s="20" t="s">
        <v>12426</v>
      </c>
      <c r="I36" s="14" t="s">
        <v>88</v>
      </c>
      <c r="J36" s="14">
        <v>1</v>
      </c>
      <c r="K36" s="14">
        <v>1</v>
      </c>
      <c r="L36" s="14" t="s">
        <v>12427</v>
      </c>
      <c r="M36" s="14" t="s">
        <v>8295</v>
      </c>
      <c r="N36" s="14" t="s">
        <v>2585</v>
      </c>
      <c r="O36" s="14" t="s">
        <v>12428</v>
      </c>
      <c r="P36" s="14" t="str">
        <f>HYPERLINK("https://photon-sol.tinyastro.io/en/lp/6Qbs9CS2XT6Z35qW3x7TjBpMBaEDZtVa4aXNRmeRpump?handle=676050794bc1b1657a56b", "View")</f>
        <v>View</v>
      </c>
    </row>
    <row r="37" spans="1:16" x14ac:dyDescent="0.25">
      <c r="A37" s="16" t="s">
        <v>12429</v>
      </c>
      <c r="B37" s="17">
        <v>206423999</v>
      </c>
      <c r="C37" s="17">
        <v>206423999</v>
      </c>
      <c r="D37" s="17" t="s">
        <v>7514</v>
      </c>
      <c r="E37" s="17" t="s">
        <v>165</v>
      </c>
      <c r="F37" s="17" t="s">
        <v>12430</v>
      </c>
      <c r="G37" s="22" t="s">
        <v>2597</v>
      </c>
      <c r="H37" s="22" t="s">
        <v>12431</v>
      </c>
      <c r="I37" s="17" t="s">
        <v>88</v>
      </c>
      <c r="J37" s="17">
        <v>1</v>
      </c>
      <c r="K37" s="17">
        <v>1</v>
      </c>
      <c r="L37" s="17" t="s">
        <v>12432</v>
      </c>
      <c r="M37" s="19" t="s">
        <v>1856</v>
      </c>
      <c r="N37" s="17" t="s">
        <v>556</v>
      </c>
      <c r="O37" s="17" t="s">
        <v>12433</v>
      </c>
      <c r="P37" s="17" t="str">
        <f>HYPERLINK("https://dexscreener.com/solana/A3qBj6cacSZWJDRCEUKM8NSU7GwoZk9uccQM7oNvpump", "View")</f>
        <v>View</v>
      </c>
    </row>
    <row r="38" spans="1:16" x14ac:dyDescent="0.25">
      <c r="A38" s="13" t="s">
        <v>12434</v>
      </c>
      <c r="B38" s="14">
        <v>22797308</v>
      </c>
      <c r="C38" s="14">
        <v>22797308</v>
      </c>
      <c r="D38" s="14" t="s">
        <v>12343</v>
      </c>
      <c r="E38" s="14" t="s">
        <v>12435</v>
      </c>
      <c r="F38" s="14" t="s">
        <v>6435</v>
      </c>
      <c r="G38" s="22" t="s">
        <v>11498</v>
      </c>
      <c r="H38" s="22" t="s">
        <v>12436</v>
      </c>
      <c r="I38" s="14" t="s">
        <v>88</v>
      </c>
      <c r="J38" s="14">
        <v>1</v>
      </c>
      <c r="K38" s="14">
        <v>1</v>
      </c>
      <c r="L38" s="14" t="s">
        <v>12437</v>
      </c>
      <c r="M38" s="14" t="s">
        <v>1434</v>
      </c>
      <c r="N38" s="14" t="s">
        <v>8752</v>
      </c>
      <c r="O38" s="14" t="s">
        <v>12438</v>
      </c>
      <c r="P38" s="14" t="str">
        <f>HYPERLINK("https://photon-sol.tinyastro.io/en/lp/7Gc4wtvsyzY2WsENqBCDModHi3bcX7dKTLXqxT1xpump?handle=676050794bc1b1657a56b", "View")</f>
        <v>View</v>
      </c>
    </row>
    <row r="39" spans="1:16" x14ac:dyDescent="0.25">
      <c r="A39" s="16" t="s">
        <v>12439</v>
      </c>
      <c r="B39" s="17">
        <v>61148992</v>
      </c>
      <c r="C39" s="17">
        <v>61148992</v>
      </c>
      <c r="D39" s="17" t="s">
        <v>12343</v>
      </c>
      <c r="E39" s="17" t="s">
        <v>12420</v>
      </c>
      <c r="F39" s="17" t="s">
        <v>12440</v>
      </c>
      <c r="G39" s="20" t="s">
        <v>12441</v>
      </c>
      <c r="H39" s="20" t="s">
        <v>12442</v>
      </c>
      <c r="I39" s="17" t="s">
        <v>88</v>
      </c>
      <c r="J39" s="17">
        <v>1</v>
      </c>
      <c r="K39" s="17">
        <v>1</v>
      </c>
      <c r="L39" s="17" t="s">
        <v>12443</v>
      </c>
      <c r="M39" s="17" t="s">
        <v>398</v>
      </c>
      <c r="N39" s="17" t="s">
        <v>2308</v>
      </c>
      <c r="O39" s="17" t="s">
        <v>12444</v>
      </c>
      <c r="P39" s="17" t="str">
        <f>HYPERLINK("https://photon-sol.tinyastro.io/en/lp/44pU6sb9JviXMvJQoLb2vhS2xQaLzxCTHa7oQQJfpump?handle=676050794bc1b1657a56b", "View")</f>
        <v>View</v>
      </c>
    </row>
    <row r="40" spans="1:16" x14ac:dyDescent="0.25">
      <c r="A40" s="13" t="s">
        <v>12445</v>
      </c>
      <c r="B40" s="14">
        <v>30896427</v>
      </c>
      <c r="C40" s="14">
        <v>30896427</v>
      </c>
      <c r="D40" s="14" t="s">
        <v>12343</v>
      </c>
      <c r="E40" s="14" t="s">
        <v>2178</v>
      </c>
      <c r="F40" s="14" t="s">
        <v>3342</v>
      </c>
      <c r="G40" s="22" t="s">
        <v>4667</v>
      </c>
      <c r="H40" s="22" t="s">
        <v>12446</v>
      </c>
      <c r="I40" s="14" t="s">
        <v>88</v>
      </c>
      <c r="J40" s="14">
        <v>1</v>
      </c>
      <c r="K40" s="14">
        <v>1</v>
      </c>
      <c r="L40" s="14" t="s">
        <v>12447</v>
      </c>
      <c r="M40" s="14" t="s">
        <v>788</v>
      </c>
      <c r="N40" s="14" t="s">
        <v>2308</v>
      </c>
      <c r="O40" s="14" t="s">
        <v>12448</v>
      </c>
      <c r="P40" s="14" t="str">
        <f>HYPERLINK("https://photon-sol.tinyastro.io/en/lp/AqdZMqSdhj2uFpXFcYHctPUUQKmmMaLMmNeujnoPpump?handle=676050794bc1b1657a56b", "View")</f>
        <v>View</v>
      </c>
    </row>
    <row r="41" spans="1:16" x14ac:dyDescent="0.25">
      <c r="A41" s="16" t="s">
        <v>12449</v>
      </c>
      <c r="B41" s="17">
        <v>211976380</v>
      </c>
      <c r="C41" s="17">
        <v>211976380</v>
      </c>
      <c r="D41" s="17" t="s">
        <v>7603</v>
      </c>
      <c r="E41" s="17" t="s">
        <v>165</v>
      </c>
      <c r="F41" s="17" t="s">
        <v>12450</v>
      </c>
      <c r="G41" s="22" t="s">
        <v>3584</v>
      </c>
      <c r="H41" s="22" t="s">
        <v>12451</v>
      </c>
      <c r="I41" s="17" t="s">
        <v>88</v>
      </c>
      <c r="J41" s="17">
        <v>1</v>
      </c>
      <c r="K41" s="17">
        <v>1</v>
      </c>
      <c r="L41" s="17" t="s">
        <v>12452</v>
      </c>
      <c r="M41" s="19" t="s">
        <v>2993</v>
      </c>
      <c r="N41" s="17" t="s">
        <v>12453</v>
      </c>
      <c r="O41" s="17" t="s">
        <v>12454</v>
      </c>
      <c r="P41" s="17" t="str">
        <f>HYPERLINK("https://dexscreener.com/solana/Hh3EDrxw4HuMESJZpjfa92rAZbbKuGS5o9hZERnpump", "View")</f>
        <v>View</v>
      </c>
    </row>
    <row r="42" spans="1:16" x14ac:dyDescent="0.25">
      <c r="A42" s="13" t="s">
        <v>12455</v>
      </c>
      <c r="B42" s="14">
        <v>204217593</v>
      </c>
      <c r="C42" s="14">
        <v>204217593</v>
      </c>
      <c r="D42" s="14" t="s">
        <v>7603</v>
      </c>
      <c r="E42" s="14" t="s">
        <v>165</v>
      </c>
      <c r="F42" s="14" t="s">
        <v>12456</v>
      </c>
      <c r="G42" s="22" t="s">
        <v>4154</v>
      </c>
      <c r="H42" s="22" t="s">
        <v>12457</v>
      </c>
      <c r="I42" s="14" t="s">
        <v>88</v>
      </c>
      <c r="J42" s="14">
        <v>1</v>
      </c>
      <c r="K42" s="14">
        <v>1</v>
      </c>
      <c r="L42" s="14" t="s">
        <v>12458</v>
      </c>
      <c r="M42" s="19" t="s">
        <v>2315</v>
      </c>
      <c r="N42" s="14" t="s">
        <v>1980</v>
      </c>
      <c r="O42" s="14" t="s">
        <v>12459</v>
      </c>
      <c r="P42" s="14" t="str">
        <f>HYPERLINK("https://dexscreener.com/solana/8aH2DfVqRojQJQFXE1V5Ai5XxBxWU6v92PzrA9XHpump", "View")</f>
        <v>View</v>
      </c>
    </row>
    <row r="43" spans="1:16" x14ac:dyDescent="0.25">
      <c r="A43" s="16" t="s">
        <v>12460</v>
      </c>
      <c r="B43" s="17">
        <v>211693825</v>
      </c>
      <c r="C43" s="17">
        <v>211693825</v>
      </c>
      <c r="D43" s="17" t="s">
        <v>7514</v>
      </c>
      <c r="E43" s="17" t="s">
        <v>165</v>
      </c>
      <c r="F43" s="17" t="s">
        <v>12461</v>
      </c>
      <c r="G43" s="22" t="s">
        <v>12462</v>
      </c>
      <c r="H43" s="22" t="s">
        <v>12463</v>
      </c>
      <c r="I43" s="17" t="s">
        <v>88</v>
      </c>
      <c r="J43" s="17">
        <v>1</v>
      </c>
      <c r="K43" s="17">
        <v>1</v>
      </c>
      <c r="L43" s="17" t="s">
        <v>12464</v>
      </c>
      <c r="M43" s="19" t="s">
        <v>2486</v>
      </c>
      <c r="N43" s="17" t="s">
        <v>556</v>
      </c>
      <c r="O43" s="17" t="s">
        <v>12465</v>
      </c>
      <c r="P43" s="17" t="str">
        <f>HYPERLINK("https://dexscreener.com/solana/7unjDTz3Gtaw6Duo2W6SATiXWUYtXcihWTezfgRdpump", "View")</f>
        <v>View</v>
      </c>
    </row>
    <row r="44" spans="1:16" x14ac:dyDescent="0.25">
      <c r="A44" s="13" t="s">
        <v>12466</v>
      </c>
      <c r="B44" s="14">
        <v>206135663</v>
      </c>
      <c r="C44" s="14">
        <v>206135663</v>
      </c>
      <c r="D44" s="14" t="s">
        <v>7603</v>
      </c>
      <c r="E44" s="14" t="s">
        <v>165</v>
      </c>
      <c r="F44" s="14" t="s">
        <v>12467</v>
      </c>
      <c r="G44" s="22" t="s">
        <v>12462</v>
      </c>
      <c r="H44" s="22" t="s">
        <v>12463</v>
      </c>
      <c r="I44" s="14" t="s">
        <v>88</v>
      </c>
      <c r="J44" s="14">
        <v>1</v>
      </c>
      <c r="K44" s="14">
        <v>1</v>
      </c>
      <c r="L44" s="14" t="s">
        <v>12468</v>
      </c>
      <c r="M44" s="19" t="s">
        <v>2379</v>
      </c>
      <c r="N44" s="14" t="s">
        <v>1980</v>
      </c>
      <c r="O44" s="14" t="s">
        <v>12469</v>
      </c>
      <c r="P44" s="14" t="str">
        <f>HYPERLINK("https://dexscreener.com/solana/6PH51qTL3zvydA9KiULt9e1quagubxxJKXtWErdCpump", "View")</f>
        <v>View</v>
      </c>
    </row>
    <row r="45" spans="1:16" x14ac:dyDescent="0.25">
      <c r="A45" s="16" t="s">
        <v>7930</v>
      </c>
      <c r="B45" s="17">
        <v>199965179</v>
      </c>
      <c r="C45" s="17">
        <v>199965179</v>
      </c>
      <c r="D45" s="17" t="s">
        <v>7514</v>
      </c>
      <c r="E45" s="17" t="s">
        <v>165</v>
      </c>
      <c r="F45" s="17" t="s">
        <v>12470</v>
      </c>
      <c r="G45" s="22" t="s">
        <v>12471</v>
      </c>
      <c r="H45" s="22" t="s">
        <v>12472</v>
      </c>
      <c r="I45" s="17" t="s">
        <v>88</v>
      </c>
      <c r="J45" s="17">
        <v>1</v>
      </c>
      <c r="K45" s="17">
        <v>1</v>
      </c>
      <c r="L45" s="17" t="s">
        <v>12473</v>
      </c>
      <c r="M45" s="19" t="s">
        <v>3158</v>
      </c>
      <c r="N45" s="17" t="s">
        <v>556</v>
      </c>
      <c r="O45" s="17" t="s">
        <v>7934</v>
      </c>
      <c r="P45" s="17" t="str">
        <f>HYPERLINK("https://dexscreener.com/solana/J83JGjNQDAKFHoXQc4oSNKHKm3X2x3AUi1YA8wdRpump", "View")</f>
        <v>View</v>
      </c>
    </row>
    <row r="46" spans="1:16" x14ac:dyDescent="0.25">
      <c r="A46" s="13" t="s">
        <v>6499</v>
      </c>
      <c r="B46" s="14">
        <v>207515876</v>
      </c>
      <c r="C46" s="14">
        <v>207515876</v>
      </c>
      <c r="D46" s="14" t="s">
        <v>7514</v>
      </c>
      <c r="E46" s="14" t="s">
        <v>165</v>
      </c>
      <c r="F46" s="14" t="s">
        <v>12474</v>
      </c>
      <c r="G46" s="22" t="s">
        <v>12475</v>
      </c>
      <c r="H46" s="22" t="s">
        <v>12476</v>
      </c>
      <c r="I46" s="14" t="s">
        <v>88</v>
      </c>
      <c r="J46" s="14">
        <v>1</v>
      </c>
      <c r="K46" s="14">
        <v>1</v>
      </c>
      <c r="L46" s="14" t="s">
        <v>12477</v>
      </c>
      <c r="M46" s="19" t="s">
        <v>1940</v>
      </c>
      <c r="N46" s="14" t="s">
        <v>12453</v>
      </c>
      <c r="O46" s="14" t="s">
        <v>6506</v>
      </c>
      <c r="P46" s="14" t="str">
        <f>HYPERLINK("https://dexscreener.com/solana/9ZxqCYUSrUqznG5hGyywodRxvm4YTmYNRvdt5X97pump", "View")</f>
        <v>View</v>
      </c>
    </row>
    <row r="47" spans="1:16" x14ac:dyDescent="0.25">
      <c r="A47" s="16" t="s">
        <v>12478</v>
      </c>
      <c r="B47" s="17">
        <v>189061687</v>
      </c>
      <c r="C47" s="17">
        <v>189061687</v>
      </c>
      <c r="D47" s="17" t="s">
        <v>7514</v>
      </c>
      <c r="E47" s="17" t="s">
        <v>165</v>
      </c>
      <c r="F47" s="17" t="s">
        <v>12479</v>
      </c>
      <c r="G47" s="22" t="s">
        <v>8540</v>
      </c>
      <c r="H47" s="22" t="s">
        <v>9585</v>
      </c>
      <c r="I47" s="17" t="s">
        <v>88</v>
      </c>
      <c r="J47" s="17">
        <v>1</v>
      </c>
      <c r="K47" s="17">
        <v>1</v>
      </c>
      <c r="L47" s="17" t="s">
        <v>12480</v>
      </c>
      <c r="M47" s="19" t="s">
        <v>1760</v>
      </c>
      <c r="N47" s="17" t="s">
        <v>3296</v>
      </c>
      <c r="O47" s="17" t="s">
        <v>12481</v>
      </c>
      <c r="P47" s="17" t="str">
        <f>HYPERLINK("https://dexscreener.com/solana/DoUeK9HUqj4tFbRAKHLcm7TzJZZGaP5UUjxp96hpump", "View")</f>
        <v>View</v>
      </c>
    </row>
    <row r="48" spans="1:16" x14ac:dyDescent="0.25">
      <c r="A48" s="13" t="s">
        <v>12482</v>
      </c>
      <c r="B48" s="14">
        <v>209825370</v>
      </c>
      <c r="C48" s="14">
        <v>209825370</v>
      </c>
      <c r="D48" s="14" t="s">
        <v>7514</v>
      </c>
      <c r="E48" s="14" t="s">
        <v>165</v>
      </c>
      <c r="F48" s="14" t="s">
        <v>9932</v>
      </c>
      <c r="G48" s="22" t="s">
        <v>2244</v>
      </c>
      <c r="H48" s="22" t="s">
        <v>12483</v>
      </c>
      <c r="I48" s="14" t="s">
        <v>88</v>
      </c>
      <c r="J48" s="14">
        <v>1</v>
      </c>
      <c r="K48" s="14">
        <v>1</v>
      </c>
      <c r="L48" s="14" t="s">
        <v>12484</v>
      </c>
      <c r="M48" s="19" t="s">
        <v>2379</v>
      </c>
      <c r="N48" s="14" t="s">
        <v>1980</v>
      </c>
      <c r="O48" s="14" t="s">
        <v>12485</v>
      </c>
      <c r="P48" s="14" t="str">
        <f>HYPERLINK("https://dexscreener.com/solana/Af1kFFphehobTrkn7mkgFzGHf3MhuWA81gB4Af9Mpump", "View")</f>
        <v>View</v>
      </c>
    </row>
    <row r="49" spans="1:16" x14ac:dyDescent="0.25">
      <c r="A49" s="16" t="s">
        <v>12486</v>
      </c>
      <c r="B49" s="17">
        <v>212964034</v>
      </c>
      <c r="C49" s="17">
        <v>212964034</v>
      </c>
      <c r="D49" s="17" t="s">
        <v>7514</v>
      </c>
      <c r="E49" s="17" t="s">
        <v>165</v>
      </c>
      <c r="F49" s="17" t="s">
        <v>12487</v>
      </c>
      <c r="G49" s="22" t="s">
        <v>12488</v>
      </c>
      <c r="H49" s="22" t="s">
        <v>7731</v>
      </c>
      <c r="I49" s="17" t="s">
        <v>88</v>
      </c>
      <c r="J49" s="17">
        <v>1</v>
      </c>
      <c r="K49" s="17">
        <v>1</v>
      </c>
      <c r="L49" s="17" t="s">
        <v>12489</v>
      </c>
      <c r="M49" s="19" t="s">
        <v>2323</v>
      </c>
      <c r="N49" s="17" t="s">
        <v>1980</v>
      </c>
      <c r="O49" s="17" t="s">
        <v>12490</v>
      </c>
      <c r="P49" s="17" t="str">
        <f>HYPERLINK("https://dexscreener.com/solana/CMbaYsNcMftko87CMuTNGezNMz3iwpYijGYLuSdLpump", "View")</f>
        <v>View</v>
      </c>
    </row>
    <row r="50" spans="1:16" x14ac:dyDescent="0.25">
      <c r="A50" s="13" t="s">
        <v>468</v>
      </c>
      <c r="B50" s="14">
        <v>193248587</v>
      </c>
      <c r="C50" s="14">
        <v>193248587</v>
      </c>
      <c r="D50" s="14" t="s">
        <v>7514</v>
      </c>
      <c r="E50" s="14" t="s">
        <v>165</v>
      </c>
      <c r="F50" s="14" t="s">
        <v>12491</v>
      </c>
      <c r="G50" s="22" t="s">
        <v>12492</v>
      </c>
      <c r="H50" s="22" t="s">
        <v>1750</v>
      </c>
      <c r="I50" s="14" t="s">
        <v>88</v>
      </c>
      <c r="J50" s="14">
        <v>1</v>
      </c>
      <c r="K50" s="14">
        <v>1</v>
      </c>
      <c r="L50" s="14" t="s">
        <v>12493</v>
      </c>
      <c r="M50" s="19" t="s">
        <v>2993</v>
      </c>
      <c r="N50" s="14" t="s">
        <v>6572</v>
      </c>
      <c r="O50" s="14" t="s">
        <v>472</v>
      </c>
      <c r="P50" s="14" t="str">
        <f>HYPERLINK("https://dexscreener.com/solana/945tYkhC36Ae8N62KGkC1CBzX83MsaSHNDHs67pzpump", "View")</f>
        <v>View</v>
      </c>
    </row>
    <row r="51" spans="1:16" x14ac:dyDescent="0.25">
      <c r="A51" s="16" t="s">
        <v>12494</v>
      </c>
      <c r="B51" s="17">
        <v>309363022</v>
      </c>
      <c r="C51" s="17">
        <v>309363022</v>
      </c>
      <c r="D51" s="17" t="s">
        <v>7514</v>
      </c>
      <c r="E51" s="17" t="s">
        <v>165</v>
      </c>
      <c r="F51" s="17" t="s">
        <v>12495</v>
      </c>
      <c r="G51" s="22" t="s">
        <v>2677</v>
      </c>
      <c r="H51" s="22" t="s">
        <v>12496</v>
      </c>
      <c r="I51" s="17" t="s">
        <v>88</v>
      </c>
      <c r="J51" s="17">
        <v>1</v>
      </c>
      <c r="K51" s="17">
        <v>1</v>
      </c>
      <c r="L51" s="17" t="s">
        <v>12497</v>
      </c>
      <c r="M51" s="19" t="s">
        <v>1940</v>
      </c>
      <c r="N51" s="17" t="s">
        <v>4769</v>
      </c>
      <c r="O51" s="17" t="s">
        <v>12498</v>
      </c>
      <c r="P51" s="17" t="str">
        <f>HYPERLINK("https://dexscreener.com/solana/4HMuEiEmsnaGCjeLwPDkBiu7tUNxk4LNbLpZCUhgpump", "View")</f>
        <v>View</v>
      </c>
    </row>
    <row r="52" spans="1:16" x14ac:dyDescent="0.25">
      <c r="A52" s="13" t="s">
        <v>9589</v>
      </c>
      <c r="B52" s="14">
        <v>179282700</v>
      </c>
      <c r="C52" s="14">
        <v>179282700</v>
      </c>
      <c r="D52" s="14" t="s">
        <v>7514</v>
      </c>
      <c r="E52" s="14" t="s">
        <v>165</v>
      </c>
      <c r="F52" s="14" t="s">
        <v>12499</v>
      </c>
      <c r="G52" s="22" t="s">
        <v>12500</v>
      </c>
      <c r="H52" s="22" t="s">
        <v>1350</v>
      </c>
      <c r="I52" s="14" t="s">
        <v>88</v>
      </c>
      <c r="J52" s="14">
        <v>1</v>
      </c>
      <c r="K52" s="14">
        <v>1</v>
      </c>
      <c r="L52" s="14" t="s">
        <v>12501</v>
      </c>
      <c r="M52" s="19" t="s">
        <v>2517</v>
      </c>
      <c r="N52" s="14" t="s">
        <v>2130</v>
      </c>
      <c r="O52" s="14" t="s">
        <v>9595</v>
      </c>
      <c r="P52" s="14" t="str">
        <f>HYPERLINK("https://dexscreener.com/solana/F93dc9CPunC1R7GX7eHWQ3zKEgixoGruaxLVyV83pump", "View")</f>
        <v>View</v>
      </c>
    </row>
    <row r="53" spans="1:16" x14ac:dyDescent="0.25">
      <c r="A53" s="16" t="s">
        <v>8623</v>
      </c>
      <c r="B53" s="17">
        <v>73536559</v>
      </c>
      <c r="C53" s="17">
        <v>73536559</v>
      </c>
      <c r="D53" s="17" t="s">
        <v>12343</v>
      </c>
      <c r="E53" s="17" t="s">
        <v>219</v>
      </c>
      <c r="F53" s="17" t="s">
        <v>12502</v>
      </c>
      <c r="G53" s="20" t="s">
        <v>12503</v>
      </c>
      <c r="H53" s="20" t="s">
        <v>12504</v>
      </c>
      <c r="I53" s="17" t="s">
        <v>88</v>
      </c>
      <c r="J53" s="17">
        <v>1</v>
      </c>
      <c r="K53" s="17">
        <v>1</v>
      </c>
      <c r="L53" s="17" t="s">
        <v>12505</v>
      </c>
      <c r="M53" s="19" t="s">
        <v>3231</v>
      </c>
      <c r="N53" s="17" t="s">
        <v>12506</v>
      </c>
      <c r="O53" s="17" t="s">
        <v>12507</v>
      </c>
      <c r="P53" s="17" t="str">
        <f>HYPERLINK("https://dexscreener.com/solana/6AXuBd8sArZAtPqRzgxgVgtemnewnWBEeetqg9fkpump", "View")</f>
        <v>View</v>
      </c>
    </row>
    <row r="54" spans="1:16" x14ac:dyDescent="0.25">
      <c r="A54" s="13" t="s">
        <v>12508</v>
      </c>
      <c r="B54" s="14">
        <v>8900460</v>
      </c>
      <c r="C54" s="14">
        <v>8900460</v>
      </c>
      <c r="D54" s="14" t="s">
        <v>12397</v>
      </c>
      <c r="E54" s="14" t="s">
        <v>219</v>
      </c>
      <c r="F54" s="14" t="s">
        <v>12509</v>
      </c>
      <c r="G54" s="15" t="s">
        <v>12510</v>
      </c>
      <c r="H54" s="15" t="s">
        <v>12511</v>
      </c>
      <c r="I54" s="14" t="s">
        <v>88</v>
      </c>
      <c r="J54" s="14">
        <v>1</v>
      </c>
      <c r="K54" s="14">
        <v>1</v>
      </c>
      <c r="L54" s="14" t="s">
        <v>12512</v>
      </c>
      <c r="M54" s="14" t="s">
        <v>117</v>
      </c>
      <c r="N54" s="14" t="s">
        <v>12513</v>
      </c>
      <c r="O54" s="14" t="s">
        <v>12514</v>
      </c>
      <c r="P54" s="14" t="str">
        <f>HYPERLINK("https://dexscreener.com/solana/EdVd5bNNRyqujybcF5Zp78Gu9S14nsvkqqg6rcdCpump", "View")</f>
        <v>View</v>
      </c>
    </row>
    <row r="55" spans="1:16" x14ac:dyDescent="0.25">
      <c r="A55" s="16" t="s">
        <v>584</v>
      </c>
      <c r="B55" s="17">
        <v>179292397</v>
      </c>
      <c r="C55" s="17">
        <v>179292397</v>
      </c>
      <c r="D55" s="17" t="s">
        <v>7514</v>
      </c>
      <c r="E55" s="17" t="s">
        <v>219</v>
      </c>
      <c r="F55" s="17" t="s">
        <v>12515</v>
      </c>
      <c r="G55" s="22" t="s">
        <v>12516</v>
      </c>
      <c r="H55" s="22" t="s">
        <v>12517</v>
      </c>
      <c r="I55" s="17" t="s">
        <v>88</v>
      </c>
      <c r="J55" s="17">
        <v>1</v>
      </c>
      <c r="K55" s="17">
        <v>1</v>
      </c>
      <c r="L55" s="17" t="s">
        <v>12518</v>
      </c>
      <c r="M55" s="19" t="s">
        <v>2189</v>
      </c>
      <c r="N55" s="17" t="s">
        <v>12519</v>
      </c>
      <c r="O55" s="17" t="s">
        <v>12520</v>
      </c>
      <c r="P55" s="17" t="str">
        <f>HYPERLINK("https://dexscreener.com/solana/BenUBNtwCGkY1EM74B1EYwfQzHD1JRLbtVqBxLUFpump", "View")</f>
        <v>View</v>
      </c>
    </row>
    <row r="56" spans="1:16" x14ac:dyDescent="0.25">
      <c r="A56" s="13" t="s">
        <v>12521</v>
      </c>
      <c r="B56" s="14">
        <v>54841778</v>
      </c>
      <c r="C56" s="14">
        <v>54841778</v>
      </c>
      <c r="D56" s="14" t="s">
        <v>7514</v>
      </c>
      <c r="E56" s="14" t="s">
        <v>951</v>
      </c>
      <c r="F56" s="14" t="s">
        <v>2644</v>
      </c>
      <c r="G56" s="22" t="s">
        <v>4818</v>
      </c>
      <c r="H56" s="22" t="s">
        <v>12522</v>
      </c>
      <c r="I56" s="14" t="s">
        <v>88</v>
      </c>
      <c r="J56" s="14">
        <v>1</v>
      </c>
      <c r="K56" s="14">
        <v>1</v>
      </c>
      <c r="L56" s="14" t="s">
        <v>12523</v>
      </c>
      <c r="M56" s="19" t="s">
        <v>2364</v>
      </c>
      <c r="N56" s="14" t="s">
        <v>1011</v>
      </c>
      <c r="O56" s="14" t="s">
        <v>12524</v>
      </c>
      <c r="P56" s="14" t="str">
        <f>HYPERLINK("https://photon-sol.tinyastro.io/en/lp/B3PG2vdd3XajfxwUd7XNNr9mzKaX5cD3KjmzTQnVxUD1?handle=676050794bc1b1657a56b", "View")</f>
        <v>View</v>
      </c>
    </row>
    <row r="57" spans="1:16" x14ac:dyDescent="0.25">
      <c r="A57" s="16" t="s">
        <v>12525</v>
      </c>
      <c r="B57" s="17">
        <v>6352465</v>
      </c>
      <c r="C57" s="17">
        <v>6352465</v>
      </c>
      <c r="D57" s="17" t="s">
        <v>10098</v>
      </c>
      <c r="E57" s="17" t="s">
        <v>1457</v>
      </c>
      <c r="F57" s="17" t="s">
        <v>3103</v>
      </c>
      <c r="G57" s="20" t="s">
        <v>5589</v>
      </c>
      <c r="H57" s="20" t="s">
        <v>12526</v>
      </c>
      <c r="I57" s="17" t="s">
        <v>88</v>
      </c>
      <c r="J57" s="17">
        <v>2</v>
      </c>
      <c r="K57" s="17">
        <v>1</v>
      </c>
      <c r="L57" s="17" t="s">
        <v>12527</v>
      </c>
      <c r="M57" s="17" t="s">
        <v>1434</v>
      </c>
      <c r="N57" s="17" t="s">
        <v>12528</v>
      </c>
      <c r="O57" s="17" t="s">
        <v>12529</v>
      </c>
      <c r="P57" s="17" t="str">
        <f>HYPERLINK("https://dexscreener.com/solana/EPLWNRkzRUuuWJA2NuvDnamgkFrvXg7MmEp7BowLpump", "View")</f>
        <v>View</v>
      </c>
    </row>
    <row r="58" spans="1:16" x14ac:dyDescent="0.25">
      <c r="A58" s="13" t="s">
        <v>575</v>
      </c>
      <c r="B58" s="14">
        <v>80777327</v>
      </c>
      <c r="C58" s="14">
        <v>47875789</v>
      </c>
      <c r="D58" s="14" t="s">
        <v>12530</v>
      </c>
      <c r="E58" s="14" t="s">
        <v>6525</v>
      </c>
      <c r="F58" s="14" t="s">
        <v>12531</v>
      </c>
      <c r="G58" s="21" t="s">
        <v>12532</v>
      </c>
      <c r="H58" s="21" t="s">
        <v>12533</v>
      </c>
      <c r="I58" s="14" t="s">
        <v>88</v>
      </c>
      <c r="J58" s="14">
        <v>1</v>
      </c>
      <c r="K58" s="14">
        <v>67</v>
      </c>
      <c r="L58" s="14" t="s">
        <v>12534</v>
      </c>
      <c r="M58" s="14" t="s">
        <v>414</v>
      </c>
      <c r="N58" s="14" t="s">
        <v>12535</v>
      </c>
      <c r="O58" s="14" t="s">
        <v>583</v>
      </c>
      <c r="P58" s="14" t="str">
        <f>HYPERLINK("https://photon-sol.tinyastro.io/en/lp/9PR7nCP9DpcUotnDPVLUBUZKu5WAYkwrCUx9wDnSpump?handle=676050794bc1b1657a56b", "View")</f>
        <v>View</v>
      </c>
    </row>
    <row r="59" spans="1:16" x14ac:dyDescent="0.25">
      <c r="A59" s="16" t="s">
        <v>12536</v>
      </c>
      <c r="B59" s="17">
        <v>6818514</v>
      </c>
      <c r="C59" s="17">
        <v>6818514</v>
      </c>
      <c r="D59" s="17" t="s">
        <v>7603</v>
      </c>
      <c r="E59" s="17" t="s">
        <v>165</v>
      </c>
      <c r="F59" s="17" t="s">
        <v>12537</v>
      </c>
      <c r="G59" s="22" t="s">
        <v>3645</v>
      </c>
      <c r="H59" s="22" t="s">
        <v>12538</v>
      </c>
      <c r="I59" s="17" t="s">
        <v>88</v>
      </c>
      <c r="J59" s="17">
        <v>1</v>
      </c>
      <c r="K59" s="17">
        <v>1</v>
      </c>
      <c r="L59" s="17" t="s">
        <v>12539</v>
      </c>
      <c r="M59" s="19" t="s">
        <v>3324</v>
      </c>
      <c r="N59" s="17" t="s">
        <v>12540</v>
      </c>
      <c r="O59" s="17" t="s">
        <v>12541</v>
      </c>
      <c r="P59" s="17" t="str">
        <f>HYPERLINK("https://dexscreener.com/solana/3cj36Yqh8Xpxy1tnBWRABgqTvcj4CPTT9Eyi7W8S4j15", "View")</f>
        <v>View</v>
      </c>
    </row>
    <row r="60" spans="1:16" x14ac:dyDescent="0.25">
      <c r="A60" s="13" t="s">
        <v>12542</v>
      </c>
      <c r="B60" s="14">
        <v>81810365</v>
      </c>
      <c r="C60" s="14">
        <v>81810365</v>
      </c>
      <c r="D60" s="14" t="s">
        <v>7514</v>
      </c>
      <c r="E60" s="14" t="s">
        <v>219</v>
      </c>
      <c r="F60" s="14" t="s">
        <v>12543</v>
      </c>
      <c r="G60" s="22" t="s">
        <v>12544</v>
      </c>
      <c r="H60" s="22" t="s">
        <v>12545</v>
      </c>
      <c r="I60" s="14" t="s">
        <v>88</v>
      </c>
      <c r="J60" s="14">
        <v>1</v>
      </c>
      <c r="K60" s="14">
        <v>1</v>
      </c>
      <c r="L60" s="14" t="s">
        <v>12546</v>
      </c>
      <c r="M60" s="19" t="s">
        <v>3626</v>
      </c>
      <c r="N60" s="14" t="s">
        <v>12547</v>
      </c>
      <c r="O60" s="14" t="s">
        <v>12548</v>
      </c>
      <c r="P60" s="14" t="str">
        <f>HYPERLINK("https://dexscreener.com/solana/ACUKbChsmNXLSS4ECEnRecUmyciNnmU9J8cxooZbMkxb", "View")</f>
        <v>View</v>
      </c>
    </row>
    <row r="61" spans="1:16" x14ac:dyDescent="0.25">
      <c r="A61" s="16" t="s">
        <v>12549</v>
      </c>
      <c r="B61" s="17">
        <v>200896640</v>
      </c>
      <c r="C61" s="17">
        <v>200896640</v>
      </c>
      <c r="D61" s="17" t="s">
        <v>7514</v>
      </c>
      <c r="E61" s="17" t="s">
        <v>219</v>
      </c>
      <c r="F61" s="17" t="s">
        <v>12550</v>
      </c>
      <c r="G61" s="22" t="s">
        <v>12551</v>
      </c>
      <c r="H61" s="22" t="s">
        <v>12552</v>
      </c>
      <c r="I61" s="17" t="s">
        <v>88</v>
      </c>
      <c r="J61" s="17">
        <v>1</v>
      </c>
      <c r="K61" s="17">
        <v>1</v>
      </c>
      <c r="L61" s="17" t="s">
        <v>12553</v>
      </c>
      <c r="M61" s="19" t="s">
        <v>370</v>
      </c>
      <c r="N61" s="17" t="s">
        <v>12554</v>
      </c>
      <c r="O61" s="17" t="s">
        <v>12555</v>
      </c>
      <c r="P61" s="17" t="str">
        <f>HYPERLINK("https://dexscreener.com/solana/78C9NN1MsavMdAjiLSY9Sh1EmfxGhvxPedtV322npump", "View")</f>
        <v>View</v>
      </c>
    </row>
    <row r="62" spans="1:16" x14ac:dyDescent="0.25">
      <c r="A62" s="13" t="s">
        <v>12556</v>
      </c>
      <c r="B62" s="14">
        <v>386908815</v>
      </c>
      <c r="C62" s="14">
        <v>386908815</v>
      </c>
      <c r="D62" s="14" t="s">
        <v>12557</v>
      </c>
      <c r="E62" s="14" t="s">
        <v>12558</v>
      </c>
      <c r="F62" s="14" t="s">
        <v>12559</v>
      </c>
      <c r="G62" s="20" t="s">
        <v>12560</v>
      </c>
      <c r="H62" s="20" t="s">
        <v>8132</v>
      </c>
      <c r="I62" s="14" t="s">
        <v>88</v>
      </c>
      <c r="J62" s="14">
        <v>4</v>
      </c>
      <c r="K62" s="14">
        <v>3</v>
      </c>
      <c r="L62" s="14" t="s">
        <v>12561</v>
      </c>
      <c r="M62" s="14" t="s">
        <v>699</v>
      </c>
      <c r="N62" s="14" t="s">
        <v>12562</v>
      </c>
      <c r="O62" s="14" t="s">
        <v>12563</v>
      </c>
      <c r="P62" s="14" t="str">
        <f>HYPERLINK("https://dexscreener.com/solana/3Pi9Ppau53J8tSu3KRhPv9SyPxNzZpmZqSPNFS4fUGEQ", "View")</f>
        <v>View</v>
      </c>
    </row>
    <row r="63" spans="1:16" x14ac:dyDescent="0.25">
      <c r="A63" s="16" t="s">
        <v>12564</v>
      </c>
      <c r="B63" s="17">
        <v>53409074</v>
      </c>
      <c r="C63" s="17">
        <v>53409074</v>
      </c>
      <c r="D63" s="17" t="s">
        <v>12343</v>
      </c>
      <c r="E63" s="17" t="s">
        <v>219</v>
      </c>
      <c r="F63" s="17" t="s">
        <v>12565</v>
      </c>
      <c r="G63" s="22" t="s">
        <v>1907</v>
      </c>
      <c r="H63" s="22" t="s">
        <v>12566</v>
      </c>
      <c r="I63" s="17" t="s">
        <v>88</v>
      </c>
      <c r="J63" s="17">
        <v>1</v>
      </c>
      <c r="K63" s="17">
        <v>1</v>
      </c>
      <c r="L63" s="17" t="s">
        <v>12567</v>
      </c>
      <c r="M63" s="19" t="s">
        <v>2122</v>
      </c>
      <c r="N63" s="17" t="s">
        <v>12568</v>
      </c>
      <c r="O63" s="17" t="s">
        <v>12569</v>
      </c>
      <c r="P63" s="17" t="str">
        <f>HYPERLINK("https://dexscreener.com/solana/7uhVwB3mhzxk3k5v98cUqPhLKQQZ5Tm6bcwuzti3pump", "View")</f>
        <v>View</v>
      </c>
    </row>
    <row r="64" spans="1:16" x14ac:dyDescent="0.25">
      <c r="A64" s="13" t="s">
        <v>2957</v>
      </c>
      <c r="B64" s="14">
        <v>292396938</v>
      </c>
      <c r="C64" s="14">
        <v>292396938</v>
      </c>
      <c r="D64" s="14" t="s">
        <v>7514</v>
      </c>
      <c r="E64" s="14" t="s">
        <v>165</v>
      </c>
      <c r="F64" s="14" t="s">
        <v>12570</v>
      </c>
      <c r="G64" s="22" t="s">
        <v>12571</v>
      </c>
      <c r="H64" s="22" t="s">
        <v>12572</v>
      </c>
      <c r="I64" s="14" t="s">
        <v>88</v>
      </c>
      <c r="J64" s="14">
        <v>1</v>
      </c>
      <c r="K64" s="14">
        <v>1</v>
      </c>
      <c r="L64" s="14" t="s">
        <v>12573</v>
      </c>
      <c r="M64" s="19" t="s">
        <v>1619</v>
      </c>
      <c r="N64" s="14" t="s">
        <v>12229</v>
      </c>
      <c r="O64" s="14" t="s">
        <v>12574</v>
      </c>
      <c r="P64" s="14" t="str">
        <f>HYPERLINK("https://dexscreener.com/solana/2KhRkH686pjb1NmBqdxtcwB9AuJ12JpbK6X1xtGVpump", "View")</f>
        <v>View</v>
      </c>
    </row>
    <row r="65" spans="1:16" x14ac:dyDescent="0.25">
      <c r="A65" s="16" t="s">
        <v>3392</v>
      </c>
      <c r="B65" s="17">
        <v>345753498</v>
      </c>
      <c r="C65" s="17">
        <v>345753498</v>
      </c>
      <c r="D65" s="17" t="s">
        <v>7514</v>
      </c>
      <c r="E65" s="17" t="s">
        <v>165</v>
      </c>
      <c r="F65" s="17" t="s">
        <v>12491</v>
      </c>
      <c r="G65" s="22" t="s">
        <v>12492</v>
      </c>
      <c r="H65" s="22" t="s">
        <v>1750</v>
      </c>
      <c r="I65" s="17" t="s">
        <v>88</v>
      </c>
      <c r="J65" s="17">
        <v>1</v>
      </c>
      <c r="K65" s="17">
        <v>1</v>
      </c>
      <c r="L65" s="17" t="s">
        <v>12575</v>
      </c>
      <c r="M65" s="19" t="s">
        <v>3158</v>
      </c>
      <c r="N65" s="17" t="s">
        <v>4769</v>
      </c>
      <c r="O65" s="17" t="s">
        <v>5265</v>
      </c>
      <c r="P65" s="17" t="str">
        <f>HYPERLINK("https://dexscreener.com/solana/95obaZENTFCTKoK7ntRbtN5sfECDzcnh7m5ZJPjDpump", "View")</f>
        <v>View</v>
      </c>
    </row>
    <row r="66" spans="1:16" x14ac:dyDescent="0.25">
      <c r="A66" s="13" t="s">
        <v>12576</v>
      </c>
      <c r="B66" s="14">
        <v>537160</v>
      </c>
      <c r="C66" s="14">
        <v>537160</v>
      </c>
      <c r="D66" s="14" t="s">
        <v>12577</v>
      </c>
      <c r="E66" s="14" t="s">
        <v>183</v>
      </c>
      <c r="F66" s="14" t="s">
        <v>12578</v>
      </c>
      <c r="G66" s="22" t="s">
        <v>12579</v>
      </c>
      <c r="H66" s="22" t="s">
        <v>12580</v>
      </c>
      <c r="I66" s="14" t="s">
        <v>88</v>
      </c>
      <c r="J66" s="14">
        <v>3</v>
      </c>
      <c r="K66" s="14">
        <v>2</v>
      </c>
      <c r="L66" s="14" t="s">
        <v>12581</v>
      </c>
      <c r="M66" s="14" t="s">
        <v>414</v>
      </c>
      <c r="N66" s="14" t="s">
        <v>12582</v>
      </c>
      <c r="O66" s="14" t="s">
        <v>12583</v>
      </c>
      <c r="P66" s="14" t="str">
        <f>HYPERLINK("https://dexscreener.com/solana/9JhFqCA21MoAXs2PTaeqNQp2XngPn1PgYr2rsEVCpump", "View")</f>
        <v>View</v>
      </c>
    </row>
    <row r="67" spans="1:16" x14ac:dyDescent="0.25">
      <c r="A67" s="16" t="s">
        <v>12584</v>
      </c>
      <c r="B67" s="17">
        <v>370267936</v>
      </c>
      <c r="C67" s="17">
        <v>370267936</v>
      </c>
      <c r="D67" s="17" t="s">
        <v>12585</v>
      </c>
      <c r="E67" s="17" t="s">
        <v>174</v>
      </c>
      <c r="F67" s="17" t="s">
        <v>12586</v>
      </c>
      <c r="G67" s="22" t="s">
        <v>12587</v>
      </c>
      <c r="H67" s="22" t="s">
        <v>12588</v>
      </c>
      <c r="I67" s="17" t="s">
        <v>88</v>
      </c>
      <c r="J67" s="17">
        <v>3</v>
      </c>
      <c r="K67" s="17">
        <v>3</v>
      </c>
      <c r="L67" s="17" t="s">
        <v>12589</v>
      </c>
      <c r="M67" s="17" t="s">
        <v>132</v>
      </c>
      <c r="N67" s="17" t="s">
        <v>12590</v>
      </c>
      <c r="O67" s="17" t="s">
        <v>12591</v>
      </c>
      <c r="P67" s="17" t="str">
        <f>HYPERLINK("https://dexscreener.com/solana/8gKc17RLY9xxXyDrQ6Fia8u4344JCvzU7P1qjk1Xpump", "View")</f>
        <v>View</v>
      </c>
    </row>
    <row r="68" spans="1:16" x14ac:dyDescent="0.25">
      <c r="A68" s="13" t="s">
        <v>12592</v>
      </c>
      <c r="B68" s="14">
        <v>157106537</v>
      </c>
      <c r="C68" s="14">
        <v>157106537</v>
      </c>
      <c r="D68" s="14" t="s">
        <v>7514</v>
      </c>
      <c r="E68" s="14" t="s">
        <v>165</v>
      </c>
      <c r="F68" s="14" t="s">
        <v>12593</v>
      </c>
      <c r="G68" s="22" t="s">
        <v>8539</v>
      </c>
      <c r="H68" s="22" t="s">
        <v>9502</v>
      </c>
      <c r="I68" s="14" t="s">
        <v>88</v>
      </c>
      <c r="J68" s="14">
        <v>1</v>
      </c>
      <c r="K68" s="14">
        <v>1</v>
      </c>
      <c r="L68" s="14" t="s">
        <v>12594</v>
      </c>
      <c r="M68" s="19" t="s">
        <v>1849</v>
      </c>
      <c r="N68" s="14" t="s">
        <v>12595</v>
      </c>
      <c r="O68" s="14" t="s">
        <v>12596</v>
      </c>
      <c r="P68" s="14" t="str">
        <f>HYPERLINK("https://dexscreener.com/solana/5iNRgZiWTbq1qRMeYppF92zRTvD8UwxLHyXJooBopump", "View")</f>
        <v>View</v>
      </c>
    </row>
    <row r="69" spans="1:16" x14ac:dyDescent="0.25">
      <c r="A69" s="16" t="s">
        <v>7551</v>
      </c>
      <c r="B69" s="17">
        <v>221579372</v>
      </c>
      <c r="C69" s="17">
        <v>221579372</v>
      </c>
      <c r="D69" s="17" t="s">
        <v>7514</v>
      </c>
      <c r="E69" s="17" t="s">
        <v>165</v>
      </c>
      <c r="F69" s="17" t="s">
        <v>12597</v>
      </c>
      <c r="G69" s="22" t="s">
        <v>12598</v>
      </c>
      <c r="H69" s="22" t="s">
        <v>12599</v>
      </c>
      <c r="I69" s="17" t="s">
        <v>88</v>
      </c>
      <c r="J69" s="17">
        <v>1</v>
      </c>
      <c r="K69" s="17">
        <v>1</v>
      </c>
      <c r="L69" s="17" t="s">
        <v>12600</v>
      </c>
      <c r="M69" s="19" t="s">
        <v>1856</v>
      </c>
      <c r="N69" s="17" t="s">
        <v>556</v>
      </c>
      <c r="O69" s="17" t="s">
        <v>12246</v>
      </c>
      <c r="P69" s="17" t="str">
        <f>HYPERLINK("https://dexscreener.com/solana/GT1jji4gqNgigvtwmjyQWiv5wNooWCXjn5aokXJEpump", "View")</f>
        <v>View</v>
      </c>
    </row>
    <row r="70" spans="1:16" x14ac:dyDescent="0.25">
      <c r="A70" s="13" t="s">
        <v>12525</v>
      </c>
      <c r="B70" s="14">
        <v>113958630</v>
      </c>
      <c r="C70" s="14">
        <v>113958630</v>
      </c>
      <c r="D70" s="14" t="s">
        <v>7514</v>
      </c>
      <c r="E70" s="14" t="s">
        <v>165</v>
      </c>
      <c r="F70" s="14" t="s">
        <v>12601</v>
      </c>
      <c r="G70" s="22" t="s">
        <v>12602</v>
      </c>
      <c r="H70" s="22" t="s">
        <v>12603</v>
      </c>
      <c r="I70" s="14" t="s">
        <v>88</v>
      </c>
      <c r="J70" s="14">
        <v>1</v>
      </c>
      <c r="K70" s="14">
        <v>1</v>
      </c>
      <c r="L70" s="14" t="s">
        <v>12604</v>
      </c>
      <c r="M70" s="19" t="s">
        <v>3076</v>
      </c>
      <c r="N70" s="14" t="s">
        <v>794</v>
      </c>
      <c r="O70" s="14" t="s">
        <v>12605</v>
      </c>
      <c r="P70" s="14" t="str">
        <f>HYPERLINK("https://dexscreener.com/solana/5eavz7ZaG74uKgPw8rwejGiHCgaWcrixAaTxaBpjpump", "View")</f>
        <v>View</v>
      </c>
    </row>
    <row r="71" spans="1:16" x14ac:dyDescent="0.25">
      <c r="A71" s="16" t="s">
        <v>12606</v>
      </c>
      <c r="B71" s="17">
        <v>327481903</v>
      </c>
      <c r="C71" s="17">
        <v>327481903</v>
      </c>
      <c r="D71" s="17" t="s">
        <v>7514</v>
      </c>
      <c r="E71" s="17" t="s">
        <v>165</v>
      </c>
      <c r="F71" s="17" t="s">
        <v>12607</v>
      </c>
      <c r="G71" s="22" t="s">
        <v>7710</v>
      </c>
      <c r="H71" s="22" t="s">
        <v>12608</v>
      </c>
      <c r="I71" s="17" t="s">
        <v>88</v>
      </c>
      <c r="J71" s="17">
        <v>1</v>
      </c>
      <c r="K71" s="17">
        <v>1</v>
      </c>
      <c r="L71" s="17" t="s">
        <v>12609</v>
      </c>
      <c r="M71" s="19" t="s">
        <v>2379</v>
      </c>
      <c r="N71" s="17" t="s">
        <v>4769</v>
      </c>
      <c r="O71" s="17" t="s">
        <v>12610</v>
      </c>
      <c r="P71" s="17" t="str">
        <f>HYPERLINK("https://dexscreener.com/solana/7PP4NQ8AZMxVwsbJbpqKZHfNgXgVymDT9ceYDKM1pump", "View")</f>
        <v>View</v>
      </c>
    </row>
    <row r="72" spans="1:16" x14ac:dyDescent="0.25">
      <c r="A72" s="13" t="s">
        <v>12611</v>
      </c>
      <c r="B72" s="14">
        <v>327545695</v>
      </c>
      <c r="C72" s="14">
        <v>327545695</v>
      </c>
      <c r="D72" s="14" t="s">
        <v>7514</v>
      </c>
      <c r="E72" s="14" t="s">
        <v>165</v>
      </c>
      <c r="F72" s="14" t="s">
        <v>12612</v>
      </c>
      <c r="G72" s="22" t="s">
        <v>12202</v>
      </c>
      <c r="H72" s="22" t="s">
        <v>12613</v>
      </c>
      <c r="I72" s="14" t="s">
        <v>88</v>
      </c>
      <c r="J72" s="14">
        <v>1</v>
      </c>
      <c r="K72" s="14">
        <v>1</v>
      </c>
      <c r="L72" s="14" t="s">
        <v>12614</v>
      </c>
      <c r="M72" s="19" t="s">
        <v>1948</v>
      </c>
      <c r="N72" s="14" t="s">
        <v>4769</v>
      </c>
      <c r="O72" s="14" t="s">
        <v>12615</v>
      </c>
      <c r="P72" s="14" t="str">
        <f>HYPERLINK("https://dexscreener.com/solana/4DWpJYaHvTauvUoExSWDWJK2rFU8GHWckDDbB74Mpump", "View")</f>
        <v>View</v>
      </c>
    </row>
    <row r="73" spans="1:16" x14ac:dyDescent="0.25">
      <c r="A73" s="16" t="s">
        <v>12616</v>
      </c>
      <c r="B73" s="17">
        <v>312862171</v>
      </c>
      <c r="C73" s="17">
        <v>312862171</v>
      </c>
      <c r="D73" s="17" t="s">
        <v>7514</v>
      </c>
      <c r="E73" s="17" t="s">
        <v>165</v>
      </c>
      <c r="F73" s="17" t="s">
        <v>12617</v>
      </c>
      <c r="G73" s="22" t="s">
        <v>8353</v>
      </c>
      <c r="H73" s="22" t="s">
        <v>7778</v>
      </c>
      <c r="I73" s="17" t="s">
        <v>88</v>
      </c>
      <c r="J73" s="17">
        <v>1</v>
      </c>
      <c r="K73" s="17">
        <v>1</v>
      </c>
      <c r="L73" s="17" t="s">
        <v>12618</v>
      </c>
      <c r="M73" s="19" t="s">
        <v>2379</v>
      </c>
      <c r="N73" s="17" t="s">
        <v>12519</v>
      </c>
      <c r="O73" s="17" t="s">
        <v>12619</v>
      </c>
      <c r="P73" s="17" t="str">
        <f>HYPERLINK("https://dexscreener.com/solana/14UNzx7R2G8yAWvWunZrhGKgHc6SVpT8nkeDrt8Npump", "View")</f>
        <v>View</v>
      </c>
    </row>
    <row r="74" spans="1:16" x14ac:dyDescent="0.25">
      <c r="A74" s="13" t="s">
        <v>12620</v>
      </c>
      <c r="B74" s="14">
        <v>304983176</v>
      </c>
      <c r="C74" s="14">
        <v>304983176</v>
      </c>
      <c r="D74" s="14" t="s">
        <v>7514</v>
      </c>
      <c r="E74" s="14" t="s">
        <v>165</v>
      </c>
      <c r="F74" s="14" t="s">
        <v>12621</v>
      </c>
      <c r="G74" s="22" t="s">
        <v>12622</v>
      </c>
      <c r="H74" s="22" t="s">
        <v>12623</v>
      </c>
      <c r="I74" s="14" t="s">
        <v>88</v>
      </c>
      <c r="J74" s="14">
        <v>1</v>
      </c>
      <c r="K74" s="14">
        <v>1</v>
      </c>
      <c r="L74" s="14" t="s">
        <v>12624</v>
      </c>
      <c r="M74" s="19" t="s">
        <v>2525</v>
      </c>
      <c r="N74" s="14" t="s">
        <v>12519</v>
      </c>
      <c r="O74" s="14" t="s">
        <v>12625</v>
      </c>
      <c r="P74" s="14" t="str">
        <f>HYPERLINK("https://dexscreener.com/solana/E4E9jZG6RGnrjjXk4ydwEknnKtsqZhKeDDbqbxCmpump", "View")</f>
        <v>View</v>
      </c>
    </row>
    <row r="75" spans="1:16" x14ac:dyDescent="0.25">
      <c r="A75" s="16" t="s">
        <v>12626</v>
      </c>
      <c r="B75" s="17">
        <v>326466607</v>
      </c>
      <c r="C75" s="17">
        <v>326466607</v>
      </c>
      <c r="D75" s="17" t="s">
        <v>7514</v>
      </c>
      <c r="E75" s="17" t="s">
        <v>165</v>
      </c>
      <c r="F75" s="17" t="s">
        <v>12627</v>
      </c>
      <c r="G75" s="22" t="s">
        <v>12628</v>
      </c>
      <c r="H75" s="22" t="s">
        <v>12629</v>
      </c>
      <c r="I75" s="17" t="s">
        <v>88</v>
      </c>
      <c r="J75" s="17">
        <v>1</v>
      </c>
      <c r="K75" s="17">
        <v>1</v>
      </c>
      <c r="L75" s="17" t="s">
        <v>12630</v>
      </c>
      <c r="M75" s="19" t="s">
        <v>1940</v>
      </c>
      <c r="N75" s="17" t="s">
        <v>12519</v>
      </c>
      <c r="O75" s="17" t="s">
        <v>12631</v>
      </c>
      <c r="P75" s="17" t="str">
        <f>HYPERLINK("https://dexscreener.com/solana/BuymGv77Q36dhb2LKD4pBzbmqNHNdFkgEJBXxqrxpump", "View")</f>
        <v>View</v>
      </c>
    </row>
    <row r="76" spans="1:16" x14ac:dyDescent="0.25">
      <c r="A76" s="13" t="s">
        <v>4981</v>
      </c>
      <c r="B76" s="14">
        <v>348653522</v>
      </c>
      <c r="C76" s="14">
        <v>348653522</v>
      </c>
      <c r="D76" s="14" t="s">
        <v>7514</v>
      </c>
      <c r="E76" s="14" t="s">
        <v>165</v>
      </c>
      <c r="F76" s="14" t="s">
        <v>12632</v>
      </c>
      <c r="G76" s="22" t="s">
        <v>12633</v>
      </c>
      <c r="H76" s="22" t="s">
        <v>12634</v>
      </c>
      <c r="I76" s="14" t="s">
        <v>88</v>
      </c>
      <c r="J76" s="14">
        <v>1</v>
      </c>
      <c r="K76" s="14">
        <v>1</v>
      </c>
      <c r="L76" s="14" t="s">
        <v>12635</v>
      </c>
      <c r="M76" s="19" t="s">
        <v>2189</v>
      </c>
      <c r="N76" s="14" t="s">
        <v>4769</v>
      </c>
      <c r="O76" s="14" t="s">
        <v>12636</v>
      </c>
      <c r="P76" s="14" t="str">
        <f>HYPERLINK("https://dexscreener.com/solana/3AqRaaRec2Zf8JUQ5s9GA4j654iPUgUeVMaDozrR5VTm", "View")</f>
        <v>View</v>
      </c>
    </row>
    <row r="77" spans="1:16" x14ac:dyDescent="0.25">
      <c r="A77" s="16" t="s">
        <v>12637</v>
      </c>
      <c r="B77" s="17">
        <v>335272094</v>
      </c>
      <c r="C77" s="17">
        <v>335272094</v>
      </c>
      <c r="D77" s="17" t="s">
        <v>7514</v>
      </c>
      <c r="E77" s="17" t="s">
        <v>165</v>
      </c>
      <c r="F77" s="17" t="s">
        <v>12638</v>
      </c>
      <c r="G77" s="22" t="s">
        <v>12639</v>
      </c>
      <c r="H77" s="22" t="s">
        <v>5969</v>
      </c>
      <c r="I77" s="17" t="s">
        <v>88</v>
      </c>
      <c r="J77" s="17">
        <v>1</v>
      </c>
      <c r="K77" s="17">
        <v>1</v>
      </c>
      <c r="L77" s="17" t="s">
        <v>12640</v>
      </c>
      <c r="M77" s="19" t="s">
        <v>3158</v>
      </c>
      <c r="N77" s="17" t="s">
        <v>12519</v>
      </c>
      <c r="O77" s="17" t="s">
        <v>12641</v>
      </c>
      <c r="P77" s="17" t="str">
        <f>HYPERLINK("https://dexscreener.com/solana/FsThuk1gzeHKyqLcMHNdaArf2V714X63csc6fhFLpump", "View")</f>
        <v>View</v>
      </c>
    </row>
    <row r="78" spans="1:16" x14ac:dyDescent="0.25">
      <c r="A78" s="13" t="s">
        <v>12642</v>
      </c>
      <c r="B78" s="14">
        <v>274165285</v>
      </c>
      <c r="C78" s="14">
        <v>274165285</v>
      </c>
      <c r="D78" s="14" t="s">
        <v>7514</v>
      </c>
      <c r="E78" s="14" t="s">
        <v>165</v>
      </c>
      <c r="F78" s="14" t="s">
        <v>12643</v>
      </c>
      <c r="G78" s="22" t="s">
        <v>2990</v>
      </c>
      <c r="H78" s="22" t="s">
        <v>12644</v>
      </c>
      <c r="I78" s="14" t="s">
        <v>88</v>
      </c>
      <c r="J78" s="14">
        <v>1</v>
      </c>
      <c r="K78" s="14">
        <v>1</v>
      </c>
      <c r="L78" s="14" t="s">
        <v>12645</v>
      </c>
      <c r="M78" s="19" t="s">
        <v>2509</v>
      </c>
      <c r="N78" s="14" t="s">
        <v>4634</v>
      </c>
      <c r="O78" s="14" t="s">
        <v>12646</v>
      </c>
      <c r="P78" s="14" t="str">
        <f>HYPERLINK("https://dexscreener.com/solana/E6YGqXCeAjLoGJBkBgY8xMymf9LJ54MtSA2sTY9Wpump", "View")</f>
        <v>View</v>
      </c>
    </row>
    <row r="79" spans="1:16" x14ac:dyDescent="0.25">
      <c r="A79" s="16" t="s">
        <v>12647</v>
      </c>
      <c r="B79" s="17">
        <v>295603628</v>
      </c>
      <c r="C79" s="17">
        <v>295603628</v>
      </c>
      <c r="D79" s="17" t="s">
        <v>7514</v>
      </c>
      <c r="E79" s="17" t="s">
        <v>165</v>
      </c>
      <c r="F79" s="17" t="s">
        <v>12648</v>
      </c>
      <c r="G79" s="22" t="s">
        <v>1936</v>
      </c>
      <c r="H79" s="22" t="s">
        <v>8651</v>
      </c>
      <c r="I79" s="17" t="s">
        <v>88</v>
      </c>
      <c r="J79" s="17">
        <v>1</v>
      </c>
      <c r="K79" s="17">
        <v>1</v>
      </c>
      <c r="L79" s="17" t="s">
        <v>12649</v>
      </c>
      <c r="M79" s="19" t="s">
        <v>1940</v>
      </c>
      <c r="N79" s="17" t="s">
        <v>12519</v>
      </c>
      <c r="O79" s="17" t="s">
        <v>12650</v>
      </c>
      <c r="P79" s="17" t="str">
        <f>HYPERLINK("https://dexscreener.com/solana/5s2Bmx97ccoVGe9Zf7WkSNbRwVc737NUPV1ZigUepump", "View")</f>
        <v>View</v>
      </c>
    </row>
    <row r="80" spans="1:16" x14ac:dyDescent="0.25">
      <c r="A80" s="13" t="s">
        <v>6758</v>
      </c>
      <c r="B80" s="14">
        <v>326626439</v>
      </c>
      <c r="C80" s="14">
        <v>326626439</v>
      </c>
      <c r="D80" s="14" t="s">
        <v>7514</v>
      </c>
      <c r="E80" s="14" t="s">
        <v>165</v>
      </c>
      <c r="F80" s="14" t="s">
        <v>12651</v>
      </c>
      <c r="G80" s="22" t="s">
        <v>12652</v>
      </c>
      <c r="H80" s="22" t="s">
        <v>12653</v>
      </c>
      <c r="I80" s="14" t="s">
        <v>88</v>
      </c>
      <c r="J80" s="14">
        <v>1</v>
      </c>
      <c r="K80" s="14">
        <v>1</v>
      </c>
      <c r="L80" s="14" t="s">
        <v>12654</v>
      </c>
      <c r="M80" s="19" t="s">
        <v>1940</v>
      </c>
      <c r="N80" s="14" t="s">
        <v>12519</v>
      </c>
      <c r="O80" s="14" t="s">
        <v>12655</v>
      </c>
      <c r="P80" s="14" t="str">
        <f>HYPERLINK("https://dexscreener.com/solana/2ZzZkcZzLhhQFJ8dZNQS9kDYhSUGUZU6dF1ZYbN3pump", "View")</f>
        <v>View</v>
      </c>
    </row>
    <row r="81" spans="1:16" x14ac:dyDescent="0.25">
      <c r="A81" s="16" t="s">
        <v>205</v>
      </c>
      <c r="B81" s="17">
        <v>39467637</v>
      </c>
      <c r="C81" s="17">
        <v>39467637</v>
      </c>
      <c r="D81" s="17" t="s">
        <v>12656</v>
      </c>
      <c r="E81" s="17" t="s">
        <v>12657</v>
      </c>
      <c r="F81" s="17" t="s">
        <v>12658</v>
      </c>
      <c r="G81" s="22" t="s">
        <v>12659</v>
      </c>
      <c r="H81" s="22" t="s">
        <v>12660</v>
      </c>
      <c r="I81" s="17" t="s">
        <v>88</v>
      </c>
      <c r="J81" s="17">
        <v>2</v>
      </c>
      <c r="K81" s="17">
        <v>1</v>
      </c>
      <c r="L81" s="17" t="s">
        <v>12661</v>
      </c>
      <c r="M81" s="17" t="s">
        <v>3171</v>
      </c>
      <c r="N81" s="17" t="s">
        <v>12662</v>
      </c>
      <c r="O81" s="17" t="s">
        <v>12663</v>
      </c>
      <c r="P81" s="17" t="str">
        <f>HYPERLINK("https://photon-sol.tinyastro.io/en/lp/3fhj9xj8u6HpjrDqLVhHg4LWvvKKyti7odaZScLepump?handle=676050794bc1b1657a56b", "View")</f>
        <v>View</v>
      </c>
    </row>
    <row r="82" spans="1:16" x14ac:dyDescent="0.25">
      <c r="A82" s="13" t="s">
        <v>12664</v>
      </c>
      <c r="B82" s="14">
        <v>387140593</v>
      </c>
      <c r="C82" s="14">
        <v>387140593</v>
      </c>
      <c r="D82" s="14" t="s">
        <v>10465</v>
      </c>
      <c r="E82" s="14" t="s">
        <v>1380</v>
      </c>
      <c r="F82" s="14" t="s">
        <v>12665</v>
      </c>
      <c r="G82" s="22" t="s">
        <v>12666</v>
      </c>
      <c r="H82" s="22" t="s">
        <v>12667</v>
      </c>
      <c r="I82" s="14" t="s">
        <v>88</v>
      </c>
      <c r="J82" s="14">
        <v>2</v>
      </c>
      <c r="K82" s="14">
        <v>2</v>
      </c>
      <c r="L82" s="14" t="s">
        <v>12668</v>
      </c>
      <c r="M82" s="14" t="s">
        <v>2145</v>
      </c>
      <c r="N82" s="14" t="s">
        <v>12669</v>
      </c>
      <c r="O82" s="14" t="s">
        <v>12670</v>
      </c>
      <c r="P82" s="14" t="str">
        <f>HYPERLINK("https://dexscreener.com/solana/AW9hUz3SqHZdkcPwnkZqWJWyuhSmJXwrJpqXiscQpump", "View")</f>
        <v>View</v>
      </c>
    </row>
    <row r="83" spans="1:16" x14ac:dyDescent="0.25">
      <c r="A83" s="16" t="s">
        <v>12671</v>
      </c>
      <c r="B83" s="17">
        <v>424076909</v>
      </c>
      <c r="C83" s="17">
        <v>424076909</v>
      </c>
      <c r="D83" s="17" t="s">
        <v>10465</v>
      </c>
      <c r="E83" s="17" t="s">
        <v>1380</v>
      </c>
      <c r="F83" s="17" t="s">
        <v>12672</v>
      </c>
      <c r="G83" s="22" t="s">
        <v>12673</v>
      </c>
      <c r="H83" s="22" t="s">
        <v>12674</v>
      </c>
      <c r="I83" s="17" t="s">
        <v>88</v>
      </c>
      <c r="J83" s="17">
        <v>2</v>
      </c>
      <c r="K83" s="17">
        <v>2</v>
      </c>
      <c r="L83" s="17" t="s">
        <v>12675</v>
      </c>
      <c r="M83" s="17" t="s">
        <v>479</v>
      </c>
      <c r="N83" s="17" t="s">
        <v>12669</v>
      </c>
      <c r="O83" s="17" t="s">
        <v>12676</v>
      </c>
      <c r="P83" s="17" t="str">
        <f>HYPERLINK("https://dexscreener.com/solana/G4prkoxfKGQPnF6BBhQWyDpydkjA9qAywugHqByypump", "View")</f>
        <v>View</v>
      </c>
    </row>
    <row r="84" spans="1:16" x14ac:dyDescent="0.25">
      <c r="A84" s="13" t="s">
        <v>12677</v>
      </c>
      <c r="B84" s="14">
        <v>550573214</v>
      </c>
      <c r="C84" s="14">
        <v>550573214</v>
      </c>
      <c r="D84" s="14" t="s">
        <v>12678</v>
      </c>
      <c r="E84" s="14" t="s">
        <v>105</v>
      </c>
      <c r="F84" s="14" t="s">
        <v>12679</v>
      </c>
      <c r="G84" s="22" t="s">
        <v>12680</v>
      </c>
      <c r="H84" s="22" t="s">
        <v>12681</v>
      </c>
      <c r="I84" s="14" t="s">
        <v>88</v>
      </c>
      <c r="J84" s="14">
        <v>2</v>
      </c>
      <c r="K84" s="14">
        <v>2</v>
      </c>
      <c r="L84" s="14" t="s">
        <v>12682</v>
      </c>
      <c r="M84" s="14" t="s">
        <v>1714</v>
      </c>
      <c r="N84" s="14" t="s">
        <v>4769</v>
      </c>
      <c r="O84" s="14" t="s">
        <v>12683</v>
      </c>
      <c r="P84" s="14" t="str">
        <f>HYPERLINK("https://dexscreener.com/solana/4teXk2347S9oiGWMaciKgoGE6QnTuXUHMJ8wixNopump", "View")</f>
        <v>View</v>
      </c>
    </row>
    <row r="85" spans="1:16" x14ac:dyDescent="0.25">
      <c r="A85" s="16" t="s">
        <v>12684</v>
      </c>
      <c r="B85" s="17">
        <v>61275410</v>
      </c>
      <c r="C85" s="17">
        <v>61275410</v>
      </c>
      <c r="D85" s="17" t="s">
        <v>12685</v>
      </c>
      <c r="E85" s="17" t="s">
        <v>1380</v>
      </c>
      <c r="F85" s="17" t="s">
        <v>12686</v>
      </c>
      <c r="G85" s="20" t="s">
        <v>12687</v>
      </c>
      <c r="H85" s="20" t="s">
        <v>12688</v>
      </c>
      <c r="I85" s="17" t="s">
        <v>88</v>
      </c>
      <c r="J85" s="17">
        <v>4</v>
      </c>
      <c r="K85" s="17">
        <v>4</v>
      </c>
      <c r="L85" s="17" t="s">
        <v>12689</v>
      </c>
      <c r="M85" s="17" t="s">
        <v>4454</v>
      </c>
      <c r="N85" s="17" t="s">
        <v>12690</v>
      </c>
      <c r="O85" s="17" t="s">
        <v>12691</v>
      </c>
      <c r="P85" s="17" t="str">
        <f>HYPERLINK("https://dexscreener.com/solana/H4cwzkkLa8thnkdvfF7FCwcEteDyB9BRmjMgnNACTsGo", "View")</f>
        <v>View</v>
      </c>
    </row>
    <row r="86" spans="1:16" x14ac:dyDescent="0.25">
      <c r="A86" s="13" t="s">
        <v>12692</v>
      </c>
      <c r="B86" s="14">
        <v>228380</v>
      </c>
      <c r="C86" s="14">
        <v>31543764</v>
      </c>
      <c r="D86" s="14" t="s">
        <v>12693</v>
      </c>
      <c r="E86" s="14" t="s">
        <v>2554</v>
      </c>
      <c r="F86" s="14" t="s">
        <v>12694</v>
      </c>
      <c r="G86" s="21" t="s">
        <v>12695</v>
      </c>
      <c r="H86" s="21" t="s">
        <v>12696</v>
      </c>
      <c r="I86" s="14" t="s">
        <v>88</v>
      </c>
      <c r="J86" s="14">
        <v>1</v>
      </c>
      <c r="K86" s="14">
        <v>1</v>
      </c>
      <c r="L86" s="14" t="s">
        <v>12697</v>
      </c>
      <c r="M86" s="14" t="s">
        <v>538</v>
      </c>
      <c r="N86" s="14" t="s">
        <v>4634</v>
      </c>
      <c r="O86" s="14" t="s">
        <v>12698</v>
      </c>
      <c r="P86" s="14" t="str">
        <f>HYPERLINK("https://dexscreener.com/solana/7oY3HJ8W1iNwRdLzov8P2E5Ph6T2oPtCQT97UhQ8pump", "View")</f>
        <v>View</v>
      </c>
    </row>
    <row r="87" spans="1:16" x14ac:dyDescent="0.25">
      <c r="A87" s="16" t="s">
        <v>12699</v>
      </c>
      <c r="B87" s="17">
        <v>7442960</v>
      </c>
      <c r="C87" s="17">
        <v>4000000</v>
      </c>
      <c r="D87" s="17" t="s">
        <v>94</v>
      </c>
      <c r="E87" s="17" t="s">
        <v>12700</v>
      </c>
      <c r="F87" s="17" t="s">
        <v>3175</v>
      </c>
      <c r="G87" s="22" t="s">
        <v>5705</v>
      </c>
      <c r="H87" s="22" t="s">
        <v>12701</v>
      </c>
      <c r="I87" s="17" t="s">
        <v>88</v>
      </c>
      <c r="J87" s="17">
        <v>4</v>
      </c>
      <c r="K87" s="17">
        <v>2</v>
      </c>
      <c r="L87" s="17" t="s">
        <v>12702</v>
      </c>
      <c r="M87" s="17" t="s">
        <v>4558</v>
      </c>
      <c r="N87" s="17" t="s">
        <v>12703</v>
      </c>
      <c r="O87" s="17" t="s">
        <v>12704</v>
      </c>
      <c r="P87" s="17" t="str">
        <f>HYPERLINK("https://dexscreener.com/solana/EoAUYNuCY3nEtBpXdhZGAgTZSktmZwaRJYyDHhpnVx6n", "View")</f>
        <v>View</v>
      </c>
    </row>
    <row r="88" spans="1:16" x14ac:dyDescent="0.25">
      <c r="A88" s="13" t="s">
        <v>10151</v>
      </c>
      <c r="B88" s="14">
        <v>45417897</v>
      </c>
      <c r="C88" s="14">
        <v>45417897</v>
      </c>
      <c r="D88" s="14" t="s">
        <v>7514</v>
      </c>
      <c r="E88" s="14" t="s">
        <v>219</v>
      </c>
      <c r="F88" s="14" t="s">
        <v>12705</v>
      </c>
      <c r="G88" s="22" t="s">
        <v>12706</v>
      </c>
      <c r="H88" s="22" t="s">
        <v>12707</v>
      </c>
      <c r="I88" s="14" t="s">
        <v>88</v>
      </c>
      <c r="J88" s="14">
        <v>1</v>
      </c>
      <c r="K88" s="14">
        <v>1</v>
      </c>
      <c r="L88" s="14" t="s">
        <v>12708</v>
      </c>
      <c r="M88" s="14" t="s">
        <v>1434</v>
      </c>
      <c r="N88" s="14" t="s">
        <v>12709</v>
      </c>
      <c r="O88" s="14" t="s">
        <v>10155</v>
      </c>
      <c r="P88" s="14" t="str">
        <f>HYPERLINK("https://dexscreener.com/solana/3ssgRYnBVbWHCwv6FAqHsK1D9ACPTVsMcAD4z4TKpump", "View")</f>
        <v>View</v>
      </c>
    </row>
    <row r="89" spans="1:16" x14ac:dyDescent="0.25">
      <c r="A89" s="16" t="s">
        <v>4025</v>
      </c>
      <c r="B89" s="17">
        <v>40148953</v>
      </c>
      <c r="C89" s="17">
        <v>40148953</v>
      </c>
      <c r="D89" s="17" t="s">
        <v>7514</v>
      </c>
      <c r="E89" s="17" t="s">
        <v>219</v>
      </c>
      <c r="F89" s="17" t="s">
        <v>12710</v>
      </c>
      <c r="G89" s="22" t="s">
        <v>9907</v>
      </c>
      <c r="H89" s="22" t="s">
        <v>12711</v>
      </c>
      <c r="I89" s="17" t="s">
        <v>88</v>
      </c>
      <c r="J89" s="17">
        <v>1</v>
      </c>
      <c r="K89" s="17">
        <v>1</v>
      </c>
      <c r="L89" s="17" t="s">
        <v>12712</v>
      </c>
      <c r="M89" s="17" t="s">
        <v>117</v>
      </c>
      <c r="N89" s="17" t="s">
        <v>12713</v>
      </c>
      <c r="O89" s="17" t="s">
        <v>4029</v>
      </c>
      <c r="P89" s="17" t="str">
        <f>HYPERLINK("https://dexscreener.com/solana/8BFNreX5cd1KUAN1ct75xn4qv74uBJNqLxTfSbKPpump", "View")</f>
        <v>View</v>
      </c>
    </row>
    <row r="90" spans="1:16" x14ac:dyDescent="0.25">
      <c r="A90" s="13" t="s">
        <v>12714</v>
      </c>
      <c r="B90" s="14">
        <v>29764339</v>
      </c>
      <c r="C90" s="14">
        <v>29764339</v>
      </c>
      <c r="D90" s="14" t="s">
        <v>12343</v>
      </c>
      <c r="E90" s="14" t="s">
        <v>12715</v>
      </c>
      <c r="F90" s="14" t="s">
        <v>1976</v>
      </c>
      <c r="G90" s="20" t="s">
        <v>4181</v>
      </c>
      <c r="H90" s="20" t="s">
        <v>10248</v>
      </c>
      <c r="I90" s="14" t="s">
        <v>88</v>
      </c>
      <c r="J90" s="14">
        <v>1</v>
      </c>
      <c r="K90" s="14">
        <v>1</v>
      </c>
      <c r="L90" s="14" t="s">
        <v>12716</v>
      </c>
      <c r="M90" s="14" t="s">
        <v>1932</v>
      </c>
      <c r="N90" s="14" t="s">
        <v>2585</v>
      </c>
      <c r="O90" s="14" t="s">
        <v>12717</v>
      </c>
      <c r="P90" s="14" t="str">
        <f>HYPERLINK("https://photon-sol.tinyastro.io/en/lp/2nvqQE8niNhJC2HmEwvkBwsewGycWmy7SAUYFVNspump?handle=676050794bc1b1657a56b", "View")</f>
        <v>View</v>
      </c>
    </row>
    <row r="91" spans="1:16" x14ac:dyDescent="0.25">
      <c r="A91" s="16" t="s">
        <v>12718</v>
      </c>
      <c r="B91" s="17">
        <v>29637384</v>
      </c>
      <c r="C91" s="17">
        <v>29637384</v>
      </c>
      <c r="D91" s="17" t="s">
        <v>12343</v>
      </c>
      <c r="E91" s="17" t="s">
        <v>11098</v>
      </c>
      <c r="F91" s="17" t="s">
        <v>12719</v>
      </c>
      <c r="G91" s="22" t="s">
        <v>9395</v>
      </c>
      <c r="H91" s="22" t="s">
        <v>12720</v>
      </c>
      <c r="I91" s="17" t="s">
        <v>88</v>
      </c>
      <c r="J91" s="17">
        <v>1</v>
      </c>
      <c r="K91" s="17">
        <v>1</v>
      </c>
      <c r="L91" s="17" t="s">
        <v>12721</v>
      </c>
      <c r="M91" s="17" t="s">
        <v>3180</v>
      </c>
      <c r="N91" s="17" t="s">
        <v>2223</v>
      </c>
      <c r="O91" s="17" t="s">
        <v>12722</v>
      </c>
      <c r="P91" s="17" t="str">
        <f>HYPERLINK("https://photon-sol.tinyastro.io/en/lp/5yLqDcYfpYKipjdsyndpxiez64H71PnDNdicArxFpump?handle=676050794bc1b1657a56b", "View")</f>
        <v>View</v>
      </c>
    </row>
    <row r="92" spans="1:16" x14ac:dyDescent="0.25">
      <c r="A92" s="13" t="s">
        <v>12723</v>
      </c>
      <c r="B92" s="14">
        <v>450162718</v>
      </c>
      <c r="C92" s="14">
        <v>450162718</v>
      </c>
      <c r="D92" s="14" t="s">
        <v>832</v>
      </c>
      <c r="E92" s="14" t="s">
        <v>2390</v>
      </c>
      <c r="F92" s="14" t="s">
        <v>12724</v>
      </c>
      <c r="G92" s="22" t="s">
        <v>5753</v>
      </c>
      <c r="H92" s="22" t="s">
        <v>12725</v>
      </c>
      <c r="I92" s="14" t="s">
        <v>88</v>
      </c>
      <c r="J92" s="14">
        <v>2</v>
      </c>
      <c r="K92" s="14">
        <v>2</v>
      </c>
      <c r="L92" s="14" t="s">
        <v>12726</v>
      </c>
      <c r="M92" s="14" t="s">
        <v>2145</v>
      </c>
      <c r="N92" s="14" t="s">
        <v>507</v>
      </c>
      <c r="O92" s="14" t="s">
        <v>12727</v>
      </c>
      <c r="P92" s="14" t="str">
        <f>HYPERLINK("https://dexscreener.com/solana/5jvkTWobpwpHkWNRGtv6WizKtb2NFf4R5tydaxwPefYg", "View")</f>
        <v>View</v>
      </c>
    </row>
    <row r="93" spans="1:16" x14ac:dyDescent="0.25">
      <c r="A93" s="16" t="s">
        <v>12728</v>
      </c>
      <c r="B93" s="17">
        <v>3090777</v>
      </c>
      <c r="C93" s="17">
        <v>3090777</v>
      </c>
      <c r="D93" s="17" t="s">
        <v>12343</v>
      </c>
      <c r="E93" s="17" t="s">
        <v>165</v>
      </c>
      <c r="F93" s="17" t="s">
        <v>12729</v>
      </c>
      <c r="G93" s="20" t="s">
        <v>12730</v>
      </c>
      <c r="H93" s="20" t="s">
        <v>12731</v>
      </c>
      <c r="I93" s="17" t="s">
        <v>88</v>
      </c>
      <c r="J93" s="17">
        <v>1</v>
      </c>
      <c r="K93" s="17">
        <v>1</v>
      </c>
      <c r="L93" s="17" t="s">
        <v>12732</v>
      </c>
      <c r="M93" s="19" t="s">
        <v>1730</v>
      </c>
      <c r="N93" s="17" t="s">
        <v>12733</v>
      </c>
      <c r="O93" s="17" t="s">
        <v>12734</v>
      </c>
      <c r="P93" s="17" t="str">
        <f>HYPERLINK("https://dexscreener.com/solana/2cBwLnG1jwm4B6yFGJ13mKJcUFvuZS8v3bq6JwVmpump", "View")</f>
        <v>View</v>
      </c>
    </row>
    <row r="94" spans="1:16" x14ac:dyDescent="0.25">
      <c r="A94" s="13" t="s">
        <v>12735</v>
      </c>
      <c r="B94" s="14">
        <v>29063159</v>
      </c>
      <c r="C94" s="14">
        <v>29063159</v>
      </c>
      <c r="D94" s="14" t="s">
        <v>12736</v>
      </c>
      <c r="E94" s="14" t="s">
        <v>2902</v>
      </c>
      <c r="F94" s="14" t="s">
        <v>12737</v>
      </c>
      <c r="G94" s="20" t="s">
        <v>12738</v>
      </c>
      <c r="H94" s="20" t="s">
        <v>12739</v>
      </c>
      <c r="I94" s="14" t="s">
        <v>88</v>
      </c>
      <c r="J94" s="14">
        <v>1</v>
      </c>
      <c r="K94" s="14">
        <v>1</v>
      </c>
      <c r="L94" s="14" t="s">
        <v>12740</v>
      </c>
      <c r="M94" s="14" t="s">
        <v>277</v>
      </c>
      <c r="N94" s="14" t="s">
        <v>1011</v>
      </c>
      <c r="O94" s="14" t="s">
        <v>12741</v>
      </c>
      <c r="P94" s="14" t="str">
        <f>HYPERLINK("https://photon-sol.tinyastro.io/en/lp/MLuiiYi6xtwDnZ26f6WpC4dvfuRaKULeFWmgebSpump?handle=676050794bc1b1657a56b", "View")</f>
        <v>View</v>
      </c>
    </row>
    <row r="95" spans="1:16" x14ac:dyDescent="0.25">
      <c r="A95" s="16" t="s">
        <v>5454</v>
      </c>
      <c r="B95" s="17">
        <v>207005600</v>
      </c>
      <c r="C95" s="17">
        <v>207005600</v>
      </c>
      <c r="D95" s="17" t="s">
        <v>7514</v>
      </c>
      <c r="E95" s="17" t="s">
        <v>219</v>
      </c>
      <c r="F95" s="17" t="s">
        <v>12742</v>
      </c>
      <c r="G95" s="22" t="s">
        <v>12743</v>
      </c>
      <c r="H95" s="22" t="s">
        <v>12744</v>
      </c>
      <c r="I95" s="17" t="s">
        <v>88</v>
      </c>
      <c r="J95" s="17">
        <v>1</v>
      </c>
      <c r="K95" s="17">
        <v>1</v>
      </c>
      <c r="L95" s="17" t="s">
        <v>12745</v>
      </c>
      <c r="M95" s="19" t="s">
        <v>6781</v>
      </c>
      <c r="N95" s="17" t="s">
        <v>12746</v>
      </c>
      <c r="O95" s="17" t="s">
        <v>5457</v>
      </c>
      <c r="P95" s="17" t="str">
        <f>HYPERLINK("https://dexscreener.com/solana/E6v2M1AXZbiPGb1PsppeoF1fiHA6UqzweTjUZcJApump", "View")</f>
        <v>View</v>
      </c>
    </row>
    <row r="96" spans="1:16" x14ac:dyDescent="0.25">
      <c r="A96" s="13" t="s">
        <v>9957</v>
      </c>
      <c r="B96" s="14">
        <v>75871288</v>
      </c>
      <c r="C96" s="14">
        <v>45582853</v>
      </c>
      <c r="D96" s="14" t="s">
        <v>10465</v>
      </c>
      <c r="E96" s="14" t="s">
        <v>12382</v>
      </c>
      <c r="F96" s="14" t="s">
        <v>12747</v>
      </c>
      <c r="G96" s="21" t="s">
        <v>12748</v>
      </c>
      <c r="H96" s="21" t="s">
        <v>12749</v>
      </c>
      <c r="I96" s="14" t="s">
        <v>88</v>
      </c>
      <c r="J96" s="14">
        <v>2</v>
      </c>
      <c r="K96" s="14">
        <v>2</v>
      </c>
      <c r="L96" s="14" t="s">
        <v>12750</v>
      </c>
      <c r="M96" s="14" t="s">
        <v>699</v>
      </c>
      <c r="N96" s="14" t="s">
        <v>12751</v>
      </c>
      <c r="O96" s="14" t="s">
        <v>9964</v>
      </c>
      <c r="P96" s="14" t="str">
        <f>HYPERLINK("https://photon-sol.tinyastro.io/en/lp/ABHQGzXNoRbJ1sjUsCJ2TmTAo1uMx4EUpV1qYiSVpump?handle=676050794bc1b1657a56b", "View")</f>
        <v>View</v>
      </c>
    </row>
    <row r="97" spans="1:16" x14ac:dyDescent="0.25">
      <c r="A97" s="16" t="s">
        <v>12752</v>
      </c>
      <c r="B97" s="17">
        <v>43468584</v>
      </c>
      <c r="C97" s="17">
        <v>0</v>
      </c>
      <c r="D97" s="17" t="s">
        <v>12753</v>
      </c>
      <c r="E97" s="17" t="s">
        <v>12382</v>
      </c>
      <c r="F97" s="17" t="s">
        <v>96</v>
      </c>
      <c r="G97" s="18" t="s">
        <v>12754</v>
      </c>
      <c r="H97" s="18" t="s">
        <v>98</v>
      </c>
      <c r="I97" s="17" t="s">
        <v>12755</v>
      </c>
      <c r="J97" s="17">
        <v>2</v>
      </c>
      <c r="K97" s="17">
        <v>0</v>
      </c>
      <c r="L97" s="17" t="s">
        <v>12756</v>
      </c>
      <c r="M97" s="17" t="s">
        <v>2145</v>
      </c>
      <c r="N97" s="17" t="s">
        <v>12757</v>
      </c>
      <c r="O97" s="17" t="s">
        <v>12758</v>
      </c>
      <c r="P97" s="17" t="str">
        <f>HYPERLINK("https://photon-sol.tinyastro.io/en/lp/92wuGwwgHHNCXMCxrPsWHsCsECcDAdxQzXeLq5rNpump?handle=676050794bc1b1657a56b", "View")</f>
        <v>View</v>
      </c>
    </row>
    <row r="98" spans="1:16" x14ac:dyDescent="0.25">
      <c r="A98" s="13" t="s">
        <v>12759</v>
      </c>
      <c r="B98" s="14">
        <v>15333048</v>
      </c>
      <c r="C98" s="14">
        <v>15333048</v>
      </c>
      <c r="D98" s="14" t="s">
        <v>12760</v>
      </c>
      <c r="E98" s="14" t="s">
        <v>340</v>
      </c>
      <c r="F98" s="14" t="s">
        <v>12761</v>
      </c>
      <c r="G98" s="22" t="s">
        <v>12762</v>
      </c>
      <c r="H98" s="22" t="s">
        <v>12763</v>
      </c>
      <c r="I98" s="14" t="s">
        <v>88</v>
      </c>
      <c r="J98" s="14">
        <v>2</v>
      </c>
      <c r="K98" s="14">
        <v>2</v>
      </c>
      <c r="L98" s="14" t="s">
        <v>12764</v>
      </c>
      <c r="M98" s="14" t="s">
        <v>2145</v>
      </c>
      <c r="N98" s="14" t="s">
        <v>12765</v>
      </c>
      <c r="O98" s="14" t="s">
        <v>12766</v>
      </c>
      <c r="P98" s="14" t="str">
        <f>HYPERLINK("https://dexscreener.com/solana/9GpthvTPDpN19HeyvExoyazRhtq3agtg2nbcS7Topump", "View")</f>
        <v>View</v>
      </c>
    </row>
    <row r="99" spans="1:16" x14ac:dyDescent="0.25">
      <c r="A99" s="16" t="s">
        <v>12767</v>
      </c>
      <c r="B99" s="17">
        <v>76750897</v>
      </c>
      <c r="C99" s="17">
        <v>37719098</v>
      </c>
      <c r="D99" s="17" t="s">
        <v>12768</v>
      </c>
      <c r="E99" s="17" t="s">
        <v>340</v>
      </c>
      <c r="F99" s="17" t="s">
        <v>12769</v>
      </c>
      <c r="G99" s="21" t="s">
        <v>12770</v>
      </c>
      <c r="H99" s="21" t="s">
        <v>12771</v>
      </c>
      <c r="I99" s="17" t="s">
        <v>88</v>
      </c>
      <c r="J99" s="17">
        <v>2</v>
      </c>
      <c r="K99" s="17">
        <v>12</v>
      </c>
      <c r="L99" s="17" t="s">
        <v>12772</v>
      </c>
      <c r="M99" s="17" t="s">
        <v>2145</v>
      </c>
      <c r="N99" s="17" t="s">
        <v>12773</v>
      </c>
      <c r="O99" s="17" t="s">
        <v>12774</v>
      </c>
      <c r="P99" s="17" t="str">
        <f>HYPERLINK("https://dexscreener.com/solana/75dh1aVyE88DiDDqN396Lkbcf4Kxj2KNGJRCTkcUpump", "View")</f>
        <v>View</v>
      </c>
    </row>
    <row r="100" spans="1:16" x14ac:dyDescent="0.25">
      <c r="A100" s="13" t="s">
        <v>12775</v>
      </c>
      <c r="B100" s="14">
        <v>2313596</v>
      </c>
      <c r="C100" s="14">
        <v>2313596</v>
      </c>
      <c r="D100" s="14" t="s">
        <v>4754</v>
      </c>
      <c r="E100" s="14" t="s">
        <v>219</v>
      </c>
      <c r="F100" s="14" t="s">
        <v>12776</v>
      </c>
      <c r="G100" s="20" t="s">
        <v>7018</v>
      </c>
      <c r="H100" s="20" t="s">
        <v>12777</v>
      </c>
      <c r="I100" s="14" t="s">
        <v>88</v>
      </c>
      <c r="J100" s="14">
        <v>1</v>
      </c>
      <c r="K100" s="14">
        <v>1</v>
      </c>
      <c r="L100" s="14" t="s">
        <v>12778</v>
      </c>
      <c r="M100" s="14" t="s">
        <v>132</v>
      </c>
      <c r="N100" s="14" t="s">
        <v>12779</v>
      </c>
      <c r="O100" s="14" t="s">
        <v>12780</v>
      </c>
      <c r="P100" s="14" t="str">
        <f>HYPERLINK("https://dexscreener.com/solana/6jLRzB2RFKtyTK9YDxpY7KXkm284e4Eqwce4fqPapump", "View")</f>
        <v>View</v>
      </c>
    </row>
    <row r="101" spans="1:16" x14ac:dyDescent="0.25">
      <c r="A101" s="16" t="s">
        <v>12781</v>
      </c>
      <c r="B101" s="17">
        <v>44733631</v>
      </c>
      <c r="C101" s="17">
        <v>44733631</v>
      </c>
      <c r="D101" s="17" t="s">
        <v>4754</v>
      </c>
      <c r="E101" s="17" t="s">
        <v>12420</v>
      </c>
      <c r="F101" s="17" t="s">
        <v>12782</v>
      </c>
      <c r="G101" s="20" t="s">
        <v>12783</v>
      </c>
      <c r="H101" s="20" t="s">
        <v>12784</v>
      </c>
      <c r="I101" s="17" t="s">
        <v>88</v>
      </c>
      <c r="J101" s="17">
        <v>1</v>
      </c>
      <c r="K101" s="17">
        <v>1</v>
      </c>
      <c r="L101" s="17" t="s">
        <v>12785</v>
      </c>
      <c r="M101" s="17" t="s">
        <v>1957</v>
      </c>
      <c r="N101" s="17" t="s">
        <v>3188</v>
      </c>
      <c r="O101" s="17" t="s">
        <v>12786</v>
      </c>
      <c r="P101" s="17" t="str">
        <f>HYPERLINK("https://photon-sol.tinyastro.io/en/lp/Ctp9b1i72ujcjcGAxdsKoMheH23NWBoEjVs4tMtMpump?handle=676050794bc1b1657a56b", "View")</f>
        <v>View</v>
      </c>
    </row>
    <row r="102" spans="1:16" x14ac:dyDescent="0.25">
      <c r="A102" s="13" t="s">
        <v>12787</v>
      </c>
      <c r="B102" s="14">
        <v>17480</v>
      </c>
      <c r="C102" s="14">
        <v>17480</v>
      </c>
      <c r="D102" s="14" t="s">
        <v>4805</v>
      </c>
      <c r="E102" s="14" t="s">
        <v>340</v>
      </c>
      <c r="F102" s="14" t="s">
        <v>12788</v>
      </c>
      <c r="G102" s="22" t="s">
        <v>3819</v>
      </c>
      <c r="H102" s="22" t="s">
        <v>12789</v>
      </c>
      <c r="I102" s="14" t="s">
        <v>88</v>
      </c>
      <c r="J102" s="14">
        <v>2</v>
      </c>
      <c r="K102" s="14">
        <v>2</v>
      </c>
      <c r="L102" s="14" t="s">
        <v>12790</v>
      </c>
      <c r="M102" s="14" t="s">
        <v>150</v>
      </c>
      <c r="N102" s="14" t="s">
        <v>12791</v>
      </c>
      <c r="O102" s="14" t="s">
        <v>12792</v>
      </c>
      <c r="P102" s="14" t="str">
        <f>HYPERLINK("https://dexscreener.com/solana/BQ3F72yt9FVRgYrqCVCG3YohyBesDZ9bTuhGdmQ7GNEF", "View")</f>
        <v>View</v>
      </c>
    </row>
    <row r="103" spans="1:16" x14ac:dyDescent="0.25">
      <c r="A103" s="16" t="s">
        <v>5509</v>
      </c>
      <c r="B103" s="17">
        <v>15908556</v>
      </c>
      <c r="C103" s="17">
        <v>15908556</v>
      </c>
      <c r="D103" s="17" t="s">
        <v>12693</v>
      </c>
      <c r="E103" s="17" t="s">
        <v>8257</v>
      </c>
      <c r="F103" s="17" t="s">
        <v>12793</v>
      </c>
      <c r="G103" s="15" t="s">
        <v>12794</v>
      </c>
      <c r="H103" s="15" t="s">
        <v>12795</v>
      </c>
      <c r="I103" s="17" t="s">
        <v>88</v>
      </c>
      <c r="J103" s="17">
        <v>1</v>
      </c>
      <c r="K103" s="17">
        <v>1</v>
      </c>
      <c r="L103" s="17" t="s">
        <v>12796</v>
      </c>
      <c r="M103" s="19" t="s">
        <v>7601</v>
      </c>
      <c r="N103" s="17" t="s">
        <v>12797</v>
      </c>
      <c r="O103" s="17" t="s">
        <v>12798</v>
      </c>
      <c r="P103" s="17" t="str">
        <f>HYPERLINK("https://photon-sol.tinyastro.io/en/lp/3h2BfwtZKC5hqJACwQmicgju1CFXKjfJzetQhFB7v8QE?handle=676050794bc1b1657a56b", "View")</f>
        <v>View</v>
      </c>
    </row>
    <row r="104" spans="1:16" x14ac:dyDescent="0.25">
      <c r="A104" s="13" t="s">
        <v>12799</v>
      </c>
      <c r="B104" s="14">
        <v>66433396</v>
      </c>
      <c r="C104" s="14">
        <v>66433396</v>
      </c>
      <c r="D104" s="14" t="s">
        <v>12693</v>
      </c>
      <c r="E104" s="14" t="s">
        <v>12420</v>
      </c>
      <c r="F104" s="14" t="s">
        <v>12800</v>
      </c>
      <c r="G104" s="22" t="s">
        <v>6269</v>
      </c>
      <c r="H104" s="22" t="s">
        <v>12801</v>
      </c>
      <c r="I104" s="14" t="s">
        <v>88</v>
      </c>
      <c r="J104" s="14">
        <v>1</v>
      </c>
      <c r="K104" s="14">
        <v>1</v>
      </c>
      <c r="L104" s="14" t="s">
        <v>12802</v>
      </c>
      <c r="M104" s="14" t="s">
        <v>602</v>
      </c>
      <c r="N104" s="14" t="s">
        <v>2308</v>
      </c>
      <c r="O104" s="14" t="s">
        <v>12803</v>
      </c>
      <c r="P104" s="14" t="str">
        <f>HYPERLINK("https://photon-sol.tinyastro.io/en/lp/2fB2U8K76jEUazqibbnEc3uVbUDpjmZS62Agr39kpump?handle=676050794bc1b1657a56b", "View")</f>
        <v>View</v>
      </c>
    </row>
    <row r="105" spans="1:16" x14ac:dyDescent="0.25">
      <c r="A105" s="16" t="s">
        <v>3705</v>
      </c>
      <c r="B105" s="17">
        <v>16961122</v>
      </c>
      <c r="C105" s="17">
        <v>16961122</v>
      </c>
      <c r="D105" s="17" t="s">
        <v>4754</v>
      </c>
      <c r="E105" s="17" t="s">
        <v>2178</v>
      </c>
      <c r="F105" s="17" t="s">
        <v>12804</v>
      </c>
      <c r="G105" s="20" t="s">
        <v>12805</v>
      </c>
      <c r="H105" s="20" t="s">
        <v>12806</v>
      </c>
      <c r="I105" s="17" t="s">
        <v>88</v>
      </c>
      <c r="J105" s="17">
        <v>1</v>
      </c>
      <c r="K105" s="17">
        <v>1</v>
      </c>
      <c r="L105" s="17" t="s">
        <v>12807</v>
      </c>
      <c r="M105" s="17" t="s">
        <v>7248</v>
      </c>
      <c r="N105" s="17" t="s">
        <v>1706</v>
      </c>
      <c r="O105" s="17" t="s">
        <v>12808</v>
      </c>
      <c r="P105" s="17" t="str">
        <f>HYPERLINK("https://photon-sol.tinyastro.io/en/lp/3boWkERRXXUVTY6gM9VushioxWq9X67nnsswXN9gpump?handle=676050794bc1b1657a56b", "View")</f>
        <v>View</v>
      </c>
    </row>
    <row r="106" spans="1:16" x14ac:dyDescent="0.25">
      <c r="A106" s="13" t="s">
        <v>732</v>
      </c>
      <c r="B106" s="14">
        <v>9674067</v>
      </c>
      <c r="C106" s="14">
        <v>3430871</v>
      </c>
      <c r="D106" s="14" t="s">
        <v>12809</v>
      </c>
      <c r="E106" s="14" t="s">
        <v>95</v>
      </c>
      <c r="F106" s="14" t="s">
        <v>12810</v>
      </c>
      <c r="G106" s="20" t="s">
        <v>12811</v>
      </c>
      <c r="H106" s="20" t="s">
        <v>6742</v>
      </c>
      <c r="I106" s="14" t="s">
        <v>88</v>
      </c>
      <c r="J106" s="14">
        <v>9</v>
      </c>
      <c r="K106" s="14">
        <v>4</v>
      </c>
      <c r="L106" s="14" t="s">
        <v>12812</v>
      </c>
      <c r="M106" s="14" t="s">
        <v>479</v>
      </c>
      <c r="N106" s="14" t="s">
        <v>12813</v>
      </c>
      <c r="O106" s="14" t="s">
        <v>739</v>
      </c>
      <c r="P106" s="14" t="str">
        <f>HYPERLINK("https://dexscreener.com/solana/39qibQxVzemuZTEvjSB7NePhw9WyyHdQCqP8xmBMpump", "View")</f>
        <v>View</v>
      </c>
    </row>
    <row r="107" spans="1:16" x14ac:dyDescent="0.25">
      <c r="A107" s="16" t="s">
        <v>12814</v>
      </c>
      <c r="B107" s="17">
        <v>18107316</v>
      </c>
      <c r="C107" s="17">
        <v>18107316</v>
      </c>
      <c r="D107" s="17" t="s">
        <v>4754</v>
      </c>
      <c r="E107" s="17" t="s">
        <v>569</v>
      </c>
      <c r="F107" s="17" t="s">
        <v>12815</v>
      </c>
      <c r="G107" s="21" t="s">
        <v>12816</v>
      </c>
      <c r="H107" s="21" t="s">
        <v>12817</v>
      </c>
      <c r="I107" s="17" t="s">
        <v>88</v>
      </c>
      <c r="J107" s="17">
        <v>1</v>
      </c>
      <c r="K107" s="17">
        <v>1</v>
      </c>
      <c r="L107" s="17" t="s">
        <v>12818</v>
      </c>
      <c r="M107" s="17" t="s">
        <v>132</v>
      </c>
      <c r="N107" s="17" t="s">
        <v>12819</v>
      </c>
      <c r="O107" s="17" t="s">
        <v>12820</v>
      </c>
      <c r="P107" s="17" t="str">
        <f>HYPERLINK("https://dexscreener.com/solana/6MYhpb3FocZSdJS3V5krpbfMp45JxD5jXdtPfkwUpump", "View")</f>
        <v>View</v>
      </c>
    </row>
    <row r="108" spans="1:16" x14ac:dyDescent="0.25">
      <c r="A108" s="13" t="s">
        <v>10670</v>
      </c>
      <c r="B108" s="14">
        <v>31486228</v>
      </c>
      <c r="C108" s="14">
        <v>31486228</v>
      </c>
      <c r="D108" s="14" t="s">
        <v>4754</v>
      </c>
      <c r="E108" s="14" t="s">
        <v>1457</v>
      </c>
      <c r="F108" s="14" t="s">
        <v>12821</v>
      </c>
      <c r="G108" s="22" t="s">
        <v>12822</v>
      </c>
      <c r="H108" s="22" t="s">
        <v>12823</v>
      </c>
      <c r="I108" s="14" t="s">
        <v>88</v>
      </c>
      <c r="J108" s="14">
        <v>1</v>
      </c>
      <c r="K108" s="14">
        <v>1</v>
      </c>
      <c r="L108" s="14" t="s">
        <v>12824</v>
      </c>
      <c r="M108" s="14" t="s">
        <v>6393</v>
      </c>
      <c r="N108" s="14" t="s">
        <v>12825</v>
      </c>
      <c r="O108" s="14" t="s">
        <v>10674</v>
      </c>
      <c r="P108" s="14" t="str">
        <f>HYPERLINK("https://dexscreener.com/solana/5bMiFxQUwqex6d4QEQB5LJfEK8B3fV1DVr7PADnupump", "View")</f>
        <v>View</v>
      </c>
    </row>
    <row r="109" spans="1:16" x14ac:dyDescent="0.25">
      <c r="A109" s="16" t="s">
        <v>12826</v>
      </c>
      <c r="B109" s="17">
        <v>582604</v>
      </c>
      <c r="C109" s="17">
        <v>582604</v>
      </c>
      <c r="D109" s="17" t="s">
        <v>4754</v>
      </c>
      <c r="E109" s="17" t="s">
        <v>219</v>
      </c>
      <c r="F109" s="17" t="s">
        <v>7950</v>
      </c>
      <c r="G109" s="20" t="s">
        <v>12827</v>
      </c>
      <c r="H109" s="20" t="s">
        <v>12828</v>
      </c>
      <c r="I109" s="17" t="s">
        <v>88</v>
      </c>
      <c r="J109" s="17">
        <v>1</v>
      </c>
      <c r="K109" s="17">
        <v>1</v>
      </c>
      <c r="L109" s="17" t="s">
        <v>12829</v>
      </c>
      <c r="M109" s="17" t="s">
        <v>2403</v>
      </c>
      <c r="N109" s="17" t="s">
        <v>12830</v>
      </c>
      <c r="O109" s="17" t="s">
        <v>12831</v>
      </c>
      <c r="P109" s="17" t="str">
        <f>HYPERLINK("https://dexscreener.com/solana/82Rc22mnyHrmBGwj15rhYhFzVrU3bgFkjNtV3iHjpump", "View")</f>
        <v>View</v>
      </c>
    </row>
    <row r="110" spans="1:16" x14ac:dyDescent="0.25">
      <c r="A110" s="13" t="s">
        <v>12832</v>
      </c>
      <c r="B110" s="14">
        <v>28394337</v>
      </c>
      <c r="C110" s="14">
        <v>28394337</v>
      </c>
      <c r="D110" s="14" t="s">
        <v>12693</v>
      </c>
      <c r="E110" s="14" t="s">
        <v>9710</v>
      </c>
      <c r="F110" s="14" t="s">
        <v>12737</v>
      </c>
      <c r="G110" s="20" t="s">
        <v>11767</v>
      </c>
      <c r="H110" s="20" t="s">
        <v>12833</v>
      </c>
      <c r="I110" s="14" t="s">
        <v>88</v>
      </c>
      <c r="J110" s="14">
        <v>1</v>
      </c>
      <c r="K110" s="14">
        <v>1</v>
      </c>
      <c r="L110" s="14" t="s">
        <v>12834</v>
      </c>
      <c r="M110" s="14" t="s">
        <v>680</v>
      </c>
      <c r="N110" s="14" t="s">
        <v>2308</v>
      </c>
      <c r="O110" s="14" t="s">
        <v>12835</v>
      </c>
      <c r="P110" s="14" t="str">
        <f>HYPERLINK("https://photon-sol.tinyastro.io/en/lp/DTztixUkVk6kiqQju1R6fa51uacH7Tqk1N35mEgNpump?handle=676050794bc1b1657a56b", "View")</f>
        <v>View</v>
      </c>
    </row>
    <row r="111" spans="1:16" x14ac:dyDescent="0.25">
      <c r="A111" s="16" t="s">
        <v>11682</v>
      </c>
      <c r="B111" s="17">
        <v>30881671</v>
      </c>
      <c r="C111" s="17">
        <v>30881671</v>
      </c>
      <c r="D111" s="17" t="s">
        <v>12693</v>
      </c>
      <c r="E111" s="17" t="s">
        <v>12836</v>
      </c>
      <c r="F111" s="17" t="s">
        <v>3713</v>
      </c>
      <c r="G111" s="20" t="s">
        <v>5747</v>
      </c>
      <c r="H111" s="20" t="s">
        <v>8542</v>
      </c>
      <c r="I111" s="17" t="s">
        <v>88</v>
      </c>
      <c r="J111" s="17">
        <v>1</v>
      </c>
      <c r="K111" s="17">
        <v>1</v>
      </c>
      <c r="L111" s="17" t="s">
        <v>12837</v>
      </c>
      <c r="M111" s="17" t="s">
        <v>364</v>
      </c>
      <c r="N111" s="17" t="s">
        <v>2308</v>
      </c>
      <c r="O111" s="17" t="s">
        <v>12838</v>
      </c>
      <c r="P111" s="17" t="str">
        <f>HYPERLINK("https://photon-sol.tinyastro.io/en/lp/9PR5uKb79xwHp13wk8yajxrTcYM93CEPhLsmJmHSpump?handle=676050794bc1b1657a56b", "View")</f>
        <v>View</v>
      </c>
    </row>
    <row r="112" spans="1:16" x14ac:dyDescent="0.25">
      <c r="A112" s="13" t="s">
        <v>12839</v>
      </c>
      <c r="B112" s="14">
        <v>28397062</v>
      </c>
      <c r="C112" s="14">
        <v>28397062</v>
      </c>
      <c r="D112" s="14" t="s">
        <v>12693</v>
      </c>
      <c r="E112" s="14" t="s">
        <v>2178</v>
      </c>
      <c r="F112" s="14" t="s">
        <v>9029</v>
      </c>
      <c r="G112" s="20" t="s">
        <v>12840</v>
      </c>
      <c r="H112" s="20" t="s">
        <v>12841</v>
      </c>
      <c r="I112" s="14" t="s">
        <v>88</v>
      </c>
      <c r="J112" s="14">
        <v>1</v>
      </c>
      <c r="K112" s="14">
        <v>1</v>
      </c>
      <c r="L112" s="14" t="s">
        <v>12842</v>
      </c>
      <c r="M112" s="14" t="s">
        <v>364</v>
      </c>
      <c r="N112" s="14" t="s">
        <v>1011</v>
      </c>
      <c r="O112" s="14" t="s">
        <v>12843</v>
      </c>
      <c r="P112" s="14" t="str">
        <f>HYPERLINK("https://photon-sol.tinyastro.io/en/lp/8Xq6vcBsZjrdqNWobC9GJaa6AQXcMhH37pt4eHE4pump?handle=676050794bc1b1657a56b", "View")</f>
        <v>View</v>
      </c>
    </row>
    <row r="113" spans="1:16" x14ac:dyDescent="0.25">
      <c r="A113" s="16" t="s">
        <v>12844</v>
      </c>
      <c r="B113" s="17">
        <v>61536916</v>
      </c>
      <c r="C113" s="17">
        <v>61536916</v>
      </c>
      <c r="D113" s="17" t="s">
        <v>12693</v>
      </c>
      <c r="E113" s="17" t="s">
        <v>12420</v>
      </c>
      <c r="F113" s="17" t="s">
        <v>9253</v>
      </c>
      <c r="G113" s="20" t="s">
        <v>2066</v>
      </c>
      <c r="H113" s="20" t="s">
        <v>12845</v>
      </c>
      <c r="I113" s="17" t="s">
        <v>88</v>
      </c>
      <c r="J113" s="17">
        <v>1</v>
      </c>
      <c r="K113" s="17">
        <v>1</v>
      </c>
      <c r="L113" s="17" t="s">
        <v>12846</v>
      </c>
      <c r="M113" s="17" t="s">
        <v>680</v>
      </c>
      <c r="N113" s="17" t="s">
        <v>2308</v>
      </c>
      <c r="O113" s="17" t="s">
        <v>12847</v>
      </c>
      <c r="P113" s="17" t="str">
        <f>HYPERLINK("https://photon-sol.tinyastro.io/en/lp/7CNMaw5DAxSqAx897MojPjVKzVHpZwSiQVGkirhppump?handle=676050794bc1b1657a56b", "View")</f>
        <v>View</v>
      </c>
    </row>
    <row r="114" spans="1:16" x14ac:dyDescent="0.25">
      <c r="A114" s="13" t="s">
        <v>12848</v>
      </c>
      <c r="B114" s="14">
        <v>69984847</v>
      </c>
      <c r="C114" s="14">
        <v>69984847</v>
      </c>
      <c r="D114" s="14" t="s">
        <v>4805</v>
      </c>
      <c r="E114" s="14" t="s">
        <v>1457</v>
      </c>
      <c r="F114" s="14" t="s">
        <v>12849</v>
      </c>
      <c r="G114" s="20" t="s">
        <v>2760</v>
      </c>
      <c r="H114" s="20" t="s">
        <v>12850</v>
      </c>
      <c r="I114" s="14" t="s">
        <v>88</v>
      </c>
      <c r="J114" s="14">
        <v>2</v>
      </c>
      <c r="K114" s="14">
        <v>2</v>
      </c>
      <c r="L114" s="14" t="s">
        <v>12851</v>
      </c>
      <c r="M114" s="14" t="s">
        <v>398</v>
      </c>
      <c r="N114" s="14" t="s">
        <v>12852</v>
      </c>
      <c r="O114" s="14" t="s">
        <v>12853</v>
      </c>
      <c r="P114" s="14" t="str">
        <f>HYPERLINK("https://dexscreener.com/solana/DnEvuesjTrJrjGNBJrnxQxTYN1jjRzDs3m88Xy6Cpump", "View")</f>
        <v>View</v>
      </c>
    </row>
    <row r="115" spans="1:16" x14ac:dyDescent="0.25">
      <c r="A115" s="16" t="s">
        <v>12854</v>
      </c>
      <c r="B115" s="17">
        <v>36139915</v>
      </c>
      <c r="C115" s="17">
        <v>36139915</v>
      </c>
      <c r="D115" s="17" t="s">
        <v>4754</v>
      </c>
      <c r="E115" s="17" t="s">
        <v>1457</v>
      </c>
      <c r="F115" s="17" t="s">
        <v>12855</v>
      </c>
      <c r="G115" s="21" t="s">
        <v>12856</v>
      </c>
      <c r="H115" s="21" t="s">
        <v>12857</v>
      </c>
      <c r="I115" s="17" t="s">
        <v>88</v>
      </c>
      <c r="J115" s="17">
        <v>1</v>
      </c>
      <c r="K115" s="17">
        <v>1</v>
      </c>
      <c r="L115" s="17" t="s">
        <v>12858</v>
      </c>
      <c r="M115" s="17" t="s">
        <v>179</v>
      </c>
      <c r="N115" s="17" t="s">
        <v>12859</v>
      </c>
      <c r="O115" s="17" t="s">
        <v>12860</v>
      </c>
      <c r="P115" s="17" t="str">
        <f>HYPERLINK("https://dexscreener.com/solana/63zidVrpEUyr7hz3eb1rkrzAU1kd4JP6HFLT7J7Lpump", "View")</f>
        <v>View</v>
      </c>
    </row>
    <row r="116" spans="1:16" x14ac:dyDescent="0.25">
      <c r="A116" s="13" t="s">
        <v>12861</v>
      </c>
      <c r="B116" s="14">
        <v>122763438</v>
      </c>
      <c r="C116" s="14">
        <v>122763438</v>
      </c>
      <c r="D116" s="14" t="s">
        <v>4754</v>
      </c>
      <c r="E116" s="14" t="s">
        <v>569</v>
      </c>
      <c r="F116" s="14" t="s">
        <v>12862</v>
      </c>
      <c r="G116" s="22" t="s">
        <v>3765</v>
      </c>
      <c r="H116" s="22" t="s">
        <v>12863</v>
      </c>
      <c r="I116" s="14" t="s">
        <v>88</v>
      </c>
      <c r="J116" s="14">
        <v>1</v>
      </c>
      <c r="K116" s="14">
        <v>1</v>
      </c>
      <c r="L116" s="14" t="s">
        <v>12864</v>
      </c>
      <c r="M116" s="19" t="s">
        <v>1619</v>
      </c>
      <c r="N116" s="14" t="s">
        <v>12746</v>
      </c>
      <c r="O116" s="14" t="s">
        <v>12865</v>
      </c>
      <c r="P116" s="14" t="str">
        <f>HYPERLINK("https://dexscreener.com/solana/87Zc1koifitsr9Jr5SngwnUiYkZuvwUSYa6i4MQTpump", "View")</f>
        <v>View</v>
      </c>
    </row>
    <row r="117" spans="1:16" x14ac:dyDescent="0.25">
      <c r="A117" s="16" t="s">
        <v>12866</v>
      </c>
      <c r="B117" s="17">
        <v>2188172</v>
      </c>
      <c r="C117" s="17">
        <v>2188172</v>
      </c>
      <c r="D117" s="17" t="s">
        <v>7975</v>
      </c>
      <c r="E117" s="17" t="s">
        <v>165</v>
      </c>
      <c r="F117" s="17" t="s">
        <v>12867</v>
      </c>
      <c r="G117" s="22" t="s">
        <v>12868</v>
      </c>
      <c r="H117" s="22" t="s">
        <v>12869</v>
      </c>
      <c r="I117" s="17" t="s">
        <v>88</v>
      </c>
      <c r="J117" s="17">
        <v>1</v>
      </c>
      <c r="K117" s="17">
        <v>1</v>
      </c>
      <c r="L117" s="17" t="s">
        <v>12870</v>
      </c>
      <c r="M117" s="17" t="s">
        <v>2113</v>
      </c>
      <c r="N117" s="17" t="s">
        <v>12871</v>
      </c>
      <c r="O117" s="17" t="s">
        <v>12872</v>
      </c>
      <c r="P117" s="17" t="str">
        <f>HYPERLINK("https://dexscreener.com/solana/BD7jNnt6uYDp9rVRBTjJhkweGxYQppRe8CXLnAJspump", "View")</f>
        <v>View</v>
      </c>
    </row>
    <row r="118" spans="1:16" x14ac:dyDescent="0.25">
      <c r="A118" s="13" t="s">
        <v>12873</v>
      </c>
      <c r="B118" s="14">
        <v>59945328</v>
      </c>
      <c r="C118" s="14">
        <v>59945328</v>
      </c>
      <c r="D118" s="14" t="s">
        <v>4754</v>
      </c>
      <c r="E118" s="14" t="s">
        <v>1457</v>
      </c>
      <c r="F118" s="14" t="s">
        <v>7838</v>
      </c>
      <c r="G118" s="22" t="s">
        <v>5248</v>
      </c>
      <c r="H118" s="22" t="s">
        <v>12874</v>
      </c>
      <c r="I118" s="14" t="s">
        <v>88</v>
      </c>
      <c r="J118" s="14">
        <v>1</v>
      </c>
      <c r="K118" s="14">
        <v>1</v>
      </c>
      <c r="L118" s="14" t="s">
        <v>12875</v>
      </c>
      <c r="M118" s="14" t="s">
        <v>1434</v>
      </c>
      <c r="N118" s="14" t="s">
        <v>4769</v>
      </c>
      <c r="O118" s="14" t="s">
        <v>12876</v>
      </c>
      <c r="P118" s="14" t="str">
        <f>HYPERLINK("https://dexscreener.com/solana/rion1pZtGdvy2HDiPrWUqhgEx9C2yZKzP9pp31CchJU", "View")</f>
        <v>View</v>
      </c>
    </row>
    <row r="119" spans="1:16" x14ac:dyDescent="0.25">
      <c r="A119" s="16" t="s">
        <v>12877</v>
      </c>
      <c r="B119" s="17">
        <v>30094567</v>
      </c>
      <c r="C119" s="17">
        <v>30094567</v>
      </c>
      <c r="D119" s="17" t="s">
        <v>12693</v>
      </c>
      <c r="E119" s="17" t="s">
        <v>10388</v>
      </c>
      <c r="F119" s="17" t="s">
        <v>12878</v>
      </c>
      <c r="G119" s="20" t="s">
        <v>1445</v>
      </c>
      <c r="H119" s="20" t="s">
        <v>12879</v>
      </c>
      <c r="I119" s="17" t="s">
        <v>88</v>
      </c>
      <c r="J119" s="17">
        <v>1</v>
      </c>
      <c r="K119" s="17">
        <v>1</v>
      </c>
      <c r="L119" s="17" t="s">
        <v>12880</v>
      </c>
      <c r="M119" s="17" t="s">
        <v>160</v>
      </c>
      <c r="N119" s="17" t="s">
        <v>2308</v>
      </c>
      <c r="O119" s="17" t="s">
        <v>12881</v>
      </c>
      <c r="P119" s="17" t="str">
        <f>HYPERLINK("https://photon-sol.tinyastro.io/en/lp/DYXo6zn84TyianS7qKFeTFtM2cGE9UdVFV4rD1fopump?handle=676050794bc1b1657a56b", "View")</f>
        <v>View</v>
      </c>
    </row>
    <row r="120" spans="1:16" x14ac:dyDescent="0.25">
      <c r="A120" s="13" t="s">
        <v>12882</v>
      </c>
      <c r="B120" s="14">
        <v>63171497</v>
      </c>
      <c r="C120" s="14">
        <v>63171497</v>
      </c>
      <c r="D120" s="14" t="s">
        <v>12693</v>
      </c>
      <c r="E120" s="14" t="s">
        <v>12398</v>
      </c>
      <c r="F120" s="14" t="s">
        <v>9237</v>
      </c>
      <c r="G120" s="20" t="s">
        <v>12883</v>
      </c>
      <c r="H120" s="20" t="s">
        <v>12884</v>
      </c>
      <c r="I120" s="14" t="s">
        <v>88</v>
      </c>
      <c r="J120" s="14">
        <v>1</v>
      </c>
      <c r="K120" s="14">
        <v>1</v>
      </c>
      <c r="L120" s="14" t="s">
        <v>12885</v>
      </c>
      <c r="M120" s="14" t="s">
        <v>823</v>
      </c>
      <c r="N120" s="14" t="s">
        <v>2308</v>
      </c>
      <c r="O120" s="14" t="s">
        <v>12886</v>
      </c>
      <c r="P120" s="14" t="str">
        <f>HYPERLINK("https://photon-sol.tinyastro.io/en/lp/AATo232QyveLNTcUbxbv4LMLxaQe133a1jx3RjiGpump?handle=676050794bc1b1657a56b", "View")</f>
        <v>View</v>
      </c>
    </row>
    <row r="121" spans="1:16" x14ac:dyDescent="0.25">
      <c r="A121" s="16" t="s">
        <v>12887</v>
      </c>
      <c r="B121" s="17">
        <v>83163894</v>
      </c>
      <c r="C121" s="17">
        <v>83163894</v>
      </c>
      <c r="D121" s="17" t="s">
        <v>12693</v>
      </c>
      <c r="E121" s="17" t="s">
        <v>6525</v>
      </c>
      <c r="F121" s="17" t="s">
        <v>12888</v>
      </c>
      <c r="G121" s="20" t="s">
        <v>12889</v>
      </c>
      <c r="H121" s="20" t="s">
        <v>12890</v>
      </c>
      <c r="I121" s="17" t="s">
        <v>88</v>
      </c>
      <c r="J121" s="17">
        <v>1</v>
      </c>
      <c r="K121" s="17">
        <v>1</v>
      </c>
      <c r="L121" s="17" t="s">
        <v>12891</v>
      </c>
      <c r="M121" s="17" t="s">
        <v>1448</v>
      </c>
      <c r="N121" s="17" t="s">
        <v>2585</v>
      </c>
      <c r="O121" s="17" t="s">
        <v>12892</v>
      </c>
      <c r="P121" s="17" t="str">
        <f>HYPERLINK("https://photon-sol.tinyastro.io/en/lp/FcEDSVec9fU9bRYoYccgJwNZBUiqZLrUwKHezj3Zpump?handle=676050794bc1b1657a56b", "View")</f>
        <v>View</v>
      </c>
    </row>
    <row r="122" spans="1:16" x14ac:dyDescent="0.25">
      <c r="A122" s="13" t="s">
        <v>12893</v>
      </c>
      <c r="B122" s="14">
        <v>46864293</v>
      </c>
      <c r="C122" s="14">
        <v>46864293</v>
      </c>
      <c r="D122" s="14" t="s">
        <v>5069</v>
      </c>
      <c r="E122" s="14" t="s">
        <v>12894</v>
      </c>
      <c r="F122" s="14" t="s">
        <v>12895</v>
      </c>
      <c r="G122" s="21" t="s">
        <v>12896</v>
      </c>
      <c r="H122" s="21" t="s">
        <v>12897</v>
      </c>
      <c r="I122" s="14" t="s">
        <v>88</v>
      </c>
      <c r="J122" s="14">
        <v>2</v>
      </c>
      <c r="K122" s="14">
        <v>4</v>
      </c>
      <c r="L122" s="14" t="s">
        <v>12898</v>
      </c>
      <c r="M122" s="14" t="s">
        <v>179</v>
      </c>
      <c r="N122" s="14" t="s">
        <v>12899</v>
      </c>
      <c r="O122" s="14" t="s">
        <v>12900</v>
      </c>
      <c r="P122" s="14" t="str">
        <f>HYPERLINK("https://photon-sol.tinyastro.io/en/lp/2mzsKxmjjrQB5tLRcfALkBGWBzGmck7PnhZCdTrLpump?handle=676050794bc1b1657a56b", "View")</f>
        <v>View</v>
      </c>
    </row>
    <row r="123" spans="1:16" x14ac:dyDescent="0.25">
      <c r="A123" s="16" t="s">
        <v>12901</v>
      </c>
      <c r="B123" s="17">
        <v>15548555</v>
      </c>
      <c r="C123" s="17">
        <v>15548555</v>
      </c>
      <c r="D123" s="17" t="s">
        <v>4754</v>
      </c>
      <c r="E123" s="17" t="s">
        <v>12902</v>
      </c>
      <c r="F123" s="17" t="s">
        <v>12903</v>
      </c>
      <c r="G123" s="15" t="s">
        <v>12904</v>
      </c>
      <c r="H123" s="15" t="s">
        <v>12905</v>
      </c>
      <c r="I123" s="17" t="s">
        <v>88</v>
      </c>
      <c r="J123" s="17">
        <v>1</v>
      </c>
      <c r="K123" s="17">
        <v>1</v>
      </c>
      <c r="L123" s="17" t="s">
        <v>12906</v>
      </c>
      <c r="M123" s="17" t="s">
        <v>1448</v>
      </c>
      <c r="N123" s="17" t="s">
        <v>12907</v>
      </c>
      <c r="O123" s="17" t="s">
        <v>12908</v>
      </c>
      <c r="P123" s="17" t="str">
        <f>HYPERLINK("https://photon-sol.tinyastro.io/en/lp/4LQdwUyk533BpFUnaamfBTC6Pf9q5DyNoGbzthwPpump?handle=676050794bc1b1657a56b", "View")</f>
        <v>View</v>
      </c>
    </row>
    <row r="124" spans="1:16" x14ac:dyDescent="0.25">
      <c r="A124" s="13" t="s">
        <v>12909</v>
      </c>
      <c r="B124" s="14">
        <v>32751717</v>
      </c>
      <c r="C124" s="14">
        <v>32751717</v>
      </c>
      <c r="D124" s="14" t="s">
        <v>12693</v>
      </c>
      <c r="E124" s="14" t="s">
        <v>12715</v>
      </c>
      <c r="F124" s="14" t="s">
        <v>2235</v>
      </c>
      <c r="G124" s="20" t="s">
        <v>5733</v>
      </c>
      <c r="H124" s="20" t="s">
        <v>12910</v>
      </c>
      <c r="I124" s="14" t="s">
        <v>88</v>
      </c>
      <c r="J124" s="14">
        <v>1</v>
      </c>
      <c r="K124" s="14">
        <v>1</v>
      </c>
      <c r="L124" s="14" t="s">
        <v>12911</v>
      </c>
      <c r="M124" s="19" t="s">
        <v>3033</v>
      </c>
      <c r="N124" s="14" t="s">
        <v>2308</v>
      </c>
      <c r="O124" s="14" t="s">
        <v>12912</v>
      </c>
      <c r="P124" s="14" t="str">
        <f>HYPERLINK("https://photon-sol.tinyastro.io/en/lp/GBzseP6oJaves76L5jYVoybw1HDUFVgXW4sa4gzqpump?handle=676050794bc1b1657a56b", "View")</f>
        <v>View</v>
      </c>
    </row>
    <row r="125" spans="1:16" x14ac:dyDescent="0.25">
      <c r="A125" s="16" t="s">
        <v>12913</v>
      </c>
      <c r="B125" s="17">
        <v>24436681</v>
      </c>
      <c r="C125" s="17">
        <v>24436681</v>
      </c>
      <c r="D125" s="17" t="s">
        <v>4754</v>
      </c>
      <c r="E125" s="17" t="s">
        <v>1457</v>
      </c>
      <c r="F125" s="17" t="s">
        <v>12914</v>
      </c>
      <c r="G125" s="21" t="s">
        <v>12915</v>
      </c>
      <c r="H125" s="21" t="s">
        <v>12916</v>
      </c>
      <c r="I125" s="17" t="s">
        <v>88</v>
      </c>
      <c r="J125" s="17">
        <v>1</v>
      </c>
      <c r="K125" s="17">
        <v>1</v>
      </c>
      <c r="L125" s="17" t="s">
        <v>12917</v>
      </c>
      <c r="M125" s="17" t="s">
        <v>253</v>
      </c>
      <c r="N125" s="17" t="s">
        <v>1471</v>
      </c>
      <c r="O125" s="17" t="s">
        <v>12918</v>
      </c>
      <c r="P125" s="17" t="str">
        <f>HYPERLINK("https://dexscreener.com/solana/FCZKYb3Wu5YbofwNy58Xd5oEgjbQ2mn8Ksjcy9bGpump", "View")</f>
        <v>View</v>
      </c>
    </row>
    <row r="126" spans="1:16" x14ac:dyDescent="0.25">
      <c r="A126" s="13" t="s">
        <v>12919</v>
      </c>
      <c r="B126" s="14">
        <v>29160081</v>
      </c>
      <c r="C126" s="14">
        <v>29160081</v>
      </c>
      <c r="D126" s="14" t="s">
        <v>12693</v>
      </c>
      <c r="E126" s="14" t="s">
        <v>2178</v>
      </c>
      <c r="F126" s="14" t="s">
        <v>12920</v>
      </c>
      <c r="G126" s="22" t="s">
        <v>4761</v>
      </c>
      <c r="H126" s="22" t="s">
        <v>12921</v>
      </c>
      <c r="I126" s="14" t="s">
        <v>88</v>
      </c>
      <c r="J126" s="14">
        <v>1</v>
      </c>
      <c r="K126" s="14">
        <v>1</v>
      </c>
      <c r="L126" s="14" t="s">
        <v>12922</v>
      </c>
      <c r="M126" s="14" t="s">
        <v>2047</v>
      </c>
      <c r="N126" s="14" t="s">
        <v>2223</v>
      </c>
      <c r="O126" s="14" t="s">
        <v>12923</v>
      </c>
      <c r="P126" s="14" t="str">
        <f>HYPERLINK("https://photon-sol.tinyastro.io/en/lp/7vtVTqerD55PmLpUhkcQvGsW6cXbX3cjYgNmwjGHpump?handle=676050794bc1b1657a56b", "View")</f>
        <v>View</v>
      </c>
    </row>
    <row r="127" spans="1:16" x14ac:dyDescent="0.25">
      <c r="A127" s="16" t="s">
        <v>12924</v>
      </c>
      <c r="B127" s="17">
        <v>86726931</v>
      </c>
      <c r="C127" s="17">
        <v>40000000</v>
      </c>
      <c r="D127" s="17" t="s">
        <v>12693</v>
      </c>
      <c r="E127" s="17" t="s">
        <v>6525</v>
      </c>
      <c r="F127" s="17" t="s">
        <v>12925</v>
      </c>
      <c r="G127" s="15" t="s">
        <v>12926</v>
      </c>
      <c r="H127" s="15" t="s">
        <v>5462</v>
      </c>
      <c r="I127" s="17" t="s">
        <v>88</v>
      </c>
      <c r="J127" s="17">
        <v>1</v>
      </c>
      <c r="K127" s="17">
        <v>1</v>
      </c>
      <c r="L127" s="17" t="s">
        <v>12927</v>
      </c>
      <c r="M127" s="17" t="s">
        <v>141</v>
      </c>
      <c r="N127" s="17" t="s">
        <v>1011</v>
      </c>
      <c r="O127" s="17" t="s">
        <v>12928</v>
      </c>
      <c r="P127" s="17" t="str">
        <f>HYPERLINK("https://photon-sol.tinyastro.io/en/lp/D4nMGZF6pPCkRiEp72q5u25Qv9npgTmrdiQnWHLXpump?handle=676050794bc1b1657a56b", "View")</f>
        <v>View</v>
      </c>
    </row>
    <row r="128" spans="1:16" x14ac:dyDescent="0.25">
      <c r="A128" s="13" t="s">
        <v>12929</v>
      </c>
      <c r="B128" s="14">
        <v>3853277</v>
      </c>
      <c r="C128" s="14">
        <v>3853277</v>
      </c>
      <c r="D128" s="14" t="s">
        <v>4754</v>
      </c>
      <c r="E128" s="14" t="s">
        <v>569</v>
      </c>
      <c r="F128" s="14" t="s">
        <v>8844</v>
      </c>
      <c r="G128" s="21" t="s">
        <v>12930</v>
      </c>
      <c r="H128" s="21" t="s">
        <v>12931</v>
      </c>
      <c r="I128" s="14" t="s">
        <v>88</v>
      </c>
      <c r="J128" s="14">
        <v>1</v>
      </c>
      <c r="K128" s="14">
        <v>1</v>
      </c>
      <c r="L128" s="14" t="s">
        <v>12932</v>
      </c>
      <c r="M128" s="14" t="s">
        <v>5061</v>
      </c>
      <c r="N128" s="14" t="s">
        <v>12933</v>
      </c>
      <c r="O128" s="14" t="s">
        <v>12934</v>
      </c>
      <c r="P128" s="14" t="str">
        <f>HYPERLINK("https://dexscreener.com/solana/5Gw2SboaCeKWPE9YErGMkoJ9eETq13EkeFV3ee8rpump", "View")</f>
        <v>View</v>
      </c>
    </row>
    <row r="129" spans="1:16" x14ac:dyDescent="0.25">
      <c r="A129" s="16" t="s">
        <v>12935</v>
      </c>
      <c r="B129" s="17">
        <v>58490727</v>
      </c>
      <c r="C129" s="17">
        <v>58490727</v>
      </c>
      <c r="D129" s="17" t="s">
        <v>4754</v>
      </c>
      <c r="E129" s="17" t="s">
        <v>1457</v>
      </c>
      <c r="F129" s="17" t="s">
        <v>12936</v>
      </c>
      <c r="G129" s="22" t="s">
        <v>5424</v>
      </c>
      <c r="H129" s="22" t="s">
        <v>8967</v>
      </c>
      <c r="I129" s="17" t="s">
        <v>88</v>
      </c>
      <c r="J129" s="17">
        <v>1</v>
      </c>
      <c r="K129" s="17">
        <v>1</v>
      </c>
      <c r="L129" s="17" t="s">
        <v>12937</v>
      </c>
      <c r="M129" s="17" t="s">
        <v>5729</v>
      </c>
      <c r="N129" s="17" t="s">
        <v>2308</v>
      </c>
      <c r="O129" s="17" t="s">
        <v>12938</v>
      </c>
      <c r="P129" s="17" t="str">
        <f>HYPERLINK("https://dexscreener.com/solana/Z19ibmkwxW2tWPX7F3EBA8HhuwCkRzSWfNXrN5Ppump", "View")</f>
        <v>View</v>
      </c>
    </row>
    <row r="130" spans="1:16" x14ac:dyDescent="0.25">
      <c r="A130" s="13" t="s">
        <v>1250</v>
      </c>
      <c r="B130" s="14">
        <v>3482731</v>
      </c>
      <c r="C130" s="14">
        <v>3482731</v>
      </c>
      <c r="D130" s="14" t="s">
        <v>4805</v>
      </c>
      <c r="E130" s="14" t="s">
        <v>219</v>
      </c>
      <c r="F130" s="14" t="s">
        <v>12939</v>
      </c>
      <c r="G130" s="20" t="s">
        <v>12940</v>
      </c>
      <c r="H130" s="20" t="s">
        <v>12941</v>
      </c>
      <c r="I130" s="14" t="s">
        <v>88</v>
      </c>
      <c r="J130" s="14">
        <v>2</v>
      </c>
      <c r="K130" s="14">
        <v>2</v>
      </c>
      <c r="L130" s="14" t="s">
        <v>12942</v>
      </c>
      <c r="M130" s="14" t="s">
        <v>699</v>
      </c>
      <c r="N130" s="14" t="s">
        <v>12943</v>
      </c>
      <c r="O130" s="14" t="s">
        <v>1255</v>
      </c>
      <c r="P130" s="14" t="str">
        <f>HYPERLINK("https://dexscreener.com/solana/FGSheu4NuiGqf8zjP9Na5BtdQTmd1SzfcdYZAHHNpump", "View")</f>
        <v>View</v>
      </c>
    </row>
    <row r="131" spans="1:16" x14ac:dyDescent="0.25">
      <c r="A131" s="16" t="s">
        <v>12944</v>
      </c>
      <c r="B131" s="17">
        <v>194909161</v>
      </c>
      <c r="C131" s="17">
        <v>159790441</v>
      </c>
      <c r="D131" s="17" t="s">
        <v>5668</v>
      </c>
      <c r="E131" s="17" t="s">
        <v>12945</v>
      </c>
      <c r="F131" s="17" t="s">
        <v>12946</v>
      </c>
      <c r="G131" s="20" t="s">
        <v>12947</v>
      </c>
      <c r="H131" s="20" t="s">
        <v>12948</v>
      </c>
      <c r="I131" s="17" t="s">
        <v>88</v>
      </c>
      <c r="J131" s="17">
        <v>3</v>
      </c>
      <c r="K131" s="17">
        <v>2</v>
      </c>
      <c r="L131" s="17" t="s">
        <v>12949</v>
      </c>
      <c r="M131" s="17" t="s">
        <v>699</v>
      </c>
      <c r="N131" s="17" t="s">
        <v>12519</v>
      </c>
      <c r="O131" s="17" t="s">
        <v>12950</v>
      </c>
      <c r="P131" s="17" t="str">
        <f>HYPERLINK("https://dexscreener.com/solana/Fp6wStyXJJ5td3R8PXK4XhWLScdA7PhUGPKxkpYGpump", "View")</f>
        <v>View</v>
      </c>
    </row>
    <row r="132" spans="1:16" x14ac:dyDescent="0.25">
      <c r="A132" s="13" t="s">
        <v>6538</v>
      </c>
      <c r="B132" s="14">
        <v>22309075</v>
      </c>
      <c r="C132" s="14">
        <v>22309075</v>
      </c>
      <c r="D132" s="14" t="s">
        <v>12951</v>
      </c>
      <c r="E132" s="14" t="s">
        <v>219</v>
      </c>
      <c r="F132" s="14" t="s">
        <v>6712</v>
      </c>
      <c r="G132" s="21" t="s">
        <v>12952</v>
      </c>
      <c r="H132" s="21" t="s">
        <v>12953</v>
      </c>
      <c r="I132" s="14" t="s">
        <v>88</v>
      </c>
      <c r="J132" s="14">
        <v>2</v>
      </c>
      <c r="K132" s="14">
        <v>5</v>
      </c>
      <c r="L132" s="14" t="s">
        <v>12954</v>
      </c>
      <c r="M132" s="14" t="s">
        <v>1714</v>
      </c>
      <c r="N132" s="14" t="s">
        <v>12955</v>
      </c>
      <c r="O132" s="14" t="s">
        <v>12956</v>
      </c>
      <c r="P132" s="14" t="str">
        <f>HYPERLINK("https://dexscreener.com/solana/CBf1NP9jbrYrxzXrEwV2cHWifLWNJFiYXkEB7FNdpump", "View")</f>
        <v>View</v>
      </c>
    </row>
    <row r="133" spans="1:16" x14ac:dyDescent="0.25">
      <c r="A133" s="16" t="s">
        <v>12957</v>
      </c>
      <c r="B133" s="17">
        <v>58464333</v>
      </c>
      <c r="C133" s="17">
        <v>58464333</v>
      </c>
      <c r="D133" s="17" t="s">
        <v>4754</v>
      </c>
      <c r="E133" s="17" t="s">
        <v>1457</v>
      </c>
      <c r="F133" s="17" t="s">
        <v>12958</v>
      </c>
      <c r="G133" s="21" t="s">
        <v>12959</v>
      </c>
      <c r="H133" s="21" t="s">
        <v>12960</v>
      </c>
      <c r="I133" s="17" t="s">
        <v>88</v>
      </c>
      <c r="J133" s="17">
        <v>1</v>
      </c>
      <c r="K133" s="17">
        <v>1</v>
      </c>
      <c r="L133" s="17" t="s">
        <v>12961</v>
      </c>
      <c r="M133" s="17" t="s">
        <v>680</v>
      </c>
      <c r="N133" s="17" t="s">
        <v>12962</v>
      </c>
      <c r="O133" s="17" t="s">
        <v>12963</v>
      </c>
      <c r="P133" s="17" t="str">
        <f>HYPERLINK("https://dexscreener.com/solana/4994XJ88RjBS5SKv7qSe4fM3qtPRYzqYBQLe4NRDpump", "View")</f>
        <v>View</v>
      </c>
    </row>
    <row r="134" spans="1:16" x14ac:dyDescent="0.25">
      <c r="A134" s="13" t="s">
        <v>7203</v>
      </c>
      <c r="B134" s="14">
        <v>32552473</v>
      </c>
      <c r="C134" s="14">
        <v>32552473</v>
      </c>
      <c r="D134" s="14" t="s">
        <v>4805</v>
      </c>
      <c r="E134" s="14" t="s">
        <v>2390</v>
      </c>
      <c r="F134" s="14" t="s">
        <v>12964</v>
      </c>
      <c r="G134" s="22" t="s">
        <v>12965</v>
      </c>
      <c r="H134" s="22" t="s">
        <v>12966</v>
      </c>
      <c r="I134" s="14" t="s">
        <v>88</v>
      </c>
      <c r="J134" s="14">
        <v>2</v>
      </c>
      <c r="K134" s="14">
        <v>2</v>
      </c>
      <c r="L134" s="14" t="s">
        <v>12967</v>
      </c>
      <c r="M134" s="14" t="s">
        <v>680</v>
      </c>
      <c r="N134" s="14" t="s">
        <v>12968</v>
      </c>
      <c r="O134" s="14" t="s">
        <v>12969</v>
      </c>
      <c r="P134" s="14" t="str">
        <f>HYPERLINK("https://dexscreener.com/solana/Ex4vChTA3cJDAKJpEA7PXeWQy4zQYhqkRc84f2iC523e", "View")</f>
        <v>View</v>
      </c>
    </row>
    <row r="135" spans="1:16" x14ac:dyDescent="0.25">
      <c r="A135" s="16" t="s">
        <v>12970</v>
      </c>
      <c r="B135" s="17">
        <v>5809048</v>
      </c>
      <c r="C135" s="17">
        <v>5809048</v>
      </c>
      <c r="D135" s="17" t="s">
        <v>4754</v>
      </c>
      <c r="E135" s="17" t="s">
        <v>219</v>
      </c>
      <c r="F135" s="17" t="s">
        <v>12971</v>
      </c>
      <c r="G135" s="22" t="s">
        <v>3690</v>
      </c>
      <c r="H135" s="22" t="s">
        <v>12972</v>
      </c>
      <c r="I135" s="17" t="s">
        <v>88</v>
      </c>
      <c r="J135" s="17">
        <v>1</v>
      </c>
      <c r="K135" s="17">
        <v>1</v>
      </c>
      <c r="L135" s="17" t="s">
        <v>12973</v>
      </c>
      <c r="M135" s="19" t="s">
        <v>2315</v>
      </c>
      <c r="N135" s="17" t="s">
        <v>12974</v>
      </c>
      <c r="O135" s="17" t="s">
        <v>12975</v>
      </c>
      <c r="P135" s="17" t="str">
        <f>HYPERLINK("https://dexscreener.com/solana/Gk5btcw8ewMpfGimLPwe1ggtLvYa2ejhZWbCLr9opump", "View")</f>
        <v>View</v>
      </c>
    </row>
    <row r="136" spans="1:16" x14ac:dyDescent="0.25">
      <c r="A136" s="13" t="s">
        <v>12787</v>
      </c>
      <c r="B136" s="14">
        <v>59269425</v>
      </c>
      <c r="C136" s="14">
        <v>59269425</v>
      </c>
      <c r="D136" s="14" t="s">
        <v>4805</v>
      </c>
      <c r="E136" s="14" t="s">
        <v>2390</v>
      </c>
      <c r="F136" s="14" t="s">
        <v>2035</v>
      </c>
      <c r="G136" s="22" t="s">
        <v>8485</v>
      </c>
      <c r="H136" s="22" t="s">
        <v>12976</v>
      </c>
      <c r="I136" s="14" t="s">
        <v>88</v>
      </c>
      <c r="J136" s="14">
        <v>2</v>
      </c>
      <c r="K136" s="14">
        <v>2</v>
      </c>
      <c r="L136" s="14" t="s">
        <v>12977</v>
      </c>
      <c r="M136" s="14" t="s">
        <v>680</v>
      </c>
      <c r="N136" s="14" t="s">
        <v>12978</v>
      </c>
      <c r="O136" s="14" t="s">
        <v>12979</v>
      </c>
      <c r="P136" s="14" t="str">
        <f>HYPERLINK("https://dexscreener.com/solana/7p1o4t6ntmVrtrPcbJZv71DfS6jyWsdZXoTyA7uspump", "View")</f>
        <v>View</v>
      </c>
    </row>
    <row r="137" spans="1:16" x14ac:dyDescent="0.25">
      <c r="A137" s="16" t="s">
        <v>12980</v>
      </c>
      <c r="B137" s="17">
        <v>32609387</v>
      </c>
      <c r="C137" s="17">
        <v>32609387</v>
      </c>
      <c r="D137" s="17" t="s">
        <v>9648</v>
      </c>
      <c r="E137" s="17" t="s">
        <v>1457</v>
      </c>
      <c r="F137" s="17" t="s">
        <v>12981</v>
      </c>
      <c r="G137" s="21" t="s">
        <v>12982</v>
      </c>
      <c r="H137" s="21" t="s">
        <v>12983</v>
      </c>
      <c r="I137" s="17" t="s">
        <v>88</v>
      </c>
      <c r="J137" s="17">
        <v>1</v>
      </c>
      <c r="K137" s="17">
        <v>11</v>
      </c>
      <c r="L137" s="17" t="s">
        <v>12984</v>
      </c>
      <c r="M137" s="17" t="s">
        <v>179</v>
      </c>
      <c r="N137" s="17" t="s">
        <v>12985</v>
      </c>
      <c r="O137" s="17" t="s">
        <v>12986</v>
      </c>
      <c r="P137" s="17" t="str">
        <f>HYPERLINK("https://dexscreener.com/solana/3JtfvzFVzkPh1we7DPDGW5xPsrPB5nX5dbAVgTeVpump", "View")</f>
        <v>View</v>
      </c>
    </row>
    <row r="138" spans="1:16" x14ac:dyDescent="0.25">
      <c r="A138" s="13" t="s">
        <v>12987</v>
      </c>
      <c r="B138" s="14">
        <v>7073054</v>
      </c>
      <c r="C138" s="14">
        <v>7073054</v>
      </c>
      <c r="D138" s="14" t="s">
        <v>4754</v>
      </c>
      <c r="E138" s="14" t="s">
        <v>1457</v>
      </c>
      <c r="F138" s="14" t="s">
        <v>12492</v>
      </c>
      <c r="G138" s="15" t="s">
        <v>12988</v>
      </c>
      <c r="H138" s="15" t="s">
        <v>12989</v>
      </c>
      <c r="I138" s="14" t="s">
        <v>88</v>
      </c>
      <c r="J138" s="14">
        <v>1</v>
      </c>
      <c r="K138" s="14">
        <v>1</v>
      </c>
      <c r="L138" s="14" t="s">
        <v>12990</v>
      </c>
      <c r="M138" s="14" t="s">
        <v>5061</v>
      </c>
      <c r="N138" s="14" t="s">
        <v>1466</v>
      </c>
      <c r="O138" s="14" t="s">
        <v>12991</v>
      </c>
      <c r="P138" s="14" t="str">
        <f>HYPERLINK("https://dexscreener.com/solana/NXBHsrteRQybQ2PeVT1UQAaLuHRsCa3aoNCdMpnTkDU", "View")</f>
        <v>View</v>
      </c>
    </row>
    <row r="139" spans="1:16" x14ac:dyDescent="0.25">
      <c r="A139" s="16" t="s">
        <v>12992</v>
      </c>
      <c r="B139" s="17">
        <v>10346784</v>
      </c>
      <c r="C139" s="17">
        <v>10346784</v>
      </c>
      <c r="D139" s="17" t="s">
        <v>12993</v>
      </c>
      <c r="E139" s="17" t="s">
        <v>105</v>
      </c>
      <c r="F139" s="17" t="s">
        <v>12994</v>
      </c>
      <c r="G139" s="22" t="s">
        <v>12995</v>
      </c>
      <c r="H139" s="22" t="s">
        <v>12996</v>
      </c>
      <c r="I139" s="17" t="s">
        <v>88</v>
      </c>
      <c r="J139" s="17">
        <v>2</v>
      </c>
      <c r="K139" s="17">
        <v>4</v>
      </c>
      <c r="L139" s="17" t="s">
        <v>12997</v>
      </c>
      <c r="M139" s="17" t="s">
        <v>364</v>
      </c>
      <c r="N139" s="17" t="s">
        <v>12998</v>
      </c>
      <c r="O139" s="17" t="s">
        <v>12999</v>
      </c>
      <c r="P139" s="17" t="str">
        <f>HYPERLINK("https://dexscreener.com/solana/BeF4e5FRLE2jyrLVERyAF8UJ7VMpKCNDUJat9pmkpump", "View")</f>
        <v>View</v>
      </c>
    </row>
    <row r="140" spans="1:16" x14ac:dyDescent="0.25">
      <c r="A140" s="13" t="s">
        <v>6322</v>
      </c>
      <c r="B140" s="14">
        <v>40940662</v>
      </c>
      <c r="C140" s="14">
        <v>40940662</v>
      </c>
      <c r="D140" s="14" t="s">
        <v>4754</v>
      </c>
      <c r="E140" s="14" t="s">
        <v>12420</v>
      </c>
      <c r="F140" s="14" t="s">
        <v>10705</v>
      </c>
      <c r="G140" s="20" t="s">
        <v>13000</v>
      </c>
      <c r="H140" s="20" t="s">
        <v>13001</v>
      </c>
      <c r="I140" s="14" t="s">
        <v>88</v>
      </c>
      <c r="J140" s="14">
        <v>1</v>
      </c>
      <c r="K140" s="14">
        <v>1</v>
      </c>
      <c r="L140" s="14" t="s">
        <v>13002</v>
      </c>
      <c r="M140" s="14" t="s">
        <v>3171</v>
      </c>
      <c r="N140" s="14" t="s">
        <v>4193</v>
      </c>
      <c r="O140" s="14" t="s">
        <v>13003</v>
      </c>
      <c r="P140" s="14" t="str">
        <f>HYPERLINK("https://photon-sol.tinyastro.io/en/lp/bbYZjUtxQhax98YxDrFJjB8HAGQvdeNanfvG7nBpump?handle=676050794bc1b1657a56b", "View")</f>
        <v>View</v>
      </c>
    </row>
    <row r="141" spans="1:16" x14ac:dyDescent="0.25">
      <c r="A141" s="16" t="s">
        <v>13004</v>
      </c>
      <c r="B141" s="17">
        <v>75397414</v>
      </c>
      <c r="C141" s="17">
        <v>75397414</v>
      </c>
      <c r="D141" s="17" t="s">
        <v>4754</v>
      </c>
      <c r="E141" s="17" t="s">
        <v>1457</v>
      </c>
      <c r="F141" s="17" t="s">
        <v>8547</v>
      </c>
      <c r="G141" s="20" t="s">
        <v>4181</v>
      </c>
      <c r="H141" s="20" t="s">
        <v>13005</v>
      </c>
      <c r="I141" s="17" t="s">
        <v>88</v>
      </c>
      <c r="J141" s="17">
        <v>1</v>
      </c>
      <c r="K141" s="17">
        <v>1</v>
      </c>
      <c r="L141" s="17" t="s">
        <v>13006</v>
      </c>
      <c r="M141" s="17" t="s">
        <v>132</v>
      </c>
      <c r="N141" s="17" t="s">
        <v>13007</v>
      </c>
      <c r="O141" s="17" t="s">
        <v>13008</v>
      </c>
      <c r="P141" s="17" t="str">
        <f>HYPERLINK("https://dexscreener.com/solana/GFRKjkdSDCs8W9U2LHUDvhi75rj6peYxjUVXcThapump", "View")</f>
        <v>View</v>
      </c>
    </row>
    <row r="142" spans="1:16" x14ac:dyDescent="0.25">
      <c r="A142" s="13" t="s">
        <v>13009</v>
      </c>
      <c r="B142" s="14">
        <v>34910736</v>
      </c>
      <c r="C142" s="14">
        <v>34910736</v>
      </c>
      <c r="D142" s="14" t="s">
        <v>4754</v>
      </c>
      <c r="E142" s="14" t="s">
        <v>1457</v>
      </c>
      <c r="F142" s="14" t="s">
        <v>13010</v>
      </c>
      <c r="G142" s="20" t="s">
        <v>13011</v>
      </c>
      <c r="H142" s="20" t="s">
        <v>13012</v>
      </c>
      <c r="I142" s="14" t="s">
        <v>88</v>
      </c>
      <c r="J142" s="14">
        <v>1</v>
      </c>
      <c r="K142" s="14">
        <v>1</v>
      </c>
      <c r="L142" s="14" t="s">
        <v>13013</v>
      </c>
      <c r="M142" s="14" t="s">
        <v>132</v>
      </c>
      <c r="N142" s="14" t="s">
        <v>2130</v>
      </c>
      <c r="O142" s="14" t="s">
        <v>13014</v>
      </c>
      <c r="P142" s="14" t="str">
        <f>HYPERLINK("https://dexscreener.com/solana/AUQmeCUyRPk2iGJewBwpXaUKUEAhvFnh6qyQSBAapump", "View")</f>
        <v>View</v>
      </c>
    </row>
    <row r="143" spans="1:16" x14ac:dyDescent="0.25">
      <c r="A143" s="16" t="s">
        <v>13015</v>
      </c>
      <c r="B143" s="17">
        <v>34209532</v>
      </c>
      <c r="C143" s="17">
        <v>34209532</v>
      </c>
      <c r="D143" s="17" t="s">
        <v>4754</v>
      </c>
      <c r="E143" s="17" t="s">
        <v>1007</v>
      </c>
      <c r="F143" s="17" t="s">
        <v>5982</v>
      </c>
      <c r="G143" s="20" t="s">
        <v>13016</v>
      </c>
      <c r="H143" s="20" t="s">
        <v>2067</v>
      </c>
      <c r="I143" s="17" t="s">
        <v>88</v>
      </c>
      <c r="J143" s="17">
        <v>1</v>
      </c>
      <c r="K143" s="17">
        <v>1</v>
      </c>
      <c r="L143" s="17" t="s">
        <v>13017</v>
      </c>
      <c r="M143" s="17" t="s">
        <v>132</v>
      </c>
      <c r="N143" s="17" t="s">
        <v>12852</v>
      </c>
      <c r="O143" s="17" t="s">
        <v>13018</v>
      </c>
      <c r="P143" s="17" t="str">
        <f>HYPERLINK("https://dexscreener.com/solana/CRF93sJpSXRP19opxWAgiH1sr2uv39DqGAXUvbVpump", "View")</f>
        <v>View</v>
      </c>
    </row>
    <row r="144" spans="1:16" x14ac:dyDescent="0.25">
      <c r="A144" s="13" t="s">
        <v>13019</v>
      </c>
      <c r="B144" s="14">
        <v>51681617</v>
      </c>
      <c r="C144" s="14">
        <v>51681617</v>
      </c>
      <c r="D144" s="14" t="s">
        <v>12693</v>
      </c>
      <c r="E144" s="14" t="s">
        <v>13020</v>
      </c>
      <c r="F144" s="14" t="s">
        <v>13021</v>
      </c>
      <c r="G144" s="20" t="s">
        <v>13022</v>
      </c>
      <c r="H144" s="20" t="s">
        <v>13023</v>
      </c>
      <c r="I144" s="14" t="s">
        <v>88</v>
      </c>
      <c r="J144" s="14">
        <v>1</v>
      </c>
      <c r="K144" s="14">
        <v>1</v>
      </c>
      <c r="L144" s="14" t="s">
        <v>13024</v>
      </c>
      <c r="M144" s="14" t="s">
        <v>1448</v>
      </c>
      <c r="N144" s="14" t="s">
        <v>3188</v>
      </c>
      <c r="O144" s="14" t="s">
        <v>13025</v>
      </c>
      <c r="P144" s="14" t="str">
        <f>HYPERLINK("https://photon-sol.tinyastro.io/en/lp/7rZR9ksqWybgpnXC1ykvR8pvhC1NBptwMbDLSRbaqva2?handle=676050794bc1b1657a56b", "View")</f>
        <v>View</v>
      </c>
    </row>
    <row r="145" spans="1:16" x14ac:dyDescent="0.25">
      <c r="A145" s="16" t="s">
        <v>13026</v>
      </c>
      <c r="B145" s="17">
        <v>62341008</v>
      </c>
      <c r="C145" s="17">
        <v>62341008</v>
      </c>
      <c r="D145" s="17" t="s">
        <v>12693</v>
      </c>
      <c r="E145" s="17" t="s">
        <v>12420</v>
      </c>
      <c r="F145" s="17" t="s">
        <v>11111</v>
      </c>
      <c r="G145" s="20" t="s">
        <v>5614</v>
      </c>
      <c r="H145" s="20" t="s">
        <v>13027</v>
      </c>
      <c r="I145" s="17" t="s">
        <v>88</v>
      </c>
      <c r="J145" s="17">
        <v>1</v>
      </c>
      <c r="K145" s="17">
        <v>1</v>
      </c>
      <c r="L145" s="17" t="s">
        <v>13028</v>
      </c>
      <c r="M145" s="19" t="s">
        <v>3000</v>
      </c>
      <c r="N145" s="17" t="s">
        <v>2308</v>
      </c>
      <c r="O145" s="17" t="s">
        <v>13029</v>
      </c>
      <c r="P145" s="17" t="str">
        <f>HYPERLINK("https://photon-sol.tinyastro.io/en/lp/46kTomus3TsFfiX81h9iwWsQqQoy1vV7Gjctu5pCpump?handle=676050794bc1b1657a56b", "View")</f>
        <v>View</v>
      </c>
    </row>
    <row r="146" spans="1:16" x14ac:dyDescent="0.25">
      <c r="A146" s="13" t="s">
        <v>2366</v>
      </c>
      <c r="B146" s="14">
        <v>14086961</v>
      </c>
      <c r="C146" s="14">
        <v>14086961</v>
      </c>
      <c r="D146" s="14" t="s">
        <v>4754</v>
      </c>
      <c r="E146" s="14" t="s">
        <v>1457</v>
      </c>
      <c r="F146" s="14" t="s">
        <v>13030</v>
      </c>
      <c r="G146" s="20" t="s">
        <v>3806</v>
      </c>
      <c r="H146" s="20" t="s">
        <v>13031</v>
      </c>
      <c r="I146" s="14" t="s">
        <v>88</v>
      </c>
      <c r="J146" s="14">
        <v>1</v>
      </c>
      <c r="K146" s="14">
        <v>1</v>
      </c>
      <c r="L146" s="14" t="s">
        <v>13032</v>
      </c>
      <c r="M146" s="14" t="s">
        <v>414</v>
      </c>
      <c r="N146" s="14" t="s">
        <v>13033</v>
      </c>
      <c r="O146" s="14" t="s">
        <v>11854</v>
      </c>
      <c r="P146" s="14" t="str">
        <f>HYPERLINK("https://dexscreener.com/solana/GsL6xKMfaKATM8iL8ssdmgpd1ApBHJ9gKLD3MsXypump", "View")</f>
        <v>View</v>
      </c>
    </row>
    <row r="147" spans="1:16" x14ac:dyDescent="0.25">
      <c r="A147" s="16" t="s">
        <v>5679</v>
      </c>
      <c r="B147" s="17">
        <v>28887953</v>
      </c>
      <c r="C147" s="17">
        <v>28887953</v>
      </c>
      <c r="D147" s="17" t="s">
        <v>4754</v>
      </c>
      <c r="E147" s="17" t="s">
        <v>1457</v>
      </c>
      <c r="F147" s="17" t="s">
        <v>13034</v>
      </c>
      <c r="G147" s="20" t="s">
        <v>2522</v>
      </c>
      <c r="H147" s="20" t="s">
        <v>13035</v>
      </c>
      <c r="I147" s="17" t="s">
        <v>88</v>
      </c>
      <c r="J147" s="17">
        <v>1</v>
      </c>
      <c r="K147" s="17">
        <v>1</v>
      </c>
      <c r="L147" s="17" t="s">
        <v>13036</v>
      </c>
      <c r="M147" s="17" t="s">
        <v>414</v>
      </c>
      <c r="N147" s="17" t="s">
        <v>13037</v>
      </c>
      <c r="O147" s="17" t="s">
        <v>5685</v>
      </c>
      <c r="P147" s="17" t="str">
        <f>HYPERLINK("https://dexscreener.com/solana/7DssKRwQJyyu93pwzMYA1bYMU7fTjbtkKQyLCdpppump", "View")</f>
        <v>View</v>
      </c>
    </row>
    <row r="148" spans="1:16" x14ac:dyDescent="0.25">
      <c r="A148" s="13" t="s">
        <v>13038</v>
      </c>
      <c r="B148" s="14">
        <v>72324323</v>
      </c>
      <c r="C148" s="14">
        <v>40000000</v>
      </c>
      <c r="D148" s="14" t="s">
        <v>4754</v>
      </c>
      <c r="E148" s="14" t="s">
        <v>1457</v>
      </c>
      <c r="F148" s="14" t="s">
        <v>13039</v>
      </c>
      <c r="G148" s="15" t="s">
        <v>13040</v>
      </c>
      <c r="H148" s="15" t="s">
        <v>13041</v>
      </c>
      <c r="I148" s="14" t="s">
        <v>88</v>
      </c>
      <c r="J148" s="14">
        <v>1</v>
      </c>
      <c r="K148" s="14">
        <v>1</v>
      </c>
      <c r="L148" s="14" t="s">
        <v>13042</v>
      </c>
      <c r="M148" s="14" t="s">
        <v>699</v>
      </c>
      <c r="N148" s="14" t="s">
        <v>12852</v>
      </c>
      <c r="O148" s="14" t="s">
        <v>13043</v>
      </c>
      <c r="P148" s="14" t="str">
        <f>HYPERLINK("https://dexscreener.com/solana/6v9zdYwqavzkiEULTGrKoHWtWfR9uT5jt4VH2g4ppump", "View")</f>
        <v>View</v>
      </c>
    </row>
    <row r="149" spans="1:16" x14ac:dyDescent="0.25">
      <c r="A149" s="16" t="s">
        <v>13044</v>
      </c>
      <c r="B149" s="17">
        <v>21347038</v>
      </c>
      <c r="C149" s="17">
        <v>0</v>
      </c>
      <c r="D149" s="17" t="s">
        <v>4738</v>
      </c>
      <c r="E149" s="17" t="s">
        <v>12420</v>
      </c>
      <c r="F149" s="17" t="s">
        <v>96</v>
      </c>
      <c r="G149" s="18" t="s">
        <v>13045</v>
      </c>
      <c r="H149" s="18" t="s">
        <v>98</v>
      </c>
      <c r="I149" s="17" t="s">
        <v>13046</v>
      </c>
      <c r="J149" s="17">
        <v>1</v>
      </c>
      <c r="K149" s="17">
        <v>0</v>
      </c>
      <c r="L149" s="17" t="s">
        <v>13047</v>
      </c>
      <c r="M149" s="19" t="s">
        <v>101</v>
      </c>
      <c r="N149" s="17" t="s">
        <v>507</v>
      </c>
      <c r="O149" s="17" t="s">
        <v>13048</v>
      </c>
      <c r="P149" s="17" t="str">
        <f>HYPERLINK("https://photon-sol.tinyastro.io/en/lp/5qfGc1Xk3osixHTrsLNZ6KjrfzGWP8AuyYpkNs2q3cWn?handle=676050794bc1b1657a56b", "View")</f>
        <v>View</v>
      </c>
    </row>
    <row r="150" spans="1:16" x14ac:dyDescent="0.25">
      <c r="A150" s="13" t="s">
        <v>13049</v>
      </c>
      <c r="B150" s="14">
        <v>86932246</v>
      </c>
      <c r="C150" s="14">
        <v>86932246</v>
      </c>
      <c r="D150" s="14" t="s">
        <v>4754</v>
      </c>
      <c r="E150" s="14" t="s">
        <v>219</v>
      </c>
      <c r="F150" s="14" t="s">
        <v>13050</v>
      </c>
      <c r="G150" s="20" t="s">
        <v>2059</v>
      </c>
      <c r="H150" s="20" t="s">
        <v>13051</v>
      </c>
      <c r="I150" s="14" t="s">
        <v>88</v>
      </c>
      <c r="J150" s="14">
        <v>1</v>
      </c>
      <c r="K150" s="14">
        <v>1</v>
      </c>
      <c r="L150" s="14" t="s">
        <v>13052</v>
      </c>
      <c r="M150" s="19" t="s">
        <v>6781</v>
      </c>
      <c r="N150" s="14" t="s">
        <v>13053</v>
      </c>
      <c r="O150" s="14" t="s">
        <v>13054</v>
      </c>
      <c r="P150" s="14" t="str">
        <f>HYPERLINK("https://dexscreener.com/solana/EQqQVg2kp7kcvydu7xYG2DJFFZLjwToWHAq7JZtrpump", "View")</f>
        <v>View</v>
      </c>
    </row>
    <row r="151" spans="1:16" x14ac:dyDescent="0.25">
      <c r="A151" s="16" t="s">
        <v>13055</v>
      </c>
      <c r="B151" s="17">
        <v>66334762</v>
      </c>
      <c r="C151" s="17">
        <v>66334762</v>
      </c>
      <c r="D151" s="17" t="s">
        <v>4754</v>
      </c>
      <c r="E151" s="17" t="s">
        <v>12420</v>
      </c>
      <c r="F151" s="17" t="s">
        <v>12849</v>
      </c>
      <c r="G151" s="20" t="s">
        <v>5854</v>
      </c>
      <c r="H151" s="20" t="s">
        <v>13056</v>
      </c>
      <c r="I151" s="17" t="s">
        <v>88</v>
      </c>
      <c r="J151" s="17">
        <v>1</v>
      </c>
      <c r="K151" s="17">
        <v>1</v>
      </c>
      <c r="L151" s="17" t="s">
        <v>13057</v>
      </c>
      <c r="M151" s="17" t="s">
        <v>4297</v>
      </c>
      <c r="N151" s="17" t="s">
        <v>507</v>
      </c>
      <c r="O151" s="17" t="s">
        <v>13058</v>
      </c>
      <c r="P151" s="17" t="str">
        <f>HYPERLINK("https://photon-sol.tinyastro.io/en/lp/QnC9NTNC6vH1CE8shs8imaEWMHkNve9apwYKCVkpump?handle=676050794bc1b1657a56b", "View")</f>
        <v>View</v>
      </c>
    </row>
    <row r="152" spans="1:16" x14ac:dyDescent="0.25">
      <c r="A152" s="13" t="s">
        <v>10703</v>
      </c>
      <c r="B152" s="14">
        <v>219955</v>
      </c>
      <c r="C152" s="14">
        <v>219955</v>
      </c>
      <c r="D152" s="14" t="s">
        <v>4754</v>
      </c>
      <c r="E152" s="14" t="s">
        <v>569</v>
      </c>
      <c r="F152" s="14" t="s">
        <v>8219</v>
      </c>
      <c r="G152" s="15" t="s">
        <v>13059</v>
      </c>
      <c r="H152" s="15" t="s">
        <v>13060</v>
      </c>
      <c r="I152" s="14" t="s">
        <v>88</v>
      </c>
      <c r="J152" s="14">
        <v>1</v>
      </c>
      <c r="K152" s="14">
        <v>1</v>
      </c>
      <c r="L152" s="14" t="s">
        <v>13061</v>
      </c>
      <c r="M152" s="14" t="s">
        <v>823</v>
      </c>
      <c r="N152" s="14" t="s">
        <v>10708</v>
      </c>
      <c r="O152" s="14" t="s">
        <v>10709</v>
      </c>
      <c r="P152" s="14" t="str">
        <f>HYPERLINK("https://dexscreener.com/solana/CUzSRjBvqFFq45mg6j9oyQrDxyUTHEKM2xqKzDkZpump", "View")</f>
        <v>View</v>
      </c>
    </row>
    <row r="153" spans="1:16" x14ac:dyDescent="0.25">
      <c r="A153" s="16" t="s">
        <v>13062</v>
      </c>
      <c r="B153" s="17">
        <v>11364088</v>
      </c>
      <c r="C153" s="17">
        <v>11364088</v>
      </c>
      <c r="D153" s="17" t="s">
        <v>4754</v>
      </c>
      <c r="E153" s="17" t="s">
        <v>569</v>
      </c>
      <c r="F153" s="17" t="s">
        <v>13063</v>
      </c>
      <c r="G153" s="21" t="s">
        <v>13064</v>
      </c>
      <c r="H153" s="21" t="s">
        <v>13065</v>
      </c>
      <c r="I153" s="17" t="s">
        <v>88</v>
      </c>
      <c r="J153" s="17">
        <v>1</v>
      </c>
      <c r="K153" s="17">
        <v>1</v>
      </c>
      <c r="L153" s="17" t="s">
        <v>13066</v>
      </c>
      <c r="M153" s="17" t="s">
        <v>7381</v>
      </c>
      <c r="N153" s="17" t="s">
        <v>13067</v>
      </c>
      <c r="O153" s="17" t="s">
        <v>13068</v>
      </c>
      <c r="P153" s="17" t="str">
        <f>HYPERLINK("https://dexscreener.com/solana/AXgfmnMwnkbfMdpXqXMn6oJCQ7sQKvX2PmkXfJSRpump", "View")</f>
        <v>View</v>
      </c>
    </row>
    <row r="154" spans="1:16" x14ac:dyDescent="0.25">
      <c r="A154" s="13" t="s">
        <v>13069</v>
      </c>
      <c r="B154" s="14">
        <v>44041434</v>
      </c>
      <c r="C154" s="14">
        <v>44041434</v>
      </c>
      <c r="D154" s="14" t="s">
        <v>4754</v>
      </c>
      <c r="E154" s="14" t="s">
        <v>13070</v>
      </c>
      <c r="F154" s="14" t="s">
        <v>13071</v>
      </c>
      <c r="G154" s="15" t="s">
        <v>13072</v>
      </c>
      <c r="H154" s="15" t="s">
        <v>13073</v>
      </c>
      <c r="I154" s="14" t="s">
        <v>88</v>
      </c>
      <c r="J154" s="14">
        <v>1</v>
      </c>
      <c r="K154" s="14">
        <v>1</v>
      </c>
      <c r="L154" s="14" t="s">
        <v>13074</v>
      </c>
      <c r="M154" s="14" t="s">
        <v>1448</v>
      </c>
      <c r="N154" s="14" t="s">
        <v>2069</v>
      </c>
      <c r="O154" s="14" t="s">
        <v>13075</v>
      </c>
      <c r="P154" s="14" t="str">
        <f>HYPERLINK("https://photon-sol.tinyastro.io/en/lp/BhZFqRyVo7rPWMgK4K9p5kDfvEw6WsneZ9aHzBoupump?handle=676050794bc1b1657a56b", "View")</f>
        <v>View</v>
      </c>
    </row>
    <row r="155" spans="1:16" x14ac:dyDescent="0.25">
      <c r="A155" s="16" t="s">
        <v>473</v>
      </c>
      <c r="B155" s="17">
        <v>19242586</v>
      </c>
      <c r="C155" s="17">
        <v>19242586</v>
      </c>
      <c r="D155" s="17" t="s">
        <v>4754</v>
      </c>
      <c r="E155" s="17" t="s">
        <v>569</v>
      </c>
      <c r="F155" s="17" t="s">
        <v>13076</v>
      </c>
      <c r="G155" s="20" t="s">
        <v>2172</v>
      </c>
      <c r="H155" s="20" t="s">
        <v>12313</v>
      </c>
      <c r="I155" s="17" t="s">
        <v>88</v>
      </c>
      <c r="J155" s="17">
        <v>1</v>
      </c>
      <c r="K155" s="17">
        <v>1</v>
      </c>
      <c r="L155" s="17" t="s">
        <v>13077</v>
      </c>
      <c r="M155" s="17" t="s">
        <v>2695</v>
      </c>
      <c r="N155" s="17" t="s">
        <v>13078</v>
      </c>
      <c r="O155" s="17" t="s">
        <v>481</v>
      </c>
      <c r="P155" s="17" t="str">
        <f>HYPERLINK("https://dexscreener.com/solana/7M3ieFsS397J924iPZUHZT4vkX5mVpueoVB5RbzTpump", "View")</f>
        <v>View</v>
      </c>
    </row>
    <row r="156" spans="1:16" x14ac:dyDescent="0.25">
      <c r="A156" s="13" t="s">
        <v>13079</v>
      </c>
      <c r="B156" s="14">
        <v>42660275</v>
      </c>
      <c r="C156" s="14">
        <v>42660275</v>
      </c>
      <c r="D156" s="14" t="s">
        <v>4754</v>
      </c>
      <c r="E156" s="14" t="s">
        <v>1457</v>
      </c>
      <c r="F156" s="14" t="s">
        <v>2919</v>
      </c>
      <c r="G156" s="20" t="s">
        <v>13080</v>
      </c>
      <c r="H156" s="20" t="s">
        <v>13081</v>
      </c>
      <c r="I156" s="14" t="s">
        <v>88</v>
      </c>
      <c r="J156" s="14">
        <v>1</v>
      </c>
      <c r="K156" s="14">
        <v>1</v>
      </c>
      <c r="L156" s="14" t="s">
        <v>13082</v>
      </c>
      <c r="M156" s="14" t="s">
        <v>132</v>
      </c>
      <c r="N156" s="14" t="s">
        <v>9157</v>
      </c>
      <c r="O156" s="14" t="s">
        <v>13083</v>
      </c>
      <c r="P156" s="14" t="str">
        <f>HYPERLINK("https://dexscreener.com/solana/92mNG3FvRynhEmsLRozZSy4nCxK9QVmpV4eKPRpfX4Uo", "View")</f>
        <v>View</v>
      </c>
    </row>
    <row r="157" spans="1:16" x14ac:dyDescent="0.25">
      <c r="A157" s="16" t="s">
        <v>13084</v>
      </c>
      <c r="B157" s="17">
        <v>19182246</v>
      </c>
      <c r="C157" s="17">
        <v>19182246</v>
      </c>
      <c r="D157" s="17" t="s">
        <v>4754</v>
      </c>
      <c r="E157" s="17" t="s">
        <v>7432</v>
      </c>
      <c r="F157" s="17" t="s">
        <v>13085</v>
      </c>
      <c r="G157" s="15" t="s">
        <v>13086</v>
      </c>
      <c r="H157" s="15" t="s">
        <v>13087</v>
      </c>
      <c r="I157" s="17" t="s">
        <v>88</v>
      </c>
      <c r="J157" s="17">
        <v>1</v>
      </c>
      <c r="K157" s="17">
        <v>1</v>
      </c>
      <c r="L157" s="17" t="s">
        <v>13088</v>
      </c>
      <c r="M157" s="17" t="s">
        <v>1159</v>
      </c>
      <c r="N157" s="17" t="s">
        <v>5857</v>
      </c>
      <c r="O157" s="17" t="s">
        <v>13089</v>
      </c>
      <c r="P157" s="17" t="str">
        <f>HYPERLINK("https://photon-sol.tinyastro.io/en/lp/3VnEQ5Q2nAPBfeyPdvSH2GEKRnpJKh3592zQp8vapump?handle=676050794bc1b1657a56b", "View")</f>
        <v>View</v>
      </c>
    </row>
    <row r="158" spans="1:16" x14ac:dyDescent="0.25">
      <c r="A158" s="13" t="s">
        <v>10568</v>
      </c>
      <c r="B158" s="14">
        <v>8245714</v>
      </c>
      <c r="C158" s="14">
        <v>8245714</v>
      </c>
      <c r="D158" s="14" t="s">
        <v>4754</v>
      </c>
      <c r="E158" s="14" t="s">
        <v>1457</v>
      </c>
      <c r="F158" s="14" t="s">
        <v>13090</v>
      </c>
      <c r="G158" s="15" t="s">
        <v>13091</v>
      </c>
      <c r="H158" s="15" t="s">
        <v>13092</v>
      </c>
      <c r="I158" s="14" t="s">
        <v>88</v>
      </c>
      <c r="J158" s="14">
        <v>1</v>
      </c>
      <c r="K158" s="14">
        <v>1</v>
      </c>
      <c r="L158" s="14" t="s">
        <v>13093</v>
      </c>
      <c r="M158" s="14" t="s">
        <v>1478</v>
      </c>
      <c r="N158" s="14" t="s">
        <v>5251</v>
      </c>
      <c r="O158" s="14" t="s">
        <v>10572</v>
      </c>
      <c r="P158" s="14" t="str">
        <f>HYPERLINK("https://dexscreener.com/solana/8q83Vvfu9ShcREvQ6TGi34VrJH9y2uSPygGzTtYWpump", "View")</f>
        <v>View</v>
      </c>
    </row>
    <row r="159" spans="1:16" x14ac:dyDescent="0.25">
      <c r="A159" s="16" t="s">
        <v>13094</v>
      </c>
      <c r="B159" s="17">
        <v>36283994</v>
      </c>
      <c r="C159" s="17">
        <v>36283994</v>
      </c>
      <c r="D159" s="17" t="s">
        <v>4754</v>
      </c>
      <c r="E159" s="17" t="s">
        <v>569</v>
      </c>
      <c r="F159" s="17" t="s">
        <v>12500</v>
      </c>
      <c r="G159" s="15" t="s">
        <v>13095</v>
      </c>
      <c r="H159" s="15" t="s">
        <v>13096</v>
      </c>
      <c r="I159" s="17" t="s">
        <v>88</v>
      </c>
      <c r="J159" s="17">
        <v>1</v>
      </c>
      <c r="K159" s="17">
        <v>1</v>
      </c>
      <c r="L159" s="17" t="s">
        <v>13097</v>
      </c>
      <c r="M159" s="17" t="s">
        <v>1478</v>
      </c>
      <c r="N159" s="17" t="s">
        <v>13098</v>
      </c>
      <c r="O159" s="17" t="s">
        <v>13099</v>
      </c>
      <c r="P159" s="17" t="str">
        <f>HYPERLINK("https://dexscreener.com/solana/HxBgMk4MR1puZEjrh1dW7JomUhTUUSBFELNoL2Pypump", "View")</f>
        <v>View</v>
      </c>
    </row>
    <row r="160" spans="1:16" x14ac:dyDescent="0.25">
      <c r="A160" s="13" t="s">
        <v>13100</v>
      </c>
      <c r="B160" s="14">
        <v>42186833</v>
      </c>
      <c r="C160" s="14">
        <v>42186833</v>
      </c>
      <c r="D160" s="14" t="s">
        <v>4754</v>
      </c>
      <c r="E160" s="14" t="s">
        <v>13101</v>
      </c>
      <c r="F160" s="14" t="s">
        <v>13102</v>
      </c>
      <c r="G160" s="20" t="s">
        <v>11307</v>
      </c>
      <c r="H160" s="20" t="s">
        <v>13103</v>
      </c>
      <c r="I160" s="14" t="s">
        <v>88</v>
      </c>
      <c r="J160" s="14">
        <v>1</v>
      </c>
      <c r="K160" s="14">
        <v>1</v>
      </c>
      <c r="L160" s="14" t="s">
        <v>13104</v>
      </c>
      <c r="M160" s="14" t="s">
        <v>5445</v>
      </c>
      <c r="N160" s="14" t="s">
        <v>2585</v>
      </c>
      <c r="O160" s="14" t="s">
        <v>13105</v>
      </c>
      <c r="P160" s="14" t="str">
        <f>HYPERLINK("https://photon-sol.tinyastro.io/en/lp/G5i3jF4YFwzigSPGqGnFfECAQTcThcchxSQ72pkXpump?handle=676050794bc1b1657a56b", "View")</f>
        <v>View</v>
      </c>
    </row>
    <row r="161" spans="1:16" x14ac:dyDescent="0.25">
      <c r="A161" s="16" t="s">
        <v>558</v>
      </c>
      <c r="B161" s="17">
        <v>2914245</v>
      </c>
      <c r="C161" s="17">
        <v>2914245</v>
      </c>
      <c r="D161" s="17" t="s">
        <v>4805</v>
      </c>
      <c r="E161" s="17" t="s">
        <v>1267</v>
      </c>
      <c r="F161" s="17" t="s">
        <v>6532</v>
      </c>
      <c r="G161" s="20" t="s">
        <v>3638</v>
      </c>
      <c r="H161" s="20" t="s">
        <v>1446</v>
      </c>
      <c r="I161" s="17" t="s">
        <v>88</v>
      </c>
      <c r="J161" s="17">
        <v>3</v>
      </c>
      <c r="K161" s="17">
        <v>1</v>
      </c>
      <c r="L161" s="17" t="s">
        <v>13106</v>
      </c>
      <c r="M161" s="17" t="s">
        <v>150</v>
      </c>
      <c r="N161" s="17" t="s">
        <v>13107</v>
      </c>
      <c r="O161" s="17" t="s">
        <v>13108</v>
      </c>
      <c r="P161" s="17" t="str">
        <f>HYPERLINK("https://dexscreener.com/solana/4Hcm1TfA1MvVhCQHvJCcKL7ymUhJZAV7P439H5ZHnKRh", "View")</f>
        <v>View</v>
      </c>
    </row>
    <row r="162" spans="1:16" x14ac:dyDescent="0.25">
      <c r="A162" s="13" t="s">
        <v>13109</v>
      </c>
      <c r="B162" s="14">
        <v>25520342</v>
      </c>
      <c r="C162" s="14">
        <v>25520342</v>
      </c>
      <c r="D162" s="14" t="s">
        <v>4754</v>
      </c>
      <c r="E162" s="14" t="s">
        <v>2178</v>
      </c>
      <c r="F162" s="14" t="s">
        <v>8540</v>
      </c>
      <c r="G162" s="20" t="s">
        <v>3571</v>
      </c>
      <c r="H162" s="20" t="s">
        <v>13110</v>
      </c>
      <c r="I162" s="14" t="s">
        <v>88</v>
      </c>
      <c r="J162" s="14">
        <v>1</v>
      </c>
      <c r="K162" s="14">
        <v>1</v>
      </c>
      <c r="L162" s="14" t="s">
        <v>13111</v>
      </c>
      <c r="M162" s="14" t="s">
        <v>3462</v>
      </c>
      <c r="N162" s="14" t="s">
        <v>2585</v>
      </c>
      <c r="O162" s="14" t="s">
        <v>13112</v>
      </c>
      <c r="P162" s="14" t="str">
        <f>HYPERLINK("https://photon-sol.tinyastro.io/en/lp/2oydoVekga7FW8JmyHNEXS48CZtDkrE5WmJNJeDVpump?handle=676050794bc1b1657a56b", "View")</f>
        <v>View</v>
      </c>
    </row>
    <row r="163" spans="1:16" x14ac:dyDescent="0.25">
      <c r="A163" s="16" t="s">
        <v>13113</v>
      </c>
      <c r="B163" s="17">
        <v>32559303</v>
      </c>
      <c r="C163" s="17">
        <v>32559303</v>
      </c>
      <c r="D163" s="17" t="s">
        <v>4754</v>
      </c>
      <c r="E163" s="17" t="s">
        <v>2178</v>
      </c>
      <c r="F163" s="17" t="s">
        <v>2588</v>
      </c>
      <c r="G163" s="20" t="s">
        <v>11890</v>
      </c>
      <c r="H163" s="20" t="s">
        <v>13114</v>
      </c>
      <c r="I163" s="17" t="s">
        <v>88</v>
      </c>
      <c r="J163" s="17">
        <v>1</v>
      </c>
      <c r="K163" s="17">
        <v>1</v>
      </c>
      <c r="L163" s="17" t="s">
        <v>13115</v>
      </c>
      <c r="M163" s="17" t="s">
        <v>117</v>
      </c>
      <c r="N163" s="17" t="s">
        <v>2308</v>
      </c>
      <c r="O163" s="17" t="s">
        <v>13116</v>
      </c>
      <c r="P163" s="17" t="str">
        <f>HYPERLINK("https://photon-sol.tinyastro.io/en/lp/Evo4fPMgLxyrcAoytFLvskspg7nTF1jrahRWYD1Ppump?handle=676050794bc1b1657a56b", "View")</f>
        <v>View</v>
      </c>
    </row>
    <row r="164" spans="1:16" x14ac:dyDescent="0.25">
      <c r="A164" s="13" t="s">
        <v>13117</v>
      </c>
      <c r="B164" s="14">
        <v>8508340</v>
      </c>
      <c r="C164" s="14">
        <v>8508340</v>
      </c>
      <c r="D164" s="14" t="s">
        <v>12693</v>
      </c>
      <c r="E164" s="14" t="s">
        <v>13118</v>
      </c>
      <c r="F164" s="14" t="s">
        <v>13119</v>
      </c>
      <c r="G164" s="22" t="s">
        <v>13120</v>
      </c>
      <c r="H164" s="22" t="s">
        <v>13121</v>
      </c>
      <c r="I164" s="14" t="s">
        <v>88</v>
      </c>
      <c r="J164" s="14">
        <v>8</v>
      </c>
      <c r="K164" s="14">
        <v>4</v>
      </c>
      <c r="L164" s="14" t="s">
        <v>13122</v>
      </c>
      <c r="M164" s="14" t="s">
        <v>4454</v>
      </c>
      <c r="N164" s="14" t="s">
        <v>13123</v>
      </c>
      <c r="O164" s="14" t="s">
        <v>13124</v>
      </c>
      <c r="P164" s="14" t="str">
        <f>HYPERLINK("https://dexscreener.com/solana/BSqMUYb6ePwKsby85zrXaDa4SNf6AgZ9YfA2c4mZpump", "View")</f>
        <v>View</v>
      </c>
    </row>
    <row r="165" spans="1:16" x14ac:dyDescent="0.25">
      <c r="A165" s="16" t="s">
        <v>10509</v>
      </c>
      <c r="B165" s="17">
        <v>15278538</v>
      </c>
      <c r="C165" s="17">
        <v>15278538</v>
      </c>
      <c r="D165" s="17" t="s">
        <v>6267</v>
      </c>
      <c r="E165" s="17" t="s">
        <v>2390</v>
      </c>
      <c r="F165" s="17" t="s">
        <v>13125</v>
      </c>
      <c r="G165" s="22" t="s">
        <v>13126</v>
      </c>
      <c r="H165" s="22" t="s">
        <v>13127</v>
      </c>
      <c r="I165" s="17" t="s">
        <v>88</v>
      </c>
      <c r="J165" s="17">
        <v>1</v>
      </c>
      <c r="K165" s="17">
        <v>2</v>
      </c>
      <c r="L165" s="17" t="s">
        <v>13128</v>
      </c>
      <c r="M165" s="17" t="s">
        <v>680</v>
      </c>
      <c r="N165" s="17" t="s">
        <v>7249</v>
      </c>
      <c r="O165" s="17" t="s">
        <v>10541</v>
      </c>
      <c r="P165" s="17" t="str">
        <f>HYPERLINK("https://dexscreener.com/solana/2jfmsGtcBpF4qQxztyBqhZmrtTf8tCNv7o98kwwSpump", "View")</f>
        <v>View</v>
      </c>
    </row>
    <row r="166" spans="1:16" x14ac:dyDescent="0.25">
      <c r="A166" s="13" t="s">
        <v>13129</v>
      </c>
      <c r="B166" s="14">
        <v>14380920</v>
      </c>
      <c r="C166" s="14">
        <v>14380920</v>
      </c>
      <c r="D166" s="14" t="s">
        <v>4754</v>
      </c>
      <c r="E166" s="14" t="s">
        <v>3253</v>
      </c>
      <c r="F166" s="14" t="s">
        <v>4309</v>
      </c>
      <c r="G166" s="22" t="s">
        <v>4919</v>
      </c>
      <c r="H166" s="22" t="s">
        <v>13130</v>
      </c>
      <c r="I166" s="14" t="s">
        <v>88</v>
      </c>
      <c r="J166" s="14">
        <v>1</v>
      </c>
      <c r="K166" s="14">
        <v>1</v>
      </c>
      <c r="L166" s="14" t="s">
        <v>13131</v>
      </c>
      <c r="M166" s="14" t="s">
        <v>2047</v>
      </c>
      <c r="N166" s="14" t="s">
        <v>13132</v>
      </c>
      <c r="O166" s="14" t="s">
        <v>13133</v>
      </c>
      <c r="P166" s="14" t="str">
        <f>HYPERLINK("https://photon-sol.tinyastro.io/en/lp/9TTUmf6fJwjHtD16KGyujVixme8Qs9uNuN5jsb6c13Bd?handle=676050794bc1b1657a56b", "View")</f>
        <v>View</v>
      </c>
    </row>
    <row r="167" spans="1:16" x14ac:dyDescent="0.25">
      <c r="A167" s="16" t="s">
        <v>2519</v>
      </c>
      <c r="B167" s="17">
        <v>36850418</v>
      </c>
      <c r="C167" s="17">
        <v>36850418</v>
      </c>
      <c r="D167" s="17" t="s">
        <v>12693</v>
      </c>
      <c r="E167" s="17" t="s">
        <v>13134</v>
      </c>
      <c r="F167" s="17" t="s">
        <v>12836</v>
      </c>
      <c r="G167" s="20" t="s">
        <v>3185</v>
      </c>
      <c r="H167" s="20" t="s">
        <v>13135</v>
      </c>
      <c r="I167" s="17" t="s">
        <v>88</v>
      </c>
      <c r="J167" s="17">
        <v>1</v>
      </c>
      <c r="K167" s="17">
        <v>1</v>
      </c>
      <c r="L167" s="17" t="s">
        <v>13136</v>
      </c>
      <c r="M167" s="19" t="s">
        <v>2248</v>
      </c>
      <c r="N167" s="17" t="s">
        <v>2585</v>
      </c>
      <c r="O167" s="17" t="s">
        <v>13137</v>
      </c>
      <c r="P167" s="17" t="str">
        <f>HYPERLINK("https://photon-sol.tinyastro.io/en/lp/5FKMTvgyrvXovFDd1YA8vxcLtm9GXA4JT4Wxxc4Apump?handle=676050794bc1b1657a56b", "View")</f>
        <v>View</v>
      </c>
    </row>
    <row r="168" spans="1:16" x14ac:dyDescent="0.25">
      <c r="A168" s="13" t="s">
        <v>13138</v>
      </c>
      <c r="B168" s="14">
        <v>26777630</v>
      </c>
      <c r="C168" s="14">
        <v>26777630</v>
      </c>
      <c r="D168" s="14" t="s">
        <v>12693</v>
      </c>
      <c r="E168" s="14" t="s">
        <v>2546</v>
      </c>
      <c r="F168" s="14" t="s">
        <v>13139</v>
      </c>
      <c r="G168" s="20" t="s">
        <v>13140</v>
      </c>
      <c r="H168" s="20" t="s">
        <v>13141</v>
      </c>
      <c r="I168" s="14" t="s">
        <v>88</v>
      </c>
      <c r="J168" s="14">
        <v>1</v>
      </c>
      <c r="K168" s="14">
        <v>1</v>
      </c>
      <c r="L168" s="14" t="s">
        <v>13142</v>
      </c>
      <c r="M168" s="14" t="s">
        <v>1566</v>
      </c>
      <c r="N168" s="14" t="s">
        <v>2585</v>
      </c>
      <c r="O168" s="14" t="s">
        <v>13143</v>
      </c>
      <c r="P168" s="14" t="str">
        <f>HYPERLINK("https://photon-sol.tinyastro.io/en/lp/6ebvoGVjmB8YGYf7N35GLmSLFMwAGXxjohFyvTCSpump?handle=676050794bc1b1657a56b", "View")</f>
        <v>View</v>
      </c>
    </row>
    <row r="169" spans="1:16" x14ac:dyDescent="0.25">
      <c r="A169" s="16" t="s">
        <v>13144</v>
      </c>
      <c r="B169" s="17">
        <v>59265383</v>
      </c>
      <c r="C169" s="17">
        <v>59265383</v>
      </c>
      <c r="D169" s="17" t="s">
        <v>4754</v>
      </c>
      <c r="E169" s="17" t="s">
        <v>1457</v>
      </c>
      <c r="F169" s="17" t="s">
        <v>13145</v>
      </c>
      <c r="G169" s="20" t="s">
        <v>5854</v>
      </c>
      <c r="H169" s="20" t="s">
        <v>13146</v>
      </c>
      <c r="I169" s="17" t="s">
        <v>88</v>
      </c>
      <c r="J169" s="17">
        <v>1</v>
      </c>
      <c r="K169" s="17">
        <v>1</v>
      </c>
      <c r="L169" s="17" t="s">
        <v>13147</v>
      </c>
      <c r="M169" s="17" t="s">
        <v>364</v>
      </c>
      <c r="N169" s="17" t="s">
        <v>2308</v>
      </c>
      <c r="O169" s="17" t="s">
        <v>13148</v>
      </c>
      <c r="P169" s="17" t="str">
        <f>HYPERLINK("https://dexscreener.com/solana/438Pgb6J1A2yTTNg5WFwoqhu9DGRHxugs1T9VZtcpump", "View")</f>
        <v>View</v>
      </c>
    </row>
    <row r="170" spans="1:16" x14ac:dyDescent="0.25">
      <c r="A170" s="13" t="s">
        <v>13149</v>
      </c>
      <c r="B170" s="14">
        <v>143083472</v>
      </c>
      <c r="C170" s="14">
        <v>143083472</v>
      </c>
      <c r="D170" s="14" t="s">
        <v>1890</v>
      </c>
      <c r="E170" s="14" t="s">
        <v>2390</v>
      </c>
      <c r="F170" s="14" t="s">
        <v>13150</v>
      </c>
      <c r="G170" s="20" t="s">
        <v>4762</v>
      </c>
      <c r="H170" s="20" t="s">
        <v>13151</v>
      </c>
      <c r="I170" s="14" t="s">
        <v>88</v>
      </c>
      <c r="J170" s="14">
        <v>1</v>
      </c>
      <c r="K170" s="14">
        <v>1</v>
      </c>
      <c r="L170" s="14" t="s">
        <v>13152</v>
      </c>
      <c r="M170" s="14" t="s">
        <v>1434</v>
      </c>
      <c r="N170" s="14" t="s">
        <v>4769</v>
      </c>
      <c r="O170" s="14" t="s">
        <v>13153</v>
      </c>
      <c r="P170" s="14" t="str">
        <f>HYPERLINK("https://dexscreener.com/solana/6qLPDSJwhSu9Y4WRUAggGc6bBAJ9BLxUU62JRFhpump", "View")</f>
        <v>View</v>
      </c>
    </row>
    <row r="171" spans="1:16" x14ac:dyDescent="0.25">
      <c r="A171" s="16" t="s">
        <v>693</v>
      </c>
      <c r="B171" s="17">
        <v>29371395</v>
      </c>
      <c r="C171" s="17">
        <v>29371395</v>
      </c>
      <c r="D171" s="17" t="s">
        <v>4805</v>
      </c>
      <c r="E171" s="17" t="s">
        <v>13154</v>
      </c>
      <c r="F171" s="17" t="s">
        <v>8880</v>
      </c>
      <c r="G171" s="22" t="s">
        <v>13155</v>
      </c>
      <c r="H171" s="22" t="s">
        <v>13156</v>
      </c>
      <c r="I171" s="17" t="s">
        <v>88</v>
      </c>
      <c r="J171" s="17">
        <v>2</v>
      </c>
      <c r="K171" s="17">
        <v>2</v>
      </c>
      <c r="L171" s="17" t="s">
        <v>13157</v>
      </c>
      <c r="M171" s="17" t="s">
        <v>680</v>
      </c>
      <c r="N171" s="17" t="s">
        <v>13158</v>
      </c>
      <c r="O171" s="17" t="s">
        <v>701</v>
      </c>
      <c r="P171" s="17" t="str">
        <f>HYPERLINK("https://photon-sol.tinyastro.io/en/lp/A6J6iU22H4dzFsHiSRcPdwYCGtJLNFupDotwhKgfpump?handle=676050794bc1b1657a56b", "View")</f>
        <v>View</v>
      </c>
    </row>
    <row r="172" spans="1:16" x14ac:dyDescent="0.25">
      <c r="A172" s="13" t="s">
        <v>13159</v>
      </c>
      <c r="B172" s="14">
        <v>122796384</v>
      </c>
      <c r="C172" s="14">
        <v>122796384</v>
      </c>
      <c r="D172" s="14" t="s">
        <v>5069</v>
      </c>
      <c r="E172" s="14" t="s">
        <v>13160</v>
      </c>
      <c r="F172" s="14" t="s">
        <v>13161</v>
      </c>
      <c r="G172" s="22" t="s">
        <v>3503</v>
      </c>
      <c r="H172" s="22" t="s">
        <v>13162</v>
      </c>
      <c r="I172" s="14" t="s">
        <v>88</v>
      </c>
      <c r="J172" s="14">
        <v>3</v>
      </c>
      <c r="K172" s="14">
        <v>3</v>
      </c>
      <c r="L172" s="14" t="s">
        <v>13163</v>
      </c>
      <c r="M172" s="14" t="s">
        <v>160</v>
      </c>
      <c r="N172" s="14" t="s">
        <v>1011</v>
      </c>
      <c r="O172" s="14" t="s">
        <v>13164</v>
      </c>
      <c r="P172" s="14" t="str">
        <f>HYPERLINK("https://photon-sol.tinyastro.io/en/lp/9MJTtkxRvbbj9qXRnR5ywWZANnQpD89g3CYnHa9spump?handle=676050794bc1b1657a56b", "View")</f>
        <v>View</v>
      </c>
    </row>
    <row r="173" spans="1:16" x14ac:dyDescent="0.25">
      <c r="A173" s="16" t="s">
        <v>13165</v>
      </c>
      <c r="B173" s="17">
        <v>112917186</v>
      </c>
      <c r="C173" s="17">
        <v>112917186</v>
      </c>
      <c r="D173" s="17" t="s">
        <v>4805</v>
      </c>
      <c r="E173" s="17" t="s">
        <v>13166</v>
      </c>
      <c r="F173" s="17" t="s">
        <v>13167</v>
      </c>
      <c r="G173" s="20" t="s">
        <v>4962</v>
      </c>
      <c r="H173" s="20" t="s">
        <v>13168</v>
      </c>
      <c r="I173" s="17" t="s">
        <v>88</v>
      </c>
      <c r="J173" s="17">
        <v>2</v>
      </c>
      <c r="K173" s="17">
        <v>2</v>
      </c>
      <c r="L173" s="17" t="s">
        <v>13169</v>
      </c>
      <c r="M173" s="17" t="s">
        <v>5027</v>
      </c>
      <c r="N173" s="17" t="s">
        <v>1011</v>
      </c>
      <c r="O173" s="17" t="s">
        <v>13170</v>
      </c>
      <c r="P173" s="17" t="str">
        <f>HYPERLINK("https://photon-sol.tinyastro.io/en/lp/GXk7hBoyigKHNR4S47FgyhFVdUM5JTnASRjyuE8mpump?handle=676050794bc1b1657a56b", "View")</f>
        <v>View</v>
      </c>
    </row>
    <row r="174" spans="1:16" x14ac:dyDescent="0.25">
      <c r="A174" s="13" t="s">
        <v>13171</v>
      </c>
      <c r="B174" s="14">
        <v>34327100</v>
      </c>
      <c r="C174" s="14">
        <v>34327100</v>
      </c>
      <c r="D174" s="14" t="s">
        <v>12693</v>
      </c>
      <c r="E174" s="14" t="s">
        <v>13172</v>
      </c>
      <c r="F174" s="14" t="s">
        <v>2919</v>
      </c>
      <c r="G174" s="15" t="s">
        <v>8548</v>
      </c>
      <c r="H174" s="15" t="s">
        <v>13173</v>
      </c>
      <c r="I174" s="14" t="s">
        <v>88</v>
      </c>
      <c r="J174" s="14">
        <v>1</v>
      </c>
      <c r="K174" s="14">
        <v>1</v>
      </c>
      <c r="L174" s="14" t="s">
        <v>13174</v>
      </c>
      <c r="M174" s="14" t="s">
        <v>1434</v>
      </c>
      <c r="N174" s="14" t="s">
        <v>2069</v>
      </c>
      <c r="O174" s="14" t="s">
        <v>13175</v>
      </c>
      <c r="P174" s="14" t="str">
        <f>HYPERLINK("https://photon-sol.tinyastro.io/en/lp/GNFmLfZPXDmyAojDrkzcQYkMx1tqX3ck9uVcMerMpump?handle=676050794bc1b1657a56b", "View")</f>
        <v>View</v>
      </c>
    </row>
    <row r="175" spans="1:16" x14ac:dyDescent="0.25">
      <c r="A175" s="16" t="s">
        <v>13176</v>
      </c>
      <c r="B175" s="17">
        <v>30562413</v>
      </c>
      <c r="C175" s="17">
        <v>30562413</v>
      </c>
      <c r="D175" s="17" t="s">
        <v>12693</v>
      </c>
      <c r="E175" s="17" t="s">
        <v>2178</v>
      </c>
      <c r="F175" s="17" t="s">
        <v>8634</v>
      </c>
      <c r="G175" s="20" t="s">
        <v>11304</v>
      </c>
      <c r="H175" s="20" t="s">
        <v>13177</v>
      </c>
      <c r="I175" s="17" t="s">
        <v>88</v>
      </c>
      <c r="J175" s="17">
        <v>1</v>
      </c>
      <c r="K175" s="17">
        <v>1</v>
      </c>
      <c r="L175" s="17" t="s">
        <v>13178</v>
      </c>
      <c r="M175" s="19" t="s">
        <v>2323</v>
      </c>
      <c r="N175" s="17" t="s">
        <v>2308</v>
      </c>
      <c r="O175" s="17" t="s">
        <v>13179</v>
      </c>
      <c r="P175" s="17" t="str">
        <f>HYPERLINK("https://photon-sol.tinyastro.io/en/lp/688t9kpEPvvkcWSTp3Fv15qG5ipaX6qMjAu2k5YDpump?handle=676050794bc1b1657a56b", "View")</f>
        <v>View</v>
      </c>
    </row>
    <row r="176" spans="1:16" x14ac:dyDescent="0.25">
      <c r="A176" s="13" t="s">
        <v>13180</v>
      </c>
      <c r="B176" s="14">
        <v>27484960</v>
      </c>
      <c r="C176" s="14">
        <v>27484960</v>
      </c>
      <c r="D176" s="14" t="s">
        <v>12693</v>
      </c>
      <c r="E176" s="14" t="s">
        <v>2178</v>
      </c>
      <c r="F176" s="14" t="s">
        <v>2758</v>
      </c>
      <c r="G176" s="20" t="s">
        <v>9602</v>
      </c>
      <c r="H176" s="20" t="s">
        <v>13181</v>
      </c>
      <c r="I176" s="14" t="s">
        <v>88</v>
      </c>
      <c r="J176" s="14">
        <v>1</v>
      </c>
      <c r="K176" s="14">
        <v>1</v>
      </c>
      <c r="L176" s="14" t="s">
        <v>13182</v>
      </c>
      <c r="M176" s="14" t="s">
        <v>5445</v>
      </c>
      <c r="N176" s="14" t="s">
        <v>2585</v>
      </c>
      <c r="O176" s="14" t="s">
        <v>13183</v>
      </c>
      <c r="P176" s="14" t="str">
        <f>HYPERLINK("https://photon-sol.tinyastro.io/en/lp/9N1b74C6XFSRCUbiZ4SpTTAB1SdMtBVwhgTbgG7Zpump?handle=676050794bc1b1657a56b", "View")</f>
        <v>View</v>
      </c>
    </row>
    <row r="177" spans="1:16" x14ac:dyDescent="0.25">
      <c r="A177" s="16" t="s">
        <v>13184</v>
      </c>
      <c r="B177" s="17">
        <v>54737183</v>
      </c>
      <c r="C177" s="17">
        <v>54737183</v>
      </c>
      <c r="D177" s="17" t="s">
        <v>4754</v>
      </c>
      <c r="E177" s="17" t="s">
        <v>12420</v>
      </c>
      <c r="F177" s="17" t="s">
        <v>13185</v>
      </c>
      <c r="G177" s="20" t="s">
        <v>13186</v>
      </c>
      <c r="H177" s="20" t="s">
        <v>13187</v>
      </c>
      <c r="I177" s="17" t="s">
        <v>88</v>
      </c>
      <c r="J177" s="17">
        <v>1</v>
      </c>
      <c r="K177" s="17">
        <v>1</v>
      </c>
      <c r="L177" s="17" t="s">
        <v>13188</v>
      </c>
      <c r="M177" s="17" t="s">
        <v>379</v>
      </c>
      <c r="N177" s="17" t="s">
        <v>1011</v>
      </c>
      <c r="O177" s="17" t="s">
        <v>13189</v>
      </c>
      <c r="P177" s="17" t="str">
        <f>HYPERLINK("https://photon-sol.tinyastro.io/en/lp/4b1W5XJVtbbCxDL4gS3A4NnhThcnU6Qb7xF61SGqpump?handle=676050794bc1b1657a56b", "View")</f>
        <v>View</v>
      </c>
    </row>
    <row r="178" spans="1:16" x14ac:dyDescent="0.25">
      <c r="A178" s="13" t="s">
        <v>13190</v>
      </c>
      <c r="B178" s="14">
        <v>47615627</v>
      </c>
      <c r="C178" s="14">
        <v>47615627</v>
      </c>
      <c r="D178" s="14" t="s">
        <v>4754</v>
      </c>
      <c r="E178" s="14" t="s">
        <v>12420</v>
      </c>
      <c r="F178" s="14" t="s">
        <v>13191</v>
      </c>
      <c r="G178" s="20" t="s">
        <v>13192</v>
      </c>
      <c r="H178" s="20" t="s">
        <v>13193</v>
      </c>
      <c r="I178" s="14" t="s">
        <v>88</v>
      </c>
      <c r="J178" s="14">
        <v>1</v>
      </c>
      <c r="K178" s="14">
        <v>1</v>
      </c>
      <c r="L178" s="14" t="s">
        <v>13194</v>
      </c>
      <c r="M178" s="14" t="s">
        <v>277</v>
      </c>
      <c r="N178" s="14" t="s">
        <v>1011</v>
      </c>
      <c r="O178" s="14" t="s">
        <v>13195</v>
      </c>
      <c r="P178" s="14" t="str">
        <f>HYPERLINK("https://photon-sol.tinyastro.io/en/lp/9QZs7VwKUHxK7y6HBXaCg7z8gy6yo1aEdAMiq3qjpump?handle=676050794bc1b1657a56b", "View")</f>
        <v>View</v>
      </c>
    </row>
    <row r="179" spans="1:16" x14ac:dyDescent="0.25">
      <c r="A179" s="16" t="s">
        <v>13196</v>
      </c>
      <c r="B179" s="17">
        <v>26608242</v>
      </c>
      <c r="C179" s="17">
        <v>26608242</v>
      </c>
      <c r="D179" s="17" t="s">
        <v>4754</v>
      </c>
      <c r="E179" s="17" t="s">
        <v>1457</v>
      </c>
      <c r="F179" s="17" t="s">
        <v>13197</v>
      </c>
      <c r="G179" s="22" t="s">
        <v>4381</v>
      </c>
      <c r="H179" s="22" t="s">
        <v>13198</v>
      </c>
      <c r="I179" s="17" t="s">
        <v>88</v>
      </c>
      <c r="J179" s="17">
        <v>1</v>
      </c>
      <c r="K179" s="17">
        <v>1</v>
      </c>
      <c r="L179" s="17" t="s">
        <v>13199</v>
      </c>
      <c r="M179" s="17" t="s">
        <v>788</v>
      </c>
      <c r="N179" s="17" t="s">
        <v>13200</v>
      </c>
      <c r="O179" s="17" t="s">
        <v>13201</v>
      </c>
      <c r="P179" s="17" t="str">
        <f>HYPERLINK("https://dexscreener.com/solana/9tinCcDRrCWdb18gQqw4Bfds5r5ub2xbuUqeTHMdpump", "View")</f>
        <v>View</v>
      </c>
    </row>
    <row r="180" spans="1:16" x14ac:dyDescent="0.25">
      <c r="A180" s="13" t="s">
        <v>13202</v>
      </c>
      <c r="B180" s="14">
        <v>95578755</v>
      </c>
      <c r="C180" s="14">
        <v>95578755</v>
      </c>
      <c r="D180" s="14" t="s">
        <v>8004</v>
      </c>
      <c r="E180" s="14" t="s">
        <v>1457</v>
      </c>
      <c r="F180" s="14" t="s">
        <v>13203</v>
      </c>
      <c r="G180" s="22" t="s">
        <v>4396</v>
      </c>
      <c r="H180" s="22" t="s">
        <v>7750</v>
      </c>
      <c r="I180" s="14" t="s">
        <v>88</v>
      </c>
      <c r="J180" s="14">
        <v>1</v>
      </c>
      <c r="K180" s="14">
        <v>1</v>
      </c>
      <c r="L180" s="14" t="s">
        <v>13204</v>
      </c>
      <c r="M180" s="14" t="s">
        <v>179</v>
      </c>
      <c r="N180" s="14" t="s">
        <v>13205</v>
      </c>
      <c r="O180" s="14" t="s">
        <v>13206</v>
      </c>
      <c r="P180" s="14" t="str">
        <f>HYPERLINK("https://dexscreener.com/solana/Bp9SfsiPZ3TUMMehEnwSboxEsKFJdLLomB7NwjUepump", "View")</f>
        <v>View</v>
      </c>
    </row>
    <row r="181" spans="1:16" x14ac:dyDescent="0.25">
      <c r="A181" s="16" t="s">
        <v>13207</v>
      </c>
      <c r="B181" s="17">
        <v>13207850</v>
      </c>
      <c r="C181" s="17">
        <v>13207850</v>
      </c>
      <c r="D181" s="17" t="s">
        <v>5069</v>
      </c>
      <c r="E181" s="17" t="s">
        <v>1124</v>
      </c>
      <c r="F181" s="17" t="s">
        <v>13208</v>
      </c>
      <c r="G181" s="21" t="s">
        <v>13209</v>
      </c>
      <c r="H181" s="21" t="s">
        <v>13210</v>
      </c>
      <c r="I181" s="17" t="s">
        <v>88</v>
      </c>
      <c r="J181" s="17">
        <v>4</v>
      </c>
      <c r="K181" s="17">
        <v>2</v>
      </c>
      <c r="L181" s="17" t="s">
        <v>13211</v>
      </c>
      <c r="M181" s="17" t="s">
        <v>150</v>
      </c>
      <c r="N181" s="17" t="s">
        <v>13212</v>
      </c>
      <c r="O181" s="17" t="s">
        <v>13213</v>
      </c>
      <c r="P181" s="17" t="str">
        <f>HYPERLINK("https://dexscreener.com/solana/9nj92MjhAKKYyVmoNKeqN7rVDre6H49MuBq8XMmUpump", "View")</f>
        <v>View</v>
      </c>
    </row>
    <row r="182" spans="1:16" x14ac:dyDescent="0.25">
      <c r="A182" s="13" t="s">
        <v>13214</v>
      </c>
      <c r="B182" s="14">
        <v>31329001</v>
      </c>
      <c r="C182" s="14">
        <v>31329001</v>
      </c>
      <c r="D182" s="14" t="s">
        <v>12693</v>
      </c>
      <c r="E182" s="14" t="s">
        <v>12715</v>
      </c>
      <c r="F182" s="14" t="s">
        <v>13215</v>
      </c>
      <c r="G182" s="20" t="s">
        <v>3638</v>
      </c>
      <c r="H182" s="20" t="s">
        <v>13216</v>
      </c>
      <c r="I182" s="14" t="s">
        <v>88</v>
      </c>
      <c r="J182" s="14">
        <v>1</v>
      </c>
      <c r="K182" s="14">
        <v>1</v>
      </c>
      <c r="L182" s="14" t="s">
        <v>13217</v>
      </c>
      <c r="M182" s="14" t="s">
        <v>2047</v>
      </c>
      <c r="N182" s="14" t="s">
        <v>13218</v>
      </c>
      <c r="O182" s="14" t="s">
        <v>13219</v>
      </c>
      <c r="P182" s="14" t="str">
        <f>HYPERLINK("https://photon-sol.tinyastro.io/en/lp/GKeAxNqFvVENwpZzRZxCXFaH5Xt3yohMLtW6uTshpump?handle=676050794bc1b1657a56b", "View")</f>
        <v>View</v>
      </c>
    </row>
    <row r="183" spans="1:16" x14ac:dyDescent="0.25">
      <c r="A183" s="16" t="s">
        <v>11659</v>
      </c>
      <c r="B183" s="17">
        <v>309736</v>
      </c>
      <c r="C183" s="17">
        <v>309736</v>
      </c>
      <c r="D183" s="17" t="s">
        <v>4754</v>
      </c>
      <c r="E183" s="17" t="s">
        <v>569</v>
      </c>
      <c r="F183" s="17" t="s">
        <v>9002</v>
      </c>
      <c r="G183" s="20" t="s">
        <v>13220</v>
      </c>
      <c r="H183" s="20" t="s">
        <v>13221</v>
      </c>
      <c r="I183" s="17" t="s">
        <v>88</v>
      </c>
      <c r="J183" s="17">
        <v>1</v>
      </c>
      <c r="K183" s="17">
        <v>1</v>
      </c>
      <c r="L183" s="17" t="s">
        <v>13222</v>
      </c>
      <c r="M183" s="17" t="s">
        <v>1705</v>
      </c>
      <c r="N183" s="17" t="s">
        <v>13223</v>
      </c>
      <c r="O183" s="17" t="s">
        <v>11664</v>
      </c>
      <c r="P183" s="17" t="str">
        <f>HYPERLINK("https://dexscreener.com/solana/4zdAbkyoYoT2F8ZSt6va4WZrmAwgFCfQsTEUo8zNpump", "View")</f>
        <v>View</v>
      </c>
    </row>
    <row r="184" spans="1:16" x14ac:dyDescent="0.25">
      <c r="A184" s="13" t="s">
        <v>13224</v>
      </c>
      <c r="B184" s="14">
        <v>55937695</v>
      </c>
      <c r="C184" s="14">
        <v>55937695</v>
      </c>
      <c r="D184" s="14" t="s">
        <v>12693</v>
      </c>
      <c r="E184" s="14" t="s">
        <v>13020</v>
      </c>
      <c r="F184" s="14" t="s">
        <v>13225</v>
      </c>
      <c r="G184" s="20" t="s">
        <v>13226</v>
      </c>
      <c r="H184" s="20" t="s">
        <v>13227</v>
      </c>
      <c r="I184" s="14" t="s">
        <v>88</v>
      </c>
      <c r="J184" s="14">
        <v>1</v>
      </c>
      <c r="K184" s="14">
        <v>1</v>
      </c>
      <c r="L184" s="14" t="s">
        <v>13228</v>
      </c>
      <c r="M184" s="19" t="s">
        <v>1872</v>
      </c>
      <c r="N184" s="14" t="s">
        <v>2585</v>
      </c>
      <c r="O184" s="14" t="s">
        <v>13229</v>
      </c>
      <c r="P184" s="14" t="str">
        <f>HYPERLINK("https://photon-sol.tinyastro.io/en/lp/785m43zJKFq4td7Z6iSP7g6Mp9zXzGhjSDd8tTCbpump?handle=676050794bc1b1657a56b", "View")</f>
        <v>View</v>
      </c>
    </row>
    <row r="185" spans="1:16" x14ac:dyDescent="0.25">
      <c r="A185" s="16" t="s">
        <v>7349</v>
      </c>
      <c r="B185" s="17">
        <v>16502492</v>
      </c>
      <c r="C185" s="17">
        <v>16502492</v>
      </c>
      <c r="D185" s="17" t="s">
        <v>12693</v>
      </c>
      <c r="E185" s="17" t="s">
        <v>13230</v>
      </c>
      <c r="F185" s="17" t="s">
        <v>13231</v>
      </c>
      <c r="G185" s="15" t="s">
        <v>13232</v>
      </c>
      <c r="H185" s="15" t="s">
        <v>13233</v>
      </c>
      <c r="I185" s="17" t="s">
        <v>88</v>
      </c>
      <c r="J185" s="17">
        <v>1</v>
      </c>
      <c r="K185" s="17">
        <v>1</v>
      </c>
      <c r="L185" s="17" t="s">
        <v>13234</v>
      </c>
      <c r="M185" s="17" t="s">
        <v>745</v>
      </c>
      <c r="N185" s="17" t="s">
        <v>13235</v>
      </c>
      <c r="O185" s="17" t="s">
        <v>7355</v>
      </c>
      <c r="P185" s="17" t="str">
        <f>HYPERLINK("https://photon-sol.tinyastro.io/en/lp/AH7RKKZbjsneJyLTMsQxtCKDAEA19iBGRQBj3nwzpump?handle=676050794bc1b1657a56b", "View")</f>
        <v>View</v>
      </c>
    </row>
    <row r="186" spans="1:16" x14ac:dyDescent="0.25">
      <c r="A186" s="13" t="s">
        <v>13236</v>
      </c>
      <c r="B186" s="14">
        <v>49352400</v>
      </c>
      <c r="C186" s="14">
        <v>49352400</v>
      </c>
      <c r="D186" s="14" t="s">
        <v>12693</v>
      </c>
      <c r="E186" s="14" t="s">
        <v>8886</v>
      </c>
      <c r="F186" s="14" t="s">
        <v>7650</v>
      </c>
      <c r="G186" s="20" t="s">
        <v>13237</v>
      </c>
      <c r="H186" s="20" t="s">
        <v>13238</v>
      </c>
      <c r="I186" s="14" t="s">
        <v>88</v>
      </c>
      <c r="J186" s="14">
        <v>1</v>
      </c>
      <c r="K186" s="14">
        <v>1</v>
      </c>
      <c r="L186" s="14" t="s">
        <v>13239</v>
      </c>
      <c r="M186" s="19" t="s">
        <v>2853</v>
      </c>
      <c r="N186" s="14" t="s">
        <v>3188</v>
      </c>
      <c r="O186" s="14" t="s">
        <v>13240</v>
      </c>
      <c r="P186" s="14" t="str">
        <f>HYPERLINK("https://photon-sol.tinyastro.io/en/lp/5o9GPmLsB58G9S5pb5B7UoocBxbuTSE78KwQi5LdYFXZ?handle=676050794bc1b1657a56b", "View")</f>
        <v>View</v>
      </c>
    </row>
    <row r="187" spans="1:16" x14ac:dyDescent="0.25">
      <c r="A187" s="16" t="s">
        <v>13241</v>
      </c>
      <c r="B187" s="17">
        <v>21117588</v>
      </c>
      <c r="C187" s="17">
        <v>21117588</v>
      </c>
      <c r="D187" s="17" t="s">
        <v>12693</v>
      </c>
      <c r="E187" s="17" t="s">
        <v>13242</v>
      </c>
      <c r="F187" s="17" t="s">
        <v>2253</v>
      </c>
      <c r="G187" s="20" t="s">
        <v>6728</v>
      </c>
      <c r="H187" s="20" t="s">
        <v>13243</v>
      </c>
      <c r="I187" s="17" t="s">
        <v>88</v>
      </c>
      <c r="J187" s="17">
        <v>1</v>
      </c>
      <c r="K187" s="17">
        <v>1</v>
      </c>
      <c r="L187" s="17" t="s">
        <v>13244</v>
      </c>
      <c r="M187" s="17" t="s">
        <v>1434</v>
      </c>
      <c r="N187" s="17" t="s">
        <v>3115</v>
      </c>
      <c r="O187" s="17" t="s">
        <v>13245</v>
      </c>
      <c r="P187" s="17" t="str">
        <f>HYPERLINK("https://photon-sol.tinyastro.io/en/lp/2D4ytzjFwi1Efv7k6UK9xdnZSkZMUKML2cexhKhXpump?handle=676050794bc1b1657a56b", "View")</f>
        <v>View</v>
      </c>
    </row>
    <row r="188" spans="1:16" x14ac:dyDescent="0.25">
      <c r="A188" s="13" t="s">
        <v>13246</v>
      </c>
      <c r="B188" s="14">
        <v>26299028</v>
      </c>
      <c r="C188" s="14">
        <v>26299028</v>
      </c>
      <c r="D188" s="14" t="s">
        <v>12693</v>
      </c>
      <c r="E188" s="14" t="s">
        <v>13247</v>
      </c>
      <c r="F188" s="14" t="s">
        <v>13248</v>
      </c>
      <c r="G188" s="20" t="s">
        <v>13249</v>
      </c>
      <c r="H188" s="20" t="s">
        <v>13250</v>
      </c>
      <c r="I188" s="14" t="s">
        <v>88</v>
      </c>
      <c r="J188" s="14">
        <v>1</v>
      </c>
      <c r="K188" s="14">
        <v>1</v>
      </c>
      <c r="L188" s="14" t="s">
        <v>13251</v>
      </c>
      <c r="M188" s="14" t="s">
        <v>1434</v>
      </c>
      <c r="N188" s="14" t="s">
        <v>13252</v>
      </c>
      <c r="O188" s="14" t="s">
        <v>13253</v>
      </c>
      <c r="P188" s="14" t="str">
        <f>HYPERLINK("https://photon-sol.tinyastro.io/en/lp/EBB8gqMMWLku5Wu4jXHbUacbf4SyUoKnwXXSTqcqpump?handle=676050794bc1b1657a56b", "View")</f>
        <v>View</v>
      </c>
    </row>
    <row r="189" spans="1:16" x14ac:dyDescent="0.25">
      <c r="A189" s="16" t="s">
        <v>13254</v>
      </c>
      <c r="B189" s="17">
        <v>28352233</v>
      </c>
      <c r="C189" s="17">
        <v>28352233</v>
      </c>
      <c r="D189" s="17" t="s">
        <v>4754</v>
      </c>
      <c r="E189" s="17" t="s">
        <v>1457</v>
      </c>
      <c r="F189" s="17" t="s">
        <v>13255</v>
      </c>
      <c r="G189" s="20" t="s">
        <v>5801</v>
      </c>
      <c r="H189" s="20" t="s">
        <v>13151</v>
      </c>
      <c r="I189" s="17" t="s">
        <v>88</v>
      </c>
      <c r="J189" s="17">
        <v>1</v>
      </c>
      <c r="K189" s="17">
        <v>1</v>
      </c>
      <c r="L189" s="17" t="s">
        <v>13256</v>
      </c>
      <c r="M189" s="17" t="s">
        <v>379</v>
      </c>
      <c r="N189" s="17" t="s">
        <v>13257</v>
      </c>
      <c r="O189" s="17" t="s">
        <v>13258</v>
      </c>
      <c r="P189" s="17" t="str">
        <f>HYPERLINK("https://dexscreener.com/solana/3NyeSRdHieY6LjUQwL3FAgt55TTg9wXb2X8sXtKXW83t", "View")</f>
        <v>View</v>
      </c>
    </row>
    <row r="190" spans="1:16" x14ac:dyDescent="0.25">
      <c r="A190" s="13" t="s">
        <v>13259</v>
      </c>
      <c r="B190" s="14">
        <v>22045529</v>
      </c>
      <c r="C190" s="14">
        <v>22045529</v>
      </c>
      <c r="D190" s="14" t="s">
        <v>4754</v>
      </c>
      <c r="E190" s="14" t="s">
        <v>2178</v>
      </c>
      <c r="F190" s="14" t="s">
        <v>13260</v>
      </c>
      <c r="G190" s="20" t="s">
        <v>13261</v>
      </c>
      <c r="H190" s="20" t="s">
        <v>13262</v>
      </c>
      <c r="I190" s="14" t="s">
        <v>88</v>
      </c>
      <c r="J190" s="14">
        <v>1</v>
      </c>
      <c r="K190" s="14">
        <v>1</v>
      </c>
      <c r="L190" s="14" t="s">
        <v>13263</v>
      </c>
      <c r="M190" s="14" t="s">
        <v>1932</v>
      </c>
      <c r="N190" s="14" t="s">
        <v>1667</v>
      </c>
      <c r="O190" s="14" t="s">
        <v>13264</v>
      </c>
      <c r="P190" s="14" t="str">
        <f>HYPERLINK("https://photon-sol.tinyastro.io/en/lp/9vWtRFSZAqgeXNBuPGvyrFSBVs3PY692ZhHt7qGHpump?handle=676050794bc1b1657a56b", "View")</f>
        <v>View</v>
      </c>
    </row>
    <row r="191" spans="1:16" x14ac:dyDescent="0.25">
      <c r="A191" s="16" t="s">
        <v>13265</v>
      </c>
      <c r="B191" s="17">
        <v>27691282</v>
      </c>
      <c r="C191" s="17">
        <v>27691282</v>
      </c>
      <c r="D191" s="17" t="s">
        <v>12693</v>
      </c>
      <c r="E191" s="17" t="s">
        <v>12715</v>
      </c>
      <c r="F191" s="17" t="s">
        <v>2320</v>
      </c>
      <c r="G191" s="20" t="s">
        <v>13266</v>
      </c>
      <c r="H191" s="20" t="s">
        <v>13267</v>
      </c>
      <c r="I191" s="17" t="s">
        <v>88</v>
      </c>
      <c r="J191" s="17">
        <v>1</v>
      </c>
      <c r="K191" s="17">
        <v>1</v>
      </c>
      <c r="L191" s="17" t="s">
        <v>13268</v>
      </c>
      <c r="M191" s="17" t="s">
        <v>1448</v>
      </c>
      <c r="N191" s="17" t="s">
        <v>507</v>
      </c>
      <c r="O191" s="17" t="s">
        <v>13269</v>
      </c>
      <c r="P191" s="17" t="str">
        <f>HYPERLINK("https://photon-sol.tinyastro.io/en/lp/kWSbt1JBPCUdkNQMFvDhs38bd4fD7RMEkP3pmxCpump?handle=676050794bc1b1657a56b", "View")</f>
        <v>View</v>
      </c>
    </row>
    <row r="192" spans="1:16" x14ac:dyDescent="0.25">
      <c r="A192" s="13" t="s">
        <v>13270</v>
      </c>
      <c r="B192" s="14">
        <v>54727681</v>
      </c>
      <c r="C192" s="14">
        <v>54727681</v>
      </c>
      <c r="D192" s="14" t="s">
        <v>12693</v>
      </c>
      <c r="E192" s="14" t="s">
        <v>13271</v>
      </c>
      <c r="F192" s="14" t="s">
        <v>13272</v>
      </c>
      <c r="G192" s="20" t="s">
        <v>13273</v>
      </c>
      <c r="H192" s="20" t="s">
        <v>13274</v>
      </c>
      <c r="I192" s="14" t="s">
        <v>88</v>
      </c>
      <c r="J192" s="14">
        <v>1</v>
      </c>
      <c r="K192" s="14">
        <v>1</v>
      </c>
      <c r="L192" s="14" t="s">
        <v>13275</v>
      </c>
      <c r="M192" s="19" t="s">
        <v>1940</v>
      </c>
      <c r="N192" s="14" t="s">
        <v>507</v>
      </c>
      <c r="O192" s="14" t="s">
        <v>13276</v>
      </c>
      <c r="P192" s="14" t="str">
        <f>HYPERLINK("https://photon-sol.tinyastro.io/en/lp/6LXm47AJytPSbxGXPRn4jps14wM514Jzxce1dcosfBrv?handle=676050794bc1b1657a56b", "View")</f>
        <v>View</v>
      </c>
    </row>
    <row r="193" spans="1:16" x14ac:dyDescent="0.25">
      <c r="A193" s="16" t="s">
        <v>13277</v>
      </c>
      <c r="B193" s="17">
        <v>16409975</v>
      </c>
      <c r="C193" s="17">
        <v>16409975</v>
      </c>
      <c r="D193" s="17" t="s">
        <v>4754</v>
      </c>
      <c r="E193" s="17" t="s">
        <v>1007</v>
      </c>
      <c r="F193" s="17" t="s">
        <v>11498</v>
      </c>
      <c r="G193" s="15" t="s">
        <v>13278</v>
      </c>
      <c r="H193" s="15" t="s">
        <v>13279</v>
      </c>
      <c r="I193" s="17" t="s">
        <v>88</v>
      </c>
      <c r="J193" s="17">
        <v>1</v>
      </c>
      <c r="K193" s="17">
        <v>1</v>
      </c>
      <c r="L193" s="17" t="s">
        <v>13280</v>
      </c>
      <c r="M193" s="17" t="s">
        <v>5695</v>
      </c>
      <c r="N193" s="17" t="s">
        <v>13281</v>
      </c>
      <c r="O193" s="17" t="s">
        <v>13282</v>
      </c>
      <c r="P193" s="17" t="str">
        <f>HYPERLINK("https://dexscreener.com/solana/3cRDED64unxqCaJVWYR1Skye7BUhcXCgwT8vvYAkpump", "View")</f>
        <v>View</v>
      </c>
    </row>
    <row r="194" spans="1:16" x14ac:dyDescent="0.25">
      <c r="A194" s="13" t="s">
        <v>13283</v>
      </c>
      <c r="B194" s="14">
        <v>17574708</v>
      </c>
      <c r="C194" s="14">
        <v>17574708</v>
      </c>
      <c r="D194" s="14" t="s">
        <v>12693</v>
      </c>
      <c r="E194" s="14" t="s">
        <v>8971</v>
      </c>
      <c r="F194" s="14" t="s">
        <v>2200</v>
      </c>
      <c r="G194" s="20" t="s">
        <v>13284</v>
      </c>
      <c r="H194" s="20" t="s">
        <v>13285</v>
      </c>
      <c r="I194" s="14" t="s">
        <v>88</v>
      </c>
      <c r="J194" s="14">
        <v>1</v>
      </c>
      <c r="K194" s="14">
        <v>1</v>
      </c>
      <c r="L194" s="14" t="s">
        <v>13286</v>
      </c>
      <c r="M194" s="19" t="s">
        <v>2593</v>
      </c>
      <c r="N194" s="14" t="s">
        <v>507</v>
      </c>
      <c r="O194" s="14" t="s">
        <v>13287</v>
      </c>
      <c r="P194" s="14" t="str">
        <f>HYPERLINK("https://photon-sol.tinyastro.io/en/lp/CLasZwrYXwawFdFy7XkDKnACFhzRkak7xsJP5Wt7v4X6?handle=676050794bc1b1657a56b", "View")</f>
        <v>View</v>
      </c>
    </row>
    <row r="195" spans="1:16" x14ac:dyDescent="0.25">
      <c r="A195" s="16" t="s">
        <v>13288</v>
      </c>
      <c r="B195" s="17">
        <v>55531050</v>
      </c>
      <c r="C195" s="17">
        <v>55531050</v>
      </c>
      <c r="D195" s="17" t="s">
        <v>12693</v>
      </c>
      <c r="E195" s="17" t="s">
        <v>13289</v>
      </c>
      <c r="F195" s="17" t="s">
        <v>13290</v>
      </c>
      <c r="G195" s="20" t="s">
        <v>5854</v>
      </c>
      <c r="H195" s="20" t="s">
        <v>13291</v>
      </c>
      <c r="I195" s="17" t="s">
        <v>88</v>
      </c>
      <c r="J195" s="17">
        <v>1</v>
      </c>
      <c r="K195" s="17">
        <v>1</v>
      </c>
      <c r="L195" s="17" t="s">
        <v>13292</v>
      </c>
      <c r="M195" s="19" t="s">
        <v>2517</v>
      </c>
      <c r="N195" s="17" t="s">
        <v>507</v>
      </c>
      <c r="O195" s="17" t="s">
        <v>13293</v>
      </c>
      <c r="P195" s="17" t="str">
        <f>HYPERLINK("https://photon-sol.tinyastro.io/en/lp/6oGPK9zf8hGUELgeqiW1YhNzzbLYrW7EQiXofmP3pump?handle=676050794bc1b1657a56b", "View")</f>
        <v>View</v>
      </c>
    </row>
    <row r="196" spans="1:16" x14ac:dyDescent="0.25">
      <c r="A196" s="13" t="s">
        <v>13294</v>
      </c>
      <c r="B196" s="14">
        <v>20807978</v>
      </c>
      <c r="C196" s="14">
        <v>20807978</v>
      </c>
      <c r="D196" s="14" t="s">
        <v>13295</v>
      </c>
      <c r="E196" s="14" t="s">
        <v>13296</v>
      </c>
      <c r="F196" s="14" t="s">
        <v>13297</v>
      </c>
      <c r="G196" s="15" t="s">
        <v>13298</v>
      </c>
      <c r="H196" s="15" t="s">
        <v>13299</v>
      </c>
      <c r="I196" s="14" t="s">
        <v>88</v>
      </c>
      <c r="J196" s="14">
        <v>1</v>
      </c>
      <c r="K196" s="14">
        <v>1</v>
      </c>
      <c r="L196" s="14" t="s">
        <v>13300</v>
      </c>
      <c r="M196" s="19" t="s">
        <v>2593</v>
      </c>
      <c r="N196" s="14" t="s">
        <v>507</v>
      </c>
      <c r="O196" s="14" t="s">
        <v>13301</v>
      </c>
      <c r="P196" s="14" t="str">
        <f>HYPERLINK("https://photon-sol.tinyastro.io/en/lp/AFWHn87M2Xg2NFktjVoekeWn6W79SPvbtD6x4aJNeKth?handle=676050794bc1b1657a56b", "View")</f>
        <v>View</v>
      </c>
    </row>
    <row r="197" spans="1:16" x14ac:dyDescent="0.25">
      <c r="A197" s="16" t="s">
        <v>13302</v>
      </c>
      <c r="B197" s="17">
        <v>49243761</v>
      </c>
      <c r="C197" s="17">
        <v>49243761</v>
      </c>
      <c r="D197" s="17" t="s">
        <v>12693</v>
      </c>
      <c r="E197" s="17" t="s">
        <v>12398</v>
      </c>
      <c r="F197" s="17" t="s">
        <v>7709</v>
      </c>
      <c r="G197" s="20" t="s">
        <v>13303</v>
      </c>
      <c r="H197" s="20" t="s">
        <v>13304</v>
      </c>
      <c r="I197" s="17" t="s">
        <v>88</v>
      </c>
      <c r="J197" s="17">
        <v>1</v>
      </c>
      <c r="K197" s="17">
        <v>1</v>
      </c>
      <c r="L197" s="17" t="s">
        <v>13305</v>
      </c>
      <c r="M197" s="17" t="s">
        <v>160</v>
      </c>
      <c r="N197" s="17" t="s">
        <v>507</v>
      </c>
      <c r="O197" s="17" t="s">
        <v>13306</v>
      </c>
      <c r="P197" s="17" t="str">
        <f>HYPERLINK("https://photon-sol.tinyastro.io/en/lp/5241L9UBsmksUREnrWmvcsy4FYLNHFCKAv8EXmHXpump?handle=676050794bc1b1657a56b", "View")</f>
        <v>View</v>
      </c>
    </row>
    <row r="198" spans="1:16" x14ac:dyDescent="0.25">
      <c r="A198" s="13" t="s">
        <v>13307</v>
      </c>
      <c r="B198" s="14">
        <v>30942325</v>
      </c>
      <c r="C198" s="14">
        <v>30942325</v>
      </c>
      <c r="D198" s="14" t="s">
        <v>4754</v>
      </c>
      <c r="E198" s="14" t="s">
        <v>219</v>
      </c>
      <c r="F198" s="14" t="s">
        <v>13308</v>
      </c>
      <c r="G198" s="20" t="s">
        <v>13309</v>
      </c>
      <c r="H198" s="20" t="s">
        <v>13310</v>
      </c>
      <c r="I198" s="14" t="s">
        <v>88</v>
      </c>
      <c r="J198" s="14">
        <v>1</v>
      </c>
      <c r="K198" s="14">
        <v>1</v>
      </c>
      <c r="L198" s="14" t="s">
        <v>13311</v>
      </c>
      <c r="M198" s="14" t="s">
        <v>231</v>
      </c>
      <c r="N198" s="14" t="s">
        <v>13312</v>
      </c>
      <c r="O198" s="14" t="s">
        <v>13313</v>
      </c>
      <c r="P198" s="14" t="str">
        <f>HYPERLINK("https://dexscreener.com/solana/uucJfyhgo7c1Xn2eotbmjZgWUkpJKSi2DTjFXmuMj1n", "View")</f>
        <v>View</v>
      </c>
    </row>
    <row r="199" spans="1:16" x14ac:dyDescent="0.25">
      <c r="A199" s="16" t="s">
        <v>13314</v>
      </c>
      <c r="B199" s="17">
        <v>28893012</v>
      </c>
      <c r="C199" s="17">
        <v>28893012</v>
      </c>
      <c r="D199" s="17" t="s">
        <v>12693</v>
      </c>
      <c r="E199" s="17" t="s">
        <v>2178</v>
      </c>
      <c r="F199" s="17" t="s">
        <v>13315</v>
      </c>
      <c r="G199" s="20" t="s">
        <v>3061</v>
      </c>
      <c r="H199" s="20" t="s">
        <v>3677</v>
      </c>
      <c r="I199" s="17" t="s">
        <v>88</v>
      </c>
      <c r="J199" s="17">
        <v>1</v>
      </c>
      <c r="K199" s="17">
        <v>1</v>
      </c>
      <c r="L199" s="17" t="s">
        <v>13316</v>
      </c>
      <c r="M199" s="17" t="s">
        <v>1642</v>
      </c>
      <c r="N199" s="17" t="s">
        <v>507</v>
      </c>
      <c r="O199" s="17" t="s">
        <v>13317</v>
      </c>
      <c r="P199" s="17" t="str">
        <f>HYPERLINK("https://photon-sol.tinyastro.io/en/lp/E8jM5EyS5XfgJK8oA71P5FUWdciq85ZEJ8VfiKvKpump?handle=676050794bc1b1657a56b", "View")</f>
        <v>View</v>
      </c>
    </row>
    <row r="200" spans="1:16" x14ac:dyDescent="0.25">
      <c r="A200" s="13" t="s">
        <v>13318</v>
      </c>
      <c r="B200" s="14">
        <v>79448112</v>
      </c>
      <c r="C200" s="14">
        <v>79448112</v>
      </c>
      <c r="D200" s="14" t="s">
        <v>12760</v>
      </c>
      <c r="E200" s="14" t="s">
        <v>2801</v>
      </c>
      <c r="F200" s="14" t="s">
        <v>13319</v>
      </c>
      <c r="G200" s="20" t="s">
        <v>8972</v>
      </c>
      <c r="H200" s="20" t="s">
        <v>13320</v>
      </c>
      <c r="I200" s="14" t="s">
        <v>88</v>
      </c>
      <c r="J200" s="14">
        <v>2</v>
      </c>
      <c r="K200" s="14">
        <v>2</v>
      </c>
      <c r="L200" s="14" t="s">
        <v>13321</v>
      </c>
      <c r="M200" s="14" t="s">
        <v>231</v>
      </c>
      <c r="N200" s="14" t="s">
        <v>507</v>
      </c>
      <c r="O200" s="14" t="s">
        <v>13322</v>
      </c>
      <c r="P200" s="14" t="str">
        <f>HYPERLINK("https://photon-sol.tinyastro.io/en/lp/Emg1J2qHuqvmFovMrLwyh5oWCniKt9KxiNZcLfkgpump?handle=676050794bc1b1657a56b", "View")</f>
        <v>View</v>
      </c>
    </row>
    <row r="201" spans="1:16" x14ac:dyDescent="0.25">
      <c r="A201" s="16" t="s">
        <v>1221</v>
      </c>
      <c r="B201" s="17">
        <v>14401777</v>
      </c>
      <c r="C201" s="17">
        <v>14401777</v>
      </c>
      <c r="D201" s="17" t="s">
        <v>13323</v>
      </c>
      <c r="E201" s="17" t="s">
        <v>13324</v>
      </c>
      <c r="F201" s="17" t="s">
        <v>13325</v>
      </c>
      <c r="G201" s="21" t="s">
        <v>13326</v>
      </c>
      <c r="H201" s="21" t="s">
        <v>13327</v>
      </c>
      <c r="I201" s="17" t="s">
        <v>88</v>
      </c>
      <c r="J201" s="17">
        <v>5</v>
      </c>
      <c r="K201" s="17">
        <v>6</v>
      </c>
      <c r="L201" s="17" t="s">
        <v>13328</v>
      </c>
      <c r="M201" s="17" t="s">
        <v>414</v>
      </c>
      <c r="N201" s="17" t="s">
        <v>13329</v>
      </c>
      <c r="O201" s="17" t="s">
        <v>1227</v>
      </c>
      <c r="P201" s="17" t="str">
        <f>HYPERLINK("https://dexscreener.com/solana/41ogcpM8btW6s33SVNM7spBAQQm1ZVdmuDabLLi9pump", "View")</f>
        <v>View</v>
      </c>
    </row>
    <row r="202" spans="1:16" x14ac:dyDescent="0.25">
      <c r="A202" s="13" t="s">
        <v>13330</v>
      </c>
      <c r="B202" s="14">
        <v>2982270</v>
      </c>
      <c r="C202" s="14">
        <v>2982270</v>
      </c>
      <c r="D202" s="14" t="s">
        <v>4754</v>
      </c>
      <c r="E202" s="14" t="s">
        <v>219</v>
      </c>
      <c r="F202" s="14" t="s">
        <v>13331</v>
      </c>
      <c r="G202" s="22" t="s">
        <v>4924</v>
      </c>
      <c r="H202" s="22" t="s">
        <v>2968</v>
      </c>
      <c r="I202" s="14" t="s">
        <v>88</v>
      </c>
      <c r="J202" s="14">
        <v>1</v>
      </c>
      <c r="K202" s="14">
        <v>1</v>
      </c>
      <c r="L202" s="14" t="s">
        <v>13332</v>
      </c>
      <c r="M202" s="14" t="s">
        <v>132</v>
      </c>
      <c r="N202" s="14" t="s">
        <v>13333</v>
      </c>
      <c r="O202" s="14" t="s">
        <v>13334</v>
      </c>
      <c r="P202" s="14" t="str">
        <f>HYPERLINK("https://dexscreener.com/solana/5SBsemYgDsWKSNqSWCqhN2WNCrB8bi5nPMVG7y7Wpump", "View")</f>
        <v>View</v>
      </c>
    </row>
    <row r="203" spans="1:16" x14ac:dyDescent="0.25">
      <c r="A203" s="16" t="s">
        <v>13335</v>
      </c>
      <c r="B203" s="17">
        <v>48702889</v>
      </c>
      <c r="C203" s="17">
        <v>48702889</v>
      </c>
      <c r="D203" s="17" t="s">
        <v>4754</v>
      </c>
      <c r="E203" s="17" t="s">
        <v>1457</v>
      </c>
      <c r="F203" s="17" t="s">
        <v>7626</v>
      </c>
      <c r="G203" s="20" t="s">
        <v>13336</v>
      </c>
      <c r="H203" s="20" t="s">
        <v>13337</v>
      </c>
      <c r="I203" s="17" t="s">
        <v>88</v>
      </c>
      <c r="J203" s="17">
        <v>1</v>
      </c>
      <c r="K203" s="17">
        <v>1</v>
      </c>
      <c r="L203" s="17" t="s">
        <v>13338</v>
      </c>
      <c r="M203" s="17" t="s">
        <v>132</v>
      </c>
      <c r="N203" s="17" t="s">
        <v>507</v>
      </c>
      <c r="O203" s="17" t="s">
        <v>13339</v>
      </c>
      <c r="P203" s="17" t="str">
        <f>HYPERLINK("https://dexscreener.com/solana/6kh7GKSq4rPPffnE9H3CYn77qjCcohLFhjdF83v24snL", "View")</f>
        <v>View</v>
      </c>
    </row>
    <row r="204" spans="1:16" x14ac:dyDescent="0.25">
      <c r="A204" s="13" t="s">
        <v>13340</v>
      </c>
      <c r="B204" s="14">
        <v>14992574</v>
      </c>
      <c r="C204" s="14">
        <v>14992574</v>
      </c>
      <c r="D204" s="14" t="s">
        <v>4754</v>
      </c>
      <c r="E204" s="14" t="s">
        <v>1457</v>
      </c>
      <c r="F204" s="14" t="s">
        <v>13341</v>
      </c>
      <c r="G204" s="20" t="s">
        <v>13342</v>
      </c>
      <c r="H204" s="20" t="s">
        <v>13343</v>
      </c>
      <c r="I204" s="14" t="s">
        <v>88</v>
      </c>
      <c r="J204" s="14">
        <v>1</v>
      </c>
      <c r="K204" s="14">
        <v>1</v>
      </c>
      <c r="L204" s="14" t="s">
        <v>13344</v>
      </c>
      <c r="M204" s="14" t="s">
        <v>672</v>
      </c>
      <c r="N204" s="14" t="s">
        <v>13345</v>
      </c>
      <c r="O204" s="14" t="s">
        <v>13346</v>
      </c>
      <c r="P204" s="14" t="str">
        <f>HYPERLINK("https://dexscreener.com/solana/cxEd8HPaGbUXXyajvBuquwXaqCfDdTjpidm2QQQpump", "View")</f>
        <v>View</v>
      </c>
    </row>
    <row r="205" spans="1:16" x14ac:dyDescent="0.25">
      <c r="A205" s="16" t="s">
        <v>13347</v>
      </c>
      <c r="B205" s="17">
        <v>6129820</v>
      </c>
      <c r="C205" s="17">
        <v>6129820</v>
      </c>
      <c r="D205" s="17" t="s">
        <v>4805</v>
      </c>
      <c r="E205" s="17" t="s">
        <v>1457</v>
      </c>
      <c r="F205" s="17" t="s">
        <v>13348</v>
      </c>
      <c r="G205" s="21" t="s">
        <v>13349</v>
      </c>
      <c r="H205" s="21" t="s">
        <v>13350</v>
      </c>
      <c r="I205" s="17" t="s">
        <v>88</v>
      </c>
      <c r="J205" s="17">
        <v>1</v>
      </c>
      <c r="K205" s="17">
        <v>3</v>
      </c>
      <c r="L205" s="17" t="s">
        <v>13351</v>
      </c>
      <c r="M205" s="17" t="s">
        <v>4297</v>
      </c>
      <c r="N205" s="17" t="s">
        <v>13352</v>
      </c>
      <c r="O205" s="17" t="s">
        <v>13353</v>
      </c>
      <c r="P205" s="17" t="str">
        <f>HYPERLINK("https://dexscreener.com/solana/F2GVPgWyN4yBSv8zmSw9TmgunQcv7K7MzceFVZzxpump", "View")</f>
        <v>View</v>
      </c>
    </row>
    <row r="206" spans="1:16" x14ac:dyDescent="0.25">
      <c r="A206" s="13" t="s">
        <v>13354</v>
      </c>
      <c r="B206" s="14">
        <v>197716307</v>
      </c>
      <c r="C206" s="14">
        <v>197716307</v>
      </c>
      <c r="D206" s="14" t="s">
        <v>6267</v>
      </c>
      <c r="E206" s="14" t="s">
        <v>2390</v>
      </c>
      <c r="F206" s="14" t="s">
        <v>13355</v>
      </c>
      <c r="G206" s="20" t="s">
        <v>4026</v>
      </c>
      <c r="H206" s="20" t="s">
        <v>13356</v>
      </c>
      <c r="I206" s="14" t="s">
        <v>88</v>
      </c>
      <c r="J206" s="14">
        <v>2</v>
      </c>
      <c r="K206" s="14">
        <v>2</v>
      </c>
      <c r="L206" s="14" t="s">
        <v>13357</v>
      </c>
      <c r="M206" s="14" t="s">
        <v>4429</v>
      </c>
      <c r="N206" s="14" t="s">
        <v>13358</v>
      </c>
      <c r="O206" s="14" t="s">
        <v>13359</v>
      </c>
      <c r="P206" s="14" t="str">
        <f>HYPERLINK("https://dexscreener.com/solana/2DaP8EeRPLLyv2EWnAPV5gsCSnzvvpoRgzPBTaXViJFc", "View")</f>
        <v>View</v>
      </c>
    </row>
    <row r="207" spans="1:16" x14ac:dyDescent="0.25">
      <c r="A207" s="16" t="s">
        <v>13360</v>
      </c>
      <c r="B207" s="17">
        <v>62341008</v>
      </c>
      <c r="C207" s="17">
        <v>62341008</v>
      </c>
      <c r="D207" s="17" t="s">
        <v>12693</v>
      </c>
      <c r="E207" s="17" t="s">
        <v>12398</v>
      </c>
      <c r="F207" s="17" t="s">
        <v>6547</v>
      </c>
      <c r="G207" s="20" t="s">
        <v>13361</v>
      </c>
      <c r="H207" s="20" t="s">
        <v>13362</v>
      </c>
      <c r="I207" s="17" t="s">
        <v>88</v>
      </c>
      <c r="J207" s="17">
        <v>1</v>
      </c>
      <c r="K207" s="17">
        <v>1</v>
      </c>
      <c r="L207" s="17" t="s">
        <v>13363</v>
      </c>
      <c r="M207" s="17" t="s">
        <v>1448</v>
      </c>
      <c r="N207" s="17" t="s">
        <v>507</v>
      </c>
      <c r="O207" s="17" t="s">
        <v>13364</v>
      </c>
      <c r="P207" s="17" t="str">
        <f>HYPERLINK("https://photon-sol.tinyastro.io/en/lp/23tws5FLCz6oJByaWHptPvXXan7XtPgT9Y729297pump?handle=676050794bc1b1657a56b", "View")</f>
        <v>View</v>
      </c>
    </row>
    <row r="208" spans="1:16" x14ac:dyDescent="0.25">
      <c r="A208" s="13" t="s">
        <v>13365</v>
      </c>
      <c r="B208" s="14">
        <v>24379167</v>
      </c>
      <c r="C208" s="14">
        <v>24379167</v>
      </c>
      <c r="D208" s="14" t="s">
        <v>4754</v>
      </c>
      <c r="E208" s="14" t="s">
        <v>569</v>
      </c>
      <c r="F208" s="14" t="s">
        <v>13366</v>
      </c>
      <c r="G208" s="22" t="s">
        <v>12237</v>
      </c>
      <c r="H208" s="22" t="s">
        <v>13367</v>
      </c>
      <c r="I208" s="14" t="s">
        <v>88</v>
      </c>
      <c r="J208" s="14">
        <v>1</v>
      </c>
      <c r="K208" s="14">
        <v>1</v>
      </c>
      <c r="L208" s="14" t="s">
        <v>13368</v>
      </c>
      <c r="M208" s="14" t="s">
        <v>1448</v>
      </c>
      <c r="N208" s="14" t="s">
        <v>13369</v>
      </c>
      <c r="O208" s="14" t="s">
        <v>13370</v>
      </c>
      <c r="P208" s="14" t="str">
        <f>HYPERLINK("https://dexscreener.com/solana/H16FLk8dbX4jskZpdYbgN8HmbHDqeNTCqgrN5AiZBpc5", "View")</f>
        <v>View</v>
      </c>
    </row>
    <row r="209" spans="1:16" x14ac:dyDescent="0.25">
      <c r="A209" s="16" t="s">
        <v>13371</v>
      </c>
      <c r="B209" s="17">
        <v>62946679</v>
      </c>
      <c r="C209" s="17">
        <v>62946679</v>
      </c>
      <c r="D209" s="17" t="s">
        <v>12693</v>
      </c>
      <c r="E209" s="17" t="s">
        <v>13372</v>
      </c>
      <c r="F209" s="17" t="s">
        <v>9253</v>
      </c>
      <c r="G209" s="20" t="s">
        <v>13373</v>
      </c>
      <c r="H209" s="20" t="s">
        <v>13374</v>
      </c>
      <c r="I209" s="17" t="s">
        <v>88</v>
      </c>
      <c r="J209" s="17">
        <v>1</v>
      </c>
      <c r="K209" s="17">
        <v>1</v>
      </c>
      <c r="L209" s="17" t="s">
        <v>13375</v>
      </c>
      <c r="M209" s="19" t="s">
        <v>3158</v>
      </c>
      <c r="N209" s="17" t="s">
        <v>507</v>
      </c>
      <c r="O209" s="17" t="s">
        <v>13376</v>
      </c>
      <c r="P209" s="17" t="str">
        <f>HYPERLINK("https://photon-sol.tinyastro.io/en/lp/8TNRp7iBaNU47WLjv7JXqRcv72zjcC6ASAvWhaQkpump?handle=676050794bc1b1657a56b", "View")</f>
        <v>View</v>
      </c>
    </row>
    <row r="210" spans="1:16" x14ac:dyDescent="0.25">
      <c r="A210" s="13" t="s">
        <v>13377</v>
      </c>
      <c r="B210" s="14">
        <v>26067795</v>
      </c>
      <c r="C210" s="14">
        <v>26067795</v>
      </c>
      <c r="D210" s="14" t="s">
        <v>4754</v>
      </c>
      <c r="E210" s="14" t="s">
        <v>219</v>
      </c>
      <c r="F210" s="14" t="s">
        <v>13378</v>
      </c>
      <c r="G210" s="20" t="s">
        <v>9563</v>
      </c>
      <c r="H210" s="20" t="s">
        <v>13379</v>
      </c>
      <c r="I210" s="14" t="s">
        <v>88</v>
      </c>
      <c r="J210" s="14">
        <v>1</v>
      </c>
      <c r="K210" s="14">
        <v>1</v>
      </c>
      <c r="L210" s="14" t="s">
        <v>13380</v>
      </c>
      <c r="M210" s="14" t="s">
        <v>179</v>
      </c>
      <c r="N210" s="14" t="s">
        <v>13381</v>
      </c>
      <c r="O210" s="14" t="s">
        <v>13382</v>
      </c>
      <c r="P210" s="14" t="str">
        <f>HYPERLINK("https://dexscreener.com/solana/DVCWwDPHTLkVFSeVQ3DRHWUUkMWEPCzAhbVAJEWXpump", "View")</f>
        <v>View</v>
      </c>
    </row>
    <row r="211" spans="1:16" x14ac:dyDescent="0.25">
      <c r="A211" s="16" t="s">
        <v>13383</v>
      </c>
      <c r="B211" s="17">
        <v>55128665</v>
      </c>
      <c r="C211" s="17">
        <v>55128665</v>
      </c>
      <c r="D211" s="17" t="s">
        <v>12693</v>
      </c>
      <c r="E211" s="17" t="s">
        <v>12420</v>
      </c>
      <c r="F211" s="17" t="s">
        <v>3175</v>
      </c>
      <c r="G211" s="22" t="s">
        <v>6137</v>
      </c>
      <c r="H211" s="22" t="s">
        <v>5510</v>
      </c>
      <c r="I211" s="17" t="s">
        <v>88</v>
      </c>
      <c r="J211" s="17">
        <v>1</v>
      </c>
      <c r="K211" s="17">
        <v>1</v>
      </c>
      <c r="L211" s="17" t="s">
        <v>13384</v>
      </c>
      <c r="M211" s="17" t="s">
        <v>788</v>
      </c>
      <c r="N211" s="17" t="s">
        <v>507</v>
      </c>
      <c r="O211" s="17" t="s">
        <v>13385</v>
      </c>
      <c r="P211" s="17" t="str">
        <f>HYPERLINK("https://photon-sol.tinyastro.io/en/lp/B7ESc8cQDzrZHVRtknKBnhyMZywD542uEVQHPY7Gpump?handle=676050794bc1b1657a56b", "View")</f>
        <v>View</v>
      </c>
    </row>
    <row r="212" spans="1:16" x14ac:dyDescent="0.25">
      <c r="A212" s="13" t="s">
        <v>13386</v>
      </c>
      <c r="B212" s="14">
        <v>61458325</v>
      </c>
      <c r="C212" s="14">
        <v>61458325</v>
      </c>
      <c r="D212" s="14" t="s">
        <v>12693</v>
      </c>
      <c r="E212" s="14" t="s">
        <v>13387</v>
      </c>
      <c r="F212" s="14" t="s">
        <v>13388</v>
      </c>
      <c r="G212" s="20" t="s">
        <v>13011</v>
      </c>
      <c r="H212" s="20" t="s">
        <v>13187</v>
      </c>
      <c r="I212" s="14" t="s">
        <v>88</v>
      </c>
      <c r="J212" s="14">
        <v>1</v>
      </c>
      <c r="K212" s="14">
        <v>1</v>
      </c>
      <c r="L212" s="14" t="s">
        <v>13389</v>
      </c>
      <c r="M212" s="19" t="s">
        <v>1872</v>
      </c>
      <c r="N212" s="14" t="s">
        <v>507</v>
      </c>
      <c r="O212" s="14" t="s">
        <v>13390</v>
      </c>
      <c r="P212" s="14" t="str">
        <f>HYPERLINK("https://photon-sol.tinyastro.io/en/lp/61PwQzr54BGihhxajigFmanqukamsiciAzwac8GzQAqU?handle=676050794bc1b1657a56b", "View")</f>
        <v>View</v>
      </c>
    </row>
    <row r="213" spans="1:16" x14ac:dyDescent="0.25">
      <c r="A213" s="16" t="s">
        <v>13391</v>
      </c>
      <c r="B213" s="17">
        <v>84781831</v>
      </c>
      <c r="C213" s="17">
        <v>84781831</v>
      </c>
      <c r="D213" s="17" t="s">
        <v>4754</v>
      </c>
      <c r="E213" s="17" t="s">
        <v>1457</v>
      </c>
      <c r="F213" s="17" t="s">
        <v>13392</v>
      </c>
      <c r="G213" s="22" t="s">
        <v>7291</v>
      </c>
      <c r="H213" s="22" t="s">
        <v>13393</v>
      </c>
      <c r="I213" s="17" t="s">
        <v>88</v>
      </c>
      <c r="J213" s="17">
        <v>1</v>
      </c>
      <c r="K213" s="17">
        <v>1</v>
      </c>
      <c r="L213" s="17" t="s">
        <v>13394</v>
      </c>
      <c r="M213" s="17" t="s">
        <v>277</v>
      </c>
      <c r="N213" s="17" t="s">
        <v>13205</v>
      </c>
      <c r="O213" s="17" t="s">
        <v>13395</v>
      </c>
      <c r="P213" s="17" t="str">
        <f>HYPERLINK("https://dexscreener.com/solana/GQXUpBoMghi4uBUAkgiKRtyaWqCBdwPjdymcVxNgpump", "View")</f>
        <v>View</v>
      </c>
    </row>
    <row r="214" spans="1:16" x14ac:dyDescent="0.25">
      <c r="A214" s="13" t="s">
        <v>13396</v>
      </c>
      <c r="B214" s="14">
        <v>34475135</v>
      </c>
      <c r="C214" s="14">
        <v>34475135</v>
      </c>
      <c r="D214" s="14" t="s">
        <v>12693</v>
      </c>
      <c r="E214" s="14" t="s">
        <v>13172</v>
      </c>
      <c r="F214" s="14" t="s">
        <v>13397</v>
      </c>
      <c r="G214" s="20" t="s">
        <v>13398</v>
      </c>
      <c r="H214" s="20" t="s">
        <v>13399</v>
      </c>
      <c r="I214" s="14" t="s">
        <v>88</v>
      </c>
      <c r="J214" s="14">
        <v>1</v>
      </c>
      <c r="K214" s="14">
        <v>1</v>
      </c>
      <c r="L214" s="14" t="s">
        <v>13400</v>
      </c>
      <c r="M214" s="14" t="s">
        <v>1705</v>
      </c>
      <c r="N214" s="14" t="s">
        <v>507</v>
      </c>
      <c r="O214" s="14" t="s">
        <v>13401</v>
      </c>
      <c r="P214" s="14" t="str">
        <f>HYPERLINK("https://photon-sol.tinyastro.io/en/lp/EU42nS18mz88p1o5BJSA1PaC54g7Ws2N7xezyUXupump?handle=676050794bc1b1657a56b", "View")</f>
        <v>View</v>
      </c>
    </row>
    <row r="215" spans="1:16" x14ac:dyDescent="0.25">
      <c r="A215" s="16" t="s">
        <v>13402</v>
      </c>
      <c r="B215" s="17">
        <v>9214003</v>
      </c>
      <c r="C215" s="17">
        <v>9214003</v>
      </c>
      <c r="D215" s="17" t="s">
        <v>12693</v>
      </c>
      <c r="E215" s="17" t="s">
        <v>13403</v>
      </c>
      <c r="F215" s="17" t="s">
        <v>13404</v>
      </c>
      <c r="G215" s="15" t="s">
        <v>13405</v>
      </c>
      <c r="H215" s="15" t="s">
        <v>6143</v>
      </c>
      <c r="I215" s="17" t="s">
        <v>88</v>
      </c>
      <c r="J215" s="17">
        <v>1</v>
      </c>
      <c r="K215" s="17">
        <v>1</v>
      </c>
      <c r="L215" s="17" t="s">
        <v>13406</v>
      </c>
      <c r="M215" s="19" t="s">
        <v>1827</v>
      </c>
      <c r="N215" s="17" t="s">
        <v>507</v>
      </c>
      <c r="O215" s="17" t="s">
        <v>13407</v>
      </c>
      <c r="P215" s="17" t="str">
        <f>HYPERLINK("https://photon-sol.tinyastro.io/en/lp/BnwF7aUMKkz1Dpt5ETapEVVjNBdt7BSRum1Euei4pump?handle=676050794bc1b1657a56b", "View")</f>
        <v>View</v>
      </c>
    </row>
    <row r="216" spans="1:16" x14ac:dyDescent="0.25">
      <c r="A216" s="13" t="s">
        <v>1200</v>
      </c>
      <c r="B216" s="14">
        <v>66631478</v>
      </c>
      <c r="C216" s="14">
        <v>66631478</v>
      </c>
      <c r="D216" s="14" t="s">
        <v>7975</v>
      </c>
      <c r="E216" s="14" t="s">
        <v>951</v>
      </c>
      <c r="F216" s="14" t="s">
        <v>13408</v>
      </c>
      <c r="G216" s="22" t="s">
        <v>4919</v>
      </c>
      <c r="H216" s="22" t="s">
        <v>13409</v>
      </c>
      <c r="I216" s="14" t="s">
        <v>88</v>
      </c>
      <c r="J216" s="14">
        <v>1</v>
      </c>
      <c r="K216" s="14">
        <v>1</v>
      </c>
      <c r="L216" s="14" t="s">
        <v>13410</v>
      </c>
      <c r="M216" s="14" t="s">
        <v>6235</v>
      </c>
      <c r="N216" s="14" t="s">
        <v>507</v>
      </c>
      <c r="O216" s="14" t="s">
        <v>13411</v>
      </c>
      <c r="P216" s="14" t="str">
        <f>HYPERLINK("https://photon-sol.tinyastro.io/en/lp/2otAfEXZ7NA38R99FrHVn9fqzDJCSLL7CqWQ55q3pump?handle=676050794bc1b1657a56b", "View")</f>
        <v>View</v>
      </c>
    </row>
    <row r="217" spans="1:16" x14ac:dyDescent="0.25">
      <c r="A217" s="16" t="s">
        <v>13412</v>
      </c>
      <c r="B217" s="17">
        <v>48404731</v>
      </c>
      <c r="C217" s="17">
        <v>48404731</v>
      </c>
      <c r="D217" s="17" t="s">
        <v>12693</v>
      </c>
      <c r="E217" s="17" t="s">
        <v>13413</v>
      </c>
      <c r="F217" s="17" t="s">
        <v>11081</v>
      </c>
      <c r="G217" s="20" t="s">
        <v>13414</v>
      </c>
      <c r="H217" s="20" t="s">
        <v>13415</v>
      </c>
      <c r="I217" s="17" t="s">
        <v>88</v>
      </c>
      <c r="J217" s="17">
        <v>1</v>
      </c>
      <c r="K217" s="17">
        <v>1</v>
      </c>
      <c r="L217" s="17" t="s">
        <v>13416</v>
      </c>
      <c r="M217" s="19" t="s">
        <v>3626</v>
      </c>
      <c r="N217" s="17" t="s">
        <v>507</v>
      </c>
      <c r="O217" s="17" t="s">
        <v>13417</v>
      </c>
      <c r="P217" s="17" t="str">
        <f>HYPERLINK("https://photon-sol.tinyastro.io/en/lp/2X6R4c6paHBF6xoFvPxZzZxnyhUQUb1LVuPTH5wMpump?handle=676050794bc1b1657a56b", "View")</f>
        <v>View</v>
      </c>
    </row>
    <row r="218" spans="1:16" x14ac:dyDescent="0.25">
      <c r="A218" s="13" t="s">
        <v>13418</v>
      </c>
      <c r="B218" s="14">
        <v>24384489</v>
      </c>
      <c r="C218" s="14">
        <v>24384489</v>
      </c>
      <c r="D218" s="14" t="s">
        <v>13419</v>
      </c>
      <c r="E218" s="14" t="s">
        <v>13420</v>
      </c>
      <c r="F218" s="14" t="s">
        <v>13421</v>
      </c>
      <c r="G218" s="21" t="s">
        <v>13422</v>
      </c>
      <c r="H218" s="21" t="s">
        <v>13423</v>
      </c>
      <c r="I218" s="14" t="s">
        <v>88</v>
      </c>
      <c r="J218" s="14">
        <v>1</v>
      </c>
      <c r="K218" s="14">
        <v>4</v>
      </c>
      <c r="L218" s="14" t="s">
        <v>13424</v>
      </c>
      <c r="M218" s="14" t="s">
        <v>788</v>
      </c>
      <c r="N218" s="14" t="s">
        <v>13425</v>
      </c>
      <c r="O218" s="14" t="s">
        <v>13426</v>
      </c>
      <c r="P218" s="14" t="str">
        <f>HYPERLINK("https://photon-sol.tinyastro.io/en/lp/87p2Aw47YdPCtPV2UHpBLmHo21UC2zJmioVhAcFps13v?handle=676050794bc1b1657a56b", "View")</f>
        <v>View</v>
      </c>
    </row>
    <row r="219" spans="1:16" x14ac:dyDescent="0.25">
      <c r="A219" s="16" t="s">
        <v>13427</v>
      </c>
      <c r="B219" s="17">
        <v>9103359</v>
      </c>
      <c r="C219" s="17">
        <v>9103359</v>
      </c>
      <c r="D219" s="17" t="s">
        <v>13428</v>
      </c>
      <c r="E219" s="17" t="s">
        <v>13429</v>
      </c>
      <c r="F219" s="17" t="s">
        <v>13430</v>
      </c>
      <c r="G219" s="21" t="s">
        <v>13431</v>
      </c>
      <c r="H219" s="21" t="s">
        <v>13432</v>
      </c>
      <c r="I219" s="17" t="s">
        <v>88</v>
      </c>
      <c r="J219" s="17">
        <v>1</v>
      </c>
      <c r="K219" s="17">
        <v>4</v>
      </c>
      <c r="L219" s="17" t="s">
        <v>13433</v>
      </c>
      <c r="M219" s="17" t="s">
        <v>3180</v>
      </c>
      <c r="N219" s="17" t="s">
        <v>13434</v>
      </c>
      <c r="O219" s="17" t="s">
        <v>13435</v>
      </c>
      <c r="P219" s="17" t="str">
        <f>HYPERLINK("https://photon-sol.tinyastro.io/en/lp/HhuNLvutiT7v6fACB4CeLhB5pzeK8ztaLKkfjsNfpump?handle=676050794bc1b1657a56b", "View")</f>
        <v>View</v>
      </c>
    </row>
    <row r="220" spans="1:16" x14ac:dyDescent="0.25">
      <c r="A220" s="13" t="s">
        <v>13436</v>
      </c>
      <c r="B220" s="14">
        <v>55214408</v>
      </c>
      <c r="C220" s="14">
        <v>55214408</v>
      </c>
      <c r="D220" s="14" t="s">
        <v>12693</v>
      </c>
      <c r="E220" s="14" t="s">
        <v>12420</v>
      </c>
      <c r="F220" s="14" t="s">
        <v>13437</v>
      </c>
      <c r="G220" s="20" t="s">
        <v>13000</v>
      </c>
      <c r="H220" s="20" t="s">
        <v>13438</v>
      </c>
      <c r="I220" s="14" t="s">
        <v>88</v>
      </c>
      <c r="J220" s="14">
        <v>1</v>
      </c>
      <c r="K220" s="14">
        <v>1</v>
      </c>
      <c r="L220" s="14" t="s">
        <v>13439</v>
      </c>
      <c r="M220" s="14" t="s">
        <v>788</v>
      </c>
      <c r="N220" s="14" t="s">
        <v>507</v>
      </c>
      <c r="O220" s="14" t="s">
        <v>13440</v>
      </c>
      <c r="P220" s="14" t="str">
        <f>HYPERLINK("https://photon-sol.tinyastro.io/en/lp/9PnS3bhQbL6P1pVRJHKchE4R6nY3AdrxchRJ1pZ6RoE5?handle=676050794bc1b1657a56b", "View")</f>
        <v>View</v>
      </c>
    </row>
    <row r="221" spans="1:16" x14ac:dyDescent="0.25">
      <c r="A221" s="16" t="s">
        <v>13441</v>
      </c>
      <c r="B221" s="17">
        <v>13387038</v>
      </c>
      <c r="C221" s="17">
        <v>13387038</v>
      </c>
      <c r="D221" s="17" t="s">
        <v>10098</v>
      </c>
      <c r="E221" s="17" t="s">
        <v>1756</v>
      </c>
      <c r="F221" s="17" t="s">
        <v>13442</v>
      </c>
      <c r="G221" s="21" t="s">
        <v>13443</v>
      </c>
      <c r="H221" s="21" t="s">
        <v>13444</v>
      </c>
      <c r="I221" s="17" t="s">
        <v>88</v>
      </c>
      <c r="J221" s="17">
        <v>1</v>
      </c>
      <c r="K221" s="17">
        <v>2</v>
      </c>
      <c r="L221" s="17" t="s">
        <v>13445</v>
      </c>
      <c r="M221" s="17" t="s">
        <v>602</v>
      </c>
      <c r="N221" s="17" t="s">
        <v>13446</v>
      </c>
      <c r="O221" s="17" t="s">
        <v>13447</v>
      </c>
      <c r="P221" s="17" t="str">
        <f>HYPERLINK("https://photon-sol.tinyastro.io/en/lp/Ahi1TC77YmycLCFqVdi5ZjKD89Lx2WFFKgUsDXNipump?handle=676050794bc1b1657a56b", "View")</f>
        <v>View</v>
      </c>
    </row>
    <row r="222" spans="1:16" x14ac:dyDescent="0.25">
      <c r="A222" s="13" t="s">
        <v>5963</v>
      </c>
      <c r="B222" s="14">
        <v>4674546</v>
      </c>
      <c r="C222" s="14">
        <v>4674546</v>
      </c>
      <c r="D222" s="14" t="s">
        <v>10098</v>
      </c>
      <c r="E222" s="14" t="s">
        <v>2390</v>
      </c>
      <c r="F222" s="14" t="s">
        <v>13448</v>
      </c>
      <c r="G222" s="15" t="s">
        <v>13449</v>
      </c>
      <c r="H222" s="15" t="s">
        <v>13450</v>
      </c>
      <c r="I222" s="14" t="s">
        <v>88</v>
      </c>
      <c r="J222" s="14">
        <v>2</v>
      </c>
      <c r="K222" s="14">
        <v>1</v>
      </c>
      <c r="L222" s="14" t="s">
        <v>13451</v>
      </c>
      <c r="M222" s="14" t="s">
        <v>141</v>
      </c>
      <c r="N222" s="14" t="s">
        <v>13452</v>
      </c>
      <c r="O222" s="14" t="s">
        <v>11926</v>
      </c>
      <c r="P222" s="14" t="str">
        <f>HYPERLINK("https://dexscreener.com/solana/8HfFvgutvKBjdbTqm8h6qZ2VSJ3TxwrZxHT3m34Cpump", "View")</f>
        <v>View</v>
      </c>
    </row>
    <row r="223" spans="1:16" x14ac:dyDescent="0.25">
      <c r="A223" s="16" t="s">
        <v>13453</v>
      </c>
      <c r="B223" s="17">
        <v>48192290</v>
      </c>
      <c r="C223" s="17">
        <v>48192290</v>
      </c>
      <c r="D223" s="17" t="s">
        <v>12343</v>
      </c>
      <c r="E223" s="17" t="s">
        <v>13454</v>
      </c>
      <c r="F223" s="17" t="s">
        <v>13455</v>
      </c>
      <c r="G223" s="20" t="s">
        <v>13456</v>
      </c>
      <c r="H223" s="20" t="s">
        <v>13457</v>
      </c>
      <c r="I223" s="17" t="s">
        <v>88</v>
      </c>
      <c r="J223" s="17">
        <v>1</v>
      </c>
      <c r="K223" s="17">
        <v>1</v>
      </c>
      <c r="L223" s="17" t="s">
        <v>13458</v>
      </c>
      <c r="M223" s="17" t="s">
        <v>1957</v>
      </c>
      <c r="N223" s="17" t="s">
        <v>507</v>
      </c>
      <c r="O223" s="17" t="s">
        <v>13459</v>
      </c>
      <c r="P223" s="17" t="str">
        <f>HYPERLINK("https://photon-sol.tinyastro.io/en/lp/rebLx3VATsU2hF3tYcuoqtproKcZJuar1FtiVaMpump?handle=676050794bc1b1657a56b", "View")</f>
        <v>View</v>
      </c>
    </row>
    <row r="224" spans="1:16" x14ac:dyDescent="0.25">
      <c r="A224" s="13" t="s">
        <v>13453</v>
      </c>
      <c r="B224" s="14">
        <v>54242985</v>
      </c>
      <c r="C224" s="14">
        <v>54242985</v>
      </c>
      <c r="D224" s="14" t="s">
        <v>12343</v>
      </c>
      <c r="E224" s="14" t="s">
        <v>12420</v>
      </c>
      <c r="F224" s="14" t="s">
        <v>13460</v>
      </c>
      <c r="G224" s="20" t="s">
        <v>13461</v>
      </c>
      <c r="H224" s="20" t="s">
        <v>13462</v>
      </c>
      <c r="I224" s="14" t="s">
        <v>88</v>
      </c>
      <c r="J224" s="14">
        <v>1</v>
      </c>
      <c r="K224" s="14">
        <v>1</v>
      </c>
      <c r="L224" s="14" t="s">
        <v>13463</v>
      </c>
      <c r="M224" s="14" t="s">
        <v>1957</v>
      </c>
      <c r="N224" s="14" t="s">
        <v>507</v>
      </c>
      <c r="O224" s="14" t="s">
        <v>13464</v>
      </c>
      <c r="P224" s="14" t="str">
        <f>HYPERLINK("https://photon-sol.tinyastro.io/en/lp/5ivDCspRrBZcvtCChR1S93fLTiWdKHjhh2sotm9jibmH?handle=676050794bc1b1657a56b", "View")</f>
        <v>View</v>
      </c>
    </row>
    <row r="225" spans="1:16" x14ac:dyDescent="0.25">
      <c r="A225" s="16" t="s">
        <v>13465</v>
      </c>
      <c r="B225" s="17">
        <v>53098654</v>
      </c>
      <c r="C225" s="17">
        <v>53098654</v>
      </c>
      <c r="D225" s="17" t="s">
        <v>12343</v>
      </c>
      <c r="E225" s="17" t="s">
        <v>13466</v>
      </c>
      <c r="F225" s="17" t="s">
        <v>13341</v>
      </c>
      <c r="G225" s="20" t="s">
        <v>13467</v>
      </c>
      <c r="H225" s="20" t="s">
        <v>13468</v>
      </c>
      <c r="I225" s="17" t="s">
        <v>88</v>
      </c>
      <c r="J225" s="17">
        <v>1</v>
      </c>
      <c r="K225" s="17">
        <v>1</v>
      </c>
      <c r="L225" s="17" t="s">
        <v>13469</v>
      </c>
      <c r="M225" s="17" t="s">
        <v>1434</v>
      </c>
      <c r="N225" s="17" t="s">
        <v>507</v>
      </c>
      <c r="O225" s="17" t="s">
        <v>13470</v>
      </c>
      <c r="P225" s="17" t="str">
        <f>HYPERLINK("https://photon-sol.tinyastro.io/en/lp/HuG3e2MLHvhHbNsTWaFdYzXmhoKpVNMkKZC47KXFVUen?handle=676050794bc1b1657a56b", "View")</f>
        <v>View</v>
      </c>
    </row>
    <row r="226" spans="1:16" x14ac:dyDescent="0.25">
      <c r="A226" s="13" t="s">
        <v>2602</v>
      </c>
      <c r="B226" s="14">
        <v>36502614</v>
      </c>
      <c r="C226" s="14">
        <v>36502614</v>
      </c>
      <c r="D226" s="14" t="s">
        <v>12343</v>
      </c>
      <c r="E226" s="14" t="s">
        <v>13413</v>
      </c>
      <c r="F226" s="14" t="s">
        <v>1867</v>
      </c>
      <c r="G226" s="15" t="s">
        <v>13471</v>
      </c>
      <c r="H226" s="15" t="s">
        <v>13472</v>
      </c>
      <c r="I226" s="14" t="s">
        <v>88</v>
      </c>
      <c r="J226" s="14">
        <v>1</v>
      </c>
      <c r="K226" s="14">
        <v>1</v>
      </c>
      <c r="L226" s="14" t="s">
        <v>13473</v>
      </c>
      <c r="M226" s="14" t="s">
        <v>1434</v>
      </c>
      <c r="N226" s="14" t="s">
        <v>507</v>
      </c>
      <c r="O226" s="14" t="s">
        <v>13474</v>
      </c>
      <c r="P226" s="14" t="str">
        <f>HYPERLINK("https://photon-sol.tinyastro.io/en/lp/3wHxMdu8HhG9TGNAR5AtzHqv6wJdsDsAQ6gTDzrRpump?handle=676050794bc1b1657a56b", "View")</f>
        <v>View</v>
      </c>
    </row>
    <row r="227" spans="1:16" x14ac:dyDescent="0.25">
      <c r="A227" s="16" t="s">
        <v>13475</v>
      </c>
      <c r="B227" s="17">
        <v>951286</v>
      </c>
      <c r="C227" s="17">
        <v>951286</v>
      </c>
      <c r="D227" s="17" t="s">
        <v>10098</v>
      </c>
      <c r="E227" s="17" t="s">
        <v>569</v>
      </c>
      <c r="F227" s="17" t="s">
        <v>13476</v>
      </c>
      <c r="G227" s="20" t="s">
        <v>13477</v>
      </c>
      <c r="H227" s="20" t="s">
        <v>13478</v>
      </c>
      <c r="I227" s="17" t="s">
        <v>88</v>
      </c>
      <c r="J227" s="17">
        <v>2</v>
      </c>
      <c r="K227" s="17">
        <v>1</v>
      </c>
      <c r="L227" s="17" t="s">
        <v>13479</v>
      </c>
      <c r="M227" s="17" t="s">
        <v>132</v>
      </c>
      <c r="N227" s="17" t="s">
        <v>507</v>
      </c>
      <c r="O227" s="17" t="s">
        <v>13480</v>
      </c>
      <c r="P227" s="17" t="str">
        <f>HYPERLINK("https://dexscreener.com/solana/8XPQ58p9a5YSR4r7Hm1x6WeeRzT7hUUDfv7ao47YEECw", "View")</f>
        <v>View</v>
      </c>
    </row>
    <row r="228" spans="1:16" x14ac:dyDescent="0.25">
      <c r="A228" s="13" t="s">
        <v>13481</v>
      </c>
      <c r="B228" s="14">
        <v>27894884</v>
      </c>
      <c r="C228" s="14">
        <v>27894884</v>
      </c>
      <c r="D228" s="14" t="s">
        <v>12343</v>
      </c>
      <c r="E228" s="14" t="s">
        <v>2178</v>
      </c>
      <c r="F228" s="14" t="s">
        <v>13482</v>
      </c>
      <c r="G228" s="20" t="s">
        <v>3414</v>
      </c>
      <c r="H228" s="20" t="s">
        <v>13483</v>
      </c>
      <c r="I228" s="14" t="s">
        <v>88</v>
      </c>
      <c r="J228" s="14">
        <v>1</v>
      </c>
      <c r="K228" s="14">
        <v>1</v>
      </c>
      <c r="L228" s="14" t="s">
        <v>13484</v>
      </c>
      <c r="M228" s="14" t="s">
        <v>980</v>
      </c>
      <c r="N228" s="14" t="s">
        <v>507</v>
      </c>
      <c r="O228" s="14" t="s">
        <v>13485</v>
      </c>
      <c r="P228" s="14" t="str">
        <f>HYPERLINK("https://photon-sol.tinyastro.io/en/lp/3AA5s5cWWB4t3WAdTAYRMsEp1R3M3nxeQFwW2DXQpump?handle=676050794bc1b1657a56b", "View")</f>
        <v>View</v>
      </c>
    </row>
    <row r="229" spans="1:16" x14ac:dyDescent="0.25">
      <c r="A229" s="16" t="s">
        <v>13486</v>
      </c>
      <c r="B229" s="17">
        <v>7044079</v>
      </c>
      <c r="C229" s="17">
        <v>7044079</v>
      </c>
      <c r="D229" s="17" t="s">
        <v>10098</v>
      </c>
      <c r="E229" s="17" t="s">
        <v>2390</v>
      </c>
      <c r="F229" s="17" t="s">
        <v>13487</v>
      </c>
      <c r="G229" s="20" t="s">
        <v>5747</v>
      </c>
      <c r="H229" s="20" t="s">
        <v>13488</v>
      </c>
      <c r="I229" s="17" t="s">
        <v>88</v>
      </c>
      <c r="J229" s="17">
        <v>2</v>
      </c>
      <c r="K229" s="17">
        <v>1</v>
      </c>
      <c r="L229" s="17" t="s">
        <v>13489</v>
      </c>
      <c r="M229" s="17" t="s">
        <v>132</v>
      </c>
      <c r="N229" s="17" t="s">
        <v>13490</v>
      </c>
      <c r="O229" s="17" t="s">
        <v>13491</v>
      </c>
      <c r="P229" s="17" t="str">
        <f>HYPERLINK("https://dexscreener.com/solana/FJup6BbEBoCeFJZtqW4qcaqABLco5SkV8683do38P9tu", "View")</f>
        <v>View</v>
      </c>
    </row>
    <row r="230" spans="1:16" x14ac:dyDescent="0.25">
      <c r="A230" s="13" t="s">
        <v>13492</v>
      </c>
      <c r="B230" s="14">
        <v>65299333</v>
      </c>
      <c r="C230" s="14">
        <v>65299333</v>
      </c>
      <c r="D230" s="14" t="s">
        <v>12343</v>
      </c>
      <c r="E230" s="14" t="s">
        <v>13493</v>
      </c>
      <c r="F230" s="14" t="s">
        <v>13494</v>
      </c>
      <c r="G230" s="20" t="s">
        <v>13495</v>
      </c>
      <c r="H230" s="20" t="s">
        <v>8344</v>
      </c>
      <c r="I230" s="14" t="s">
        <v>88</v>
      </c>
      <c r="J230" s="14">
        <v>1</v>
      </c>
      <c r="K230" s="14">
        <v>1</v>
      </c>
      <c r="L230" s="14" t="s">
        <v>13496</v>
      </c>
      <c r="M230" s="19" t="s">
        <v>2239</v>
      </c>
      <c r="N230" s="14" t="s">
        <v>507</v>
      </c>
      <c r="O230" s="14" t="s">
        <v>13497</v>
      </c>
      <c r="P230" s="14" t="str">
        <f>HYPERLINK("https://photon-sol.tinyastro.io/en/lp/BWee43g1Qodo2bMvuzkKcoxWnV1z97hkbxnQMU3jpump?handle=676050794bc1b1657a56b", "View")</f>
        <v>View</v>
      </c>
    </row>
    <row r="231" spans="1:16" x14ac:dyDescent="0.25">
      <c r="A231" s="16" t="s">
        <v>13498</v>
      </c>
      <c r="B231" s="17">
        <v>38773963</v>
      </c>
      <c r="C231" s="17">
        <v>38773963</v>
      </c>
      <c r="D231" s="17" t="s">
        <v>12343</v>
      </c>
      <c r="E231" s="17" t="s">
        <v>12420</v>
      </c>
      <c r="F231" s="17" t="s">
        <v>13499</v>
      </c>
      <c r="G231" s="20" t="s">
        <v>9952</v>
      </c>
      <c r="H231" s="20" t="s">
        <v>13500</v>
      </c>
      <c r="I231" s="17" t="s">
        <v>88</v>
      </c>
      <c r="J231" s="17">
        <v>1</v>
      </c>
      <c r="K231" s="17">
        <v>1</v>
      </c>
      <c r="L231" s="17" t="s">
        <v>13501</v>
      </c>
      <c r="M231" s="17" t="s">
        <v>1566</v>
      </c>
      <c r="N231" s="17" t="s">
        <v>507</v>
      </c>
      <c r="O231" s="17" t="s">
        <v>13502</v>
      </c>
      <c r="P231" s="17" t="str">
        <f>HYPERLINK("https://photon-sol.tinyastro.io/en/lp/E5UyEEUrn9HQKJVbW7MZytojVJhYmhrz54URfxQ9RfKU?handle=676050794bc1b1657a56b", "View")</f>
        <v>View</v>
      </c>
    </row>
    <row r="232" spans="1:16" x14ac:dyDescent="0.25">
      <c r="A232" s="13" t="s">
        <v>13503</v>
      </c>
      <c r="B232" s="14">
        <v>13589631</v>
      </c>
      <c r="C232" s="14">
        <v>13589631</v>
      </c>
      <c r="D232" s="14" t="s">
        <v>12343</v>
      </c>
      <c r="E232" s="14" t="s">
        <v>6752</v>
      </c>
      <c r="F232" s="14" t="s">
        <v>13504</v>
      </c>
      <c r="G232" s="15" t="s">
        <v>13505</v>
      </c>
      <c r="H232" s="15" t="s">
        <v>7471</v>
      </c>
      <c r="I232" s="14" t="s">
        <v>88</v>
      </c>
      <c r="J232" s="14">
        <v>1</v>
      </c>
      <c r="K232" s="14">
        <v>1</v>
      </c>
      <c r="L232" s="14" t="s">
        <v>13506</v>
      </c>
      <c r="M232" s="14" t="s">
        <v>1566</v>
      </c>
      <c r="N232" s="14" t="s">
        <v>507</v>
      </c>
      <c r="O232" s="14" t="s">
        <v>13507</v>
      </c>
      <c r="P232" s="14" t="str">
        <f>HYPERLINK("https://photon-sol.tinyastro.io/en/lp/BLTFrxb6mJZ7K6fj5Y96nAYBjJxCUwk7XvD2dA31pump?handle=676050794bc1b1657a56b", "View")</f>
        <v>View</v>
      </c>
    </row>
    <row r="233" spans="1:16" x14ac:dyDescent="0.25">
      <c r="A233" s="16" t="s">
        <v>13508</v>
      </c>
      <c r="B233" s="17">
        <v>66433396</v>
      </c>
      <c r="C233" s="17">
        <v>66433396</v>
      </c>
      <c r="D233" s="17" t="s">
        <v>12343</v>
      </c>
      <c r="E233" s="17" t="s">
        <v>12420</v>
      </c>
      <c r="F233" s="17" t="s">
        <v>13509</v>
      </c>
      <c r="G233" s="20" t="s">
        <v>3671</v>
      </c>
      <c r="H233" s="20" t="s">
        <v>13510</v>
      </c>
      <c r="I233" s="17" t="s">
        <v>88</v>
      </c>
      <c r="J233" s="17">
        <v>1</v>
      </c>
      <c r="K233" s="17">
        <v>1</v>
      </c>
      <c r="L233" s="17" t="s">
        <v>13511</v>
      </c>
      <c r="M233" s="17" t="s">
        <v>980</v>
      </c>
      <c r="N233" s="17" t="s">
        <v>507</v>
      </c>
      <c r="O233" s="17" t="s">
        <v>13512</v>
      </c>
      <c r="P233" s="17" t="str">
        <f>HYPERLINK("https://photon-sol.tinyastro.io/en/lp/6rsLEYA4QjNviv8ZHajVkRMPMNJgjcRiesDtaQaEpAis?handle=676050794bc1b1657a56b", "View")</f>
        <v>View</v>
      </c>
    </row>
    <row r="234" spans="1:16" x14ac:dyDescent="0.25">
      <c r="A234" s="13" t="s">
        <v>8461</v>
      </c>
      <c r="B234" s="14">
        <v>20983528</v>
      </c>
      <c r="C234" s="14">
        <v>20983528</v>
      </c>
      <c r="D234" s="14" t="s">
        <v>12343</v>
      </c>
      <c r="E234" s="14" t="s">
        <v>12920</v>
      </c>
      <c r="F234" s="14" t="s">
        <v>4180</v>
      </c>
      <c r="G234" s="20" t="s">
        <v>13513</v>
      </c>
      <c r="H234" s="20" t="s">
        <v>13514</v>
      </c>
      <c r="I234" s="14" t="s">
        <v>88</v>
      </c>
      <c r="J234" s="14">
        <v>1</v>
      </c>
      <c r="K234" s="14">
        <v>1</v>
      </c>
      <c r="L234" s="14" t="s">
        <v>13515</v>
      </c>
      <c r="M234" s="14" t="s">
        <v>1434</v>
      </c>
      <c r="N234" s="14" t="s">
        <v>507</v>
      </c>
      <c r="O234" s="14" t="s">
        <v>13516</v>
      </c>
      <c r="P234" s="14" t="str">
        <f>HYPERLINK("https://photon-sol.tinyastro.io/en/lp/8iHTqDBPr4wHeGBXKc774pFwd1X7Zxg8e517oJfapump?handle=676050794bc1b1657a56b", "View")</f>
        <v>View</v>
      </c>
    </row>
    <row r="235" spans="1:16" x14ac:dyDescent="0.25">
      <c r="A235" s="16" t="s">
        <v>13517</v>
      </c>
      <c r="B235" s="17">
        <v>15121554</v>
      </c>
      <c r="C235" s="17">
        <v>0</v>
      </c>
      <c r="D235" s="17" t="s">
        <v>13518</v>
      </c>
      <c r="E235" s="17" t="s">
        <v>13408</v>
      </c>
      <c r="F235" s="17" t="s">
        <v>96</v>
      </c>
      <c r="G235" s="18" t="s">
        <v>13519</v>
      </c>
      <c r="H235" s="18" t="s">
        <v>98</v>
      </c>
      <c r="I235" s="17" t="s">
        <v>13520</v>
      </c>
      <c r="J235" s="17">
        <v>1</v>
      </c>
      <c r="K235" s="17">
        <v>0</v>
      </c>
      <c r="L235" s="17" t="s">
        <v>13521</v>
      </c>
      <c r="M235" s="19" t="s">
        <v>101</v>
      </c>
      <c r="N235" s="17" t="s">
        <v>13522</v>
      </c>
      <c r="O235" s="17" t="s">
        <v>13523</v>
      </c>
      <c r="P235" s="17" t="str">
        <f>HYPERLINK("https://photon-sol.tinyastro.io/en/lp/4aTDyXhFL5vB99ewQWymxN5wi3rzz7jW7Bmkp48Wpump?handle=676050794bc1b1657a56b", "View")</f>
        <v>View</v>
      </c>
    </row>
    <row r="236" spans="1:16" x14ac:dyDescent="0.25">
      <c r="A236" s="13" t="s">
        <v>13524</v>
      </c>
      <c r="B236" s="14">
        <v>502186</v>
      </c>
      <c r="C236" s="14">
        <v>502186</v>
      </c>
      <c r="D236" s="14" t="s">
        <v>12343</v>
      </c>
      <c r="E236" s="14" t="s">
        <v>1457</v>
      </c>
      <c r="F236" s="14" t="s">
        <v>13525</v>
      </c>
      <c r="G236" s="15" t="s">
        <v>13526</v>
      </c>
      <c r="H236" s="15" t="s">
        <v>13527</v>
      </c>
      <c r="I236" s="14" t="s">
        <v>88</v>
      </c>
      <c r="J236" s="14">
        <v>1</v>
      </c>
      <c r="K236" s="14">
        <v>1</v>
      </c>
      <c r="L236" s="14" t="s">
        <v>13528</v>
      </c>
      <c r="M236" s="14" t="s">
        <v>3180</v>
      </c>
      <c r="N236" s="14" t="s">
        <v>13529</v>
      </c>
      <c r="O236" s="14" t="s">
        <v>13530</v>
      </c>
      <c r="P236" s="14" t="str">
        <f>HYPERLINK("https://dexscreener.com/solana/FiDqSyqETYmGgGLaUCUkucgGEpZg6kFgtHYBMnx6pump", "View")</f>
        <v>View</v>
      </c>
    </row>
    <row r="237" spans="1:16" x14ac:dyDescent="0.25">
      <c r="A237" s="16" t="s">
        <v>13531</v>
      </c>
      <c r="B237" s="17">
        <v>19828719</v>
      </c>
      <c r="C237" s="17">
        <v>19828719</v>
      </c>
      <c r="D237" s="17" t="s">
        <v>13532</v>
      </c>
      <c r="E237" s="17" t="s">
        <v>13145</v>
      </c>
      <c r="F237" s="17" t="s">
        <v>13533</v>
      </c>
      <c r="G237" s="21" t="s">
        <v>13534</v>
      </c>
      <c r="H237" s="21" t="s">
        <v>13535</v>
      </c>
      <c r="I237" s="17" t="s">
        <v>88</v>
      </c>
      <c r="J237" s="17">
        <v>1</v>
      </c>
      <c r="K237" s="17">
        <v>3</v>
      </c>
      <c r="L237" s="17" t="s">
        <v>13536</v>
      </c>
      <c r="M237" s="17" t="s">
        <v>1986</v>
      </c>
      <c r="N237" s="17" t="s">
        <v>13537</v>
      </c>
      <c r="O237" s="17" t="s">
        <v>13538</v>
      </c>
      <c r="P237" s="17" t="str">
        <f>HYPERLINK("https://photon-sol.tinyastro.io/en/lp/Cq3aQNt4p9KQKEAH6kCMBwoMTChT8MwH11oVLK674Vqn?handle=676050794bc1b1657a56b", "View")</f>
        <v>View</v>
      </c>
    </row>
    <row r="238" spans="1:16" x14ac:dyDescent="0.25">
      <c r="A238" s="13" t="s">
        <v>13539</v>
      </c>
      <c r="B238" s="14">
        <v>812075</v>
      </c>
      <c r="C238" s="14">
        <v>812075</v>
      </c>
      <c r="D238" s="14" t="s">
        <v>1795</v>
      </c>
      <c r="E238" s="14" t="s">
        <v>13540</v>
      </c>
      <c r="F238" s="14" t="s">
        <v>4481</v>
      </c>
      <c r="G238" s="20" t="s">
        <v>10146</v>
      </c>
      <c r="H238" s="20" t="s">
        <v>13541</v>
      </c>
      <c r="I238" s="14" t="s">
        <v>88</v>
      </c>
      <c r="J238" s="14">
        <v>8</v>
      </c>
      <c r="K238" s="14">
        <v>1</v>
      </c>
      <c r="L238" s="14" t="s">
        <v>13542</v>
      </c>
      <c r="M238" s="14" t="s">
        <v>132</v>
      </c>
      <c r="N238" s="14" t="s">
        <v>13543</v>
      </c>
      <c r="O238" s="14" t="s">
        <v>13544</v>
      </c>
      <c r="P238" s="14" t="str">
        <f>HYPERLINK("https://dexscreener.com/solana/DDYm5NbJ4J9HnZUrVhiprdruggHpRWgKsw4ky7je6yw9", "View")</f>
        <v>View</v>
      </c>
    </row>
    <row r="239" spans="1:16" x14ac:dyDescent="0.25">
      <c r="A239" s="16" t="s">
        <v>13545</v>
      </c>
      <c r="B239" s="17">
        <v>37665340</v>
      </c>
      <c r="C239" s="17">
        <v>37665340</v>
      </c>
      <c r="D239" s="17" t="s">
        <v>13546</v>
      </c>
      <c r="E239" s="17" t="s">
        <v>3999</v>
      </c>
      <c r="F239" s="17" t="s">
        <v>3690</v>
      </c>
      <c r="G239" s="22" t="s">
        <v>13547</v>
      </c>
      <c r="H239" s="22" t="s">
        <v>13548</v>
      </c>
      <c r="I239" s="17" t="s">
        <v>88</v>
      </c>
      <c r="J239" s="17">
        <v>1</v>
      </c>
      <c r="K239" s="17">
        <v>1</v>
      </c>
      <c r="L239" s="17" t="s">
        <v>13549</v>
      </c>
      <c r="M239" s="19" t="s">
        <v>1948</v>
      </c>
      <c r="N239" s="17" t="s">
        <v>507</v>
      </c>
      <c r="O239" s="17" t="s">
        <v>13550</v>
      </c>
      <c r="P239" s="17" t="str">
        <f>HYPERLINK("https://photon-sol.tinyastro.io/en/lp/8sUwAft4qALi1iWfFRLUsYiBTiPwFyhJWHZGDaznpump?handle=676050794bc1b1657a56b", "View")</f>
        <v>View</v>
      </c>
    </row>
    <row r="240" spans="1:16" x14ac:dyDescent="0.25">
      <c r="A240" s="13" t="s">
        <v>13551</v>
      </c>
      <c r="B240" s="14">
        <v>54945559</v>
      </c>
      <c r="C240" s="14">
        <v>54945559</v>
      </c>
      <c r="D240" s="14" t="s">
        <v>13546</v>
      </c>
      <c r="E240" s="14" t="s">
        <v>13552</v>
      </c>
      <c r="F240" s="14" t="s">
        <v>13553</v>
      </c>
      <c r="G240" s="20" t="s">
        <v>4962</v>
      </c>
      <c r="H240" s="20" t="s">
        <v>13554</v>
      </c>
      <c r="I240" s="14" t="s">
        <v>88</v>
      </c>
      <c r="J240" s="14">
        <v>1</v>
      </c>
      <c r="K240" s="14">
        <v>1</v>
      </c>
      <c r="L240" s="14" t="s">
        <v>13555</v>
      </c>
      <c r="M240" s="19" t="s">
        <v>370</v>
      </c>
      <c r="N240" s="14" t="s">
        <v>507</v>
      </c>
      <c r="O240" s="14" t="s">
        <v>13556</v>
      </c>
      <c r="P240" s="14" t="str">
        <f>HYPERLINK("https://photon-sol.tinyastro.io/en/lp/5bejnfbDXUvanALuv5ut4sQZkh2693FrRuHFVVTmpump?handle=676050794bc1b1657a56b", "View")</f>
        <v>View</v>
      </c>
    </row>
    <row r="241" spans="1:16" x14ac:dyDescent="0.25">
      <c r="A241" s="16" t="s">
        <v>13557</v>
      </c>
      <c r="B241" s="17">
        <v>31188258</v>
      </c>
      <c r="C241" s="17">
        <v>31188258</v>
      </c>
      <c r="D241" s="17" t="s">
        <v>13546</v>
      </c>
      <c r="E241" s="17" t="s">
        <v>13558</v>
      </c>
      <c r="F241" s="17" t="s">
        <v>13559</v>
      </c>
      <c r="G241" s="20" t="s">
        <v>13560</v>
      </c>
      <c r="H241" s="20" t="s">
        <v>13561</v>
      </c>
      <c r="I241" s="17" t="s">
        <v>88</v>
      </c>
      <c r="J241" s="17">
        <v>1</v>
      </c>
      <c r="K241" s="17">
        <v>1</v>
      </c>
      <c r="L241" s="17" t="s">
        <v>13562</v>
      </c>
      <c r="M241" s="17" t="s">
        <v>1448</v>
      </c>
      <c r="N241" s="17" t="s">
        <v>507</v>
      </c>
      <c r="O241" s="17" t="s">
        <v>13563</v>
      </c>
      <c r="P241" s="17" t="str">
        <f>HYPERLINK("https://photon-sol.tinyastro.io/en/lp/8DrWtg6SJ1Dv3zghRcdNPpNjf6sQ5mJiefjHe2h3woRy?handle=676050794bc1b1657a56b", "View")</f>
        <v>View</v>
      </c>
    </row>
    <row r="242" spans="1:16" x14ac:dyDescent="0.25">
      <c r="A242" s="13" t="s">
        <v>13564</v>
      </c>
      <c r="B242" s="14">
        <v>12932026</v>
      </c>
      <c r="C242" s="14">
        <v>12932026</v>
      </c>
      <c r="D242" s="14" t="s">
        <v>12343</v>
      </c>
      <c r="E242" s="14" t="s">
        <v>13565</v>
      </c>
      <c r="F242" s="14" t="s">
        <v>13566</v>
      </c>
      <c r="G242" s="20" t="s">
        <v>13567</v>
      </c>
      <c r="H242" s="20" t="s">
        <v>13568</v>
      </c>
      <c r="I242" s="14" t="s">
        <v>88</v>
      </c>
      <c r="J242" s="14">
        <v>1</v>
      </c>
      <c r="K242" s="14">
        <v>1</v>
      </c>
      <c r="L242" s="14" t="s">
        <v>13569</v>
      </c>
      <c r="M242" s="19" t="s">
        <v>2812</v>
      </c>
      <c r="N242" s="14" t="s">
        <v>507</v>
      </c>
      <c r="O242" s="14" t="s">
        <v>13570</v>
      </c>
      <c r="P242" s="14" t="str">
        <f>HYPERLINK("https://photon-sol.tinyastro.io/en/lp/HbCYCfBeqcLSZ9bsmELM72Y27gLabS2iLmT28232tuRm?handle=676050794bc1b1657a56b", "View")</f>
        <v>View</v>
      </c>
    </row>
    <row r="243" spans="1:16" x14ac:dyDescent="0.25">
      <c r="A243" s="16" t="s">
        <v>13571</v>
      </c>
      <c r="B243" s="17">
        <v>1067762</v>
      </c>
      <c r="C243" s="17">
        <v>1067762</v>
      </c>
      <c r="D243" s="17" t="s">
        <v>12693</v>
      </c>
      <c r="E243" s="17" t="s">
        <v>569</v>
      </c>
      <c r="F243" s="17" t="s">
        <v>2644</v>
      </c>
      <c r="G243" s="20" t="s">
        <v>13572</v>
      </c>
      <c r="H243" s="20" t="s">
        <v>13573</v>
      </c>
      <c r="I243" s="17" t="s">
        <v>88</v>
      </c>
      <c r="J243" s="17">
        <v>1</v>
      </c>
      <c r="K243" s="17">
        <v>1</v>
      </c>
      <c r="L243" s="17" t="s">
        <v>13574</v>
      </c>
      <c r="M243" s="17" t="s">
        <v>699</v>
      </c>
      <c r="N243" s="17" t="s">
        <v>13575</v>
      </c>
      <c r="O243" s="17" t="s">
        <v>13576</v>
      </c>
      <c r="P243" s="17" t="str">
        <f>HYPERLINK("https://dexscreener.com/solana/77RBCP95AFT9XRsx4xuGUHjBQsjcatGYCZ2VXx8Epump", "View")</f>
        <v>View</v>
      </c>
    </row>
    <row r="244" spans="1:16" x14ac:dyDescent="0.25">
      <c r="A244" s="13" t="s">
        <v>5578</v>
      </c>
      <c r="B244" s="14">
        <v>6479294</v>
      </c>
      <c r="C244" s="14">
        <v>6479294</v>
      </c>
      <c r="D244" s="14" t="s">
        <v>13546</v>
      </c>
      <c r="E244" s="14" t="s">
        <v>569</v>
      </c>
      <c r="F244" s="14" t="s">
        <v>13577</v>
      </c>
      <c r="G244" s="22" t="s">
        <v>6849</v>
      </c>
      <c r="H244" s="22" t="s">
        <v>13578</v>
      </c>
      <c r="I244" s="14" t="s">
        <v>88</v>
      </c>
      <c r="J244" s="14">
        <v>1</v>
      </c>
      <c r="K244" s="14">
        <v>1</v>
      </c>
      <c r="L244" s="14" t="s">
        <v>13579</v>
      </c>
      <c r="M244" s="14" t="s">
        <v>3462</v>
      </c>
      <c r="N244" s="14" t="s">
        <v>13580</v>
      </c>
      <c r="O244" s="14" t="s">
        <v>13581</v>
      </c>
      <c r="P244" s="14" t="str">
        <f>HYPERLINK("https://dexscreener.com/solana/A53BzB7297SXdF6mguQQ8kzqjVYt8pUeHW5m1i8pD6hf", "View")</f>
        <v>View</v>
      </c>
    </row>
    <row r="245" spans="1:16" x14ac:dyDescent="0.25">
      <c r="A245" s="16" t="s">
        <v>13582</v>
      </c>
      <c r="B245" s="17">
        <v>58833173</v>
      </c>
      <c r="C245" s="17">
        <v>58833173</v>
      </c>
      <c r="D245" s="17" t="s">
        <v>13546</v>
      </c>
      <c r="E245" s="17" t="s">
        <v>12420</v>
      </c>
      <c r="F245" s="17" t="s">
        <v>9419</v>
      </c>
      <c r="G245" s="20" t="s">
        <v>13583</v>
      </c>
      <c r="H245" s="20" t="s">
        <v>13584</v>
      </c>
      <c r="I245" s="17" t="s">
        <v>88</v>
      </c>
      <c r="J245" s="17">
        <v>1</v>
      </c>
      <c r="K245" s="17">
        <v>1</v>
      </c>
      <c r="L245" s="17" t="s">
        <v>13585</v>
      </c>
      <c r="M245" s="17" t="s">
        <v>2047</v>
      </c>
      <c r="N245" s="17" t="s">
        <v>507</v>
      </c>
      <c r="O245" s="17" t="s">
        <v>13586</v>
      </c>
      <c r="P245" s="17" t="str">
        <f>HYPERLINK("https://photon-sol.tinyastro.io/en/lp/EApdNQpAHD3GFq9Sg7GUr9K9hayyyAZnuF5qyiFSpump?handle=676050794bc1b1657a56b", "View")</f>
        <v>View</v>
      </c>
    </row>
    <row r="246" spans="1:16" x14ac:dyDescent="0.25">
      <c r="A246" s="13" t="s">
        <v>13587</v>
      </c>
      <c r="B246" s="14">
        <v>33952473</v>
      </c>
      <c r="C246" s="14">
        <v>33952473</v>
      </c>
      <c r="D246" s="14" t="s">
        <v>2050</v>
      </c>
      <c r="E246" s="14" t="s">
        <v>2919</v>
      </c>
      <c r="F246" s="14" t="s">
        <v>13588</v>
      </c>
      <c r="G246" s="22" t="s">
        <v>1970</v>
      </c>
      <c r="H246" s="22" t="s">
        <v>13589</v>
      </c>
      <c r="I246" s="14" t="s">
        <v>88</v>
      </c>
      <c r="J246" s="14">
        <v>1</v>
      </c>
      <c r="K246" s="14">
        <v>1</v>
      </c>
      <c r="L246" s="14" t="s">
        <v>13590</v>
      </c>
      <c r="M246" s="14" t="s">
        <v>2984</v>
      </c>
      <c r="N246" s="14" t="s">
        <v>507</v>
      </c>
      <c r="O246" s="14" t="s">
        <v>13591</v>
      </c>
      <c r="P246" s="14" t="str">
        <f>HYPERLINK("https://photon-sol.tinyastro.io/en/lp/8PFMe4wCCza9VPv4VF62LJ5zcrVcAdPtK7eWboKCpump?handle=676050794bc1b1657a56b", "View")</f>
        <v>View</v>
      </c>
    </row>
    <row r="247" spans="1:16" x14ac:dyDescent="0.25">
      <c r="A247" s="16" t="s">
        <v>13592</v>
      </c>
      <c r="B247" s="17">
        <v>55183168</v>
      </c>
      <c r="C247" s="17">
        <v>55183168</v>
      </c>
      <c r="D247" s="17" t="s">
        <v>12343</v>
      </c>
      <c r="E247" s="17" t="s">
        <v>2793</v>
      </c>
      <c r="F247" s="17" t="s">
        <v>13593</v>
      </c>
      <c r="G247" s="20" t="s">
        <v>13495</v>
      </c>
      <c r="H247" s="20" t="s">
        <v>3210</v>
      </c>
      <c r="I247" s="17" t="s">
        <v>88</v>
      </c>
      <c r="J247" s="17">
        <v>1</v>
      </c>
      <c r="K247" s="17">
        <v>1</v>
      </c>
      <c r="L247" s="17" t="s">
        <v>13594</v>
      </c>
      <c r="M247" s="17" t="s">
        <v>2789</v>
      </c>
      <c r="N247" s="17" t="s">
        <v>507</v>
      </c>
      <c r="O247" s="17" t="s">
        <v>13595</v>
      </c>
      <c r="P247" s="17" t="str">
        <f>HYPERLINK("https://photon-sol.tinyastro.io/en/lp/GLksWyiRMw1o6t98MB3y9V7fye9YTq4nFrhRLidC1HAW?handle=676050794bc1b1657a56b", "View")</f>
        <v>View</v>
      </c>
    </row>
    <row r="248" spans="1:16" x14ac:dyDescent="0.25">
      <c r="A248" s="13" t="s">
        <v>13596</v>
      </c>
      <c r="B248" s="14">
        <v>26673018</v>
      </c>
      <c r="C248" s="14">
        <v>26673018</v>
      </c>
      <c r="D248" s="14" t="s">
        <v>13597</v>
      </c>
      <c r="E248" s="14" t="s">
        <v>13598</v>
      </c>
      <c r="F248" s="14" t="s">
        <v>13599</v>
      </c>
      <c r="G248" s="20" t="s">
        <v>13600</v>
      </c>
      <c r="H248" s="20" t="s">
        <v>13601</v>
      </c>
      <c r="I248" s="14" t="s">
        <v>88</v>
      </c>
      <c r="J248" s="14">
        <v>1</v>
      </c>
      <c r="K248" s="14">
        <v>1</v>
      </c>
      <c r="L248" s="14" t="s">
        <v>13602</v>
      </c>
      <c r="M248" s="14" t="s">
        <v>1566</v>
      </c>
      <c r="N248" s="14" t="s">
        <v>507</v>
      </c>
      <c r="O248" s="14" t="s">
        <v>13603</v>
      </c>
      <c r="P248" s="14" t="str">
        <f>HYPERLINK("https://photon-sol.tinyastro.io/en/lp/7KicuUKtrTHmwjn2DDscNQHpPJLXgsgBTXBzopnupump?handle=676050794bc1b1657a56b", "View")</f>
        <v>View</v>
      </c>
    </row>
    <row r="249" spans="1:16" x14ac:dyDescent="0.25">
      <c r="A249" s="16" t="s">
        <v>13604</v>
      </c>
      <c r="B249" s="17">
        <v>26461097</v>
      </c>
      <c r="C249" s="17">
        <v>26461097</v>
      </c>
      <c r="D249" s="17" t="s">
        <v>13546</v>
      </c>
      <c r="E249" s="17" t="s">
        <v>13605</v>
      </c>
      <c r="F249" s="17" t="s">
        <v>11302</v>
      </c>
      <c r="G249" s="20" t="s">
        <v>13606</v>
      </c>
      <c r="H249" s="20" t="s">
        <v>13607</v>
      </c>
      <c r="I249" s="17" t="s">
        <v>88</v>
      </c>
      <c r="J249" s="17">
        <v>1</v>
      </c>
      <c r="K249" s="17">
        <v>1</v>
      </c>
      <c r="L249" s="17" t="s">
        <v>13608</v>
      </c>
      <c r="M249" s="17" t="s">
        <v>1957</v>
      </c>
      <c r="N249" s="17" t="s">
        <v>507</v>
      </c>
      <c r="O249" s="17" t="s">
        <v>13609</v>
      </c>
      <c r="P249" s="17" t="str">
        <f>HYPERLINK("https://photon-sol.tinyastro.io/en/lp/J9y68d9FZ1aBYbdPswYxS7eYRsrSuF4W4mea1t82pump?handle=676050794bc1b1657a56b", "View")</f>
        <v>View</v>
      </c>
    </row>
    <row r="250" spans="1:16" x14ac:dyDescent="0.25">
      <c r="A250" s="13" t="s">
        <v>13610</v>
      </c>
      <c r="B250" s="14">
        <v>26553742</v>
      </c>
      <c r="C250" s="14">
        <v>26553742</v>
      </c>
      <c r="D250" s="14" t="s">
        <v>13546</v>
      </c>
      <c r="E250" s="14" t="s">
        <v>13611</v>
      </c>
      <c r="F250" s="14" t="s">
        <v>4240</v>
      </c>
      <c r="G250" s="20" t="s">
        <v>13612</v>
      </c>
      <c r="H250" s="20" t="s">
        <v>13613</v>
      </c>
      <c r="I250" s="14" t="s">
        <v>88</v>
      </c>
      <c r="J250" s="14">
        <v>1</v>
      </c>
      <c r="K250" s="14">
        <v>1</v>
      </c>
      <c r="L250" s="14" t="s">
        <v>13614</v>
      </c>
      <c r="M250" s="14" t="s">
        <v>1434</v>
      </c>
      <c r="N250" s="14" t="s">
        <v>507</v>
      </c>
      <c r="O250" s="14" t="s">
        <v>13615</v>
      </c>
      <c r="P250" s="14" t="str">
        <f>HYPERLINK("https://photon-sol.tinyastro.io/en/lp/A6836bUsEVwRGnUoCE3zpJB7Bgn6YxAVoSQZzFqupump?handle=676050794bc1b1657a56b", "View")</f>
        <v>View</v>
      </c>
    </row>
    <row r="251" spans="1:16" x14ac:dyDescent="0.25">
      <c r="A251" s="16" t="s">
        <v>13616</v>
      </c>
      <c r="B251" s="17">
        <v>34277832</v>
      </c>
      <c r="C251" s="17">
        <v>34277832</v>
      </c>
      <c r="D251" s="17" t="s">
        <v>13546</v>
      </c>
      <c r="E251" s="17" t="s">
        <v>2178</v>
      </c>
      <c r="F251" s="17" t="s">
        <v>9299</v>
      </c>
      <c r="G251" s="22" t="s">
        <v>3890</v>
      </c>
      <c r="H251" s="22" t="s">
        <v>13617</v>
      </c>
      <c r="I251" s="17" t="s">
        <v>88</v>
      </c>
      <c r="J251" s="17">
        <v>1</v>
      </c>
      <c r="K251" s="17">
        <v>1</v>
      </c>
      <c r="L251" s="17" t="s">
        <v>13618</v>
      </c>
      <c r="M251" s="19" t="s">
        <v>1688</v>
      </c>
      <c r="N251" s="17" t="s">
        <v>507</v>
      </c>
      <c r="O251" s="17" t="s">
        <v>13619</v>
      </c>
      <c r="P251" s="17" t="str">
        <f>HYPERLINK("https://photon-sol.tinyastro.io/en/lp/7ihpNkbKGTXGDbKyqZunz9wjVWDcRPjzaWbRxiWWpump?handle=676050794bc1b1657a56b", "View")</f>
        <v>View</v>
      </c>
    </row>
    <row r="252" spans="1:16" x14ac:dyDescent="0.25">
      <c r="A252" s="13" t="s">
        <v>13620</v>
      </c>
      <c r="B252" s="14">
        <v>25299170</v>
      </c>
      <c r="C252" s="14">
        <v>25299170</v>
      </c>
      <c r="D252" s="14" t="s">
        <v>13597</v>
      </c>
      <c r="E252" s="14" t="s">
        <v>13621</v>
      </c>
      <c r="F252" s="14" t="s">
        <v>7155</v>
      </c>
      <c r="G252" s="22" t="s">
        <v>5699</v>
      </c>
      <c r="H252" s="22" t="s">
        <v>13622</v>
      </c>
      <c r="I252" s="14" t="s">
        <v>88</v>
      </c>
      <c r="J252" s="14">
        <v>1</v>
      </c>
      <c r="K252" s="14">
        <v>1</v>
      </c>
      <c r="L252" s="14" t="s">
        <v>13623</v>
      </c>
      <c r="M252" s="19" t="s">
        <v>1752</v>
      </c>
      <c r="N252" s="14" t="s">
        <v>507</v>
      </c>
      <c r="O252" s="14" t="s">
        <v>13624</v>
      </c>
      <c r="P252" s="14" t="str">
        <f>HYPERLINK("https://photon-sol.tinyastro.io/en/lp/9pR5m5LKbwiywHP4DM7SL9fftj3kg9pmM7zPC4yKpump?handle=676050794bc1b1657a56b", "View")</f>
        <v>View</v>
      </c>
    </row>
    <row r="253" spans="1:16" x14ac:dyDescent="0.25">
      <c r="A253" s="16" t="s">
        <v>13625</v>
      </c>
      <c r="B253" s="17">
        <v>32502778</v>
      </c>
      <c r="C253" s="17">
        <v>32502778</v>
      </c>
      <c r="D253" s="17" t="s">
        <v>13597</v>
      </c>
      <c r="E253" s="17" t="s">
        <v>8747</v>
      </c>
      <c r="F253" s="17" t="s">
        <v>12836</v>
      </c>
      <c r="G253" s="15" t="s">
        <v>13626</v>
      </c>
      <c r="H253" s="15" t="s">
        <v>13627</v>
      </c>
      <c r="I253" s="17" t="s">
        <v>88</v>
      </c>
      <c r="J253" s="17">
        <v>1</v>
      </c>
      <c r="K253" s="17">
        <v>1</v>
      </c>
      <c r="L253" s="17" t="s">
        <v>13628</v>
      </c>
      <c r="M253" s="17" t="s">
        <v>1434</v>
      </c>
      <c r="N253" s="17" t="s">
        <v>507</v>
      </c>
      <c r="O253" s="17" t="s">
        <v>13629</v>
      </c>
      <c r="P253" s="17" t="str">
        <f>HYPERLINK("https://photon-sol.tinyastro.io/en/lp/2DrFBS1aKArtJqci7dn3RgCotUYYQ8fLEKfGQJ3cpump?handle=676050794bc1b1657a56b", "View")</f>
        <v>View</v>
      </c>
    </row>
    <row r="254" spans="1:16" x14ac:dyDescent="0.25">
      <c r="A254" s="13" t="s">
        <v>13630</v>
      </c>
      <c r="B254" s="14">
        <v>61070189</v>
      </c>
      <c r="C254" s="14">
        <v>61070189</v>
      </c>
      <c r="D254" s="14" t="s">
        <v>13597</v>
      </c>
      <c r="E254" s="14" t="s">
        <v>3103</v>
      </c>
      <c r="F254" s="14" t="s">
        <v>7197</v>
      </c>
      <c r="G254" s="20" t="s">
        <v>13631</v>
      </c>
      <c r="H254" s="20" t="s">
        <v>13632</v>
      </c>
      <c r="I254" s="14" t="s">
        <v>88</v>
      </c>
      <c r="J254" s="14">
        <v>1</v>
      </c>
      <c r="K254" s="14">
        <v>1</v>
      </c>
      <c r="L254" s="14" t="s">
        <v>13633</v>
      </c>
      <c r="M254" s="14" t="s">
        <v>3171</v>
      </c>
      <c r="N254" s="14" t="s">
        <v>507</v>
      </c>
      <c r="O254" s="14" t="s">
        <v>13634</v>
      </c>
      <c r="P254" s="14" t="str">
        <f>HYPERLINK("https://photon-sol.tinyastro.io/en/lp/3PAEHhk8PkUaaohGjUJBJkZhxjxGRntBmst7pbNGpump?handle=676050794bc1b1657a56b", "View")</f>
        <v>View</v>
      </c>
    </row>
    <row r="255" spans="1:16" x14ac:dyDescent="0.25">
      <c r="A255" s="16" t="s">
        <v>13635</v>
      </c>
      <c r="B255" s="17">
        <v>1655290</v>
      </c>
      <c r="C255" s="17">
        <v>1655290</v>
      </c>
      <c r="D255" s="17" t="s">
        <v>13636</v>
      </c>
      <c r="E255" s="17" t="s">
        <v>1630</v>
      </c>
      <c r="F255" s="17" t="s">
        <v>13637</v>
      </c>
      <c r="G255" s="20" t="s">
        <v>13638</v>
      </c>
      <c r="H255" s="20" t="s">
        <v>13639</v>
      </c>
      <c r="I255" s="17" t="s">
        <v>88</v>
      </c>
      <c r="J255" s="17">
        <v>3</v>
      </c>
      <c r="K255" s="17">
        <v>2</v>
      </c>
      <c r="L255" s="17" t="s">
        <v>13640</v>
      </c>
      <c r="M255" s="17" t="s">
        <v>13641</v>
      </c>
      <c r="N255" s="17" t="s">
        <v>13642</v>
      </c>
      <c r="O255" s="17" t="s">
        <v>13643</v>
      </c>
      <c r="P255" s="17" t="str">
        <f>HYPERLINK("https://dexscreener.com/solana/HPfY3VCj1twecf556rDFWLJpDfh1vPoTtBjPehzKpump", "View")</f>
        <v>View</v>
      </c>
    </row>
    <row r="256" spans="1:16" x14ac:dyDescent="0.25">
      <c r="A256" s="13" t="s">
        <v>13644</v>
      </c>
      <c r="B256" s="14">
        <v>17490118</v>
      </c>
      <c r="C256" s="14">
        <v>17490118</v>
      </c>
      <c r="D256" s="14" t="s">
        <v>12693</v>
      </c>
      <c r="E256" s="14" t="s">
        <v>569</v>
      </c>
      <c r="F256" s="14" t="s">
        <v>13645</v>
      </c>
      <c r="G256" s="22" t="s">
        <v>2243</v>
      </c>
      <c r="H256" s="22" t="s">
        <v>13646</v>
      </c>
      <c r="I256" s="14" t="s">
        <v>88</v>
      </c>
      <c r="J256" s="14">
        <v>1</v>
      </c>
      <c r="K256" s="14">
        <v>1</v>
      </c>
      <c r="L256" s="14" t="s">
        <v>13647</v>
      </c>
      <c r="M256" s="14" t="s">
        <v>132</v>
      </c>
      <c r="N256" s="14" t="s">
        <v>13648</v>
      </c>
      <c r="O256" s="14" t="s">
        <v>13649</v>
      </c>
      <c r="P256" s="14" t="str">
        <f>HYPERLINK("https://dexscreener.com/solana/Ek81YYpoowq26kYMURPsUbgg5vB4c654rgraJfympump", "View")</f>
        <v>View</v>
      </c>
    </row>
    <row r="257" spans="1:16" x14ac:dyDescent="0.25">
      <c r="A257" s="16" t="s">
        <v>13650</v>
      </c>
      <c r="B257" s="17">
        <v>8791764</v>
      </c>
      <c r="C257" s="17">
        <v>8791764</v>
      </c>
      <c r="D257" s="17" t="s">
        <v>4754</v>
      </c>
      <c r="E257" s="17" t="s">
        <v>1457</v>
      </c>
      <c r="F257" s="17" t="s">
        <v>13651</v>
      </c>
      <c r="G257" s="20" t="s">
        <v>13652</v>
      </c>
      <c r="H257" s="20" t="s">
        <v>13653</v>
      </c>
      <c r="I257" s="17" t="s">
        <v>88</v>
      </c>
      <c r="J257" s="17">
        <v>1</v>
      </c>
      <c r="K257" s="17">
        <v>1</v>
      </c>
      <c r="L257" s="17" t="s">
        <v>13654</v>
      </c>
      <c r="M257" s="17" t="s">
        <v>132</v>
      </c>
      <c r="N257" s="17" t="s">
        <v>13655</v>
      </c>
      <c r="O257" s="17" t="s">
        <v>13656</v>
      </c>
      <c r="P257" s="17" t="str">
        <f>HYPERLINK("https://dexscreener.com/solana/JC1WWYCZEppkGt74p9rkYhQc8Tt1BJLcpssWYUEQpump", "View")</f>
        <v>View</v>
      </c>
    </row>
    <row r="258" spans="1:16" x14ac:dyDescent="0.25">
      <c r="A258" s="13" t="s">
        <v>13657</v>
      </c>
      <c r="B258" s="14">
        <v>28259795</v>
      </c>
      <c r="C258" s="14">
        <v>28259795</v>
      </c>
      <c r="D258" s="14" t="s">
        <v>13597</v>
      </c>
      <c r="E258" s="14" t="s">
        <v>13658</v>
      </c>
      <c r="F258" s="14" t="s">
        <v>13659</v>
      </c>
      <c r="G258" s="15" t="s">
        <v>13660</v>
      </c>
      <c r="H258" s="15" t="s">
        <v>13661</v>
      </c>
      <c r="I258" s="14" t="s">
        <v>88</v>
      </c>
      <c r="J258" s="14">
        <v>1</v>
      </c>
      <c r="K258" s="14">
        <v>1</v>
      </c>
      <c r="L258" s="14" t="s">
        <v>13662</v>
      </c>
      <c r="M258" s="19" t="s">
        <v>1619</v>
      </c>
      <c r="N258" s="14" t="s">
        <v>507</v>
      </c>
      <c r="O258" s="14" t="s">
        <v>13663</v>
      </c>
      <c r="P258" s="14" t="str">
        <f>HYPERLINK("https://photon-sol.tinyastro.io/en/lp/rKjaHcVVmeeo7hD6JvvJod52cREHjpkzJbpJTAApump?handle=676050794bc1b1657a56b", "View")</f>
        <v>View</v>
      </c>
    </row>
    <row r="259" spans="1:16" x14ac:dyDescent="0.25">
      <c r="A259" s="16" t="s">
        <v>7009</v>
      </c>
      <c r="B259" s="17">
        <v>243692856</v>
      </c>
      <c r="C259" s="17">
        <v>243692856</v>
      </c>
      <c r="D259" s="17" t="s">
        <v>13664</v>
      </c>
      <c r="E259" s="17" t="s">
        <v>1380</v>
      </c>
      <c r="F259" s="17" t="s">
        <v>13665</v>
      </c>
      <c r="G259" s="22" t="s">
        <v>13666</v>
      </c>
      <c r="H259" s="22" t="s">
        <v>13667</v>
      </c>
      <c r="I259" s="17" t="s">
        <v>88</v>
      </c>
      <c r="J259" s="17">
        <v>4</v>
      </c>
      <c r="K259" s="17">
        <v>3</v>
      </c>
      <c r="L259" s="17" t="s">
        <v>13668</v>
      </c>
      <c r="M259" s="17" t="s">
        <v>4454</v>
      </c>
      <c r="N259" s="17" t="s">
        <v>1706</v>
      </c>
      <c r="O259" s="17" t="s">
        <v>13669</v>
      </c>
      <c r="P259" s="17" t="str">
        <f>HYPERLINK("https://dexscreener.com/solana/B6sRkzZU7eG9FnoeBfALVg82LExzv4aGX8tbsfztpump", "View")</f>
        <v>View</v>
      </c>
    </row>
    <row r="260" spans="1:16" x14ac:dyDescent="0.25">
      <c r="A260" s="13" t="s">
        <v>9977</v>
      </c>
      <c r="B260" s="14">
        <v>18914001</v>
      </c>
      <c r="C260" s="14">
        <v>18914001</v>
      </c>
      <c r="D260" s="14" t="s">
        <v>864</v>
      </c>
      <c r="E260" s="14" t="s">
        <v>13670</v>
      </c>
      <c r="F260" s="14" t="s">
        <v>13039</v>
      </c>
      <c r="G260" s="20" t="s">
        <v>4397</v>
      </c>
      <c r="H260" s="20" t="s">
        <v>13671</v>
      </c>
      <c r="I260" s="14" t="s">
        <v>88</v>
      </c>
      <c r="J260" s="14">
        <v>1</v>
      </c>
      <c r="K260" s="14">
        <v>1</v>
      </c>
      <c r="L260" s="14" t="s">
        <v>13672</v>
      </c>
      <c r="M260" s="14" t="s">
        <v>179</v>
      </c>
      <c r="N260" s="14" t="s">
        <v>507</v>
      </c>
      <c r="O260" s="14" t="s">
        <v>13673</v>
      </c>
      <c r="P260" s="14" t="str">
        <f>HYPERLINK("https://photon-sol.tinyastro.io/en/lp/FUbxiQhrMsHhU9GhVoej7iuZh9vstRaoMrQw3uyGpump?handle=676050794bc1b1657a56b", "View")</f>
        <v>View</v>
      </c>
    </row>
    <row r="261" spans="1:16" x14ac:dyDescent="0.25">
      <c r="A261" s="16" t="s">
        <v>13674</v>
      </c>
      <c r="B261" s="17">
        <v>23561984381</v>
      </c>
      <c r="C261" s="17">
        <v>23561984381</v>
      </c>
      <c r="D261" s="17" t="s">
        <v>13675</v>
      </c>
      <c r="E261" s="17" t="s">
        <v>1457</v>
      </c>
      <c r="F261" s="17" t="s">
        <v>13255</v>
      </c>
      <c r="G261" s="20" t="s">
        <v>8279</v>
      </c>
      <c r="H261" s="20" t="s">
        <v>13676</v>
      </c>
      <c r="I261" s="17" t="s">
        <v>88</v>
      </c>
      <c r="J261" s="17">
        <v>2</v>
      </c>
      <c r="K261" s="17">
        <v>6</v>
      </c>
      <c r="L261" s="17" t="s">
        <v>13677</v>
      </c>
      <c r="M261" s="17" t="s">
        <v>3355</v>
      </c>
      <c r="N261" s="17" t="s">
        <v>507</v>
      </c>
      <c r="O261" s="17" t="s">
        <v>13678</v>
      </c>
      <c r="P261" s="17" t="str">
        <f>HYPERLINK("https://dexscreener.com/solana/bqHxdHbNWPWuvGNwbPidkBP31zBQsPPpAzbqesSVWxc", "View")</f>
        <v>View</v>
      </c>
    </row>
    <row r="262" spans="1:16" x14ac:dyDescent="0.25">
      <c r="A262" s="13" t="s">
        <v>13679</v>
      </c>
      <c r="B262" s="14">
        <v>33255957</v>
      </c>
      <c r="C262" s="14">
        <v>33255957</v>
      </c>
      <c r="D262" s="14" t="s">
        <v>4738</v>
      </c>
      <c r="E262" s="14" t="s">
        <v>1457</v>
      </c>
      <c r="F262" s="14" t="s">
        <v>7525</v>
      </c>
      <c r="G262" s="22" t="s">
        <v>13680</v>
      </c>
      <c r="H262" s="22" t="s">
        <v>13681</v>
      </c>
      <c r="I262" s="14" t="s">
        <v>88</v>
      </c>
      <c r="J262" s="14">
        <v>1</v>
      </c>
      <c r="K262" s="14">
        <v>1</v>
      </c>
      <c r="L262" s="14" t="s">
        <v>13682</v>
      </c>
      <c r="M262" s="14" t="s">
        <v>231</v>
      </c>
      <c r="N262" s="14" t="s">
        <v>2278</v>
      </c>
      <c r="O262" s="14" t="s">
        <v>13683</v>
      </c>
      <c r="P262" s="14" t="str">
        <f>HYPERLINK("https://dexscreener.com/solana/fpMpriXySzp7iJDPKth73bmd6Hb7F7bDMXsF8nnpump", "View")</f>
        <v>View</v>
      </c>
    </row>
    <row r="263" spans="1:16" x14ac:dyDescent="0.25">
      <c r="A263" s="16" t="s">
        <v>10859</v>
      </c>
      <c r="B263" s="17">
        <v>33952473</v>
      </c>
      <c r="C263" s="17">
        <v>33952473</v>
      </c>
      <c r="D263" s="17" t="s">
        <v>864</v>
      </c>
      <c r="E263" s="17" t="s">
        <v>13670</v>
      </c>
      <c r="F263" s="17" t="s">
        <v>13684</v>
      </c>
      <c r="G263" s="22" t="s">
        <v>11889</v>
      </c>
      <c r="H263" s="22" t="s">
        <v>13685</v>
      </c>
      <c r="I263" s="17" t="s">
        <v>88</v>
      </c>
      <c r="J263" s="17">
        <v>1</v>
      </c>
      <c r="K263" s="17">
        <v>1</v>
      </c>
      <c r="L263" s="17" t="s">
        <v>13686</v>
      </c>
      <c r="M263" s="17" t="s">
        <v>1986</v>
      </c>
      <c r="N263" s="17" t="s">
        <v>507</v>
      </c>
      <c r="O263" s="17" t="s">
        <v>13687</v>
      </c>
      <c r="P263" s="17" t="str">
        <f>HYPERLINK("https://photon-sol.tinyastro.io/en/lp/4YuXZ41ojovfU8bjmak6UwQwPEmSQELzhoCWXcBUpump?handle=676050794bc1b1657a56b", "View")</f>
        <v>View</v>
      </c>
    </row>
    <row r="264" spans="1:16" x14ac:dyDescent="0.25">
      <c r="A264" s="13" t="s">
        <v>13688</v>
      </c>
      <c r="B264" s="14">
        <v>1630551</v>
      </c>
      <c r="C264" s="14">
        <v>1630551</v>
      </c>
      <c r="D264" s="14" t="s">
        <v>4754</v>
      </c>
      <c r="E264" s="14" t="s">
        <v>1457</v>
      </c>
      <c r="F264" s="14" t="s">
        <v>13689</v>
      </c>
      <c r="G264" s="22" t="s">
        <v>2456</v>
      </c>
      <c r="H264" s="22" t="s">
        <v>13690</v>
      </c>
      <c r="I264" s="14" t="s">
        <v>88</v>
      </c>
      <c r="J264" s="14">
        <v>1</v>
      </c>
      <c r="K264" s="14">
        <v>1</v>
      </c>
      <c r="L264" s="14" t="s">
        <v>13691</v>
      </c>
      <c r="M264" s="14" t="s">
        <v>1566</v>
      </c>
      <c r="N264" s="14" t="s">
        <v>13692</v>
      </c>
      <c r="O264" s="14" t="s">
        <v>13693</v>
      </c>
      <c r="P264" s="14" t="str">
        <f>HYPERLINK("https://dexscreener.com/solana/8p2HuMsiiDA82gACB1bwA45QSURpU8JxzdFbTwXkpump", "View")</f>
        <v>View</v>
      </c>
    </row>
    <row r="265" spans="1:16" x14ac:dyDescent="0.25">
      <c r="A265" s="16" t="s">
        <v>13694</v>
      </c>
      <c r="B265" s="17">
        <v>28240470</v>
      </c>
      <c r="C265" s="17">
        <v>28240470</v>
      </c>
      <c r="D265" s="17" t="s">
        <v>864</v>
      </c>
      <c r="E265" s="17" t="s">
        <v>13670</v>
      </c>
      <c r="F265" s="17" t="s">
        <v>13695</v>
      </c>
      <c r="G265" s="22" t="s">
        <v>3047</v>
      </c>
      <c r="H265" s="22" t="s">
        <v>4812</v>
      </c>
      <c r="I265" s="17" t="s">
        <v>88</v>
      </c>
      <c r="J265" s="17">
        <v>1</v>
      </c>
      <c r="K265" s="17">
        <v>1</v>
      </c>
      <c r="L265" s="17" t="s">
        <v>13696</v>
      </c>
      <c r="M265" s="17" t="s">
        <v>231</v>
      </c>
      <c r="N265" s="17" t="s">
        <v>507</v>
      </c>
      <c r="O265" s="17" t="s">
        <v>13697</v>
      </c>
      <c r="P265" s="17" t="str">
        <f>HYPERLINK("https://photon-sol.tinyastro.io/en/lp/C4KGEMvtCGQPWg57RqDG4assXU2QZoPboPiFryf5pump?handle=676050794bc1b1657a56b", "View")</f>
        <v>View</v>
      </c>
    </row>
    <row r="266" spans="1:16" x14ac:dyDescent="0.25">
      <c r="A266" s="13" t="s">
        <v>13698</v>
      </c>
      <c r="B266" s="14">
        <v>20139000</v>
      </c>
      <c r="C266" s="14">
        <v>20139000</v>
      </c>
      <c r="D266" s="14" t="s">
        <v>6267</v>
      </c>
      <c r="E266" s="14" t="s">
        <v>2390</v>
      </c>
      <c r="F266" s="14" t="s">
        <v>13699</v>
      </c>
      <c r="G266" s="15" t="s">
        <v>13700</v>
      </c>
      <c r="H266" s="15" t="s">
        <v>13701</v>
      </c>
      <c r="I266" s="14" t="s">
        <v>88</v>
      </c>
      <c r="J266" s="14">
        <v>2</v>
      </c>
      <c r="K266" s="14">
        <v>1</v>
      </c>
      <c r="L266" s="14" t="s">
        <v>13702</v>
      </c>
      <c r="M266" s="14" t="s">
        <v>132</v>
      </c>
      <c r="N266" s="14" t="s">
        <v>13703</v>
      </c>
      <c r="O266" s="14" t="s">
        <v>13704</v>
      </c>
      <c r="P266" s="14" t="str">
        <f>HYPERLINK("https://dexscreener.com/solana/5bJhWdZX12YsAfePyCtyTsQng1TjHcQsSdqZgsLLA9N1", "View")</f>
        <v>View</v>
      </c>
    </row>
    <row r="267" spans="1:16" x14ac:dyDescent="0.25">
      <c r="A267" s="16" t="s">
        <v>13705</v>
      </c>
      <c r="B267" s="17">
        <v>1698592</v>
      </c>
      <c r="C267" s="17">
        <v>1698592</v>
      </c>
      <c r="D267" s="17" t="s">
        <v>4754</v>
      </c>
      <c r="E267" s="17" t="s">
        <v>1457</v>
      </c>
      <c r="F267" s="17" t="s">
        <v>13706</v>
      </c>
      <c r="G267" s="20" t="s">
        <v>1869</v>
      </c>
      <c r="H267" s="20" t="s">
        <v>13707</v>
      </c>
      <c r="I267" s="17" t="s">
        <v>88</v>
      </c>
      <c r="J267" s="17">
        <v>1</v>
      </c>
      <c r="K267" s="17">
        <v>1</v>
      </c>
      <c r="L267" s="17" t="s">
        <v>13708</v>
      </c>
      <c r="M267" s="17" t="s">
        <v>1642</v>
      </c>
      <c r="N267" s="17" t="s">
        <v>13709</v>
      </c>
      <c r="O267" s="17" t="s">
        <v>13710</v>
      </c>
      <c r="P267" s="17" t="str">
        <f>HYPERLINK("https://dexscreener.com/solana/EGxWoteoTqwyzgXFZSxagKBUkoVbqtyRmnDewQNEpump", "View")</f>
        <v>View</v>
      </c>
    </row>
    <row r="268" spans="1:16" x14ac:dyDescent="0.25">
      <c r="A268" s="13" t="s">
        <v>13711</v>
      </c>
      <c r="B268" s="14">
        <v>33932467</v>
      </c>
      <c r="C268" s="14">
        <v>33932467</v>
      </c>
      <c r="D268" s="14" t="s">
        <v>864</v>
      </c>
      <c r="E268" s="14" t="s">
        <v>13670</v>
      </c>
      <c r="F268" s="14" t="s">
        <v>13670</v>
      </c>
      <c r="G268" s="20" t="s">
        <v>4939</v>
      </c>
      <c r="H268" s="20" t="s">
        <v>13712</v>
      </c>
      <c r="I268" s="14" t="s">
        <v>88</v>
      </c>
      <c r="J268" s="14">
        <v>1</v>
      </c>
      <c r="K268" s="14">
        <v>1</v>
      </c>
      <c r="L268" s="14" t="s">
        <v>13713</v>
      </c>
      <c r="M268" s="14" t="s">
        <v>277</v>
      </c>
      <c r="N268" s="14" t="s">
        <v>507</v>
      </c>
      <c r="O268" s="14" t="s">
        <v>13714</v>
      </c>
      <c r="P268" s="14" t="str">
        <f>HYPERLINK("https://photon-sol.tinyastro.io/en/lp/C4Lxxoy5Zm7rgP8wC6QZkCrVniV99ZKkpd8QVWYptMX5?handle=676050794bc1b1657a56b", "View")</f>
        <v>View</v>
      </c>
    </row>
    <row r="269" spans="1:16" x14ac:dyDescent="0.25">
      <c r="A269" s="16" t="s">
        <v>13715</v>
      </c>
      <c r="B269" s="17">
        <v>29972855</v>
      </c>
      <c r="C269" s="17">
        <v>29972855</v>
      </c>
      <c r="D269" s="17" t="s">
        <v>864</v>
      </c>
      <c r="E269" s="17" t="s">
        <v>13670</v>
      </c>
      <c r="F269" s="17" t="s">
        <v>13716</v>
      </c>
      <c r="G269" s="22" t="s">
        <v>5036</v>
      </c>
      <c r="H269" s="22" t="s">
        <v>13717</v>
      </c>
      <c r="I269" s="17" t="s">
        <v>88</v>
      </c>
      <c r="J269" s="17">
        <v>1</v>
      </c>
      <c r="K269" s="17">
        <v>1</v>
      </c>
      <c r="L269" s="17" t="s">
        <v>13718</v>
      </c>
      <c r="M269" s="17" t="s">
        <v>398</v>
      </c>
      <c r="N269" s="17" t="s">
        <v>507</v>
      </c>
      <c r="O269" s="17" t="s">
        <v>13719</v>
      </c>
      <c r="P269" s="17" t="str">
        <f>HYPERLINK("https://photon-sol.tinyastro.io/en/lp/HxBqvCrsq2uKWREnuegu13c7SSGQ6XZGX9pU9gB2Up69?handle=676050794bc1b1657a56b", "View")</f>
        <v>View</v>
      </c>
    </row>
    <row r="270" spans="1:16" x14ac:dyDescent="0.25">
      <c r="A270" s="13" t="s">
        <v>13720</v>
      </c>
      <c r="B270" s="14">
        <v>178166</v>
      </c>
      <c r="C270" s="14">
        <v>178166</v>
      </c>
      <c r="D270" s="14" t="s">
        <v>6267</v>
      </c>
      <c r="E270" s="14" t="s">
        <v>2390</v>
      </c>
      <c r="F270" s="14" t="s">
        <v>13721</v>
      </c>
      <c r="G270" s="22" t="s">
        <v>3327</v>
      </c>
      <c r="H270" s="22" t="s">
        <v>13722</v>
      </c>
      <c r="I270" s="14" t="s">
        <v>88</v>
      </c>
      <c r="J270" s="14">
        <v>2</v>
      </c>
      <c r="K270" s="14">
        <v>1</v>
      </c>
      <c r="L270" s="14" t="s">
        <v>13723</v>
      </c>
      <c r="M270" s="14" t="s">
        <v>179</v>
      </c>
      <c r="N270" s="14" t="s">
        <v>7388</v>
      </c>
      <c r="O270" s="14" t="s">
        <v>13724</v>
      </c>
      <c r="P270" s="14" t="str">
        <f>HYPERLINK("https://dexscreener.com/solana/6T44rfi9BDUdZbEvVddZWVfsGrpC6N1sSSKYnCsLpump", "View")</f>
        <v>View</v>
      </c>
    </row>
    <row r="271" spans="1:16" x14ac:dyDescent="0.25">
      <c r="A271" s="16" t="s">
        <v>13725</v>
      </c>
      <c r="B271" s="17">
        <v>39940989</v>
      </c>
      <c r="C271" s="17">
        <v>39940989</v>
      </c>
      <c r="D271" s="17" t="s">
        <v>13546</v>
      </c>
      <c r="E271" s="17" t="s">
        <v>13726</v>
      </c>
      <c r="F271" s="17" t="s">
        <v>13727</v>
      </c>
      <c r="G271" s="20" t="s">
        <v>8945</v>
      </c>
      <c r="H271" s="20" t="s">
        <v>13728</v>
      </c>
      <c r="I271" s="17" t="s">
        <v>88</v>
      </c>
      <c r="J271" s="17">
        <v>1</v>
      </c>
      <c r="K271" s="17">
        <v>1</v>
      </c>
      <c r="L271" s="17" t="s">
        <v>13729</v>
      </c>
      <c r="M271" s="17" t="s">
        <v>1448</v>
      </c>
      <c r="N271" s="17" t="s">
        <v>507</v>
      </c>
      <c r="O271" s="17" t="s">
        <v>13730</v>
      </c>
      <c r="P271" s="17" t="str">
        <f>HYPERLINK("https://photon-sol.tinyastro.io/en/lp/2NA4d66zJ6pN48QyyrDmmXP51Pni1z9Wta2uEGPepump?handle=676050794bc1b1657a56b", "View")</f>
        <v>View</v>
      </c>
    </row>
    <row r="272" spans="1:16" x14ac:dyDescent="0.25">
      <c r="A272" s="13" t="s">
        <v>13731</v>
      </c>
      <c r="B272" s="14">
        <v>25018013</v>
      </c>
      <c r="C272" s="14">
        <v>35018013</v>
      </c>
      <c r="D272" s="14" t="s">
        <v>4754</v>
      </c>
      <c r="E272" s="14" t="s">
        <v>2178</v>
      </c>
      <c r="F272" s="14" t="s">
        <v>13732</v>
      </c>
      <c r="G272" s="21" t="s">
        <v>13733</v>
      </c>
      <c r="H272" s="21" t="s">
        <v>13734</v>
      </c>
      <c r="I272" s="14" t="s">
        <v>88</v>
      </c>
      <c r="J272" s="14">
        <v>1</v>
      </c>
      <c r="K272" s="14">
        <v>1</v>
      </c>
      <c r="L272" s="14" t="s">
        <v>13735</v>
      </c>
      <c r="M272" s="14" t="s">
        <v>1696</v>
      </c>
      <c r="N272" s="14" t="s">
        <v>507</v>
      </c>
      <c r="O272" s="14" t="s">
        <v>13736</v>
      </c>
      <c r="P272" s="14" t="str">
        <f>HYPERLINK("https://photon-sol.tinyastro.io/en/lp/ANc9RWtYxE3WXVSbqQsUPufT3Xv6kT2tjb5rK76mpump?handle=676050794bc1b1657a56b", "View")</f>
        <v>View</v>
      </c>
    </row>
    <row r="273" spans="1:16" x14ac:dyDescent="0.25">
      <c r="A273" s="16" t="s">
        <v>13737</v>
      </c>
      <c r="B273" s="17">
        <v>31770268</v>
      </c>
      <c r="C273" s="17">
        <v>31770268</v>
      </c>
      <c r="D273" s="17" t="s">
        <v>4754</v>
      </c>
      <c r="E273" s="17" t="s">
        <v>2178</v>
      </c>
      <c r="F273" s="17" t="s">
        <v>13738</v>
      </c>
      <c r="G273" s="22" t="s">
        <v>2347</v>
      </c>
      <c r="H273" s="22" t="s">
        <v>2624</v>
      </c>
      <c r="I273" s="17" t="s">
        <v>88</v>
      </c>
      <c r="J273" s="17">
        <v>1</v>
      </c>
      <c r="K273" s="17">
        <v>1</v>
      </c>
      <c r="L273" s="17" t="s">
        <v>13739</v>
      </c>
      <c r="M273" s="17" t="s">
        <v>179</v>
      </c>
      <c r="N273" s="17" t="s">
        <v>507</v>
      </c>
      <c r="O273" s="17" t="s">
        <v>13740</v>
      </c>
      <c r="P273" s="17" t="str">
        <f>HYPERLINK("https://photon-sol.tinyastro.io/en/lp/CfhCueCDQarPRC4Hmi3gtwMybU5JDDzkjtSBzk5mpump?handle=676050794bc1b1657a56b", "View")</f>
        <v>View</v>
      </c>
    </row>
    <row r="274" spans="1:16" x14ac:dyDescent="0.25">
      <c r="A274" s="13" t="s">
        <v>13741</v>
      </c>
      <c r="B274" s="14">
        <v>1929580</v>
      </c>
      <c r="C274" s="14">
        <v>1929580</v>
      </c>
      <c r="D274" s="14" t="s">
        <v>6267</v>
      </c>
      <c r="E274" s="14" t="s">
        <v>2390</v>
      </c>
      <c r="F274" s="14" t="s">
        <v>9315</v>
      </c>
      <c r="G274" s="15" t="s">
        <v>13742</v>
      </c>
      <c r="H274" s="15" t="s">
        <v>13743</v>
      </c>
      <c r="I274" s="14" t="s">
        <v>88</v>
      </c>
      <c r="J274" s="14">
        <v>2</v>
      </c>
      <c r="K274" s="14">
        <v>1</v>
      </c>
      <c r="L274" s="14" t="s">
        <v>13744</v>
      </c>
      <c r="M274" s="14" t="s">
        <v>1714</v>
      </c>
      <c r="N274" s="14" t="s">
        <v>13745</v>
      </c>
      <c r="O274" s="14" t="s">
        <v>13746</v>
      </c>
      <c r="P274" s="14" t="str">
        <f>HYPERLINK("https://dexscreener.com/solana/6D1GcqNUsJ7iTU7rcGV3VXrzj8sFFu8MKx1rjQAipump", "View")</f>
        <v>View</v>
      </c>
    </row>
    <row r="275" spans="1:16" x14ac:dyDescent="0.25">
      <c r="A275" s="16" t="s">
        <v>13747</v>
      </c>
      <c r="B275" s="17">
        <v>49324636</v>
      </c>
      <c r="C275" s="17">
        <v>26200000</v>
      </c>
      <c r="D275" s="17" t="s">
        <v>6267</v>
      </c>
      <c r="E275" s="17" t="s">
        <v>12420</v>
      </c>
      <c r="F275" s="17" t="s">
        <v>13748</v>
      </c>
      <c r="G275" s="21" t="s">
        <v>13749</v>
      </c>
      <c r="H275" s="21" t="s">
        <v>13750</v>
      </c>
      <c r="I275" s="17" t="s">
        <v>88</v>
      </c>
      <c r="J275" s="17">
        <v>1</v>
      </c>
      <c r="K275" s="17">
        <v>3</v>
      </c>
      <c r="L275" s="17" t="s">
        <v>13751</v>
      </c>
      <c r="M275" s="17" t="s">
        <v>7248</v>
      </c>
      <c r="N275" s="17" t="s">
        <v>507</v>
      </c>
      <c r="O275" s="17" t="s">
        <v>13752</v>
      </c>
      <c r="P275" s="17" t="str">
        <f>HYPERLINK("https://photon-sol.tinyastro.io/en/lp/D96RarihWbaHhjJVMdP2Tf79ojncqmZaZUsxk62Gpump?handle=676050794bc1b1657a56b", "View")</f>
        <v>View</v>
      </c>
    </row>
    <row r="276" spans="1:16" x14ac:dyDescent="0.25">
      <c r="A276" s="13" t="s">
        <v>13753</v>
      </c>
      <c r="B276" s="14">
        <v>23689672</v>
      </c>
      <c r="C276" s="14">
        <v>23689672</v>
      </c>
      <c r="D276" s="14" t="s">
        <v>4754</v>
      </c>
      <c r="E276" s="14" t="s">
        <v>2178</v>
      </c>
      <c r="F276" s="14" t="s">
        <v>1549</v>
      </c>
      <c r="G276" s="20" t="s">
        <v>13754</v>
      </c>
      <c r="H276" s="20" t="s">
        <v>13755</v>
      </c>
      <c r="I276" s="14" t="s">
        <v>88</v>
      </c>
      <c r="J276" s="14">
        <v>1</v>
      </c>
      <c r="K276" s="14">
        <v>1</v>
      </c>
      <c r="L276" s="14" t="s">
        <v>13756</v>
      </c>
      <c r="M276" s="14" t="s">
        <v>602</v>
      </c>
      <c r="N276" s="14" t="s">
        <v>507</v>
      </c>
      <c r="O276" s="14" t="s">
        <v>13757</v>
      </c>
      <c r="P276" s="14" t="str">
        <f>HYPERLINK("https://photon-sol.tinyastro.io/en/lp/4A1WLVKPniy2aeNgifnRrWYR84VQooJnmBHPPokspump?handle=676050794bc1b1657a56b", "View")</f>
        <v>View</v>
      </c>
    </row>
    <row r="277" spans="1:16" x14ac:dyDescent="0.25">
      <c r="A277" s="16" t="s">
        <v>13758</v>
      </c>
      <c r="B277" s="17">
        <v>11202628</v>
      </c>
      <c r="C277" s="17">
        <v>11202628</v>
      </c>
      <c r="D277" s="17" t="s">
        <v>4754</v>
      </c>
      <c r="E277" s="17" t="s">
        <v>1457</v>
      </c>
      <c r="F277" s="17" t="s">
        <v>13759</v>
      </c>
      <c r="G277" s="22" t="s">
        <v>13760</v>
      </c>
      <c r="H277" s="22" t="s">
        <v>13761</v>
      </c>
      <c r="I277" s="17" t="s">
        <v>88</v>
      </c>
      <c r="J277" s="17">
        <v>1</v>
      </c>
      <c r="K277" s="17">
        <v>1</v>
      </c>
      <c r="L277" s="17" t="s">
        <v>13762</v>
      </c>
      <c r="M277" s="17" t="s">
        <v>1434</v>
      </c>
      <c r="N277" s="17" t="s">
        <v>13763</v>
      </c>
      <c r="O277" s="17" t="s">
        <v>13764</v>
      </c>
      <c r="P277" s="17" t="str">
        <f>HYPERLINK("https://dexscreener.com/solana/ACQo7pPhmJmP9DqH4iRaCaoesdeL2x6WbWLVsNGGjmxU", "View")</f>
        <v>View</v>
      </c>
    </row>
    <row r="278" spans="1:16" x14ac:dyDescent="0.25">
      <c r="A278" s="13" t="s">
        <v>13765</v>
      </c>
      <c r="B278" s="14">
        <v>58752392</v>
      </c>
      <c r="C278" s="14">
        <v>58752392</v>
      </c>
      <c r="D278" s="14" t="s">
        <v>4754</v>
      </c>
      <c r="E278" s="14" t="s">
        <v>12420</v>
      </c>
      <c r="F278" s="14" t="s">
        <v>13766</v>
      </c>
      <c r="G278" s="20" t="s">
        <v>13495</v>
      </c>
      <c r="H278" s="20" t="s">
        <v>13767</v>
      </c>
      <c r="I278" s="14" t="s">
        <v>88</v>
      </c>
      <c r="J278" s="14">
        <v>1</v>
      </c>
      <c r="K278" s="14">
        <v>1</v>
      </c>
      <c r="L278" s="14" t="s">
        <v>13768</v>
      </c>
      <c r="M278" s="14" t="s">
        <v>3269</v>
      </c>
      <c r="N278" s="14" t="s">
        <v>507</v>
      </c>
      <c r="O278" s="14" t="s">
        <v>13769</v>
      </c>
      <c r="P278" s="14" t="str">
        <f>HYPERLINK("https://photon-sol.tinyastro.io/en/lp/4MduxKr9VasvrvjF48L6e8XcmPHmUeZynqZTXTbtpump?handle=676050794bc1b1657a56b", "View")</f>
        <v>View</v>
      </c>
    </row>
    <row r="279" spans="1:16" x14ac:dyDescent="0.25">
      <c r="A279" s="16" t="s">
        <v>13770</v>
      </c>
      <c r="B279" s="17">
        <v>28158474</v>
      </c>
      <c r="C279" s="17">
        <v>28158474</v>
      </c>
      <c r="D279" s="17" t="s">
        <v>12693</v>
      </c>
      <c r="E279" s="17" t="s">
        <v>13771</v>
      </c>
      <c r="F279" s="17" t="s">
        <v>13772</v>
      </c>
      <c r="G279" s="20" t="s">
        <v>13773</v>
      </c>
      <c r="H279" s="20" t="s">
        <v>13774</v>
      </c>
      <c r="I279" s="17" t="s">
        <v>88</v>
      </c>
      <c r="J279" s="17">
        <v>1</v>
      </c>
      <c r="K279" s="17">
        <v>1</v>
      </c>
      <c r="L279" s="17" t="s">
        <v>13775</v>
      </c>
      <c r="M279" s="19" t="s">
        <v>1730</v>
      </c>
      <c r="N279" s="17" t="s">
        <v>507</v>
      </c>
      <c r="O279" s="17" t="s">
        <v>13776</v>
      </c>
      <c r="P279" s="17" t="str">
        <f>HYPERLINK("https://photon-sol.tinyastro.io/en/lp/HLBJNSAzMZFuFHhxPp4d6arMMQtSJwucUarHv8Qhpump?handle=676050794bc1b1657a56b", "View")</f>
        <v>View</v>
      </c>
    </row>
    <row r="280" spans="1:16" x14ac:dyDescent="0.25">
      <c r="A280" s="13" t="s">
        <v>13777</v>
      </c>
      <c r="B280" s="14">
        <v>30390342</v>
      </c>
      <c r="C280" s="14">
        <v>30390342</v>
      </c>
      <c r="D280" s="14" t="s">
        <v>12693</v>
      </c>
      <c r="E280" s="14" t="s">
        <v>13778</v>
      </c>
      <c r="F280" s="14" t="s">
        <v>3292</v>
      </c>
      <c r="G280" s="20" t="s">
        <v>6297</v>
      </c>
      <c r="H280" s="20" t="s">
        <v>13779</v>
      </c>
      <c r="I280" s="14" t="s">
        <v>88</v>
      </c>
      <c r="J280" s="14">
        <v>1</v>
      </c>
      <c r="K280" s="14">
        <v>1</v>
      </c>
      <c r="L280" s="14" t="s">
        <v>13780</v>
      </c>
      <c r="M280" s="14" t="s">
        <v>602</v>
      </c>
      <c r="N280" s="14" t="s">
        <v>507</v>
      </c>
      <c r="O280" s="14" t="s">
        <v>13781</v>
      </c>
      <c r="P280" s="14" t="str">
        <f>HYPERLINK("https://photon-sol.tinyastro.io/en/lp/A2K7HUbiSqqbRMsA4rwz9cLcRY23xN29jq4fnwcypump?handle=676050794bc1b1657a56b", "View")</f>
        <v>View</v>
      </c>
    </row>
    <row r="281" spans="1:16" x14ac:dyDescent="0.25">
      <c r="A281" s="16" t="s">
        <v>13782</v>
      </c>
      <c r="B281" s="17">
        <v>27199342</v>
      </c>
      <c r="C281" s="17">
        <v>27199342</v>
      </c>
      <c r="D281" s="17" t="s">
        <v>12693</v>
      </c>
      <c r="E281" s="17" t="s">
        <v>1340</v>
      </c>
      <c r="F281" s="17" t="s">
        <v>13783</v>
      </c>
      <c r="G281" s="20" t="s">
        <v>9389</v>
      </c>
      <c r="H281" s="20" t="s">
        <v>13784</v>
      </c>
      <c r="I281" s="17" t="s">
        <v>88</v>
      </c>
      <c r="J281" s="17">
        <v>1</v>
      </c>
      <c r="K281" s="17">
        <v>1</v>
      </c>
      <c r="L281" s="17" t="s">
        <v>13785</v>
      </c>
      <c r="M281" s="19" t="s">
        <v>3626</v>
      </c>
      <c r="N281" s="17" t="s">
        <v>507</v>
      </c>
      <c r="O281" s="17" t="s">
        <v>13786</v>
      </c>
      <c r="P281" s="17" t="str">
        <f>HYPERLINK("https://photon-sol.tinyastro.io/en/lp/5yWtJvVW1kihyP5Zq2p5BpPCHv6GoGRSHoqJQvJTpump?handle=676050794bc1b1657a56b", "View")</f>
        <v>View</v>
      </c>
    </row>
    <row r="282" spans="1:16" x14ac:dyDescent="0.25">
      <c r="A282" s="13" t="s">
        <v>13787</v>
      </c>
      <c r="B282" s="14">
        <v>131147635</v>
      </c>
      <c r="C282" s="14">
        <v>131147635</v>
      </c>
      <c r="D282" s="14" t="s">
        <v>6267</v>
      </c>
      <c r="E282" s="14" t="s">
        <v>1007</v>
      </c>
      <c r="F282" s="14" t="s">
        <v>13788</v>
      </c>
      <c r="G282" s="20" t="s">
        <v>4962</v>
      </c>
      <c r="H282" s="20" t="s">
        <v>13789</v>
      </c>
      <c r="I282" s="14" t="s">
        <v>88</v>
      </c>
      <c r="J282" s="14">
        <v>2</v>
      </c>
      <c r="K282" s="14">
        <v>1</v>
      </c>
      <c r="L282" s="14" t="s">
        <v>13790</v>
      </c>
      <c r="M282" s="14" t="s">
        <v>680</v>
      </c>
      <c r="N282" s="14" t="s">
        <v>13791</v>
      </c>
      <c r="O282" s="14" t="s">
        <v>13792</v>
      </c>
      <c r="P282" s="14" t="str">
        <f>HYPERLINK("https://dexscreener.com/solana/6TkafZdpmUHfNZi3QyNd2GBKHeurVCmFpWDGUfBDr39Q", "View")</f>
        <v>View</v>
      </c>
    </row>
    <row r="283" spans="1:16" x14ac:dyDescent="0.25">
      <c r="A283" s="16" t="s">
        <v>6855</v>
      </c>
      <c r="B283" s="17">
        <v>16289104</v>
      </c>
      <c r="C283" s="17">
        <v>16289104</v>
      </c>
      <c r="D283" s="17" t="s">
        <v>12693</v>
      </c>
      <c r="E283" s="17" t="s">
        <v>13793</v>
      </c>
      <c r="F283" s="17" t="s">
        <v>13794</v>
      </c>
      <c r="G283" s="20" t="s">
        <v>13773</v>
      </c>
      <c r="H283" s="20" t="s">
        <v>13795</v>
      </c>
      <c r="I283" s="17" t="s">
        <v>88</v>
      </c>
      <c r="J283" s="17">
        <v>1</v>
      </c>
      <c r="K283" s="17">
        <v>1</v>
      </c>
      <c r="L283" s="17" t="s">
        <v>13796</v>
      </c>
      <c r="M283" s="19" t="s">
        <v>2350</v>
      </c>
      <c r="N283" s="17" t="s">
        <v>507</v>
      </c>
      <c r="O283" s="17" t="s">
        <v>13797</v>
      </c>
      <c r="P283" s="17" t="str">
        <f>HYPERLINK("https://photon-sol.tinyastro.io/en/lp/3weC7AmC1wxMu7g2GDtfzDscYyhkb1bnoAvL2WQvdfxp?handle=676050794bc1b1657a56b", "View")</f>
        <v>View</v>
      </c>
    </row>
    <row r="284" spans="1:16" x14ac:dyDescent="0.25">
      <c r="A284" s="13" t="s">
        <v>13798</v>
      </c>
      <c r="B284" s="14">
        <v>34277832</v>
      </c>
      <c r="C284" s="14">
        <v>34277832</v>
      </c>
      <c r="D284" s="14" t="s">
        <v>4754</v>
      </c>
      <c r="E284" s="14" t="s">
        <v>2178</v>
      </c>
      <c r="F284" s="14" t="s">
        <v>3292</v>
      </c>
      <c r="G284" s="20" t="s">
        <v>5231</v>
      </c>
      <c r="H284" s="20" t="s">
        <v>13799</v>
      </c>
      <c r="I284" s="14" t="s">
        <v>88</v>
      </c>
      <c r="J284" s="14">
        <v>1</v>
      </c>
      <c r="K284" s="14">
        <v>1</v>
      </c>
      <c r="L284" s="14" t="s">
        <v>13800</v>
      </c>
      <c r="M284" s="14" t="s">
        <v>1434</v>
      </c>
      <c r="N284" s="14" t="s">
        <v>507</v>
      </c>
      <c r="O284" s="14" t="s">
        <v>13801</v>
      </c>
      <c r="P284" s="14" t="str">
        <f>HYPERLINK("https://photon-sol.tinyastro.io/en/lp/CBCQjfoADptgJwHaKUrTD9CBDsboskhV73KM6SFjpVzn?handle=676050794bc1b1657a56b", "View")</f>
        <v>View</v>
      </c>
    </row>
    <row r="285" spans="1:16" x14ac:dyDescent="0.25">
      <c r="A285" s="16" t="s">
        <v>13802</v>
      </c>
      <c r="B285" s="17">
        <v>53626772</v>
      </c>
      <c r="C285" s="17">
        <v>53626772</v>
      </c>
      <c r="D285" s="17" t="s">
        <v>13803</v>
      </c>
      <c r="E285" s="17" t="s">
        <v>13804</v>
      </c>
      <c r="F285" s="17" t="s">
        <v>2100</v>
      </c>
      <c r="G285" s="20" t="s">
        <v>7895</v>
      </c>
      <c r="H285" s="20" t="s">
        <v>13805</v>
      </c>
      <c r="I285" s="17" t="s">
        <v>88</v>
      </c>
      <c r="J285" s="17">
        <v>1</v>
      </c>
      <c r="K285" s="17">
        <v>1</v>
      </c>
      <c r="L285" s="17" t="s">
        <v>13806</v>
      </c>
      <c r="M285" s="19" t="s">
        <v>2937</v>
      </c>
      <c r="N285" s="17" t="s">
        <v>507</v>
      </c>
      <c r="O285" s="17" t="s">
        <v>13807</v>
      </c>
      <c r="P285" s="17" t="str">
        <f>HYPERLINK("https://photon-sol.tinyastro.io/en/lp/8e2BaST9seuP6JzEDcPyPSxoxpUUwDpuo3jdpZUfpump?handle=676050794bc1b1657a56b", "View")</f>
        <v>View</v>
      </c>
    </row>
    <row r="286" spans="1:16" x14ac:dyDescent="0.25">
      <c r="A286" s="13" t="s">
        <v>13808</v>
      </c>
      <c r="B286" s="14">
        <v>52543985</v>
      </c>
      <c r="C286" s="14">
        <v>52543985</v>
      </c>
      <c r="D286" s="14" t="s">
        <v>13809</v>
      </c>
      <c r="E286" s="14" t="s">
        <v>4085</v>
      </c>
      <c r="F286" s="14" t="s">
        <v>13810</v>
      </c>
      <c r="G286" s="20" t="s">
        <v>7570</v>
      </c>
      <c r="H286" s="20" t="s">
        <v>13811</v>
      </c>
      <c r="I286" s="14" t="s">
        <v>88</v>
      </c>
      <c r="J286" s="14">
        <v>2</v>
      </c>
      <c r="K286" s="14">
        <v>1</v>
      </c>
      <c r="L286" s="14" t="s">
        <v>13812</v>
      </c>
      <c r="M286" s="14" t="s">
        <v>8522</v>
      </c>
      <c r="N286" s="14" t="s">
        <v>507</v>
      </c>
      <c r="O286" s="14" t="s">
        <v>13813</v>
      </c>
      <c r="P286" s="14" t="str">
        <f>HYPERLINK("https://photon-sol.tinyastro.io/en/lp/E8LP6nyKpfsHvajLLcqZgzpb2HWH1X1GAeJUoXuvpump?handle=676050794bc1b1657a56b", "View")</f>
        <v>View</v>
      </c>
    </row>
    <row r="287" spans="1:16" x14ac:dyDescent="0.25">
      <c r="A287" s="16" t="s">
        <v>13814</v>
      </c>
      <c r="B287" s="17">
        <v>2268321</v>
      </c>
      <c r="C287" s="17">
        <v>2268321</v>
      </c>
      <c r="D287" s="17" t="s">
        <v>4754</v>
      </c>
      <c r="E287" s="17" t="s">
        <v>1457</v>
      </c>
      <c r="F287" s="17" t="s">
        <v>13815</v>
      </c>
      <c r="G287" s="20" t="s">
        <v>13816</v>
      </c>
      <c r="H287" s="20" t="s">
        <v>13817</v>
      </c>
      <c r="I287" s="17" t="s">
        <v>88</v>
      </c>
      <c r="J287" s="17">
        <v>1</v>
      </c>
      <c r="K287" s="17">
        <v>1</v>
      </c>
      <c r="L287" s="17" t="s">
        <v>13818</v>
      </c>
      <c r="M287" s="17" t="s">
        <v>5027</v>
      </c>
      <c r="N287" s="17" t="s">
        <v>13819</v>
      </c>
      <c r="O287" s="17" t="s">
        <v>13820</v>
      </c>
      <c r="P287" s="17" t="str">
        <f>HYPERLINK("https://dexscreener.com/solana/8ThSrRA6qpkva4bGE6DNfFKnuKuCPM22Db16zS1Mpump", "View")</f>
        <v>View</v>
      </c>
    </row>
    <row r="288" spans="1:16" x14ac:dyDescent="0.25">
      <c r="A288" s="13" t="s">
        <v>13821</v>
      </c>
      <c r="B288" s="14">
        <v>33963295</v>
      </c>
      <c r="C288" s="14">
        <v>33963295</v>
      </c>
      <c r="D288" s="14" t="s">
        <v>13803</v>
      </c>
      <c r="E288" s="14" t="s">
        <v>8353</v>
      </c>
      <c r="F288" s="14" t="s">
        <v>13822</v>
      </c>
      <c r="G288" s="20" t="s">
        <v>3023</v>
      </c>
      <c r="H288" s="20" t="s">
        <v>13823</v>
      </c>
      <c r="I288" s="14" t="s">
        <v>88</v>
      </c>
      <c r="J288" s="14">
        <v>1</v>
      </c>
      <c r="K288" s="14">
        <v>1</v>
      </c>
      <c r="L288" s="14" t="s">
        <v>13824</v>
      </c>
      <c r="M288" s="19" t="s">
        <v>1721</v>
      </c>
      <c r="N288" s="14" t="s">
        <v>507</v>
      </c>
      <c r="O288" s="14" t="s">
        <v>13825</v>
      </c>
      <c r="P288" s="14" t="str">
        <f>HYPERLINK("https://photon-sol.tinyastro.io/en/lp/76bSFQzo1xfms3sToH4P2sBRQsE3Ws6rapVUpimnpump?handle=676050794bc1b1657a56b", "View")</f>
        <v>View</v>
      </c>
    </row>
    <row r="289" spans="1:16" x14ac:dyDescent="0.25">
      <c r="A289" s="16" t="s">
        <v>13826</v>
      </c>
      <c r="B289" s="17">
        <v>27915750</v>
      </c>
      <c r="C289" s="17">
        <v>27915750</v>
      </c>
      <c r="D289" s="17" t="s">
        <v>13803</v>
      </c>
      <c r="E289" s="17" t="s">
        <v>13827</v>
      </c>
      <c r="F289" s="17" t="s">
        <v>10524</v>
      </c>
      <c r="G289" s="20" t="s">
        <v>11304</v>
      </c>
      <c r="H289" s="20" t="s">
        <v>13828</v>
      </c>
      <c r="I289" s="17" t="s">
        <v>88</v>
      </c>
      <c r="J289" s="17">
        <v>1</v>
      </c>
      <c r="K289" s="17">
        <v>1</v>
      </c>
      <c r="L289" s="17" t="s">
        <v>13829</v>
      </c>
      <c r="M289" s="19" t="s">
        <v>370</v>
      </c>
      <c r="N289" s="17" t="s">
        <v>507</v>
      </c>
      <c r="O289" s="17" t="s">
        <v>13830</v>
      </c>
      <c r="P289" s="17" t="str">
        <f>HYPERLINK("https://photon-sol.tinyastro.io/en/lp/7naWrsD5hkfb9w9ScAM5Hf5WCKWcsNbUxtxjUwnopump?handle=676050794bc1b1657a56b", "View")</f>
        <v>View</v>
      </c>
    </row>
    <row r="290" spans="1:16" x14ac:dyDescent="0.25">
      <c r="A290" s="13" t="s">
        <v>13831</v>
      </c>
      <c r="B290" s="14">
        <v>20339384</v>
      </c>
      <c r="C290" s="14">
        <v>20339384</v>
      </c>
      <c r="D290" s="14" t="s">
        <v>13803</v>
      </c>
      <c r="E290" s="14" t="s">
        <v>13832</v>
      </c>
      <c r="F290" s="14" t="s">
        <v>3111</v>
      </c>
      <c r="G290" s="15" t="s">
        <v>13833</v>
      </c>
      <c r="H290" s="15" t="s">
        <v>13834</v>
      </c>
      <c r="I290" s="14" t="s">
        <v>88</v>
      </c>
      <c r="J290" s="14">
        <v>1</v>
      </c>
      <c r="K290" s="14">
        <v>1</v>
      </c>
      <c r="L290" s="14" t="s">
        <v>13835</v>
      </c>
      <c r="M290" s="14" t="s">
        <v>788</v>
      </c>
      <c r="N290" s="14" t="s">
        <v>507</v>
      </c>
      <c r="O290" s="14" t="s">
        <v>13836</v>
      </c>
      <c r="P290" s="14" t="str">
        <f>HYPERLINK("https://photon-sol.tinyastro.io/en/lp/9KXRbSewzWABhBbYChf5Kjopp8FjuPQZ8phEWR4Vpump?handle=676050794bc1b1657a56b", "View")</f>
        <v>View</v>
      </c>
    </row>
    <row r="291" spans="1:16" x14ac:dyDescent="0.25">
      <c r="A291" s="16" t="s">
        <v>9271</v>
      </c>
      <c r="B291" s="17">
        <v>28157328</v>
      </c>
      <c r="C291" s="17">
        <v>28157328</v>
      </c>
      <c r="D291" s="17" t="s">
        <v>13803</v>
      </c>
      <c r="E291" s="17" t="s">
        <v>8353</v>
      </c>
      <c r="F291" s="17" t="s">
        <v>13837</v>
      </c>
      <c r="G291" s="20" t="s">
        <v>3806</v>
      </c>
      <c r="H291" s="20" t="s">
        <v>13838</v>
      </c>
      <c r="I291" s="17" t="s">
        <v>88</v>
      </c>
      <c r="J291" s="17">
        <v>1</v>
      </c>
      <c r="K291" s="17">
        <v>1</v>
      </c>
      <c r="L291" s="17" t="s">
        <v>13839</v>
      </c>
      <c r="M291" s="19" t="s">
        <v>2525</v>
      </c>
      <c r="N291" s="17" t="s">
        <v>507</v>
      </c>
      <c r="O291" s="17" t="s">
        <v>13840</v>
      </c>
      <c r="P291" s="17" t="str">
        <f>HYPERLINK("https://photon-sol.tinyastro.io/en/lp/AU9PRRHntEzqGby1vGj8HZ2EBpnPdVujEzg3XESrpump?handle=676050794bc1b1657a56b", "View")</f>
        <v>View</v>
      </c>
    </row>
    <row r="292" spans="1:16" x14ac:dyDescent="0.25">
      <c r="A292" s="13" t="s">
        <v>7452</v>
      </c>
      <c r="B292" s="14">
        <v>1235596</v>
      </c>
      <c r="C292" s="14">
        <v>1235596</v>
      </c>
      <c r="D292" s="14" t="s">
        <v>4754</v>
      </c>
      <c r="E292" s="14" t="s">
        <v>1457</v>
      </c>
      <c r="F292" s="14" t="s">
        <v>8814</v>
      </c>
      <c r="G292" s="22" t="s">
        <v>3965</v>
      </c>
      <c r="H292" s="22" t="s">
        <v>13841</v>
      </c>
      <c r="I292" s="14" t="s">
        <v>88</v>
      </c>
      <c r="J292" s="14">
        <v>1</v>
      </c>
      <c r="K292" s="14">
        <v>1</v>
      </c>
      <c r="L292" s="14" t="s">
        <v>13842</v>
      </c>
      <c r="M292" s="14" t="s">
        <v>1448</v>
      </c>
      <c r="N292" s="14" t="s">
        <v>507</v>
      </c>
      <c r="O292" s="14" t="s">
        <v>7459</v>
      </c>
      <c r="P292" s="14" t="str">
        <f>HYPERLINK("https://dexscreener.com/solana/EaEQT3gJnUfeXNwigth29BSdv9oR4YtPzLTkEDzrpump", "View")</f>
        <v>View</v>
      </c>
    </row>
    <row r="293" spans="1:16" x14ac:dyDescent="0.25">
      <c r="A293" s="16" t="s">
        <v>13843</v>
      </c>
      <c r="B293" s="17">
        <v>143919929</v>
      </c>
      <c r="C293" s="17">
        <v>143919929</v>
      </c>
      <c r="D293" s="17" t="s">
        <v>10536</v>
      </c>
      <c r="E293" s="17" t="s">
        <v>13844</v>
      </c>
      <c r="F293" s="17" t="s">
        <v>13845</v>
      </c>
      <c r="G293" s="20" t="s">
        <v>12947</v>
      </c>
      <c r="H293" s="20" t="s">
        <v>13846</v>
      </c>
      <c r="I293" s="17" t="s">
        <v>88</v>
      </c>
      <c r="J293" s="17">
        <v>2</v>
      </c>
      <c r="K293" s="17">
        <v>2</v>
      </c>
      <c r="L293" s="17" t="s">
        <v>13847</v>
      </c>
      <c r="M293" s="17" t="s">
        <v>132</v>
      </c>
      <c r="N293" s="17" t="s">
        <v>507</v>
      </c>
      <c r="O293" s="17" t="s">
        <v>13848</v>
      </c>
      <c r="P293" s="17" t="str">
        <f>HYPERLINK("https://photon-sol.tinyastro.io/en/lp/2Fa9Vrxa7ojQLjDgnAPivvqquPZFX9Zy6xMeBzMUpump?handle=676050794bc1b1657a56b", "View")</f>
        <v>View</v>
      </c>
    </row>
    <row r="294" spans="1:16" x14ac:dyDescent="0.25">
      <c r="A294" s="13" t="s">
        <v>13849</v>
      </c>
      <c r="B294" s="14">
        <v>22898161</v>
      </c>
      <c r="C294" s="14">
        <v>22898161</v>
      </c>
      <c r="D294" s="14" t="s">
        <v>4754</v>
      </c>
      <c r="E294" s="14" t="s">
        <v>1457</v>
      </c>
      <c r="F294" s="14" t="s">
        <v>13850</v>
      </c>
      <c r="G294" s="20" t="s">
        <v>4101</v>
      </c>
      <c r="H294" s="20" t="s">
        <v>5419</v>
      </c>
      <c r="I294" s="14" t="s">
        <v>88</v>
      </c>
      <c r="J294" s="14">
        <v>1</v>
      </c>
      <c r="K294" s="14">
        <v>1</v>
      </c>
      <c r="L294" s="14" t="s">
        <v>13851</v>
      </c>
      <c r="M294" s="14" t="s">
        <v>2789</v>
      </c>
      <c r="N294" s="14" t="s">
        <v>13852</v>
      </c>
      <c r="O294" s="14" t="s">
        <v>13853</v>
      </c>
      <c r="P294" s="14" t="str">
        <f>HYPERLINK("https://dexscreener.com/solana/6nNhLyiSxxSV28ZkHV6TTqkbYBj6HJZDcjJQhDVHrrGV", "View")</f>
        <v>View</v>
      </c>
    </row>
    <row r="295" spans="1:16" x14ac:dyDescent="0.25">
      <c r="A295" s="16" t="s">
        <v>13854</v>
      </c>
      <c r="B295" s="17">
        <v>39897924</v>
      </c>
      <c r="C295" s="17">
        <v>39897924</v>
      </c>
      <c r="D295" s="17" t="s">
        <v>1595</v>
      </c>
      <c r="E295" s="17" t="s">
        <v>12657</v>
      </c>
      <c r="F295" s="17" t="s">
        <v>13855</v>
      </c>
      <c r="G295" s="20" t="s">
        <v>13856</v>
      </c>
      <c r="H295" s="20" t="s">
        <v>13857</v>
      </c>
      <c r="I295" s="17" t="s">
        <v>88</v>
      </c>
      <c r="J295" s="17">
        <v>2</v>
      </c>
      <c r="K295" s="17">
        <v>1</v>
      </c>
      <c r="L295" s="17" t="s">
        <v>13858</v>
      </c>
      <c r="M295" s="17" t="s">
        <v>5702</v>
      </c>
      <c r="N295" s="17" t="s">
        <v>507</v>
      </c>
      <c r="O295" s="17" t="s">
        <v>13859</v>
      </c>
      <c r="P295" s="17" t="str">
        <f>HYPERLINK("https://photon-sol.tinyastro.io/en/lp/4eP3G175XLZGTkUtMupzgi4VbYPwEUpAbR7n2kBxdapr?handle=676050794bc1b1657a56b", "View")</f>
        <v>View</v>
      </c>
    </row>
    <row r="296" spans="1:16" x14ac:dyDescent="0.25">
      <c r="A296" s="13" t="s">
        <v>13860</v>
      </c>
      <c r="B296" s="14">
        <v>39648383</v>
      </c>
      <c r="C296" s="14">
        <v>39648383</v>
      </c>
      <c r="D296" s="14" t="s">
        <v>13861</v>
      </c>
      <c r="E296" s="14" t="s">
        <v>165</v>
      </c>
      <c r="F296" s="14" t="s">
        <v>13862</v>
      </c>
      <c r="G296" s="22" t="s">
        <v>13534</v>
      </c>
      <c r="H296" s="22" t="s">
        <v>13863</v>
      </c>
      <c r="I296" s="14" t="s">
        <v>88</v>
      </c>
      <c r="J296" s="14">
        <v>3</v>
      </c>
      <c r="K296" s="14">
        <v>3</v>
      </c>
      <c r="L296" s="14" t="s">
        <v>13864</v>
      </c>
      <c r="M296" s="14" t="s">
        <v>4446</v>
      </c>
      <c r="N296" s="14" t="s">
        <v>13865</v>
      </c>
      <c r="O296" s="14" t="s">
        <v>13866</v>
      </c>
      <c r="P296" s="14" t="str">
        <f>HYPERLINK("https://dexscreener.com/solana/24sSC4pK7sCRQKuMedmDV9adHmcHHM37zQF7dmCRpump", "View")</f>
        <v>View</v>
      </c>
    </row>
    <row r="297" spans="1:16" x14ac:dyDescent="0.25">
      <c r="A297" s="16" t="s">
        <v>13867</v>
      </c>
      <c r="B297" s="17">
        <v>51807839</v>
      </c>
      <c r="C297" s="17">
        <v>51807839</v>
      </c>
      <c r="D297" s="17" t="s">
        <v>8469</v>
      </c>
      <c r="E297" s="17" t="s">
        <v>13868</v>
      </c>
      <c r="F297" s="17" t="s">
        <v>13869</v>
      </c>
      <c r="G297" s="20" t="s">
        <v>13870</v>
      </c>
      <c r="H297" s="20" t="s">
        <v>13871</v>
      </c>
      <c r="I297" s="17" t="s">
        <v>88</v>
      </c>
      <c r="J297" s="17">
        <v>1</v>
      </c>
      <c r="K297" s="17">
        <v>1</v>
      </c>
      <c r="L297" s="17" t="s">
        <v>13872</v>
      </c>
      <c r="M297" s="17" t="s">
        <v>788</v>
      </c>
      <c r="N297" s="17" t="s">
        <v>507</v>
      </c>
      <c r="O297" s="17" t="s">
        <v>13873</v>
      </c>
      <c r="P297" s="17" t="str">
        <f>HYPERLINK("https://photon-sol.tinyastro.io/en/lp/9ASjvYLkuRW3EdCTumstEia7FBo1YedNRb3MsWYMpump?handle=676050794bc1b1657a56b", "View")</f>
        <v>View</v>
      </c>
    </row>
    <row r="298" spans="1:16" x14ac:dyDescent="0.25">
      <c r="A298" s="13" t="s">
        <v>13874</v>
      </c>
      <c r="B298" s="14">
        <v>22247827</v>
      </c>
      <c r="C298" s="14">
        <v>22247827</v>
      </c>
      <c r="D298" s="14" t="s">
        <v>8469</v>
      </c>
      <c r="E298" s="14" t="s">
        <v>13875</v>
      </c>
      <c r="F298" s="14" t="s">
        <v>13876</v>
      </c>
      <c r="G298" s="20" t="s">
        <v>12840</v>
      </c>
      <c r="H298" s="20" t="s">
        <v>13877</v>
      </c>
      <c r="I298" s="14" t="s">
        <v>88</v>
      </c>
      <c r="J298" s="14">
        <v>1</v>
      </c>
      <c r="K298" s="14">
        <v>1</v>
      </c>
      <c r="L298" s="14" t="s">
        <v>13878</v>
      </c>
      <c r="M298" s="14" t="s">
        <v>1434</v>
      </c>
      <c r="N298" s="14" t="s">
        <v>13879</v>
      </c>
      <c r="O298" s="14" t="s">
        <v>13880</v>
      </c>
      <c r="P298" s="14" t="str">
        <f>HYPERLINK("https://photon-sol.tinyastro.io/en/lp/EdhTCqUxXRWQcUd5Fonyz9rapHAB6mABAuVkmPrtpump?handle=676050794bc1b1657a56b", "View")</f>
        <v>View</v>
      </c>
    </row>
    <row r="299" spans="1:16" x14ac:dyDescent="0.25">
      <c r="A299" s="16" t="s">
        <v>13881</v>
      </c>
      <c r="B299" s="17">
        <v>48934843</v>
      </c>
      <c r="C299" s="17">
        <v>48934843</v>
      </c>
      <c r="D299" s="17" t="s">
        <v>9388</v>
      </c>
      <c r="E299" s="17" t="s">
        <v>13882</v>
      </c>
      <c r="F299" s="17" t="s">
        <v>3452</v>
      </c>
      <c r="G299" s="20" t="s">
        <v>13883</v>
      </c>
      <c r="H299" s="20" t="s">
        <v>13884</v>
      </c>
      <c r="I299" s="17" t="s">
        <v>88</v>
      </c>
      <c r="J299" s="17">
        <v>1</v>
      </c>
      <c r="K299" s="17">
        <v>1</v>
      </c>
      <c r="L299" s="17" t="s">
        <v>13885</v>
      </c>
      <c r="M299" s="17" t="s">
        <v>1434</v>
      </c>
      <c r="N299" s="17" t="s">
        <v>507</v>
      </c>
      <c r="O299" s="17" t="s">
        <v>13886</v>
      </c>
      <c r="P299" s="17" t="str">
        <f>HYPERLINK("https://photon-sol.tinyastro.io/en/lp/3RmAP41qsLb9gpk2qbg44WmEn7gW9KcYnF5rnSkjpump?handle=676050794bc1b1657a56b", "View")</f>
        <v>View</v>
      </c>
    </row>
    <row r="300" spans="1:16" x14ac:dyDescent="0.25">
      <c r="A300" s="13" t="s">
        <v>13887</v>
      </c>
      <c r="B300" s="14">
        <v>46678618</v>
      </c>
      <c r="C300" s="14">
        <v>46678618</v>
      </c>
      <c r="D300" s="14" t="s">
        <v>8469</v>
      </c>
      <c r="E300" s="14" t="s">
        <v>219</v>
      </c>
      <c r="F300" s="14" t="s">
        <v>13888</v>
      </c>
      <c r="G300" s="20" t="s">
        <v>9563</v>
      </c>
      <c r="H300" s="20" t="s">
        <v>13889</v>
      </c>
      <c r="I300" s="14" t="s">
        <v>88</v>
      </c>
      <c r="J300" s="14">
        <v>1</v>
      </c>
      <c r="K300" s="14">
        <v>1</v>
      </c>
      <c r="L300" s="14" t="s">
        <v>13890</v>
      </c>
      <c r="M300" s="19" t="s">
        <v>3231</v>
      </c>
      <c r="N300" s="14" t="s">
        <v>1073</v>
      </c>
      <c r="O300" s="14" t="s">
        <v>13891</v>
      </c>
      <c r="P300" s="14" t="str">
        <f>HYPERLINK("https://dexscreener.com/solana/8pHXzRofsnG9c9bG7LHtuxAz7NhJ3HJankp4PugTYdqp", "View")</f>
        <v>View</v>
      </c>
    </row>
    <row r="301" spans="1:16" x14ac:dyDescent="0.25">
      <c r="A301" s="16" t="s">
        <v>13892</v>
      </c>
      <c r="B301" s="17">
        <v>27253315</v>
      </c>
      <c r="C301" s="17">
        <v>27253315</v>
      </c>
      <c r="D301" s="17" t="s">
        <v>13893</v>
      </c>
      <c r="E301" s="17" t="s">
        <v>13894</v>
      </c>
      <c r="F301" s="17" t="s">
        <v>13895</v>
      </c>
      <c r="G301" s="21" t="s">
        <v>13896</v>
      </c>
      <c r="H301" s="21" t="s">
        <v>13897</v>
      </c>
      <c r="I301" s="17" t="s">
        <v>88</v>
      </c>
      <c r="J301" s="17">
        <v>1</v>
      </c>
      <c r="K301" s="17">
        <v>5</v>
      </c>
      <c r="L301" s="17" t="s">
        <v>13898</v>
      </c>
      <c r="M301" s="17" t="s">
        <v>1566</v>
      </c>
      <c r="N301" s="17" t="s">
        <v>13899</v>
      </c>
      <c r="O301" s="17" t="s">
        <v>13900</v>
      </c>
      <c r="P301" s="17" t="str">
        <f>HYPERLINK("https://photon-sol.tinyastro.io/en/lp/HMwE3JtZGuiQJf8zHZhS39Gqk1HsdehMWVx5qN4Hpump?handle=676050794bc1b1657a56b", "View")</f>
        <v>View</v>
      </c>
    </row>
    <row r="302" spans="1:16" x14ac:dyDescent="0.25">
      <c r="A302" s="13" t="s">
        <v>13901</v>
      </c>
      <c r="B302" s="14">
        <v>27428126</v>
      </c>
      <c r="C302" s="14">
        <v>27428126</v>
      </c>
      <c r="D302" s="14" t="s">
        <v>9388</v>
      </c>
      <c r="E302" s="14" t="s">
        <v>8353</v>
      </c>
      <c r="F302" s="14" t="s">
        <v>13315</v>
      </c>
      <c r="G302" s="20" t="s">
        <v>13902</v>
      </c>
      <c r="H302" s="20" t="s">
        <v>13903</v>
      </c>
      <c r="I302" s="14" t="s">
        <v>88</v>
      </c>
      <c r="J302" s="14">
        <v>1</v>
      </c>
      <c r="K302" s="14">
        <v>1</v>
      </c>
      <c r="L302" s="14" t="s">
        <v>13904</v>
      </c>
      <c r="M302" s="19" t="s">
        <v>2509</v>
      </c>
      <c r="N302" s="14" t="s">
        <v>507</v>
      </c>
      <c r="O302" s="14" t="s">
        <v>13905</v>
      </c>
      <c r="P302" s="14" t="str">
        <f>HYPERLINK("https://photon-sol.tinyastro.io/en/lp/8nwBWzvo293ffurXfb1ciXpeFyL53i7GBK9XQKdQpump?handle=676050794bc1b1657a56b", "View")</f>
        <v>View</v>
      </c>
    </row>
    <row r="303" spans="1:16" x14ac:dyDescent="0.25">
      <c r="A303" s="16" t="s">
        <v>13906</v>
      </c>
      <c r="B303" s="17">
        <v>34137672</v>
      </c>
      <c r="C303" s="17">
        <v>34137672</v>
      </c>
      <c r="D303" s="17" t="s">
        <v>9388</v>
      </c>
      <c r="E303" s="17" t="s">
        <v>8353</v>
      </c>
      <c r="F303" s="17" t="s">
        <v>13907</v>
      </c>
      <c r="G303" s="20" t="s">
        <v>4925</v>
      </c>
      <c r="H303" s="20" t="s">
        <v>13908</v>
      </c>
      <c r="I303" s="17" t="s">
        <v>88</v>
      </c>
      <c r="J303" s="17">
        <v>1</v>
      </c>
      <c r="K303" s="17">
        <v>1</v>
      </c>
      <c r="L303" s="17" t="s">
        <v>13909</v>
      </c>
      <c r="M303" s="19" t="s">
        <v>1619</v>
      </c>
      <c r="N303" s="17" t="s">
        <v>507</v>
      </c>
      <c r="O303" s="17" t="s">
        <v>13910</v>
      </c>
      <c r="P303" s="17" t="str">
        <f>HYPERLINK("https://photon-sol.tinyastro.io/en/lp/8FYrWdrzeqo6Xiv19kX3exdGKxg1YdrhmxmTNtVvnfaK?handle=676050794bc1b1657a56b", "View")</f>
        <v>View</v>
      </c>
    </row>
    <row r="304" spans="1:16" x14ac:dyDescent="0.25">
      <c r="A304" s="13" t="s">
        <v>13911</v>
      </c>
      <c r="B304" s="14">
        <v>48328840</v>
      </c>
      <c r="C304" s="14">
        <v>48328840</v>
      </c>
      <c r="D304" s="14" t="s">
        <v>9388</v>
      </c>
      <c r="E304" s="14" t="s">
        <v>7547</v>
      </c>
      <c r="F304" s="14" t="s">
        <v>13408</v>
      </c>
      <c r="G304" s="22" t="s">
        <v>11559</v>
      </c>
      <c r="H304" s="22" t="s">
        <v>13912</v>
      </c>
      <c r="I304" s="14" t="s">
        <v>88</v>
      </c>
      <c r="J304" s="14">
        <v>1</v>
      </c>
      <c r="K304" s="14">
        <v>1</v>
      </c>
      <c r="L304" s="14" t="s">
        <v>13913</v>
      </c>
      <c r="M304" s="19" t="s">
        <v>2122</v>
      </c>
      <c r="N304" s="14" t="s">
        <v>507</v>
      </c>
      <c r="O304" s="14" t="s">
        <v>13914</v>
      </c>
      <c r="P304" s="14" t="str">
        <f>HYPERLINK("https://photon-sol.tinyastro.io/en/lp/HDYb4aeJgWqhJTkgwHWUWDkm7AwZ2TAPcGvnQNGQpump?handle=676050794bc1b1657a56b", "View")</f>
        <v>View</v>
      </c>
    </row>
    <row r="305" spans="1:16" x14ac:dyDescent="0.25">
      <c r="A305" s="16" t="s">
        <v>13915</v>
      </c>
      <c r="B305" s="17">
        <v>74363894</v>
      </c>
      <c r="C305" s="17">
        <v>74363894</v>
      </c>
      <c r="D305" s="17" t="s">
        <v>8469</v>
      </c>
      <c r="E305" s="17" t="s">
        <v>1457</v>
      </c>
      <c r="F305" s="17" t="s">
        <v>13916</v>
      </c>
      <c r="G305" s="20" t="s">
        <v>5305</v>
      </c>
      <c r="H305" s="20" t="s">
        <v>13917</v>
      </c>
      <c r="I305" s="17" t="s">
        <v>88</v>
      </c>
      <c r="J305" s="17">
        <v>1</v>
      </c>
      <c r="K305" s="17">
        <v>1</v>
      </c>
      <c r="L305" s="17" t="s">
        <v>13918</v>
      </c>
      <c r="M305" s="17" t="s">
        <v>5702</v>
      </c>
      <c r="N305" s="17" t="s">
        <v>12852</v>
      </c>
      <c r="O305" s="17" t="s">
        <v>13919</v>
      </c>
      <c r="P305" s="17" t="str">
        <f>HYPERLINK("https://dexscreener.com/solana/CNQbrauQD1fnGDE4C31p3pneAgP7UFywvvyEn9YDpump", "View")</f>
        <v>View</v>
      </c>
    </row>
    <row r="306" spans="1:16" x14ac:dyDescent="0.25">
      <c r="A306" s="13" t="s">
        <v>13808</v>
      </c>
      <c r="B306" s="14">
        <v>73979150</v>
      </c>
      <c r="C306" s="14">
        <v>73979150</v>
      </c>
      <c r="D306" s="14" t="s">
        <v>13920</v>
      </c>
      <c r="E306" s="14" t="s">
        <v>219</v>
      </c>
      <c r="F306" s="14" t="s">
        <v>13888</v>
      </c>
      <c r="G306" s="20" t="s">
        <v>5692</v>
      </c>
      <c r="H306" s="20" t="s">
        <v>13379</v>
      </c>
      <c r="I306" s="14" t="s">
        <v>88</v>
      </c>
      <c r="J306" s="14">
        <v>1</v>
      </c>
      <c r="K306" s="14">
        <v>1</v>
      </c>
      <c r="L306" s="14" t="s">
        <v>13921</v>
      </c>
      <c r="M306" s="14" t="s">
        <v>788</v>
      </c>
      <c r="N306" s="14" t="s">
        <v>11747</v>
      </c>
      <c r="O306" s="14" t="s">
        <v>13922</v>
      </c>
      <c r="P306" s="14" t="str">
        <f>HYPERLINK("https://dexscreener.com/solana/8t5FggSQmHR8Q3xKg6dpopdYQRMGjWmqD2k7cb2HmguX", "View")</f>
        <v>View</v>
      </c>
    </row>
    <row r="307" spans="1:16" x14ac:dyDescent="0.25">
      <c r="A307" s="16" t="s">
        <v>13923</v>
      </c>
      <c r="B307" s="17">
        <v>3240228</v>
      </c>
      <c r="C307" s="17">
        <v>3240228</v>
      </c>
      <c r="D307" s="17" t="s">
        <v>13924</v>
      </c>
      <c r="E307" s="17" t="s">
        <v>1069</v>
      </c>
      <c r="F307" s="17" t="s">
        <v>9333</v>
      </c>
      <c r="G307" s="20" t="s">
        <v>6297</v>
      </c>
      <c r="H307" s="20" t="s">
        <v>13925</v>
      </c>
      <c r="I307" s="17" t="s">
        <v>88</v>
      </c>
      <c r="J307" s="17">
        <v>8</v>
      </c>
      <c r="K307" s="17">
        <v>3</v>
      </c>
      <c r="L307" s="17" t="s">
        <v>13926</v>
      </c>
      <c r="M307" s="17" t="s">
        <v>690</v>
      </c>
      <c r="N307" s="17" t="s">
        <v>507</v>
      </c>
      <c r="O307" s="17" t="s">
        <v>13927</v>
      </c>
      <c r="P307" s="17" t="str">
        <f>HYPERLINK("https://dexscreener.com/solana/Kkw6qZ9yNtibLuUT86KaJY9uoTdVMhx1bvAsc5FbWca", "View")</f>
        <v>View</v>
      </c>
    </row>
    <row r="308" spans="1:16" x14ac:dyDescent="0.25">
      <c r="A308" s="13" t="s">
        <v>13928</v>
      </c>
      <c r="B308" s="14">
        <v>17805327</v>
      </c>
      <c r="C308" s="14">
        <v>17805327</v>
      </c>
      <c r="D308" s="14" t="s">
        <v>13929</v>
      </c>
      <c r="E308" s="14" t="s">
        <v>13930</v>
      </c>
      <c r="F308" s="14" t="s">
        <v>1407</v>
      </c>
      <c r="G308" s="20" t="s">
        <v>9602</v>
      </c>
      <c r="H308" s="20" t="s">
        <v>13931</v>
      </c>
      <c r="I308" s="14" t="s">
        <v>88</v>
      </c>
      <c r="J308" s="14">
        <v>1</v>
      </c>
      <c r="K308" s="14">
        <v>1</v>
      </c>
      <c r="L308" s="14" t="s">
        <v>13932</v>
      </c>
      <c r="M308" s="14" t="s">
        <v>1566</v>
      </c>
      <c r="N308" s="14" t="s">
        <v>507</v>
      </c>
      <c r="O308" s="14" t="s">
        <v>13933</v>
      </c>
      <c r="P308" s="14" t="str">
        <f>HYPERLINK("https://photon-sol.tinyastro.io/en/lp/EzD8yd6J1GAsbdBK6j865Mmi9fWWztbu1eMTKHKwey9U?handle=676050794bc1b1657a56b", "View")</f>
        <v>View</v>
      </c>
    </row>
    <row r="309" spans="1:16" x14ac:dyDescent="0.25">
      <c r="A309" s="16" t="s">
        <v>13934</v>
      </c>
      <c r="B309" s="17">
        <v>23952080</v>
      </c>
      <c r="C309" s="17">
        <v>23952080</v>
      </c>
      <c r="D309" s="17" t="s">
        <v>13929</v>
      </c>
      <c r="E309" s="17" t="s">
        <v>13827</v>
      </c>
      <c r="F309" s="17" t="s">
        <v>2260</v>
      </c>
      <c r="G309" s="22" t="s">
        <v>3733</v>
      </c>
      <c r="H309" s="22" t="s">
        <v>13935</v>
      </c>
      <c r="I309" s="17" t="s">
        <v>88</v>
      </c>
      <c r="J309" s="17">
        <v>1</v>
      </c>
      <c r="K309" s="17">
        <v>1</v>
      </c>
      <c r="L309" s="17" t="s">
        <v>13936</v>
      </c>
      <c r="M309" s="19" t="s">
        <v>2853</v>
      </c>
      <c r="N309" s="17" t="s">
        <v>507</v>
      </c>
      <c r="O309" s="17" t="s">
        <v>13937</v>
      </c>
      <c r="P309" s="17" t="str">
        <f>HYPERLINK("https://photon-sol.tinyastro.io/en/lp/AetgxJS7eSUwK9kXv6mifPNmQmAVqE6qYHFGyyDCpump?handle=676050794bc1b1657a56b", "View")</f>
        <v>View</v>
      </c>
    </row>
    <row r="310" spans="1:16" x14ac:dyDescent="0.25">
      <c r="A310" s="13" t="s">
        <v>13938</v>
      </c>
      <c r="B310" s="14">
        <v>616990</v>
      </c>
      <c r="C310" s="14">
        <v>616990</v>
      </c>
      <c r="D310" s="14" t="s">
        <v>4754</v>
      </c>
      <c r="E310" s="14" t="s">
        <v>219</v>
      </c>
      <c r="F310" s="14" t="s">
        <v>13939</v>
      </c>
      <c r="G310" s="22" t="s">
        <v>3344</v>
      </c>
      <c r="H310" s="22" t="s">
        <v>13940</v>
      </c>
      <c r="I310" s="14" t="s">
        <v>88</v>
      </c>
      <c r="J310" s="14">
        <v>1</v>
      </c>
      <c r="K310" s="14">
        <v>1</v>
      </c>
      <c r="L310" s="14" t="s">
        <v>13941</v>
      </c>
      <c r="M310" s="14" t="s">
        <v>1434</v>
      </c>
      <c r="N310" s="14" t="s">
        <v>13942</v>
      </c>
      <c r="O310" s="14" t="s">
        <v>13943</v>
      </c>
      <c r="P310" s="14" t="str">
        <f>HYPERLINK("https://dexscreener.com/solana/3ZQLNKd8JMCwch5Es8wfdWmyhKvUy7Gu83zeoaZTpump", "View")</f>
        <v>View</v>
      </c>
    </row>
    <row r="311" spans="1:16" x14ac:dyDescent="0.25">
      <c r="A311" s="16" t="s">
        <v>13938</v>
      </c>
      <c r="B311" s="17">
        <v>3384998</v>
      </c>
      <c r="C311" s="17">
        <v>3384998</v>
      </c>
      <c r="D311" s="17" t="s">
        <v>13929</v>
      </c>
      <c r="E311" s="17" t="s">
        <v>1413</v>
      </c>
      <c r="F311" s="17" t="s">
        <v>5409</v>
      </c>
      <c r="G311" s="15" t="s">
        <v>9972</v>
      </c>
      <c r="H311" s="15" t="s">
        <v>13944</v>
      </c>
      <c r="I311" s="17" t="s">
        <v>88</v>
      </c>
      <c r="J311" s="17">
        <v>1</v>
      </c>
      <c r="K311" s="17">
        <v>1</v>
      </c>
      <c r="L311" s="17" t="s">
        <v>13945</v>
      </c>
      <c r="M311" s="19" t="s">
        <v>2805</v>
      </c>
      <c r="N311" s="17" t="s">
        <v>507</v>
      </c>
      <c r="O311" s="17" t="s">
        <v>13946</v>
      </c>
      <c r="P311" s="17" t="str">
        <f>HYPERLINK("https://photon-sol.tinyastro.io/en/lp/USHJasNDNedd7VZdEWCe4jfF2hG2LfNVECfexFaaatJ?handle=676050794bc1b1657a56b", "View")</f>
        <v>View</v>
      </c>
    </row>
    <row r="312" spans="1:16" x14ac:dyDescent="0.25">
      <c r="A312" s="13" t="s">
        <v>13947</v>
      </c>
      <c r="B312" s="14">
        <v>34917919</v>
      </c>
      <c r="C312" s="14">
        <v>34917919</v>
      </c>
      <c r="D312" s="14" t="s">
        <v>13948</v>
      </c>
      <c r="E312" s="14" t="s">
        <v>9306</v>
      </c>
      <c r="F312" s="14" t="s">
        <v>11347</v>
      </c>
      <c r="G312" s="20" t="s">
        <v>1718</v>
      </c>
      <c r="H312" s="20" t="s">
        <v>13949</v>
      </c>
      <c r="I312" s="14" t="s">
        <v>88</v>
      </c>
      <c r="J312" s="14">
        <v>2</v>
      </c>
      <c r="K312" s="14">
        <v>1</v>
      </c>
      <c r="L312" s="14" t="s">
        <v>13950</v>
      </c>
      <c r="M312" s="14" t="s">
        <v>1566</v>
      </c>
      <c r="N312" s="14" t="s">
        <v>507</v>
      </c>
      <c r="O312" s="14" t="s">
        <v>13951</v>
      </c>
      <c r="P312" s="14" t="str">
        <f>HYPERLINK("https://photon-sol.tinyastro.io/en/lp/5npX9zeBEfGHoeo5t2aHpxEU23EfvYpvE3Xmp6kmpump?handle=676050794bc1b1657a56b", "View")</f>
        <v>View</v>
      </c>
    </row>
    <row r="313" spans="1:16" x14ac:dyDescent="0.25">
      <c r="A313" s="16" t="s">
        <v>13952</v>
      </c>
      <c r="B313" s="17">
        <v>26692377</v>
      </c>
      <c r="C313" s="17">
        <v>26692377</v>
      </c>
      <c r="D313" s="17" t="s">
        <v>13323</v>
      </c>
      <c r="E313" s="17" t="s">
        <v>13827</v>
      </c>
      <c r="F313" s="17" t="s">
        <v>13953</v>
      </c>
      <c r="G313" s="20" t="s">
        <v>13361</v>
      </c>
      <c r="H313" s="20" t="s">
        <v>13954</v>
      </c>
      <c r="I313" s="17" t="s">
        <v>88</v>
      </c>
      <c r="J313" s="17">
        <v>1</v>
      </c>
      <c r="K313" s="17">
        <v>1</v>
      </c>
      <c r="L313" s="17" t="s">
        <v>13955</v>
      </c>
      <c r="M313" s="17" t="s">
        <v>1448</v>
      </c>
      <c r="N313" s="17" t="s">
        <v>507</v>
      </c>
      <c r="O313" s="17" t="s">
        <v>13956</v>
      </c>
      <c r="P313" s="17" t="str">
        <f>HYPERLINK("https://photon-sol.tinyastro.io/en/lp/7HffXS3WoeKjLnoUws4mjXNVkirZ7zAxCGeQAUm2jHw5?handle=676050794bc1b1657a56b", "View")</f>
        <v>View</v>
      </c>
    </row>
    <row r="314" spans="1:16" x14ac:dyDescent="0.25">
      <c r="A314" s="13" t="s">
        <v>13957</v>
      </c>
      <c r="B314" s="14">
        <v>34247181</v>
      </c>
      <c r="C314" s="14">
        <v>34247181</v>
      </c>
      <c r="D314" s="14" t="s">
        <v>13323</v>
      </c>
      <c r="E314" s="14" t="s">
        <v>12959</v>
      </c>
      <c r="F314" s="14" t="s">
        <v>2288</v>
      </c>
      <c r="G314" s="20" t="s">
        <v>13958</v>
      </c>
      <c r="H314" s="20" t="s">
        <v>13959</v>
      </c>
      <c r="I314" s="14" t="s">
        <v>88</v>
      </c>
      <c r="J314" s="14">
        <v>1</v>
      </c>
      <c r="K314" s="14">
        <v>1</v>
      </c>
      <c r="L314" s="14" t="s">
        <v>13960</v>
      </c>
      <c r="M314" s="14" t="s">
        <v>179</v>
      </c>
      <c r="N314" s="14" t="s">
        <v>507</v>
      </c>
      <c r="O314" s="14" t="s">
        <v>13961</v>
      </c>
      <c r="P314" s="14" t="str">
        <f>HYPERLINK("https://photon-sol.tinyastro.io/en/lp/9qhQEEJPMv68dTd6xgS41PGEd4XVEDeChNsUgKswZJ9G?handle=676050794bc1b1657a56b", "View")</f>
        <v>View</v>
      </c>
    </row>
    <row r="315" spans="1:16" x14ac:dyDescent="0.25">
      <c r="A315" s="16" t="s">
        <v>13962</v>
      </c>
      <c r="B315" s="17">
        <v>52182587</v>
      </c>
      <c r="C315" s="17">
        <v>52182587</v>
      </c>
      <c r="D315" s="17" t="s">
        <v>4738</v>
      </c>
      <c r="E315" s="17" t="s">
        <v>219</v>
      </c>
      <c r="F315" s="17" t="s">
        <v>13963</v>
      </c>
      <c r="G315" s="21" t="s">
        <v>13964</v>
      </c>
      <c r="H315" s="21" t="s">
        <v>13965</v>
      </c>
      <c r="I315" s="17" t="s">
        <v>88</v>
      </c>
      <c r="J315" s="17">
        <v>1</v>
      </c>
      <c r="K315" s="17">
        <v>1</v>
      </c>
      <c r="L315" s="17" t="s">
        <v>13966</v>
      </c>
      <c r="M315" s="17" t="s">
        <v>132</v>
      </c>
      <c r="N315" s="17" t="s">
        <v>13967</v>
      </c>
      <c r="O315" s="17" t="s">
        <v>13968</v>
      </c>
      <c r="P315" s="17" t="str">
        <f>HYPERLINK("https://dexscreener.com/solana/D2fBhwigTe4yzMwWuAQNN2recggzbSf3SjZmSGdYpump", "View")</f>
        <v>View</v>
      </c>
    </row>
    <row r="316" spans="1:16" x14ac:dyDescent="0.25">
      <c r="A316" s="13" t="s">
        <v>13969</v>
      </c>
      <c r="B316" s="14">
        <v>5960406</v>
      </c>
      <c r="C316" s="14">
        <v>5960406</v>
      </c>
      <c r="D316" s="14" t="s">
        <v>13929</v>
      </c>
      <c r="E316" s="14" t="s">
        <v>13970</v>
      </c>
      <c r="F316" s="14" t="s">
        <v>5861</v>
      </c>
      <c r="G316" s="15" t="s">
        <v>13971</v>
      </c>
      <c r="H316" s="15" t="s">
        <v>13972</v>
      </c>
      <c r="I316" s="14" t="s">
        <v>88</v>
      </c>
      <c r="J316" s="14">
        <v>1</v>
      </c>
      <c r="K316" s="14">
        <v>1</v>
      </c>
      <c r="L316" s="14" t="s">
        <v>13973</v>
      </c>
      <c r="M316" s="14" t="s">
        <v>2789</v>
      </c>
      <c r="N316" s="14" t="s">
        <v>507</v>
      </c>
      <c r="O316" s="14" t="s">
        <v>13974</v>
      </c>
      <c r="P316" s="14" t="str">
        <f>HYPERLINK("https://photon-sol.tinyastro.io/en/lp/TRUSR8WBgUF2NQW95mWHJUtfjtq6RVqksuM7ZN3JtrV?handle=676050794bc1b1657a56b", "View")</f>
        <v>View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9C7E-898C-490B-BA49-879D2EFBD1EB}">
  <dimension ref="A1:P249"/>
  <sheetViews>
    <sheetView workbookViewId="0"/>
  </sheetViews>
  <sheetFormatPr defaultRowHeight="15" x14ac:dyDescent="0.25"/>
  <cols>
    <col min="1" max="1" width="46" style="2" customWidth="1"/>
    <col min="2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HYPERLINK("https://gmgn.ai/sol/address/CNudZYFgpbT26fidsiNrWfHeGTBMMeVWqruZXsEkcUPc", "GMGN")</f>
        <v>GMGN</v>
      </c>
    </row>
    <row r="2" spans="1:14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18</v>
      </c>
      <c r="H2" s="3">
        <v>230</v>
      </c>
      <c r="I2" s="3">
        <v>49</v>
      </c>
      <c r="J2" s="3" t="s">
        <v>19</v>
      </c>
      <c r="K2" s="3" t="s">
        <v>20</v>
      </c>
      <c r="L2" s="3">
        <v>30</v>
      </c>
      <c r="M2" s="3">
        <v>459</v>
      </c>
      <c r="N2" s="3" t="str">
        <f>HYPERLINK("https://solscan.io/account/CNudZYFgpbT26fidsiNrWfHeGTBMMeVWqruZXsEkcUPc",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HYPERLINK("https://birdeye.so/profile/CNudZYFgpbT26fidsiNrWfHeGTBMMeVWqruZXsEkcUPc", "Birdeye")</f>
        <v>Birdeye</v>
      </c>
    </row>
    <row r="4" spans="1:14" x14ac:dyDescent="0.25">
      <c r="A4" s="1" t="s">
        <v>25</v>
      </c>
      <c r="B4" s="3" t="s">
        <v>26</v>
      </c>
      <c r="C4" s="3"/>
      <c r="D4" s="3" t="s">
        <v>27</v>
      </c>
      <c r="E4" s="3" t="s">
        <v>28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30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13</v>
      </c>
      <c r="C10" s="1">
        <v>10</v>
      </c>
      <c r="D10" s="1">
        <v>7</v>
      </c>
      <c r="E10" s="1">
        <v>10</v>
      </c>
      <c r="F10" s="1">
        <v>23</v>
      </c>
      <c r="G10" s="1">
        <v>167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45</v>
      </c>
      <c r="C11" s="1" t="s">
        <v>46</v>
      </c>
      <c r="D11" s="1" t="s">
        <v>47</v>
      </c>
      <c r="E11" s="1" t="s">
        <v>46</v>
      </c>
      <c r="F11" s="1" t="s">
        <v>48</v>
      </c>
      <c r="G11" s="1" t="s">
        <v>49</v>
      </c>
      <c r="H11" s="3"/>
      <c r="I11" s="3" t="s">
        <v>50</v>
      </c>
      <c r="J11" s="3" t="s">
        <v>51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3"/>
      <c r="I12" s="3" t="s">
        <v>59</v>
      </c>
      <c r="J12" s="3" t="s">
        <v>60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62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64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66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82</v>
      </c>
      <c r="B20" s="14">
        <v>2721615</v>
      </c>
      <c r="C20" s="14">
        <v>353810</v>
      </c>
      <c r="D20" s="14" t="s">
        <v>83</v>
      </c>
      <c r="E20" s="14" t="s">
        <v>84</v>
      </c>
      <c r="F20" s="14" t="s">
        <v>85</v>
      </c>
      <c r="G20" s="15" t="s">
        <v>86</v>
      </c>
      <c r="H20" s="15" t="s">
        <v>87</v>
      </c>
      <c r="I20" s="14" t="s">
        <v>88</v>
      </c>
      <c r="J20" s="14">
        <v>1</v>
      </c>
      <c r="K20" s="14">
        <v>1</v>
      </c>
      <c r="L20" s="14" t="s">
        <v>89</v>
      </c>
      <c r="M20" s="14" t="s">
        <v>90</v>
      </c>
      <c r="N20" s="14" t="s">
        <v>91</v>
      </c>
      <c r="O20" s="14" t="s">
        <v>92</v>
      </c>
      <c r="P20" s="14" t="str">
        <f>HYPERLINK("https://dexscreener.com/solana/Db7ZUaWTThwZy7bVhjn5Dda8D3fbbAhihcxPV4m9pump", "View")</f>
        <v>View</v>
      </c>
    </row>
    <row r="21" spans="1:16" x14ac:dyDescent="0.25">
      <c r="A21" s="16" t="s">
        <v>93</v>
      </c>
      <c r="B21" s="17">
        <v>9612739</v>
      </c>
      <c r="C21" s="17">
        <v>0</v>
      </c>
      <c r="D21" s="17" t="s">
        <v>94</v>
      </c>
      <c r="E21" s="17" t="s">
        <v>95</v>
      </c>
      <c r="F21" s="17" t="s">
        <v>96</v>
      </c>
      <c r="G21" s="18" t="s">
        <v>97</v>
      </c>
      <c r="H21" s="18" t="s">
        <v>98</v>
      </c>
      <c r="I21" s="17" t="s">
        <v>99</v>
      </c>
      <c r="J21" s="17">
        <v>1</v>
      </c>
      <c r="K21" s="17">
        <v>0</v>
      </c>
      <c r="L21" s="17" t="s">
        <v>100</v>
      </c>
      <c r="M21" s="19" t="s">
        <v>101</v>
      </c>
      <c r="N21" s="17" t="s">
        <v>102</v>
      </c>
      <c r="O21" s="17" t="s">
        <v>103</v>
      </c>
      <c r="P21" s="17" t="str">
        <f>HYPERLINK("https://dexscreener.com/solana/BbQbAoML7FJTyk45N9hXdp883NzB8WvHFCesEeAppump", "View")</f>
        <v>View</v>
      </c>
    </row>
    <row r="22" spans="1:16" x14ac:dyDescent="0.25">
      <c r="A22" s="13" t="s">
        <v>104</v>
      </c>
      <c r="B22" s="14">
        <v>14452484</v>
      </c>
      <c r="C22" s="14">
        <v>0</v>
      </c>
      <c r="D22" s="14" t="s">
        <v>94</v>
      </c>
      <c r="E22" s="14" t="s">
        <v>105</v>
      </c>
      <c r="F22" s="14" t="s">
        <v>96</v>
      </c>
      <c r="G22" s="18" t="s">
        <v>106</v>
      </c>
      <c r="H22" s="18" t="s">
        <v>98</v>
      </c>
      <c r="I22" s="14" t="s">
        <v>107</v>
      </c>
      <c r="J22" s="14">
        <v>1</v>
      </c>
      <c r="K22" s="14">
        <v>0</v>
      </c>
      <c r="L22" s="14" t="s">
        <v>108</v>
      </c>
      <c r="M22" s="19" t="s">
        <v>101</v>
      </c>
      <c r="N22" s="14" t="s">
        <v>109</v>
      </c>
      <c r="O22" s="14" t="s">
        <v>110</v>
      </c>
      <c r="P22" s="14" t="str">
        <f>HYPERLINK("https://dexscreener.com/solana/8zuLGDdCMELwGjD9b3gtyqfCKwj5hbNUnCCw66eBpump", "View")</f>
        <v>View</v>
      </c>
    </row>
    <row r="23" spans="1:16" x14ac:dyDescent="0.25">
      <c r="A23" s="16" t="s">
        <v>111</v>
      </c>
      <c r="B23" s="17">
        <v>17381457</v>
      </c>
      <c r="C23" s="17">
        <v>4225432</v>
      </c>
      <c r="D23" s="17" t="s">
        <v>112</v>
      </c>
      <c r="E23" s="17" t="s">
        <v>84</v>
      </c>
      <c r="F23" s="17" t="s">
        <v>113</v>
      </c>
      <c r="G23" s="20" t="s">
        <v>114</v>
      </c>
      <c r="H23" s="20" t="s">
        <v>115</v>
      </c>
      <c r="I23" s="17" t="s">
        <v>88</v>
      </c>
      <c r="J23" s="17">
        <v>2</v>
      </c>
      <c r="K23" s="17">
        <v>8</v>
      </c>
      <c r="L23" s="17" t="s">
        <v>116</v>
      </c>
      <c r="M23" s="17" t="s">
        <v>117</v>
      </c>
      <c r="N23" s="17" t="s">
        <v>118</v>
      </c>
      <c r="O23" s="17" t="s">
        <v>119</v>
      </c>
      <c r="P23" s="17" t="str">
        <f>HYPERLINK("https://dexscreener.com/solana/D5S1nXXaMnJui8rCnMbP1GZQnL9TxzbF92hXvgkVpump", "View")</f>
        <v>View</v>
      </c>
    </row>
    <row r="24" spans="1:16" x14ac:dyDescent="0.25">
      <c r="A24" s="13" t="s">
        <v>120</v>
      </c>
      <c r="B24" s="14">
        <v>10993419</v>
      </c>
      <c r="C24" s="14">
        <v>0</v>
      </c>
      <c r="D24" s="14" t="s">
        <v>94</v>
      </c>
      <c r="E24" s="14" t="s">
        <v>105</v>
      </c>
      <c r="F24" s="14" t="s">
        <v>96</v>
      </c>
      <c r="G24" s="18" t="s">
        <v>106</v>
      </c>
      <c r="H24" s="18" t="s">
        <v>98</v>
      </c>
      <c r="I24" s="14" t="s">
        <v>121</v>
      </c>
      <c r="J24" s="14">
        <v>1</v>
      </c>
      <c r="K24" s="14">
        <v>0</v>
      </c>
      <c r="L24" s="14" t="s">
        <v>122</v>
      </c>
      <c r="M24" s="19" t="s">
        <v>101</v>
      </c>
      <c r="N24" s="14" t="s">
        <v>123</v>
      </c>
      <c r="O24" s="14" t="s">
        <v>124</v>
      </c>
      <c r="P24" s="14" t="str">
        <f>HYPERLINK("https://dexscreener.com/solana/5ZrVb3GpZ6c9ukqLYgLxFdg8zgy7ttY4mZy6ngx9pump", "View")</f>
        <v>View</v>
      </c>
    </row>
    <row r="25" spans="1:16" x14ac:dyDescent="0.25">
      <c r="A25" s="16" t="s">
        <v>125</v>
      </c>
      <c r="B25" s="17">
        <v>7266672</v>
      </c>
      <c r="C25" s="17">
        <v>6203252</v>
      </c>
      <c r="D25" s="17" t="s">
        <v>126</v>
      </c>
      <c r="E25" s="17" t="s">
        <v>127</v>
      </c>
      <c r="F25" s="17" t="s">
        <v>128</v>
      </c>
      <c r="G25" s="21" t="s">
        <v>129</v>
      </c>
      <c r="H25" s="21" t="s">
        <v>130</v>
      </c>
      <c r="I25" s="17" t="s">
        <v>88</v>
      </c>
      <c r="J25" s="17">
        <v>1</v>
      </c>
      <c r="K25" s="17">
        <v>20</v>
      </c>
      <c r="L25" s="17" t="s">
        <v>131</v>
      </c>
      <c r="M25" s="17" t="s">
        <v>132</v>
      </c>
      <c r="N25" s="17" t="s">
        <v>133</v>
      </c>
      <c r="O25" s="17" t="s">
        <v>134</v>
      </c>
      <c r="P25" s="17" t="str">
        <f>HYPERLINK("https://dexscreener.com/solana/CBdCxKo9QavR9hfShgpEBG3zekorAeD7W1jfq2o3pump", "View")</f>
        <v>View</v>
      </c>
    </row>
    <row r="26" spans="1:16" x14ac:dyDescent="0.25">
      <c r="A26" s="13" t="s">
        <v>135</v>
      </c>
      <c r="B26" s="14">
        <v>10853274</v>
      </c>
      <c r="C26" s="14">
        <v>6170001</v>
      </c>
      <c r="D26" s="14" t="s">
        <v>136</v>
      </c>
      <c r="E26" s="14" t="s">
        <v>95</v>
      </c>
      <c r="F26" s="14" t="s">
        <v>137</v>
      </c>
      <c r="G26" s="22" t="s">
        <v>138</v>
      </c>
      <c r="H26" s="22" t="s">
        <v>139</v>
      </c>
      <c r="I26" s="14" t="s">
        <v>88</v>
      </c>
      <c r="J26" s="14">
        <v>2</v>
      </c>
      <c r="K26" s="14">
        <v>5</v>
      </c>
      <c r="L26" s="14" t="s">
        <v>140</v>
      </c>
      <c r="M26" s="14" t="s">
        <v>141</v>
      </c>
      <c r="N26" s="14" t="s">
        <v>142</v>
      </c>
      <c r="O26" s="14" t="s">
        <v>143</v>
      </c>
      <c r="P26" s="14" t="str">
        <f>HYPERLINK("https://dexscreener.com/solana/DDxS3mzbFiwPgmpK7j573MDvD7EQj5stPHZ8K8Wppump", "View")</f>
        <v>View</v>
      </c>
    </row>
    <row r="27" spans="1:16" x14ac:dyDescent="0.25">
      <c r="A27" s="16" t="s">
        <v>144</v>
      </c>
      <c r="B27" s="17">
        <v>6318930</v>
      </c>
      <c r="C27" s="17">
        <v>2835529</v>
      </c>
      <c r="D27" s="17" t="s">
        <v>145</v>
      </c>
      <c r="E27" s="17" t="s">
        <v>84</v>
      </c>
      <c r="F27" s="17" t="s">
        <v>146</v>
      </c>
      <c r="G27" s="21" t="s">
        <v>147</v>
      </c>
      <c r="H27" s="21" t="s">
        <v>148</v>
      </c>
      <c r="I27" s="17" t="s">
        <v>88</v>
      </c>
      <c r="J27" s="17">
        <v>1</v>
      </c>
      <c r="K27" s="17">
        <v>7</v>
      </c>
      <c r="L27" s="17" t="s">
        <v>149</v>
      </c>
      <c r="M27" s="17" t="s">
        <v>150</v>
      </c>
      <c r="N27" s="17" t="s">
        <v>151</v>
      </c>
      <c r="O27" s="17" t="s">
        <v>152</v>
      </c>
      <c r="P27" s="17" t="str">
        <f>HYPERLINK("https://dexscreener.com/solana/66gsTs88mXJ5L4AtJnWqFW6H2L5YQDRy4W41y6zbpump", "View")</f>
        <v>View</v>
      </c>
    </row>
    <row r="28" spans="1:16" x14ac:dyDescent="0.25">
      <c r="A28" s="13" t="s">
        <v>153</v>
      </c>
      <c r="B28" s="14">
        <v>14237896</v>
      </c>
      <c r="C28" s="14">
        <v>8607535</v>
      </c>
      <c r="D28" s="14" t="s">
        <v>154</v>
      </c>
      <c r="E28" s="14" t="s">
        <v>155</v>
      </c>
      <c r="F28" s="14" t="s">
        <v>156</v>
      </c>
      <c r="G28" s="21" t="s">
        <v>157</v>
      </c>
      <c r="H28" s="21" t="s">
        <v>158</v>
      </c>
      <c r="I28" s="14" t="s">
        <v>88</v>
      </c>
      <c r="J28" s="14">
        <v>1</v>
      </c>
      <c r="K28" s="14">
        <v>7</v>
      </c>
      <c r="L28" s="14" t="s">
        <v>159</v>
      </c>
      <c r="M28" s="14" t="s">
        <v>160</v>
      </c>
      <c r="N28" s="14" t="s">
        <v>161</v>
      </c>
      <c r="O28" s="14" t="s">
        <v>162</v>
      </c>
      <c r="P28" s="14" t="str">
        <f>HYPERLINK("https://dexscreener.com/solana/4sAPg3M6bEHrNinqfvfdSTAzCvmaG5Ao799bAt3Bpump", "View")</f>
        <v>View</v>
      </c>
    </row>
    <row r="29" spans="1:16" x14ac:dyDescent="0.25">
      <c r="A29" s="16" t="s">
        <v>163</v>
      </c>
      <c r="B29" s="17">
        <v>16958837</v>
      </c>
      <c r="C29" s="17">
        <v>14120510</v>
      </c>
      <c r="D29" s="17" t="s">
        <v>164</v>
      </c>
      <c r="E29" s="17" t="s">
        <v>165</v>
      </c>
      <c r="F29" s="17" t="s">
        <v>166</v>
      </c>
      <c r="G29" s="21" t="s">
        <v>167</v>
      </c>
      <c r="H29" s="21" t="s">
        <v>168</v>
      </c>
      <c r="I29" s="17" t="s">
        <v>88</v>
      </c>
      <c r="J29" s="17">
        <v>1</v>
      </c>
      <c r="K29" s="17">
        <v>13</v>
      </c>
      <c r="L29" s="17" t="s">
        <v>169</v>
      </c>
      <c r="M29" s="17" t="s">
        <v>132</v>
      </c>
      <c r="N29" s="17" t="s">
        <v>170</v>
      </c>
      <c r="O29" s="17" t="s">
        <v>171</v>
      </c>
      <c r="P29" s="17" t="str">
        <f>HYPERLINK("https://dexscreener.com/solana/EswvJvhPy8A8rWPdLJ5ATYW6cY5x483oS4QWWroZpump", "View")</f>
        <v>View</v>
      </c>
    </row>
    <row r="30" spans="1:16" x14ac:dyDescent="0.25">
      <c r="A30" s="13" t="s">
        <v>172</v>
      </c>
      <c r="B30" s="14">
        <v>13583555</v>
      </c>
      <c r="C30" s="14">
        <v>4436262</v>
      </c>
      <c r="D30" s="14" t="s">
        <v>173</v>
      </c>
      <c r="E30" s="14" t="s">
        <v>174</v>
      </c>
      <c r="F30" s="14" t="s">
        <v>175</v>
      </c>
      <c r="G30" s="21" t="s">
        <v>176</v>
      </c>
      <c r="H30" s="21" t="s">
        <v>177</v>
      </c>
      <c r="I30" s="14" t="s">
        <v>88</v>
      </c>
      <c r="J30" s="14">
        <v>1</v>
      </c>
      <c r="K30" s="14">
        <v>5</v>
      </c>
      <c r="L30" s="14" t="s">
        <v>178</v>
      </c>
      <c r="M30" s="14" t="s">
        <v>179</v>
      </c>
      <c r="N30" s="14" t="s">
        <v>180</v>
      </c>
      <c r="O30" s="14" t="s">
        <v>181</v>
      </c>
      <c r="P30" s="14" t="str">
        <f>HYPERLINK("https://dexscreener.com/solana/5pQSTDfeUppb6tV415RWygL8n3ctyakBTV7QzBn5pump", "View")</f>
        <v>View</v>
      </c>
    </row>
    <row r="31" spans="1:16" x14ac:dyDescent="0.25">
      <c r="A31" s="16" t="s">
        <v>182</v>
      </c>
      <c r="B31" s="17">
        <v>13540458</v>
      </c>
      <c r="C31" s="17">
        <v>0</v>
      </c>
      <c r="D31" s="17" t="s">
        <v>94</v>
      </c>
      <c r="E31" s="17" t="s">
        <v>183</v>
      </c>
      <c r="F31" s="17" t="s">
        <v>96</v>
      </c>
      <c r="G31" s="18" t="s">
        <v>184</v>
      </c>
      <c r="H31" s="18" t="s">
        <v>98</v>
      </c>
      <c r="I31" s="17" t="s">
        <v>185</v>
      </c>
      <c r="J31" s="17">
        <v>1</v>
      </c>
      <c r="K31" s="17">
        <v>0</v>
      </c>
      <c r="L31" s="17" t="s">
        <v>186</v>
      </c>
      <c r="M31" s="19" t="s">
        <v>101</v>
      </c>
      <c r="N31" s="17" t="s">
        <v>187</v>
      </c>
      <c r="O31" s="17" t="s">
        <v>188</v>
      </c>
      <c r="P31" s="17" t="str">
        <f>HYPERLINK("https://dexscreener.com/solana/FofgVUkAzbffK3mw8ZEwMof8Lbpx59KkXRV4exhkpump", "View")</f>
        <v>View</v>
      </c>
    </row>
    <row r="32" spans="1:16" x14ac:dyDescent="0.25">
      <c r="A32" s="13" t="s">
        <v>189</v>
      </c>
      <c r="B32" s="14">
        <v>13701402</v>
      </c>
      <c r="C32" s="14">
        <v>0</v>
      </c>
      <c r="D32" s="14" t="s">
        <v>94</v>
      </c>
      <c r="E32" s="14" t="s">
        <v>105</v>
      </c>
      <c r="F32" s="14" t="s">
        <v>96</v>
      </c>
      <c r="G32" s="18" t="s">
        <v>106</v>
      </c>
      <c r="H32" s="18" t="s">
        <v>98</v>
      </c>
      <c r="I32" s="14" t="s">
        <v>190</v>
      </c>
      <c r="J32" s="14">
        <v>1</v>
      </c>
      <c r="K32" s="14">
        <v>0</v>
      </c>
      <c r="L32" s="14" t="s">
        <v>191</v>
      </c>
      <c r="M32" s="19" t="s">
        <v>101</v>
      </c>
      <c r="N32" s="14" t="s">
        <v>192</v>
      </c>
      <c r="O32" s="14" t="s">
        <v>193</v>
      </c>
      <c r="P32" s="14" t="str">
        <f>HYPERLINK("https://dexscreener.com/solana/HnYqXefRFM2U5aUpSWEdxRG6DsPFM6gGZUUWFXgSpump", "View")</f>
        <v>View</v>
      </c>
    </row>
    <row r="33" spans="1:16" x14ac:dyDescent="0.25">
      <c r="A33" s="16" t="s">
        <v>194</v>
      </c>
      <c r="B33" s="17">
        <v>12024817</v>
      </c>
      <c r="C33" s="17">
        <v>0</v>
      </c>
      <c r="D33" s="17" t="s">
        <v>94</v>
      </c>
      <c r="E33" s="17" t="s">
        <v>183</v>
      </c>
      <c r="F33" s="17" t="s">
        <v>96</v>
      </c>
      <c r="G33" s="18" t="s">
        <v>184</v>
      </c>
      <c r="H33" s="18" t="s">
        <v>98</v>
      </c>
      <c r="I33" s="17" t="s">
        <v>195</v>
      </c>
      <c r="J33" s="17">
        <v>1</v>
      </c>
      <c r="K33" s="17">
        <v>0</v>
      </c>
      <c r="L33" s="17" t="s">
        <v>196</v>
      </c>
      <c r="M33" s="19" t="s">
        <v>101</v>
      </c>
      <c r="N33" s="17" t="s">
        <v>197</v>
      </c>
      <c r="O33" s="17" t="s">
        <v>198</v>
      </c>
      <c r="P33" s="17" t="str">
        <f>HYPERLINK("https://dexscreener.com/solana/5ooyX53Dpoo6RMenMVS7TGb6JdgAqJjxJV1TFhpxpump", "View")</f>
        <v>View</v>
      </c>
    </row>
    <row r="34" spans="1:16" x14ac:dyDescent="0.25">
      <c r="A34" s="13" t="s">
        <v>199</v>
      </c>
      <c r="B34" s="14">
        <v>8387464</v>
      </c>
      <c r="C34" s="14">
        <v>0</v>
      </c>
      <c r="D34" s="14" t="s">
        <v>94</v>
      </c>
      <c r="E34" s="14" t="s">
        <v>127</v>
      </c>
      <c r="F34" s="14" t="s">
        <v>96</v>
      </c>
      <c r="G34" s="18" t="s">
        <v>200</v>
      </c>
      <c r="H34" s="18" t="s">
        <v>98</v>
      </c>
      <c r="I34" s="14" t="s">
        <v>201</v>
      </c>
      <c r="J34" s="14">
        <v>1</v>
      </c>
      <c r="K34" s="14">
        <v>0</v>
      </c>
      <c r="L34" s="14" t="s">
        <v>202</v>
      </c>
      <c r="M34" s="19" t="s">
        <v>101</v>
      </c>
      <c r="N34" s="14" t="s">
        <v>203</v>
      </c>
      <c r="O34" s="14" t="s">
        <v>204</v>
      </c>
      <c r="P34" s="14" t="str">
        <f>HYPERLINK("https://dexscreener.com/solana/FLayaUPfFxmC1Vz3i4ebKT9uwEVv4ribyCqENnQ9pump", "View")</f>
        <v>View</v>
      </c>
    </row>
    <row r="35" spans="1:16" x14ac:dyDescent="0.25">
      <c r="A35" s="16" t="s">
        <v>205</v>
      </c>
      <c r="B35" s="17">
        <v>17817000</v>
      </c>
      <c r="C35" s="17">
        <v>0</v>
      </c>
      <c r="D35" s="17" t="s">
        <v>94</v>
      </c>
      <c r="E35" s="17" t="s">
        <v>165</v>
      </c>
      <c r="F35" s="17" t="s">
        <v>96</v>
      </c>
      <c r="G35" s="18" t="s">
        <v>206</v>
      </c>
      <c r="H35" s="18" t="s">
        <v>98</v>
      </c>
      <c r="I35" s="17" t="s">
        <v>207</v>
      </c>
      <c r="J35" s="17">
        <v>1</v>
      </c>
      <c r="K35" s="17">
        <v>0</v>
      </c>
      <c r="L35" s="17" t="s">
        <v>208</v>
      </c>
      <c r="M35" s="19" t="s">
        <v>101</v>
      </c>
      <c r="N35" s="17" t="s">
        <v>209</v>
      </c>
      <c r="O35" s="17" t="s">
        <v>210</v>
      </c>
      <c r="P35" s="17" t="str">
        <f>HYPERLINK("https://dexscreener.com/solana/ARty2wsKJ4QgFzTcCh4GJFaxLQycB5RSJEcbsU1ypump", "View")</f>
        <v>View</v>
      </c>
    </row>
    <row r="36" spans="1:16" x14ac:dyDescent="0.25">
      <c r="A36" s="13" t="s">
        <v>211</v>
      </c>
      <c r="B36" s="14">
        <v>12428975</v>
      </c>
      <c r="C36" s="14">
        <v>0</v>
      </c>
      <c r="D36" s="14" t="s">
        <v>94</v>
      </c>
      <c r="E36" s="14" t="s">
        <v>212</v>
      </c>
      <c r="F36" s="14" t="s">
        <v>96</v>
      </c>
      <c r="G36" s="18" t="s">
        <v>213</v>
      </c>
      <c r="H36" s="18" t="s">
        <v>98</v>
      </c>
      <c r="I36" s="14" t="s">
        <v>214</v>
      </c>
      <c r="J36" s="14">
        <v>1</v>
      </c>
      <c r="K36" s="14">
        <v>0</v>
      </c>
      <c r="L36" s="14" t="s">
        <v>215</v>
      </c>
      <c r="M36" s="19" t="s">
        <v>101</v>
      </c>
      <c r="N36" s="14" t="s">
        <v>216</v>
      </c>
      <c r="O36" s="14" t="s">
        <v>217</v>
      </c>
      <c r="P36" s="14" t="str">
        <f>HYPERLINK("https://dexscreener.com/solana/36FN7NGmULKqSy4PoSRUBFQ7XBVxNMmWLhXohKmypump", "View")</f>
        <v>View</v>
      </c>
    </row>
    <row r="37" spans="1:16" x14ac:dyDescent="0.25">
      <c r="A37" s="16" t="s">
        <v>218</v>
      </c>
      <c r="B37" s="17">
        <v>33099080</v>
      </c>
      <c r="C37" s="17">
        <v>0</v>
      </c>
      <c r="D37" s="17" t="s">
        <v>94</v>
      </c>
      <c r="E37" s="17" t="s">
        <v>219</v>
      </c>
      <c r="F37" s="17" t="s">
        <v>96</v>
      </c>
      <c r="G37" s="18" t="s">
        <v>220</v>
      </c>
      <c r="H37" s="18" t="s">
        <v>98</v>
      </c>
      <c r="I37" s="17" t="s">
        <v>221</v>
      </c>
      <c r="J37" s="17">
        <v>1</v>
      </c>
      <c r="K37" s="17">
        <v>0</v>
      </c>
      <c r="L37" s="17" t="s">
        <v>222</v>
      </c>
      <c r="M37" s="19" t="s">
        <v>101</v>
      </c>
      <c r="N37" s="17" t="s">
        <v>223</v>
      </c>
      <c r="O37" s="17" t="s">
        <v>224</v>
      </c>
      <c r="P37" s="17" t="str">
        <f>HYPERLINK("https://dexscreener.com/solana/3vabXAGCdWWcudUKK7JM8TfVg6q5hRh6LcD8mN8Xpump", "View")</f>
        <v>View</v>
      </c>
    </row>
    <row r="38" spans="1:16" x14ac:dyDescent="0.25">
      <c r="A38" s="13" t="s">
        <v>225</v>
      </c>
      <c r="B38" s="14">
        <v>9717304</v>
      </c>
      <c r="C38" s="14">
        <v>1457596</v>
      </c>
      <c r="D38" s="14" t="s">
        <v>226</v>
      </c>
      <c r="E38" s="14" t="s">
        <v>105</v>
      </c>
      <c r="F38" s="14" t="s">
        <v>227</v>
      </c>
      <c r="G38" s="20" t="s">
        <v>228</v>
      </c>
      <c r="H38" s="20" t="s">
        <v>229</v>
      </c>
      <c r="I38" s="14" t="s">
        <v>88</v>
      </c>
      <c r="J38" s="14">
        <v>1</v>
      </c>
      <c r="K38" s="14">
        <v>1</v>
      </c>
      <c r="L38" s="14" t="s">
        <v>230</v>
      </c>
      <c r="M38" s="14" t="s">
        <v>231</v>
      </c>
      <c r="N38" s="14" t="s">
        <v>232</v>
      </c>
      <c r="O38" s="14" t="s">
        <v>233</v>
      </c>
      <c r="P38" s="14" t="str">
        <f>HYPERLINK("https://dexscreener.com/solana/2odHeumkiJx46YyNHeZvDjMwsoNhpAgFQuipT96npump", "View")</f>
        <v>View</v>
      </c>
    </row>
    <row r="39" spans="1:16" x14ac:dyDescent="0.25">
      <c r="A39" s="16" t="s">
        <v>234</v>
      </c>
      <c r="B39" s="17">
        <v>26091983</v>
      </c>
      <c r="C39" s="17">
        <v>23118077</v>
      </c>
      <c r="D39" s="17" t="s">
        <v>235</v>
      </c>
      <c r="E39" s="17" t="s">
        <v>219</v>
      </c>
      <c r="F39" s="17" t="s">
        <v>236</v>
      </c>
      <c r="G39" s="21" t="s">
        <v>237</v>
      </c>
      <c r="H39" s="21" t="s">
        <v>238</v>
      </c>
      <c r="I39" s="17" t="s">
        <v>88</v>
      </c>
      <c r="J39" s="17">
        <v>1</v>
      </c>
      <c r="K39" s="17">
        <v>30</v>
      </c>
      <c r="L39" s="17" t="s">
        <v>239</v>
      </c>
      <c r="M39" s="17" t="s">
        <v>240</v>
      </c>
      <c r="N39" s="17" t="s">
        <v>241</v>
      </c>
      <c r="O39" s="17" t="s">
        <v>242</v>
      </c>
      <c r="P39" s="17" t="str">
        <f>HYPERLINK("https://dexscreener.com/solana/GVwpWU5PtJFHS1mH35sHmsRN1XWUwRV3Qo94h5Lepump", "View")</f>
        <v>View</v>
      </c>
    </row>
    <row r="40" spans="1:16" x14ac:dyDescent="0.25">
      <c r="A40" s="13" t="s">
        <v>243</v>
      </c>
      <c r="B40" s="14">
        <v>7477775</v>
      </c>
      <c r="C40" s="14">
        <v>0</v>
      </c>
      <c r="D40" s="14" t="s">
        <v>94</v>
      </c>
      <c r="E40" s="14" t="s">
        <v>105</v>
      </c>
      <c r="F40" s="14" t="s">
        <v>96</v>
      </c>
      <c r="G40" s="18" t="s">
        <v>106</v>
      </c>
      <c r="H40" s="18" t="s">
        <v>98</v>
      </c>
      <c r="I40" s="14" t="s">
        <v>244</v>
      </c>
      <c r="J40" s="14">
        <v>1</v>
      </c>
      <c r="K40" s="14">
        <v>0</v>
      </c>
      <c r="L40" s="14" t="s">
        <v>245</v>
      </c>
      <c r="M40" s="19" t="s">
        <v>101</v>
      </c>
      <c r="N40" s="14" t="s">
        <v>246</v>
      </c>
      <c r="O40" s="14" t="s">
        <v>247</v>
      </c>
      <c r="P40" s="14" t="str">
        <f>HYPERLINK("https://dexscreener.com/solana/Ca8AnVoDbwv31gddMHVyNLpHWYkGRRQFoXCcfe4gpump", "View")</f>
        <v>View</v>
      </c>
    </row>
    <row r="41" spans="1:16" x14ac:dyDescent="0.25">
      <c r="A41" s="16" t="s">
        <v>248</v>
      </c>
      <c r="B41" s="17">
        <v>10658321</v>
      </c>
      <c r="C41" s="17">
        <v>1598748</v>
      </c>
      <c r="D41" s="17" t="s">
        <v>83</v>
      </c>
      <c r="E41" s="17" t="s">
        <v>105</v>
      </c>
      <c r="F41" s="17" t="s">
        <v>249</v>
      </c>
      <c r="G41" s="15" t="s">
        <v>250</v>
      </c>
      <c r="H41" s="15" t="s">
        <v>251</v>
      </c>
      <c r="I41" s="17" t="s">
        <v>88</v>
      </c>
      <c r="J41" s="17">
        <v>1</v>
      </c>
      <c r="K41" s="17">
        <v>1</v>
      </c>
      <c r="L41" s="17" t="s">
        <v>252</v>
      </c>
      <c r="M41" s="17" t="s">
        <v>253</v>
      </c>
      <c r="N41" s="17" t="s">
        <v>254</v>
      </c>
      <c r="O41" s="17" t="s">
        <v>255</v>
      </c>
      <c r="P41" s="17" t="str">
        <f>HYPERLINK("https://dexscreener.com/solana/9HjsPutyGGPpxnRn4ibH1hTfPvitAY5EPvtAwGFkpump", "View")</f>
        <v>View</v>
      </c>
    </row>
    <row r="42" spans="1:16" x14ac:dyDescent="0.25">
      <c r="A42" s="13" t="s">
        <v>256</v>
      </c>
      <c r="B42" s="14">
        <v>24839203</v>
      </c>
      <c r="C42" s="14">
        <v>0</v>
      </c>
      <c r="D42" s="14" t="s">
        <v>94</v>
      </c>
      <c r="E42" s="14" t="s">
        <v>165</v>
      </c>
      <c r="F42" s="14" t="s">
        <v>96</v>
      </c>
      <c r="G42" s="18" t="s">
        <v>206</v>
      </c>
      <c r="H42" s="18" t="s">
        <v>98</v>
      </c>
      <c r="I42" s="14" t="s">
        <v>257</v>
      </c>
      <c r="J42" s="14">
        <v>1</v>
      </c>
      <c r="K42" s="14">
        <v>0</v>
      </c>
      <c r="L42" s="14" t="s">
        <v>258</v>
      </c>
      <c r="M42" s="19" t="s">
        <v>101</v>
      </c>
      <c r="N42" s="14" t="s">
        <v>259</v>
      </c>
      <c r="O42" s="14" t="s">
        <v>260</v>
      </c>
      <c r="P42" s="14" t="str">
        <f>HYPERLINK("https://dexscreener.com/solana/F8btFvgEKbsBvgornHg7Yb4QUgtceiyFeEaMZVQopump", "View")</f>
        <v>View</v>
      </c>
    </row>
    <row r="43" spans="1:16" x14ac:dyDescent="0.25">
      <c r="A43" s="16" t="s">
        <v>261</v>
      </c>
      <c r="B43" s="17">
        <v>23476130</v>
      </c>
      <c r="C43" s="17">
        <v>0</v>
      </c>
      <c r="D43" s="17" t="s">
        <v>94</v>
      </c>
      <c r="E43" s="17" t="s">
        <v>219</v>
      </c>
      <c r="F43" s="17" t="s">
        <v>96</v>
      </c>
      <c r="G43" s="18" t="s">
        <v>220</v>
      </c>
      <c r="H43" s="18" t="s">
        <v>98</v>
      </c>
      <c r="I43" s="17" t="s">
        <v>262</v>
      </c>
      <c r="J43" s="17">
        <v>1</v>
      </c>
      <c r="K43" s="17">
        <v>0</v>
      </c>
      <c r="L43" s="17" t="s">
        <v>263</v>
      </c>
      <c r="M43" s="19" t="s">
        <v>101</v>
      </c>
      <c r="N43" s="17" t="s">
        <v>264</v>
      </c>
      <c r="O43" s="17" t="s">
        <v>265</v>
      </c>
      <c r="P43" s="17" t="str">
        <f>HYPERLINK("https://dexscreener.com/solana/EyDSYZM8RYQUc7ux41dNmR7BRk7tMzYnWmYeiKzCpump", "View")</f>
        <v>View</v>
      </c>
    </row>
    <row r="44" spans="1:16" x14ac:dyDescent="0.25">
      <c r="A44" s="13" t="s">
        <v>266</v>
      </c>
      <c r="B44" s="14">
        <v>28710954</v>
      </c>
      <c r="C44" s="14">
        <v>0</v>
      </c>
      <c r="D44" s="14" t="s">
        <v>226</v>
      </c>
      <c r="E44" s="14" t="s">
        <v>183</v>
      </c>
      <c r="F44" s="14" t="s">
        <v>96</v>
      </c>
      <c r="G44" s="18" t="s">
        <v>184</v>
      </c>
      <c r="H44" s="18" t="s">
        <v>98</v>
      </c>
      <c r="I44" s="14" t="s">
        <v>267</v>
      </c>
      <c r="J44" s="14">
        <v>2</v>
      </c>
      <c r="K44" s="14">
        <v>0</v>
      </c>
      <c r="L44" s="14" t="s">
        <v>268</v>
      </c>
      <c r="M44" s="14" t="s">
        <v>132</v>
      </c>
      <c r="N44" s="14" t="s">
        <v>269</v>
      </c>
      <c r="O44" s="14" t="s">
        <v>270</v>
      </c>
      <c r="P44" s="14" t="str">
        <f>HYPERLINK("https://dexscreener.com/solana/E1vpyG4Yy7FV4Y1aGvGkRV5PH38JrEZv2QUm8PEdpump", "View")</f>
        <v>View</v>
      </c>
    </row>
    <row r="45" spans="1:16" x14ac:dyDescent="0.25">
      <c r="A45" s="16" t="s">
        <v>271</v>
      </c>
      <c r="B45" s="17">
        <v>6897972</v>
      </c>
      <c r="C45" s="17">
        <v>1621023</v>
      </c>
      <c r="D45" s="17" t="s">
        <v>272</v>
      </c>
      <c r="E45" s="17" t="s">
        <v>183</v>
      </c>
      <c r="F45" s="17" t="s">
        <v>273</v>
      </c>
      <c r="G45" s="22" t="s">
        <v>274</v>
      </c>
      <c r="H45" s="22" t="s">
        <v>275</v>
      </c>
      <c r="I45" s="17" t="s">
        <v>88</v>
      </c>
      <c r="J45" s="17">
        <v>1</v>
      </c>
      <c r="K45" s="17">
        <v>2</v>
      </c>
      <c r="L45" s="17" t="s">
        <v>276</v>
      </c>
      <c r="M45" s="17" t="s">
        <v>277</v>
      </c>
      <c r="N45" s="17" t="s">
        <v>278</v>
      </c>
      <c r="O45" s="17" t="s">
        <v>279</v>
      </c>
      <c r="P45" s="17" t="str">
        <f>HYPERLINK("https://dexscreener.com/solana/8x5VqbHA8D7NkD52uNuS5nnt3PwA8pLD34ymskeSo2Wn", "View")</f>
        <v>View</v>
      </c>
    </row>
    <row r="46" spans="1:16" x14ac:dyDescent="0.25">
      <c r="A46" s="13" t="s">
        <v>280</v>
      </c>
      <c r="B46" s="14">
        <v>11753702</v>
      </c>
      <c r="C46" s="14">
        <v>5584419</v>
      </c>
      <c r="D46" s="14" t="s">
        <v>281</v>
      </c>
      <c r="E46" s="14" t="s">
        <v>282</v>
      </c>
      <c r="F46" s="14" t="s">
        <v>283</v>
      </c>
      <c r="G46" s="20" t="s">
        <v>284</v>
      </c>
      <c r="H46" s="20" t="s">
        <v>285</v>
      </c>
      <c r="I46" s="14" t="s">
        <v>88</v>
      </c>
      <c r="J46" s="14">
        <v>2</v>
      </c>
      <c r="K46" s="14">
        <v>7</v>
      </c>
      <c r="L46" s="14" t="s">
        <v>286</v>
      </c>
      <c r="M46" s="14" t="s">
        <v>287</v>
      </c>
      <c r="N46" s="14" t="s">
        <v>288</v>
      </c>
      <c r="O46" s="14" t="s">
        <v>289</v>
      </c>
      <c r="P46" s="14" t="str">
        <f>HYPERLINK("https://dexscreener.com/solana/7wUwkXo8Qjt3cYM8BaHHHeyfDY7ZSn7qvod92pNupump", "View")</f>
        <v>View</v>
      </c>
    </row>
    <row r="47" spans="1:16" x14ac:dyDescent="0.25">
      <c r="A47" s="16" t="s">
        <v>290</v>
      </c>
      <c r="B47" s="17">
        <v>16023801</v>
      </c>
      <c r="C47" s="17">
        <v>0</v>
      </c>
      <c r="D47" s="17" t="s">
        <v>94</v>
      </c>
      <c r="E47" s="17" t="s">
        <v>291</v>
      </c>
      <c r="F47" s="17" t="s">
        <v>96</v>
      </c>
      <c r="G47" s="18" t="s">
        <v>292</v>
      </c>
      <c r="H47" s="18" t="s">
        <v>98</v>
      </c>
      <c r="I47" s="17" t="s">
        <v>293</v>
      </c>
      <c r="J47" s="17">
        <v>1</v>
      </c>
      <c r="K47" s="17">
        <v>0</v>
      </c>
      <c r="L47" s="17" t="s">
        <v>294</v>
      </c>
      <c r="M47" s="19" t="s">
        <v>101</v>
      </c>
      <c r="N47" s="17" t="s">
        <v>295</v>
      </c>
      <c r="O47" s="17" t="s">
        <v>296</v>
      </c>
      <c r="P47" s="17" t="str">
        <f>HYPERLINK("https://dexscreener.com/solana/8VyyhCLfAnUk7WFpYpMCYf4z9XU5vajNxcpLMe2H1ySj", "View")</f>
        <v>View</v>
      </c>
    </row>
    <row r="48" spans="1:16" x14ac:dyDescent="0.25">
      <c r="A48" s="13" t="s">
        <v>297</v>
      </c>
      <c r="B48" s="14">
        <v>6353576</v>
      </c>
      <c r="C48" s="14">
        <v>2693916</v>
      </c>
      <c r="D48" s="14" t="s">
        <v>298</v>
      </c>
      <c r="E48" s="14" t="s">
        <v>299</v>
      </c>
      <c r="F48" s="14" t="s">
        <v>300</v>
      </c>
      <c r="G48" s="20" t="s">
        <v>301</v>
      </c>
      <c r="H48" s="20" t="s">
        <v>302</v>
      </c>
      <c r="I48" s="14" t="s">
        <v>88</v>
      </c>
      <c r="J48" s="14">
        <v>1</v>
      </c>
      <c r="K48" s="14">
        <v>3</v>
      </c>
      <c r="L48" s="14" t="s">
        <v>303</v>
      </c>
      <c r="M48" s="14" t="s">
        <v>304</v>
      </c>
      <c r="N48" s="14" t="s">
        <v>305</v>
      </c>
      <c r="O48" s="14" t="s">
        <v>306</v>
      </c>
      <c r="P48" s="14" t="str">
        <f>HYPERLINK("https://dexscreener.com/solana/yG6bXPEFaUnGAEHHqH9H7t1VSfaK7YrggCqHy35pump", "View")</f>
        <v>View</v>
      </c>
    </row>
    <row r="49" spans="1:16" x14ac:dyDescent="0.25">
      <c r="A49" s="16" t="s">
        <v>307</v>
      </c>
      <c r="B49" s="17">
        <v>17562029</v>
      </c>
      <c r="C49" s="17">
        <v>0</v>
      </c>
      <c r="D49" s="17" t="s">
        <v>94</v>
      </c>
      <c r="E49" s="17" t="s">
        <v>105</v>
      </c>
      <c r="F49" s="17" t="s">
        <v>96</v>
      </c>
      <c r="G49" s="18" t="s">
        <v>106</v>
      </c>
      <c r="H49" s="18" t="s">
        <v>98</v>
      </c>
      <c r="I49" s="17" t="s">
        <v>308</v>
      </c>
      <c r="J49" s="17">
        <v>1</v>
      </c>
      <c r="K49" s="17">
        <v>0</v>
      </c>
      <c r="L49" s="17" t="s">
        <v>309</v>
      </c>
      <c r="M49" s="19" t="s">
        <v>101</v>
      </c>
      <c r="N49" s="17" t="s">
        <v>310</v>
      </c>
      <c r="O49" s="17" t="s">
        <v>311</v>
      </c>
      <c r="P49" s="17" t="str">
        <f>HYPERLINK("https://dexscreener.com/solana/4zAW4Bp1rJgnZcqJA7sfD39k41sikg8WqXPUsYMDpump", "View")</f>
        <v>View</v>
      </c>
    </row>
    <row r="50" spans="1:16" x14ac:dyDescent="0.25">
      <c r="A50" s="13" t="s">
        <v>312</v>
      </c>
      <c r="B50" s="14">
        <v>14253010</v>
      </c>
      <c r="C50" s="14">
        <v>712651</v>
      </c>
      <c r="D50" s="14" t="s">
        <v>226</v>
      </c>
      <c r="E50" s="14" t="s">
        <v>174</v>
      </c>
      <c r="F50" s="14" t="s">
        <v>313</v>
      </c>
      <c r="G50" s="15" t="s">
        <v>314</v>
      </c>
      <c r="H50" s="15" t="s">
        <v>315</v>
      </c>
      <c r="I50" s="14" t="s">
        <v>88</v>
      </c>
      <c r="J50" s="14">
        <v>1</v>
      </c>
      <c r="K50" s="14">
        <v>1</v>
      </c>
      <c r="L50" s="14" t="s">
        <v>316</v>
      </c>
      <c r="M50" s="14" t="s">
        <v>317</v>
      </c>
      <c r="N50" s="14" t="s">
        <v>318</v>
      </c>
      <c r="O50" s="14" t="s">
        <v>319</v>
      </c>
      <c r="P50" s="14" t="str">
        <f>HYPERLINK("https://dexscreener.com/solana/GPF3b1vrWJfpaNNAXqTDLLnSRHTMG6auWonK3LAWpump", "View")</f>
        <v>View</v>
      </c>
    </row>
    <row r="51" spans="1:16" x14ac:dyDescent="0.25">
      <c r="A51" s="16" t="s">
        <v>320</v>
      </c>
      <c r="B51" s="17">
        <v>14228789</v>
      </c>
      <c r="C51" s="17">
        <v>0</v>
      </c>
      <c r="D51" s="17" t="s">
        <v>94</v>
      </c>
      <c r="E51" s="17" t="s">
        <v>105</v>
      </c>
      <c r="F51" s="17" t="s">
        <v>96</v>
      </c>
      <c r="G51" s="18" t="s">
        <v>106</v>
      </c>
      <c r="H51" s="18" t="s">
        <v>98</v>
      </c>
      <c r="I51" s="17" t="s">
        <v>321</v>
      </c>
      <c r="J51" s="17">
        <v>1</v>
      </c>
      <c r="K51" s="17">
        <v>0</v>
      </c>
      <c r="L51" s="17" t="s">
        <v>322</v>
      </c>
      <c r="M51" s="19" t="s">
        <v>101</v>
      </c>
      <c r="N51" s="17" t="s">
        <v>323</v>
      </c>
      <c r="O51" s="17" t="s">
        <v>324</v>
      </c>
      <c r="P51" s="17" t="str">
        <f>HYPERLINK("https://dexscreener.com/solana/iByRAnwB6oHjphgaixPkKqno41ida9yqKwwmrsKpump", "View")</f>
        <v>View</v>
      </c>
    </row>
    <row r="52" spans="1:16" x14ac:dyDescent="0.25">
      <c r="A52" s="13" t="s">
        <v>325</v>
      </c>
      <c r="B52" s="14">
        <v>27299851</v>
      </c>
      <c r="C52" s="14">
        <v>0</v>
      </c>
      <c r="D52" s="14" t="s">
        <v>94</v>
      </c>
      <c r="E52" s="14" t="s">
        <v>165</v>
      </c>
      <c r="F52" s="14" t="s">
        <v>96</v>
      </c>
      <c r="G52" s="18" t="s">
        <v>206</v>
      </c>
      <c r="H52" s="18" t="s">
        <v>98</v>
      </c>
      <c r="I52" s="14" t="s">
        <v>326</v>
      </c>
      <c r="J52" s="14">
        <v>1</v>
      </c>
      <c r="K52" s="14">
        <v>0</v>
      </c>
      <c r="L52" s="14" t="s">
        <v>327</v>
      </c>
      <c r="M52" s="19" t="s">
        <v>101</v>
      </c>
      <c r="N52" s="14" t="s">
        <v>328</v>
      </c>
      <c r="O52" s="14" t="s">
        <v>329</v>
      </c>
      <c r="P52" s="14" t="str">
        <f>HYPERLINK("https://dexscreener.com/solana/AuNhsb7EhBeQCBqiEVSH5GcLipw9rDiqoj3YgVQbQZcP", "View")</f>
        <v>View</v>
      </c>
    </row>
    <row r="53" spans="1:16" x14ac:dyDescent="0.25">
      <c r="A53" s="16" t="s">
        <v>297</v>
      </c>
      <c r="B53" s="17">
        <v>5107013</v>
      </c>
      <c r="C53" s="17">
        <v>0</v>
      </c>
      <c r="D53" s="17" t="s">
        <v>94</v>
      </c>
      <c r="E53" s="17" t="s">
        <v>127</v>
      </c>
      <c r="F53" s="17" t="s">
        <v>96</v>
      </c>
      <c r="G53" s="18" t="s">
        <v>200</v>
      </c>
      <c r="H53" s="18" t="s">
        <v>98</v>
      </c>
      <c r="I53" s="17" t="s">
        <v>330</v>
      </c>
      <c r="J53" s="17">
        <v>1</v>
      </c>
      <c r="K53" s="17">
        <v>0</v>
      </c>
      <c r="L53" s="17" t="s">
        <v>331</v>
      </c>
      <c r="M53" s="19" t="s">
        <v>101</v>
      </c>
      <c r="N53" s="17" t="s">
        <v>332</v>
      </c>
      <c r="O53" s="17" t="s">
        <v>333</v>
      </c>
      <c r="P53" s="17" t="str">
        <f>HYPERLINK("https://dexscreener.com/solana/GqfGQEhQXpKEnsc33fJo8RLjeQBkYvFzgLPDdBwZpump", "View")</f>
        <v>View</v>
      </c>
    </row>
    <row r="54" spans="1:16" x14ac:dyDescent="0.25">
      <c r="A54" s="13" t="s">
        <v>334</v>
      </c>
      <c r="B54" s="14">
        <v>6118600</v>
      </c>
      <c r="C54" s="14">
        <v>0</v>
      </c>
      <c r="D54" s="14" t="s">
        <v>94</v>
      </c>
      <c r="E54" s="14" t="s">
        <v>127</v>
      </c>
      <c r="F54" s="14" t="s">
        <v>96</v>
      </c>
      <c r="G54" s="18" t="s">
        <v>200</v>
      </c>
      <c r="H54" s="18" t="s">
        <v>98</v>
      </c>
      <c r="I54" s="14" t="s">
        <v>335</v>
      </c>
      <c r="J54" s="14">
        <v>1</v>
      </c>
      <c r="K54" s="14">
        <v>0</v>
      </c>
      <c r="L54" s="14" t="s">
        <v>336</v>
      </c>
      <c r="M54" s="19" t="s">
        <v>101</v>
      </c>
      <c r="N54" s="14" t="s">
        <v>337</v>
      </c>
      <c r="O54" s="14" t="s">
        <v>338</v>
      </c>
      <c r="P54" s="14" t="str">
        <f>HYPERLINK("https://dexscreener.com/solana/4yyB8a6vmTZ5RL6UkPx4eSy57cLqWk2f8LuKnED5pump", "View")</f>
        <v>View</v>
      </c>
    </row>
    <row r="55" spans="1:16" x14ac:dyDescent="0.25">
      <c r="A55" s="16" t="s">
        <v>339</v>
      </c>
      <c r="B55" s="17">
        <v>20210650</v>
      </c>
      <c r="C55" s="17">
        <v>0</v>
      </c>
      <c r="D55" s="17" t="s">
        <v>94</v>
      </c>
      <c r="E55" s="17" t="s">
        <v>340</v>
      </c>
      <c r="F55" s="17" t="s">
        <v>96</v>
      </c>
      <c r="G55" s="18" t="s">
        <v>341</v>
      </c>
      <c r="H55" s="18" t="s">
        <v>98</v>
      </c>
      <c r="I55" s="17" t="s">
        <v>342</v>
      </c>
      <c r="J55" s="17">
        <v>1</v>
      </c>
      <c r="K55" s="17">
        <v>0</v>
      </c>
      <c r="L55" s="17" t="s">
        <v>343</v>
      </c>
      <c r="M55" s="19" t="s">
        <v>101</v>
      </c>
      <c r="N55" s="17" t="s">
        <v>344</v>
      </c>
      <c r="O55" s="17" t="s">
        <v>345</v>
      </c>
      <c r="P55" s="17" t="str">
        <f>HYPERLINK("https://dexscreener.com/solana/BdLo5N3ndcuEj78MYquEy5LrMu138qE2BzjehwJ8pump", "View")</f>
        <v>View</v>
      </c>
    </row>
    <row r="56" spans="1:16" x14ac:dyDescent="0.25">
      <c r="A56" s="13" t="s">
        <v>346</v>
      </c>
      <c r="B56" s="14">
        <v>28760566</v>
      </c>
      <c r="C56" s="14">
        <v>0</v>
      </c>
      <c r="D56" s="14" t="s">
        <v>94</v>
      </c>
      <c r="E56" s="14" t="s">
        <v>219</v>
      </c>
      <c r="F56" s="14" t="s">
        <v>96</v>
      </c>
      <c r="G56" s="18" t="s">
        <v>220</v>
      </c>
      <c r="H56" s="18" t="s">
        <v>98</v>
      </c>
      <c r="I56" s="14" t="s">
        <v>347</v>
      </c>
      <c r="J56" s="14">
        <v>1</v>
      </c>
      <c r="K56" s="14">
        <v>0</v>
      </c>
      <c r="L56" s="14" t="s">
        <v>348</v>
      </c>
      <c r="M56" s="19" t="s">
        <v>101</v>
      </c>
      <c r="N56" s="14" t="s">
        <v>349</v>
      </c>
      <c r="O56" s="14" t="s">
        <v>350</v>
      </c>
      <c r="P56" s="14" t="str">
        <f>HYPERLINK("https://dexscreener.com/solana/51Di9FPc2ZGtJ5UkynkY34QGsXVXyPW8JnmBL6Ljpump", "View")</f>
        <v>View</v>
      </c>
    </row>
    <row r="57" spans="1:16" x14ac:dyDescent="0.25">
      <c r="A57" s="16" t="s">
        <v>351</v>
      </c>
      <c r="B57" s="17">
        <v>339305</v>
      </c>
      <c r="C57" s="17">
        <v>33930</v>
      </c>
      <c r="D57" s="17" t="s">
        <v>226</v>
      </c>
      <c r="E57" s="17" t="s">
        <v>84</v>
      </c>
      <c r="F57" s="17" t="s">
        <v>352</v>
      </c>
      <c r="G57" s="15" t="s">
        <v>353</v>
      </c>
      <c r="H57" s="15" t="s">
        <v>354</v>
      </c>
      <c r="I57" s="17" t="s">
        <v>88</v>
      </c>
      <c r="J57" s="17">
        <v>1</v>
      </c>
      <c r="K57" s="17">
        <v>1</v>
      </c>
      <c r="L57" s="17" t="s">
        <v>355</v>
      </c>
      <c r="M57" s="17" t="s">
        <v>356</v>
      </c>
      <c r="N57" s="17" t="s">
        <v>357</v>
      </c>
      <c r="O57" s="17" t="s">
        <v>358</v>
      </c>
      <c r="P57" s="17" t="str">
        <f>HYPERLINK("https://dexscreener.com/solana/LX2mJPsutHkUc6iXNFgumSC6LVKyc66xpy2zDTZpump", "View")</f>
        <v>View</v>
      </c>
    </row>
    <row r="58" spans="1:16" x14ac:dyDescent="0.25">
      <c r="A58" s="13" t="s">
        <v>359</v>
      </c>
      <c r="B58" s="14">
        <v>11790939</v>
      </c>
      <c r="C58" s="14">
        <v>1179094</v>
      </c>
      <c r="D58" s="14" t="s">
        <v>226</v>
      </c>
      <c r="E58" s="14" t="s">
        <v>183</v>
      </c>
      <c r="F58" s="14" t="s">
        <v>360</v>
      </c>
      <c r="G58" s="15" t="s">
        <v>361</v>
      </c>
      <c r="H58" s="15" t="s">
        <v>362</v>
      </c>
      <c r="I58" s="14" t="s">
        <v>88</v>
      </c>
      <c r="J58" s="14">
        <v>1</v>
      </c>
      <c r="K58" s="14">
        <v>1</v>
      </c>
      <c r="L58" s="14" t="s">
        <v>363</v>
      </c>
      <c r="M58" s="14" t="s">
        <v>364</v>
      </c>
      <c r="N58" s="14" t="s">
        <v>365</v>
      </c>
      <c r="O58" s="14" t="s">
        <v>366</v>
      </c>
      <c r="P58" s="14" t="str">
        <f>HYPERLINK("https://dexscreener.com/solana/FFUqMLqYuSjKr19r6NDpYSoHu5Qzg51cUmgwnSyipump", "View")</f>
        <v>View</v>
      </c>
    </row>
    <row r="59" spans="1:16" x14ac:dyDescent="0.25">
      <c r="A59" s="16" t="s">
        <v>367</v>
      </c>
      <c r="B59" s="17">
        <v>16467382</v>
      </c>
      <c r="C59" s="17">
        <v>0</v>
      </c>
      <c r="D59" s="17" t="s">
        <v>226</v>
      </c>
      <c r="E59" s="17" t="s">
        <v>95</v>
      </c>
      <c r="F59" s="17" t="s">
        <v>96</v>
      </c>
      <c r="G59" s="18" t="s">
        <v>97</v>
      </c>
      <c r="H59" s="18" t="s">
        <v>98</v>
      </c>
      <c r="I59" s="17" t="s">
        <v>368</v>
      </c>
      <c r="J59" s="17">
        <v>2</v>
      </c>
      <c r="K59" s="17">
        <v>0</v>
      </c>
      <c r="L59" s="17" t="s">
        <v>369</v>
      </c>
      <c r="M59" s="19" t="s">
        <v>370</v>
      </c>
      <c r="N59" s="17" t="s">
        <v>371</v>
      </c>
      <c r="O59" s="17" t="s">
        <v>372</v>
      </c>
      <c r="P59" s="17" t="str">
        <f>HYPERLINK("https://dexscreener.com/solana/Z5qTBYTgbK9nezJPSLxuJEpEhDimcJKLq9xN6MF2sh1", "View")</f>
        <v>View</v>
      </c>
    </row>
    <row r="60" spans="1:16" x14ac:dyDescent="0.25">
      <c r="A60" s="13" t="s">
        <v>373</v>
      </c>
      <c r="B60" s="14">
        <v>22695075</v>
      </c>
      <c r="C60" s="14">
        <v>1150384</v>
      </c>
      <c r="D60" s="14" t="s">
        <v>374</v>
      </c>
      <c r="E60" s="14" t="s">
        <v>174</v>
      </c>
      <c r="F60" s="14" t="s">
        <v>375</v>
      </c>
      <c r="G60" s="15" t="s">
        <v>376</v>
      </c>
      <c r="H60" s="15" t="s">
        <v>377</v>
      </c>
      <c r="I60" s="14" t="s">
        <v>88</v>
      </c>
      <c r="J60" s="14">
        <v>2</v>
      </c>
      <c r="K60" s="14">
        <v>3</v>
      </c>
      <c r="L60" s="14" t="s">
        <v>378</v>
      </c>
      <c r="M60" s="14" t="s">
        <v>379</v>
      </c>
      <c r="N60" s="14" t="s">
        <v>380</v>
      </c>
      <c r="O60" s="14" t="s">
        <v>381</v>
      </c>
      <c r="P60" s="14" t="str">
        <f>HYPERLINK("https://dexscreener.com/solana/Em6JwNZN8U6ixHPAbrquXaMVSHHbYkfhcqVezoEGpump", "View")</f>
        <v>View</v>
      </c>
    </row>
    <row r="61" spans="1:16" x14ac:dyDescent="0.25">
      <c r="A61" s="16" t="s">
        <v>382</v>
      </c>
      <c r="B61" s="17">
        <v>7131780</v>
      </c>
      <c r="C61" s="17">
        <v>0</v>
      </c>
      <c r="D61" s="17" t="s">
        <v>94</v>
      </c>
      <c r="E61" s="17" t="s">
        <v>95</v>
      </c>
      <c r="F61" s="17" t="s">
        <v>96</v>
      </c>
      <c r="G61" s="18" t="s">
        <v>97</v>
      </c>
      <c r="H61" s="18" t="s">
        <v>98</v>
      </c>
      <c r="I61" s="17" t="s">
        <v>383</v>
      </c>
      <c r="J61" s="17">
        <v>1</v>
      </c>
      <c r="K61" s="17">
        <v>0</v>
      </c>
      <c r="L61" s="17" t="s">
        <v>384</v>
      </c>
      <c r="M61" s="19" t="s">
        <v>101</v>
      </c>
      <c r="N61" s="17" t="s">
        <v>385</v>
      </c>
      <c r="O61" s="17" t="s">
        <v>386</v>
      </c>
      <c r="P61" s="17" t="str">
        <f>HYPERLINK("https://dexscreener.com/solana/3T557L68ZgBvjvuSuNQXcxH9JkJZieSEggdtWDf2pump", "View")</f>
        <v>View</v>
      </c>
    </row>
    <row r="62" spans="1:16" x14ac:dyDescent="0.25">
      <c r="A62" s="13" t="s">
        <v>387</v>
      </c>
      <c r="B62" s="14">
        <v>14380994</v>
      </c>
      <c r="C62" s="14">
        <v>0</v>
      </c>
      <c r="D62" s="14" t="s">
        <v>94</v>
      </c>
      <c r="E62" s="14" t="s">
        <v>105</v>
      </c>
      <c r="F62" s="14" t="s">
        <v>96</v>
      </c>
      <c r="G62" s="18" t="s">
        <v>106</v>
      </c>
      <c r="H62" s="18" t="s">
        <v>98</v>
      </c>
      <c r="I62" s="14" t="s">
        <v>388</v>
      </c>
      <c r="J62" s="14">
        <v>1</v>
      </c>
      <c r="K62" s="14">
        <v>0</v>
      </c>
      <c r="L62" s="14" t="s">
        <v>389</v>
      </c>
      <c r="M62" s="19" t="s">
        <v>101</v>
      </c>
      <c r="N62" s="14" t="s">
        <v>390</v>
      </c>
      <c r="O62" s="14" t="s">
        <v>391</v>
      </c>
      <c r="P62" s="14" t="str">
        <f>HYPERLINK("https://dexscreener.com/solana/78ao5qrL3WPJ1u6i6cjQMi4iCzq43YECPyNMT2cpump", "View")</f>
        <v>View</v>
      </c>
    </row>
    <row r="63" spans="1:16" x14ac:dyDescent="0.25">
      <c r="A63" s="16" t="s">
        <v>392</v>
      </c>
      <c r="B63" s="17">
        <v>19913313</v>
      </c>
      <c r="C63" s="17">
        <v>15162780</v>
      </c>
      <c r="D63" s="17" t="s">
        <v>393</v>
      </c>
      <c r="E63" s="17" t="s">
        <v>105</v>
      </c>
      <c r="F63" s="17" t="s">
        <v>394</v>
      </c>
      <c r="G63" s="21" t="s">
        <v>395</v>
      </c>
      <c r="H63" s="21" t="s">
        <v>396</v>
      </c>
      <c r="I63" s="17" t="s">
        <v>88</v>
      </c>
      <c r="J63" s="17">
        <v>1</v>
      </c>
      <c r="K63" s="17">
        <v>18</v>
      </c>
      <c r="L63" s="17" t="s">
        <v>397</v>
      </c>
      <c r="M63" s="17" t="s">
        <v>398</v>
      </c>
      <c r="N63" s="17" t="s">
        <v>399</v>
      </c>
      <c r="O63" s="17" t="s">
        <v>400</v>
      </c>
      <c r="P63" s="17" t="str">
        <f>HYPERLINK("https://dexscreener.com/solana/BTdGTUjHz5FUSf91Ufo9L9r4LFMTRhE1qDtvUUfypump", "View")</f>
        <v>View</v>
      </c>
    </row>
    <row r="64" spans="1:16" x14ac:dyDescent="0.25">
      <c r="A64" s="13" t="s">
        <v>401</v>
      </c>
      <c r="B64" s="14">
        <v>31077823</v>
      </c>
      <c r="C64" s="14">
        <v>3107782</v>
      </c>
      <c r="D64" s="14" t="s">
        <v>226</v>
      </c>
      <c r="E64" s="14" t="s">
        <v>402</v>
      </c>
      <c r="F64" s="14" t="s">
        <v>403</v>
      </c>
      <c r="G64" s="20" t="s">
        <v>404</v>
      </c>
      <c r="H64" s="20" t="s">
        <v>405</v>
      </c>
      <c r="I64" s="14" t="s">
        <v>88</v>
      </c>
      <c r="J64" s="14">
        <v>1</v>
      </c>
      <c r="K64" s="14">
        <v>1</v>
      </c>
      <c r="L64" s="14" t="s">
        <v>406</v>
      </c>
      <c r="M64" s="14" t="s">
        <v>179</v>
      </c>
      <c r="N64" s="14" t="s">
        <v>407</v>
      </c>
      <c r="O64" s="14" t="s">
        <v>408</v>
      </c>
      <c r="P64" s="14" t="str">
        <f>HYPERLINK("https://dexscreener.com/solana/AyC5rndwus27KLhK1JPfmdCcGSEvn3yDyNayz7oXpump", "View")</f>
        <v>View</v>
      </c>
    </row>
    <row r="65" spans="1:16" x14ac:dyDescent="0.25">
      <c r="A65" s="16" t="s">
        <v>409</v>
      </c>
      <c r="B65" s="17">
        <v>7714478</v>
      </c>
      <c r="C65" s="17">
        <v>7714478</v>
      </c>
      <c r="D65" s="17" t="s">
        <v>173</v>
      </c>
      <c r="E65" s="17" t="s">
        <v>183</v>
      </c>
      <c r="F65" s="17" t="s">
        <v>410</v>
      </c>
      <c r="G65" s="21" t="s">
        <v>411</v>
      </c>
      <c r="H65" s="21" t="s">
        <v>412</v>
      </c>
      <c r="I65" s="17" t="s">
        <v>88</v>
      </c>
      <c r="J65" s="17">
        <v>1</v>
      </c>
      <c r="K65" s="17">
        <v>5</v>
      </c>
      <c r="L65" s="17" t="s">
        <v>413</v>
      </c>
      <c r="M65" s="17" t="s">
        <v>414</v>
      </c>
      <c r="N65" s="17" t="s">
        <v>415</v>
      </c>
      <c r="O65" s="17" t="s">
        <v>416</v>
      </c>
      <c r="P65" s="17" t="str">
        <f>HYPERLINK("https://dexscreener.com/solana/9WXNvkvub2Fvg88n8mLD3iywpLmfhRZHZmdf8CGhpump", "View")</f>
        <v>View</v>
      </c>
    </row>
    <row r="66" spans="1:16" x14ac:dyDescent="0.25">
      <c r="A66" s="13" t="s">
        <v>417</v>
      </c>
      <c r="B66" s="14">
        <v>15509085</v>
      </c>
      <c r="C66" s="14">
        <v>0</v>
      </c>
      <c r="D66" s="14" t="s">
        <v>94</v>
      </c>
      <c r="E66" s="14" t="s">
        <v>105</v>
      </c>
      <c r="F66" s="14" t="s">
        <v>96</v>
      </c>
      <c r="G66" s="18" t="s">
        <v>106</v>
      </c>
      <c r="H66" s="18" t="s">
        <v>98</v>
      </c>
      <c r="I66" s="14" t="s">
        <v>418</v>
      </c>
      <c r="J66" s="14">
        <v>1</v>
      </c>
      <c r="K66" s="14">
        <v>0</v>
      </c>
      <c r="L66" s="14" t="s">
        <v>419</v>
      </c>
      <c r="M66" s="19" t="s">
        <v>101</v>
      </c>
      <c r="N66" s="14" t="s">
        <v>420</v>
      </c>
      <c r="O66" s="14" t="s">
        <v>421</v>
      </c>
      <c r="P66" s="14" t="str">
        <f>HYPERLINK("https://dexscreener.com/solana/9xd4wMjJfYswbAKTe8HoQBSepD3XaeyShVjjh6C9pump", "View")</f>
        <v>View</v>
      </c>
    </row>
    <row r="67" spans="1:16" x14ac:dyDescent="0.25">
      <c r="A67" s="16" t="s">
        <v>422</v>
      </c>
      <c r="B67" s="17">
        <v>20491284</v>
      </c>
      <c r="C67" s="17">
        <v>0</v>
      </c>
      <c r="D67" s="17" t="s">
        <v>94</v>
      </c>
      <c r="E67" s="17" t="s">
        <v>340</v>
      </c>
      <c r="F67" s="17" t="s">
        <v>96</v>
      </c>
      <c r="G67" s="18" t="s">
        <v>341</v>
      </c>
      <c r="H67" s="18" t="s">
        <v>98</v>
      </c>
      <c r="I67" s="17" t="s">
        <v>423</v>
      </c>
      <c r="J67" s="17">
        <v>1</v>
      </c>
      <c r="K67" s="17">
        <v>0</v>
      </c>
      <c r="L67" s="17" t="s">
        <v>424</v>
      </c>
      <c r="M67" s="19" t="s">
        <v>101</v>
      </c>
      <c r="N67" s="17" t="s">
        <v>425</v>
      </c>
      <c r="O67" s="17" t="s">
        <v>426</v>
      </c>
      <c r="P67" s="17" t="str">
        <f>HYPERLINK("https://dexscreener.com/solana/GrzonDhpbD1Sr2qfmAbxcBPhwPMEkNRsDmXxkL9rpump", "View")</f>
        <v>View</v>
      </c>
    </row>
    <row r="68" spans="1:16" x14ac:dyDescent="0.25">
      <c r="A68" s="13" t="s">
        <v>427</v>
      </c>
      <c r="B68" s="14">
        <v>33808269</v>
      </c>
      <c r="C68" s="14">
        <v>0</v>
      </c>
      <c r="D68" s="14" t="s">
        <v>94</v>
      </c>
      <c r="E68" s="14" t="s">
        <v>428</v>
      </c>
      <c r="F68" s="14" t="s">
        <v>96</v>
      </c>
      <c r="G68" s="18" t="s">
        <v>429</v>
      </c>
      <c r="H68" s="18" t="s">
        <v>98</v>
      </c>
      <c r="I68" s="14" t="s">
        <v>430</v>
      </c>
      <c r="J68" s="14">
        <v>1</v>
      </c>
      <c r="K68" s="14">
        <v>0</v>
      </c>
      <c r="L68" s="14" t="s">
        <v>431</v>
      </c>
      <c r="M68" s="19" t="s">
        <v>101</v>
      </c>
      <c r="N68" s="14" t="s">
        <v>432</v>
      </c>
      <c r="O68" s="14" t="s">
        <v>433</v>
      </c>
      <c r="P68" s="14" t="str">
        <f>HYPERLINK("https://photon-sol.tinyastro.io/en/lp/CB2mBo5sK2vBUWRRF9WCjxaGpB44AYn4Eeeb82Nbpump?handle=676050794bc1b1657a56b", "View")</f>
        <v>View</v>
      </c>
    </row>
    <row r="69" spans="1:16" x14ac:dyDescent="0.25">
      <c r="A69" s="16" t="s">
        <v>434</v>
      </c>
      <c r="B69" s="17">
        <v>18630584</v>
      </c>
      <c r="C69" s="17">
        <v>0</v>
      </c>
      <c r="D69" s="17" t="s">
        <v>94</v>
      </c>
      <c r="E69" s="17" t="s">
        <v>165</v>
      </c>
      <c r="F69" s="17" t="s">
        <v>96</v>
      </c>
      <c r="G69" s="18" t="s">
        <v>206</v>
      </c>
      <c r="H69" s="18" t="s">
        <v>98</v>
      </c>
      <c r="I69" s="17" t="s">
        <v>435</v>
      </c>
      <c r="J69" s="17">
        <v>1</v>
      </c>
      <c r="K69" s="17">
        <v>0</v>
      </c>
      <c r="L69" s="17" t="s">
        <v>436</v>
      </c>
      <c r="M69" s="19" t="s">
        <v>101</v>
      </c>
      <c r="N69" s="17" t="s">
        <v>437</v>
      </c>
      <c r="O69" s="17" t="s">
        <v>438</v>
      </c>
      <c r="P69" s="17" t="str">
        <f>HYPERLINK("https://dexscreener.com/solana/AjXCV2HfwXEg7VprYysVGFCmJh7DACEzZXDPjjM2pump", "View")</f>
        <v>View</v>
      </c>
    </row>
    <row r="70" spans="1:16" x14ac:dyDescent="0.25">
      <c r="A70" s="13" t="s">
        <v>439</v>
      </c>
      <c r="B70" s="14">
        <v>15851532</v>
      </c>
      <c r="C70" s="14">
        <v>0</v>
      </c>
      <c r="D70" s="14" t="s">
        <v>94</v>
      </c>
      <c r="E70" s="14" t="s">
        <v>105</v>
      </c>
      <c r="F70" s="14" t="s">
        <v>96</v>
      </c>
      <c r="G70" s="18" t="s">
        <v>106</v>
      </c>
      <c r="H70" s="18" t="s">
        <v>98</v>
      </c>
      <c r="I70" s="14" t="s">
        <v>440</v>
      </c>
      <c r="J70" s="14">
        <v>1</v>
      </c>
      <c r="K70" s="14">
        <v>0</v>
      </c>
      <c r="L70" s="14" t="s">
        <v>441</v>
      </c>
      <c r="M70" s="19" t="s">
        <v>101</v>
      </c>
      <c r="N70" s="14" t="s">
        <v>442</v>
      </c>
      <c r="O70" s="14" t="s">
        <v>443</v>
      </c>
      <c r="P70" s="14" t="str">
        <f>HYPERLINK("https://dexscreener.com/solana/AaPGxxVzExCq8bDQSuVFLAjDPxNqdu1ntx1Sxfqnpump", "View")</f>
        <v>View</v>
      </c>
    </row>
    <row r="71" spans="1:16" x14ac:dyDescent="0.25">
      <c r="A71" s="16" t="s">
        <v>444</v>
      </c>
      <c r="B71" s="17">
        <v>8321091</v>
      </c>
      <c r="C71" s="17">
        <v>5828406</v>
      </c>
      <c r="D71" s="17" t="s">
        <v>445</v>
      </c>
      <c r="E71" s="17" t="s">
        <v>446</v>
      </c>
      <c r="F71" s="17" t="s">
        <v>447</v>
      </c>
      <c r="G71" s="21" t="s">
        <v>448</v>
      </c>
      <c r="H71" s="21" t="s">
        <v>449</v>
      </c>
      <c r="I71" s="17" t="s">
        <v>88</v>
      </c>
      <c r="J71" s="17">
        <v>3</v>
      </c>
      <c r="K71" s="17">
        <v>10</v>
      </c>
      <c r="L71" s="17" t="s">
        <v>450</v>
      </c>
      <c r="M71" s="17" t="s">
        <v>150</v>
      </c>
      <c r="N71" s="17" t="s">
        <v>451</v>
      </c>
      <c r="O71" s="17" t="s">
        <v>452</v>
      </c>
      <c r="P71" s="17" t="str">
        <f>HYPERLINK("https://dexscreener.com/solana/BfdVHnbt9LSNAFCZU9kvTjbrH3jX78sv2siLKGQ7pump", "View")</f>
        <v>View</v>
      </c>
    </row>
    <row r="72" spans="1:16" x14ac:dyDescent="0.25">
      <c r="A72" s="13" t="s">
        <v>453</v>
      </c>
      <c r="B72" s="14">
        <v>15350196</v>
      </c>
      <c r="C72" s="14">
        <v>1535020</v>
      </c>
      <c r="D72" s="14" t="s">
        <v>226</v>
      </c>
      <c r="E72" s="14" t="s">
        <v>105</v>
      </c>
      <c r="F72" s="14" t="s">
        <v>454</v>
      </c>
      <c r="G72" s="15" t="s">
        <v>455</v>
      </c>
      <c r="H72" s="15" t="s">
        <v>456</v>
      </c>
      <c r="I72" s="14" t="s">
        <v>88</v>
      </c>
      <c r="J72" s="14">
        <v>1</v>
      </c>
      <c r="K72" s="14">
        <v>1</v>
      </c>
      <c r="L72" s="14" t="s">
        <v>457</v>
      </c>
      <c r="M72" s="14" t="s">
        <v>117</v>
      </c>
      <c r="N72" s="14" t="s">
        <v>458</v>
      </c>
      <c r="O72" s="14" t="s">
        <v>459</v>
      </c>
      <c r="P72" s="14" t="str">
        <f>HYPERLINK("https://dexscreener.com/solana/CEcpiwnZNAyoP8nDS3pAEijtBEjC1RLa5xe3dZDEpump", "View")</f>
        <v>View</v>
      </c>
    </row>
    <row r="73" spans="1:16" x14ac:dyDescent="0.25">
      <c r="A73" s="16" t="s">
        <v>460</v>
      </c>
      <c r="B73" s="17">
        <v>13189345</v>
      </c>
      <c r="C73" s="17">
        <v>7710965</v>
      </c>
      <c r="D73" s="17" t="s">
        <v>298</v>
      </c>
      <c r="E73" s="17" t="s">
        <v>461</v>
      </c>
      <c r="F73" s="17" t="s">
        <v>462</v>
      </c>
      <c r="G73" s="20" t="s">
        <v>463</v>
      </c>
      <c r="H73" s="20" t="s">
        <v>464</v>
      </c>
      <c r="I73" s="17" t="s">
        <v>88</v>
      </c>
      <c r="J73" s="17">
        <v>2</v>
      </c>
      <c r="K73" s="17">
        <v>2</v>
      </c>
      <c r="L73" s="17" t="s">
        <v>465</v>
      </c>
      <c r="M73" s="17" t="s">
        <v>179</v>
      </c>
      <c r="N73" s="17" t="s">
        <v>466</v>
      </c>
      <c r="O73" s="17" t="s">
        <v>467</v>
      </c>
      <c r="P73" s="17" t="str">
        <f>HYPERLINK("https://dexscreener.com/solana/p2niQeJVj2vnevYnheBWujVyfzzGURpBTjap3gipump", "View")</f>
        <v>View</v>
      </c>
    </row>
    <row r="74" spans="1:16" x14ac:dyDescent="0.25">
      <c r="A74" s="13" t="s">
        <v>468</v>
      </c>
      <c r="B74" s="14">
        <v>12298289</v>
      </c>
      <c r="C74" s="14">
        <v>0</v>
      </c>
      <c r="D74" s="14" t="s">
        <v>94</v>
      </c>
      <c r="E74" s="14" t="s">
        <v>105</v>
      </c>
      <c r="F74" s="14" t="s">
        <v>96</v>
      </c>
      <c r="G74" s="18" t="s">
        <v>106</v>
      </c>
      <c r="H74" s="18" t="s">
        <v>98</v>
      </c>
      <c r="I74" s="14" t="s">
        <v>469</v>
      </c>
      <c r="J74" s="14">
        <v>1</v>
      </c>
      <c r="K74" s="14">
        <v>0</v>
      </c>
      <c r="L74" s="14" t="s">
        <v>470</v>
      </c>
      <c r="M74" s="19" t="s">
        <v>101</v>
      </c>
      <c r="N74" s="14" t="s">
        <v>471</v>
      </c>
      <c r="O74" s="14" t="s">
        <v>472</v>
      </c>
      <c r="P74" s="14" t="str">
        <f>HYPERLINK("https://dexscreener.com/solana/945tYkhC36Ae8N62KGkC1CBzX83MsaSHNDHs67pzpump", "View")</f>
        <v>View</v>
      </c>
    </row>
    <row r="75" spans="1:16" x14ac:dyDescent="0.25">
      <c r="A75" s="16" t="s">
        <v>473</v>
      </c>
      <c r="B75" s="17">
        <v>32796007</v>
      </c>
      <c r="C75" s="17">
        <v>6231241</v>
      </c>
      <c r="D75" s="17" t="s">
        <v>474</v>
      </c>
      <c r="E75" s="17" t="s">
        <v>219</v>
      </c>
      <c r="F75" s="17" t="s">
        <v>475</v>
      </c>
      <c r="G75" s="21" t="s">
        <v>476</v>
      </c>
      <c r="H75" s="21" t="s">
        <v>477</v>
      </c>
      <c r="I75" s="17" t="s">
        <v>88</v>
      </c>
      <c r="J75" s="17">
        <v>1</v>
      </c>
      <c r="K75" s="17">
        <v>2</v>
      </c>
      <c r="L75" s="17" t="s">
        <v>478</v>
      </c>
      <c r="M75" s="17" t="s">
        <v>479</v>
      </c>
      <c r="N75" s="17" t="s">
        <v>480</v>
      </c>
      <c r="O75" s="17" t="s">
        <v>481</v>
      </c>
      <c r="P75" s="17" t="str">
        <f>HYPERLINK("https://dexscreener.com/solana/7M3ieFsS397J924iPZUHZT4vkX5mVpueoVB5RbzTpump", "View")</f>
        <v>View</v>
      </c>
    </row>
    <row r="76" spans="1:16" x14ac:dyDescent="0.25">
      <c r="A76" s="13" t="s">
        <v>482</v>
      </c>
      <c r="B76" s="14">
        <v>19780781</v>
      </c>
      <c r="C76" s="14">
        <v>3758348</v>
      </c>
      <c r="D76" s="14" t="s">
        <v>483</v>
      </c>
      <c r="E76" s="14" t="s">
        <v>484</v>
      </c>
      <c r="F76" s="14" t="s">
        <v>485</v>
      </c>
      <c r="G76" s="21" t="s">
        <v>486</v>
      </c>
      <c r="H76" s="21" t="s">
        <v>487</v>
      </c>
      <c r="I76" s="14" t="s">
        <v>88</v>
      </c>
      <c r="J76" s="14">
        <v>1</v>
      </c>
      <c r="K76" s="14">
        <v>2</v>
      </c>
      <c r="L76" s="14" t="s">
        <v>488</v>
      </c>
      <c r="M76" s="14" t="s">
        <v>160</v>
      </c>
      <c r="N76" s="14" t="s">
        <v>489</v>
      </c>
      <c r="O76" s="14" t="s">
        <v>490</v>
      </c>
      <c r="P76" s="14" t="str">
        <f>HYPERLINK("https://dexscreener.com/solana/69G8CpUVZAxbPMiEBrfCCCH445NwFxH6PzVL693Xpump", "View")</f>
        <v>View</v>
      </c>
    </row>
    <row r="77" spans="1:16" x14ac:dyDescent="0.25">
      <c r="A77" s="16" t="s">
        <v>491</v>
      </c>
      <c r="B77" s="17">
        <v>7473267</v>
      </c>
      <c r="C77" s="17">
        <v>0</v>
      </c>
      <c r="D77" s="17" t="s">
        <v>94</v>
      </c>
      <c r="E77" s="17" t="s">
        <v>174</v>
      </c>
      <c r="F77" s="17" t="s">
        <v>96</v>
      </c>
      <c r="G77" s="18" t="s">
        <v>492</v>
      </c>
      <c r="H77" s="18" t="s">
        <v>98</v>
      </c>
      <c r="I77" s="17" t="s">
        <v>493</v>
      </c>
      <c r="J77" s="17">
        <v>1</v>
      </c>
      <c r="K77" s="17">
        <v>0</v>
      </c>
      <c r="L77" s="17" t="s">
        <v>494</v>
      </c>
      <c r="M77" s="19" t="s">
        <v>101</v>
      </c>
      <c r="N77" s="17" t="s">
        <v>495</v>
      </c>
      <c r="O77" s="17" t="s">
        <v>496</v>
      </c>
      <c r="P77" s="17" t="str">
        <f>HYPERLINK("https://dexscreener.com/solana/E9cw2Xx3j23JnnmBZNFinTkmnFC7ch1xB4zJ8QPapump", "View")</f>
        <v>View</v>
      </c>
    </row>
    <row r="78" spans="1:16" x14ac:dyDescent="0.25">
      <c r="A78" s="13" t="s">
        <v>497</v>
      </c>
      <c r="B78" s="14">
        <v>15516018</v>
      </c>
      <c r="C78" s="14">
        <v>0</v>
      </c>
      <c r="D78" s="14" t="s">
        <v>94</v>
      </c>
      <c r="E78" s="14" t="s">
        <v>127</v>
      </c>
      <c r="F78" s="14" t="s">
        <v>96</v>
      </c>
      <c r="G78" s="18" t="s">
        <v>200</v>
      </c>
      <c r="H78" s="18" t="s">
        <v>98</v>
      </c>
      <c r="I78" s="14" t="s">
        <v>498</v>
      </c>
      <c r="J78" s="14">
        <v>1</v>
      </c>
      <c r="K78" s="14">
        <v>0</v>
      </c>
      <c r="L78" s="14" t="s">
        <v>499</v>
      </c>
      <c r="M78" s="19" t="s">
        <v>101</v>
      </c>
      <c r="N78" s="14" t="s">
        <v>500</v>
      </c>
      <c r="O78" s="14" t="s">
        <v>501</v>
      </c>
      <c r="P78" s="14" t="str">
        <f>HYPERLINK("https://dexscreener.com/solana/7xn2T1x7xw5quHmzy2YvFWyFUNwp75fsw5bxiXGRpump", "View")</f>
        <v>View</v>
      </c>
    </row>
    <row r="79" spans="1:16" x14ac:dyDescent="0.25">
      <c r="A79" s="16" t="s">
        <v>502</v>
      </c>
      <c r="B79" s="17">
        <v>28638959</v>
      </c>
      <c r="C79" s="17">
        <v>0</v>
      </c>
      <c r="D79" s="17" t="s">
        <v>94</v>
      </c>
      <c r="E79" s="17" t="s">
        <v>503</v>
      </c>
      <c r="F79" s="17" t="s">
        <v>96</v>
      </c>
      <c r="G79" s="18" t="s">
        <v>504</v>
      </c>
      <c r="H79" s="18" t="s">
        <v>98</v>
      </c>
      <c r="I79" s="17" t="s">
        <v>505</v>
      </c>
      <c r="J79" s="17">
        <v>1</v>
      </c>
      <c r="K79" s="17">
        <v>0</v>
      </c>
      <c r="L79" s="17" t="s">
        <v>506</v>
      </c>
      <c r="M79" s="19" t="s">
        <v>101</v>
      </c>
      <c r="N79" s="17" t="s">
        <v>507</v>
      </c>
      <c r="O79" s="17" t="s">
        <v>508</v>
      </c>
      <c r="P79" s="17" t="str">
        <f>HYPERLINK("https://photon-sol.tinyastro.io/en/lp/4EnVZ5okAmRjYdbZxurKrWe42GXPkS8yYD2PbQEPpump?handle=676050794bc1b1657a56b", "View")</f>
        <v>View</v>
      </c>
    </row>
    <row r="80" spans="1:16" x14ac:dyDescent="0.25">
      <c r="A80" s="13" t="s">
        <v>509</v>
      </c>
      <c r="B80" s="14">
        <v>14992795</v>
      </c>
      <c r="C80" s="14">
        <v>0</v>
      </c>
      <c r="D80" s="14" t="s">
        <v>94</v>
      </c>
      <c r="E80" s="14" t="s">
        <v>183</v>
      </c>
      <c r="F80" s="14" t="s">
        <v>96</v>
      </c>
      <c r="G80" s="18" t="s">
        <v>184</v>
      </c>
      <c r="H80" s="18" t="s">
        <v>98</v>
      </c>
      <c r="I80" s="14" t="s">
        <v>510</v>
      </c>
      <c r="J80" s="14">
        <v>1</v>
      </c>
      <c r="K80" s="14">
        <v>0</v>
      </c>
      <c r="L80" s="14" t="s">
        <v>511</v>
      </c>
      <c r="M80" s="19" t="s">
        <v>101</v>
      </c>
      <c r="N80" s="14" t="s">
        <v>512</v>
      </c>
      <c r="O80" s="14" t="s">
        <v>513</v>
      </c>
      <c r="P80" s="14" t="str">
        <f>HYPERLINK("https://dexscreener.com/solana/3AYy1ZyfUbxhpAX5DRT6ss2u68TMSE8vqmAFXSPnpump", "View")</f>
        <v>View</v>
      </c>
    </row>
    <row r="81" spans="1:16" x14ac:dyDescent="0.25">
      <c r="A81" s="16" t="s">
        <v>514</v>
      </c>
      <c r="B81" s="17">
        <v>26083094</v>
      </c>
      <c r="C81" s="17">
        <v>0</v>
      </c>
      <c r="D81" s="17" t="s">
        <v>94</v>
      </c>
      <c r="E81" s="17" t="s">
        <v>219</v>
      </c>
      <c r="F81" s="17" t="s">
        <v>96</v>
      </c>
      <c r="G81" s="18" t="s">
        <v>220</v>
      </c>
      <c r="H81" s="18" t="s">
        <v>98</v>
      </c>
      <c r="I81" s="17" t="s">
        <v>515</v>
      </c>
      <c r="J81" s="17">
        <v>1</v>
      </c>
      <c r="K81" s="17">
        <v>0</v>
      </c>
      <c r="L81" s="17" t="s">
        <v>516</v>
      </c>
      <c r="M81" s="19" t="s">
        <v>101</v>
      </c>
      <c r="N81" s="17" t="s">
        <v>517</v>
      </c>
      <c r="O81" s="17" t="s">
        <v>518</v>
      </c>
      <c r="P81" s="17" t="str">
        <f>HYPERLINK("https://dexscreener.com/solana/DU5g5d5SXRF2VvSw7qAtQTxY7KcYrLnLDCWNUFjHpump", "View")</f>
        <v>View</v>
      </c>
    </row>
    <row r="82" spans="1:16" x14ac:dyDescent="0.25">
      <c r="A82" s="2" t="s">
        <v>519</v>
      </c>
      <c r="B82" s="2">
        <v>3184662</v>
      </c>
      <c r="C82" s="2">
        <v>1273865</v>
      </c>
      <c r="D82" s="2" t="s">
        <v>272</v>
      </c>
      <c r="E82" s="2" t="s">
        <v>299</v>
      </c>
      <c r="F82" s="2" t="s">
        <v>520</v>
      </c>
      <c r="G82" s="2" t="s">
        <v>521</v>
      </c>
      <c r="H82" s="2" t="s">
        <v>522</v>
      </c>
      <c r="I82" s="2" t="s">
        <v>88</v>
      </c>
      <c r="J82" s="2">
        <v>1</v>
      </c>
      <c r="K82" s="2">
        <v>2</v>
      </c>
      <c r="L82" s="2" t="s">
        <v>523</v>
      </c>
      <c r="M82" s="2" t="s">
        <v>414</v>
      </c>
      <c r="N82" s="2" t="s">
        <v>524</v>
      </c>
      <c r="O82" s="2" t="s">
        <v>525</v>
      </c>
      <c r="P82" s="2" t="str">
        <f>HYPERLINK("https://dexscreener.com/solana/CS7LmjtuugEUWtFgfyto79nrksKigv7Fdcp9qPuigdLs", "View")</f>
        <v>View</v>
      </c>
    </row>
    <row r="83" spans="1:16" x14ac:dyDescent="0.25">
      <c r="A83" s="16"/>
      <c r="B83" s="17"/>
      <c r="C83" s="17"/>
      <c r="D83" s="17"/>
      <c r="E83" s="17"/>
      <c r="F83" s="17"/>
      <c r="G83" s="15"/>
      <c r="H83" s="15"/>
      <c r="I83" s="17"/>
      <c r="J83" s="17"/>
      <c r="K83" s="17"/>
      <c r="L83" s="17"/>
      <c r="M83" s="17"/>
      <c r="N83" s="17"/>
      <c r="O83" s="17"/>
      <c r="P83" s="17"/>
    </row>
    <row r="84" spans="1:16" x14ac:dyDescent="0.25">
      <c r="A84" s="13" t="s">
        <v>526</v>
      </c>
      <c r="B84" s="14">
        <v>16036732</v>
      </c>
      <c r="C84" s="14">
        <v>0</v>
      </c>
      <c r="D84" s="14" t="s">
        <v>94</v>
      </c>
      <c r="E84" s="14" t="s">
        <v>165</v>
      </c>
      <c r="F84" s="14" t="s">
        <v>96</v>
      </c>
      <c r="G84" s="18" t="s">
        <v>206</v>
      </c>
      <c r="H84" s="18" t="s">
        <v>98</v>
      </c>
      <c r="I84" s="14" t="s">
        <v>527</v>
      </c>
      <c r="J84" s="14">
        <v>1</v>
      </c>
      <c r="K84" s="14">
        <v>0</v>
      </c>
      <c r="L84" s="14" t="s">
        <v>528</v>
      </c>
      <c r="M84" s="19" t="s">
        <v>101</v>
      </c>
      <c r="N84" s="14" t="s">
        <v>529</v>
      </c>
      <c r="O84" s="14" t="s">
        <v>530</v>
      </c>
      <c r="P84" s="14" t="str">
        <f>HYPERLINK("https://dexscreener.com/solana/6qKWDik7U58LDtW9LVNFL13NkAxBqqJbSBauoSVUpump", "View")</f>
        <v>View</v>
      </c>
    </row>
    <row r="85" spans="1:16" x14ac:dyDescent="0.25">
      <c r="A85" s="16" t="s">
        <v>531</v>
      </c>
      <c r="B85" s="17">
        <v>35820882</v>
      </c>
      <c r="C85" s="17">
        <v>3492536</v>
      </c>
      <c r="D85" s="17" t="s">
        <v>532</v>
      </c>
      <c r="E85" s="17" t="s">
        <v>533</v>
      </c>
      <c r="F85" s="17" t="s">
        <v>534</v>
      </c>
      <c r="G85" s="20" t="s">
        <v>535</v>
      </c>
      <c r="H85" s="20" t="s">
        <v>536</v>
      </c>
      <c r="I85" s="17" t="s">
        <v>88</v>
      </c>
      <c r="J85" s="17">
        <v>2</v>
      </c>
      <c r="K85" s="17">
        <v>2</v>
      </c>
      <c r="L85" s="17" t="s">
        <v>537</v>
      </c>
      <c r="M85" s="17" t="s">
        <v>538</v>
      </c>
      <c r="N85" s="17" t="s">
        <v>539</v>
      </c>
      <c r="O85" s="17" t="s">
        <v>540</v>
      </c>
      <c r="P85" s="17" t="str">
        <f>HYPERLINK("https://dexscreener.com/solana/DjYrvmmY6ojf2f62TckYxBtCCHCJNbr9A4EXFwH3pump", "View")</f>
        <v>View</v>
      </c>
    </row>
    <row r="86" spans="1:16" x14ac:dyDescent="0.25">
      <c r="A86" s="13" t="s">
        <v>541</v>
      </c>
      <c r="B86" s="14">
        <v>15094402</v>
      </c>
      <c r="C86" s="14">
        <v>0</v>
      </c>
      <c r="D86" s="14" t="s">
        <v>94</v>
      </c>
      <c r="E86" s="14" t="s">
        <v>165</v>
      </c>
      <c r="F86" s="14" t="s">
        <v>96</v>
      </c>
      <c r="G86" s="18" t="s">
        <v>206</v>
      </c>
      <c r="H86" s="18" t="s">
        <v>98</v>
      </c>
      <c r="I86" s="14" t="s">
        <v>542</v>
      </c>
      <c r="J86" s="14">
        <v>1</v>
      </c>
      <c r="K86" s="14">
        <v>0</v>
      </c>
      <c r="L86" s="14" t="s">
        <v>543</v>
      </c>
      <c r="M86" s="19" t="s">
        <v>101</v>
      </c>
      <c r="N86" s="14" t="s">
        <v>544</v>
      </c>
      <c r="O86" s="14" t="s">
        <v>545</v>
      </c>
      <c r="P86" s="14" t="str">
        <f>HYPERLINK("https://dexscreener.com/solana/GfnE2KkTWMpT3McP6Qoe71maeTRPHPSbfnk4MMeZpump", "View")</f>
        <v>View</v>
      </c>
    </row>
    <row r="87" spans="1:16" x14ac:dyDescent="0.25">
      <c r="A87" s="16" t="s">
        <v>546</v>
      </c>
      <c r="B87" s="17">
        <v>10398556</v>
      </c>
      <c r="C87" s="17">
        <v>0</v>
      </c>
      <c r="D87" s="17" t="s">
        <v>94</v>
      </c>
      <c r="E87" s="17" t="s">
        <v>165</v>
      </c>
      <c r="F87" s="17" t="s">
        <v>96</v>
      </c>
      <c r="G87" s="18" t="s">
        <v>206</v>
      </c>
      <c r="H87" s="18" t="s">
        <v>98</v>
      </c>
      <c r="I87" s="17" t="s">
        <v>547</v>
      </c>
      <c r="J87" s="17">
        <v>1</v>
      </c>
      <c r="K87" s="17">
        <v>0</v>
      </c>
      <c r="L87" s="17" t="s">
        <v>548</v>
      </c>
      <c r="M87" s="19" t="s">
        <v>101</v>
      </c>
      <c r="N87" s="17" t="s">
        <v>549</v>
      </c>
      <c r="O87" s="17" t="s">
        <v>550</v>
      </c>
      <c r="P87" s="17" t="str">
        <f>HYPERLINK("https://dexscreener.com/solana/B9RMFZ1bCwvJ3gbWAoNHFvEaWx3Fm74ceiL6pE2Tpump", "View")</f>
        <v>View</v>
      </c>
    </row>
    <row r="88" spans="1:16" x14ac:dyDescent="0.25">
      <c r="A88" s="13" t="s">
        <v>551</v>
      </c>
      <c r="B88" s="14">
        <v>30233885</v>
      </c>
      <c r="C88" s="14">
        <v>0</v>
      </c>
      <c r="D88" s="14" t="s">
        <v>94</v>
      </c>
      <c r="E88" s="14" t="s">
        <v>552</v>
      </c>
      <c r="F88" s="14" t="s">
        <v>96</v>
      </c>
      <c r="G88" s="18" t="s">
        <v>553</v>
      </c>
      <c r="H88" s="18" t="s">
        <v>98</v>
      </c>
      <c r="I88" s="14" t="s">
        <v>554</v>
      </c>
      <c r="J88" s="14">
        <v>1</v>
      </c>
      <c r="K88" s="14">
        <v>0</v>
      </c>
      <c r="L88" s="14" t="s">
        <v>555</v>
      </c>
      <c r="M88" s="19" t="s">
        <v>101</v>
      </c>
      <c r="N88" s="14" t="s">
        <v>556</v>
      </c>
      <c r="O88" s="14" t="s">
        <v>557</v>
      </c>
      <c r="P88" s="14" t="str">
        <f>HYPERLINK("https://photon-sol.tinyastro.io/en/lp/HkAFaoCmiCSRo8ENeGUGp77TVpkY5RMQayDQpRCdpump?handle=676050794bc1b1657a56b", "View")</f>
        <v>View</v>
      </c>
    </row>
    <row r="89" spans="1:16" x14ac:dyDescent="0.25">
      <c r="A89" s="16" t="s">
        <v>558</v>
      </c>
      <c r="B89" s="17">
        <v>4457758</v>
      </c>
      <c r="C89" s="17">
        <v>0</v>
      </c>
      <c r="D89" s="17" t="s">
        <v>94</v>
      </c>
      <c r="E89" s="17" t="s">
        <v>95</v>
      </c>
      <c r="F89" s="17" t="s">
        <v>96</v>
      </c>
      <c r="G89" s="18" t="s">
        <v>97</v>
      </c>
      <c r="H89" s="18" t="s">
        <v>98</v>
      </c>
      <c r="I89" s="17" t="s">
        <v>559</v>
      </c>
      <c r="J89" s="17">
        <v>1</v>
      </c>
      <c r="K89" s="17">
        <v>0</v>
      </c>
      <c r="L89" s="17" t="s">
        <v>560</v>
      </c>
      <c r="M89" s="19" t="s">
        <v>101</v>
      </c>
      <c r="N89" s="17" t="s">
        <v>561</v>
      </c>
      <c r="O89" s="17" t="s">
        <v>562</v>
      </c>
      <c r="P89" s="17" t="str">
        <f>HYPERLINK("https://dexscreener.com/solana/2i2269HkF5ce2i8ExJfV8gw1MEmXkVYQNzRbtXZtpump", "View")</f>
        <v>View</v>
      </c>
    </row>
    <row r="90" spans="1:16" x14ac:dyDescent="0.25">
      <c r="A90" s="13" t="s">
        <v>563</v>
      </c>
      <c r="B90" s="14">
        <v>4250155</v>
      </c>
      <c r="C90" s="14">
        <v>0</v>
      </c>
      <c r="D90" s="14" t="s">
        <v>94</v>
      </c>
      <c r="E90" s="14" t="s">
        <v>127</v>
      </c>
      <c r="F90" s="14" t="s">
        <v>96</v>
      </c>
      <c r="G90" s="18" t="s">
        <v>200</v>
      </c>
      <c r="H90" s="18" t="s">
        <v>98</v>
      </c>
      <c r="I90" s="14" t="s">
        <v>564</v>
      </c>
      <c r="J90" s="14">
        <v>1</v>
      </c>
      <c r="K90" s="14">
        <v>0</v>
      </c>
      <c r="L90" s="14" t="s">
        <v>565</v>
      </c>
      <c r="M90" s="19" t="s">
        <v>101</v>
      </c>
      <c r="N90" s="14" t="s">
        <v>566</v>
      </c>
      <c r="O90" s="14" t="s">
        <v>567</v>
      </c>
      <c r="P90" s="14" t="str">
        <f>HYPERLINK("https://dexscreener.com/solana/8fgDWpQvDQJABP6fN7fDLte9hH4bAppPtxpNG2i3pump", "View")</f>
        <v>View</v>
      </c>
    </row>
    <row r="91" spans="1:16" x14ac:dyDescent="0.25">
      <c r="A91" s="16" t="s">
        <v>568</v>
      </c>
      <c r="B91" s="17">
        <v>19673602</v>
      </c>
      <c r="C91" s="17">
        <v>0</v>
      </c>
      <c r="D91" s="17" t="s">
        <v>94</v>
      </c>
      <c r="E91" s="17" t="s">
        <v>569</v>
      </c>
      <c r="F91" s="17" t="s">
        <v>96</v>
      </c>
      <c r="G91" s="18" t="s">
        <v>570</v>
      </c>
      <c r="H91" s="18" t="s">
        <v>98</v>
      </c>
      <c r="I91" s="17" t="s">
        <v>571</v>
      </c>
      <c r="J91" s="17">
        <v>1</v>
      </c>
      <c r="K91" s="17">
        <v>0</v>
      </c>
      <c r="L91" s="17" t="s">
        <v>572</v>
      </c>
      <c r="M91" s="19" t="s">
        <v>101</v>
      </c>
      <c r="N91" s="17" t="s">
        <v>573</v>
      </c>
      <c r="O91" s="17" t="s">
        <v>574</v>
      </c>
      <c r="P91" s="17" t="str">
        <f>HYPERLINK("https://dexscreener.com/solana/Dm3iNSsgSxNMoEpSUa9nVTYFY6LctzTRD18vuM3zpump", "View")</f>
        <v>View</v>
      </c>
    </row>
    <row r="92" spans="1:16" x14ac:dyDescent="0.25">
      <c r="A92" s="13" t="s">
        <v>575</v>
      </c>
      <c r="B92" s="14">
        <v>4644472</v>
      </c>
      <c r="C92" s="14">
        <v>4644472</v>
      </c>
      <c r="D92" s="14" t="s">
        <v>576</v>
      </c>
      <c r="E92" s="14" t="s">
        <v>577</v>
      </c>
      <c r="F92" s="14" t="s">
        <v>578</v>
      </c>
      <c r="G92" s="21" t="s">
        <v>579</v>
      </c>
      <c r="H92" s="21" t="s">
        <v>580</v>
      </c>
      <c r="I92" s="14" t="s">
        <v>88</v>
      </c>
      <c r="J92" s="14">
        <v>2</v>
      </c>
      <c r="K92" s="14">
        <v>11</v>
      </c>
      <c r="L92" s="14" t="s">
        <v>581</v>
      </c>
      <c r="M92" s="14" t="s">
        <v>132</v>
      </c>
      <c r="N92" s="14" t="s">
        <v>582</v>
      </c>
      <c r="O92" s="14" t="s">
        <v>583</v>
      </c>
      <c r="P92" s="14" t="str">
        <f>HYPERLINK("https://dexscreener.com/solana/9PR7nCP9DpcUotnDPVLUBUZKu5WAYkwrCUx9wDnSpump", "View")</f>
        <v>View</v>
      </c>
    </row>
    <row r="93" spans="1:16" x14ac:dyDescent="0.25">
      <c r="A93" s="16" t="s">
        <v>584</v>
      </c>
      <c r="B93" s="17">
        <v>9516981</v>
      </c>
      <c r="C93" s="17">
        <v>0</v>
      </c>
      <c r="D93" s="17" t="s">
        <v>94</v>
      </c>
      <c r="E93" s="17" t="s">
        <v>165</v>
      </c>
      <c r="F93" s="17" t="s">
        <v>96</v>
      </c>
      <c r="G93" s="18" t="s">
        <v>206</v>
      </c>
      <c r="H93" s="18" t="s">
        <v>98</v>
      </c>
      <c r="I93" s="17" t="s">
        <v>585</v>
      </c>
      <c r="J93" s="17">
        <v>1</v>
      </c>
      <c r="K93" s="17">
        <v>0</v>
      </c>
      <c r="L93" s="17" t="s">
        <v>586</v>
      </c>
      <c r="M93" s="19" t="s">
        <v>101</v>
      </c>
      <c r="N93" s="17" t="s">
        <v>323</v>
      </c>
      <c r="O93" s="17" t="s">
        <v>587</v>
      </c>
      <c r="P93" s="17" t="str">
        <f>HYPERLINK("https://dexscreener.com/solana/GTmgCLDPWFyDCAKnxMFqgVSzNk7XV7Q1uZr8xHSSpump", "View")</f>
        <v>View</v>
      </c>
    </row>
    <row r="94" spans="1:16" x14ac:dyDescent="0.25">
      <c r="A94" s="13" t="s">
        <v>588</v>
      </c>
      <c r="B94" s="14">
        <v>20512564</v>
      </c>
      <c r="C94" s="14">
        <v>0</v>
      </c>
      <c r="D94" s="14" t="s">
        <v>94</v>
      </c>
      <c r="E94" s="14" t="s">
        <v>219</v>
      </c>
      <c r="F94" s="14" t="s">
        <v>96</v>
      </c>
      <c r="G94" s="18" t="s">
        <v>220</v>
      </c>
      <c r="H94" s="18" t="s">
        <v>98</v>
      </c>
      <c r="I94" s="14" t="s">
        <v>589</v>
      </c>
      <c r="J94" s="14">
        <v>1</v>
      </c>
      <c r="K94" s="14">
        <v>0</v>
      </c>
      <c r="L94" s="14" t="s">
        <v>590</v>
      </c>
      <c r="M94" s="19" t="s">
        <v>101</v>
      </c>
      <c r="N94" s="14" t="s">
        <v>591</v>
      </c>
      <c r="O94" s="14" t="s">
        <v>592</v>
      </c>
      <c r="P94" s="14" t="str">
        <f>HYPERLINK("https://dexscreener.com/solana/34pGiw5uBRq98c3AB468ds1AHcpnWN7zoFy6actWpump", "View")</f>
        <v>View</v>
      </c>
    </row>
    <row r="95" spans="1:16" x14ac:dyDescent="0.25">
      <c r="A95" s="16" t="s">
        <v>588</v>
      </c>
      <c r="B95" s="17">
        <v>26962291</v>
      </c>
      <c r="C95" s="17">
        <v>0</v>
      </c>
      <c r="D95" s="17" t="s">
        <v>94</v>
      </c>
      <c r="E95" s="17" t="s">
        <v>165</v>
      </c>
      <c r="F95" s="17" t="s">
        <v>96</v>
      </c>
      <c r="G95" s="18" t="s">
        <v>206</v>
      </c>
      <c r="H95" s="18" t="s">
        <v>98</v>
      </c>
      <c r="I95" s="17" t="s">
        <v>593</v>
      </c>
      <c r="J95" s="17">
        <v>1</v>
      </c>
      <c r="K95" s="17">
        <v>0</v>
      </c>
      <c r="L95" s="17" t="s">
        <v>594</v>
      </c>
      <c r="M95" s="19" t="s">
        <v>101</v>
      </c>
      <c r="N95" s="17" t="s">
        <v>595</v>
      </c>
      <c r="O95" s="17" t="s">
        <v>596</v>
      </c>
      <c r="P95" s="17" t="str">
        <f>HYPERLINK("https://dexscreener.com/solana/2mxUsLw1QeQcJf1pb1z9xdxpoW4aU3evztb6AgCmpump", "View")</f>
        <v>View</v>
      </c>
    </row>
    <row r="96" spans="1:16" x14ac:dyDescent="0.25">
      <c r="A96" s="13" t="s">
        <v>597</v>
      </c>
      <c r="B96" s="14">
        <v>7121851</v>
      </c>
      <c r="C96" s="14">
        <v>3560925</v>
      </c>
      <c r="D96" s="14" t="s">
        <v>226</v>
      </c>
      <c r="E96" s="14" t="s">
        <v>127</v>
      </c>
      <c r="F96" s="14" t="s">
        <v>598</v>
      </c>
      <c r="G96" s="15" t="s">
        <v>599</v>
      </c>
      <c r="H96" s="15" t="s">
        <v>600</v>
      </c>
      <c r="I96" s="14" t="s">
        <v>88</v>
      </c>
      <c r="J96" s="14">
        <v>1</v>
      </c>
      <c r="K96" s="14">
        <v>1</v>
      </c>
      <c r="L96" s="14" t="s">
        <v>601</v>
      </c>
      <c r="M96" s="14" t="s">
        <v>602</v>
      </c>
      <c r="N96" s="14" t="s">
        <v>603</v>
      </c>
      <c r="O96" s="14" t="s">
        <v>604</v>
      </c>
      <c r="P96" s="14" t="str">
        <f>HYPERLINK("https://dexscreener.com/solana/7d5eoFBR5nEfKiBwW5NseBMRscKECJ7zJhsj1ZpDpump", "View")</f>
        <v>View</v>
      </c>
    </row>
    <row r="97" spans="1:16" x14ac:dyDescent="0.25">
      <c r="A97" s="16" t="s">
        <v>605</v>
      </c>
      <c r="B97" s="17">
        <v>17554198</v>
      </c>
      <c r="C97" s="17">
        <v>4340641</v>
      </c>
      <c r="D97" s="17" t="s">
        <v>606</v>
      </c>
      <c r="E97" s="17" t="s">
        <v>84</v>
      </c>
      <c r="F97" s="17" t="s">
        <v>607</v>
      </c>
      <c r="G97" s="20" t="s">
        <v>608</v>
      </c>
      <c r="H97" s="20" t="s">
        <v>609</v>
      </c>
      <c r="I97" s="17" t="s">
        <v>88</v>
      </c>
      <c r="J97" s="17">
        <v>2</v>
      </c>
      <c r="K97" s="17">
        <v>4</v>
      </c>
      <c r="L97" s="17" t="s">
        <v>610</v>
      </c>
      <c r="M97" s="17" t="s">
        <v>117</v>
      </c>
      <c r="N97" s="17" t="s">
        <v>611</v>
      </c>
      <c r="O97" s="17" t="s">
        <v>612</v>
      </c>
      <c r="P97" s="17" t="str">
        <f>HYPERLINK("https://dexscreener.com/solana/AJczhLzrJn2mKV8Exkyz1L6pPGAEMmeY5KB7Tbf2pump", "View")</f>
        <v>View</v>
      </c>
    </row>
    <row r="98" spans="1:16" x14ac:dyDescent="0.25">
      <c r="A98" s="13" t="s">
        <v>613</v>
      </c>
      <c r="B98" s="14">
        <v>7168822</v>
      </c>
      <c r="C98" s="14">
        <v>0</v>
      </c>
      <c r="D98" s="14" t="s">
        <v>94</v>
      </c>
      <c r="E98" s="14" t="s">
        <v>299</v>
      </c>
      <c r="F98" s="14" t="s">
        <v>96</v>
      </c>
      <c r="G98" s="18" t="s">
        <v>614</v>
      </c>
      <c r="H98" s="18" t="s">
        <v>98</v>
      </c>
      <c r="I98" s="14" t="s">
        <v>615</v>
      </c>
      <c r="J98" s="14">
        <v>1</v>
      </c>
      <c r="K98" s="14">
        <v>0</v>
      </c>
      <c r="L98" s="14" t="s">
        <v>616</v>
      </c>
      <c r="M98" s="19" t="s">
        <v>101</v>
      </c>
      <c r="N98" s="14" t="s">
        <v>617</v>
      </c>
      <c r="O98" s="14" t="s">
        <v>618</v>
      </c>
      <c r="P98" s="14" t="str">
        <f>HYPERLINK("https://dexscreener.com/solana/PD11M8MB8qQUAiWzyEK4JwfS8rt7Set6av6a5JYpump", "View")</f>
        <v>View</v>
      </c>
    </row>
    <row r="99" spans="1:16" x14ac:dyDescent="0.25">
      <c r="A99" s="16" t="s">
        <v>619</v>
      </c>
      <c r="B99" s="17">
        <v>11575488</v>
      </c>
      <c r="C99" s="17">
        <v>0</v>
      </c>
      <c r="D99" s="17" t="s">
        <v>94</v>
      </c>
      <c r="E99" s="17" t="s">
        <v>165</v>
      </c>
      <c r="F99" s="17" t="s">
        <v>96</v>
      </c>
      <c r="G99" s="18" t="s">
        <v>206</v>
      </c>
      <c r="H99" s="18" t="s">
        <v>98</v>
      </c>
      <c r="I99" s="17" t="s">
        <v>620</v>
      </c>
      <c r="J99" s="17">
        <v>1</v>
      </c>
      <c r="K99" s="17">
        <v>0</v>
      </c>
      <c r="L99" s="17" t="s">
        <v>621</v>
      </c>
      <c r="M99" s="19" t="s">
        <v>101</v>
      </c>
      <c r="N99" s="17" t="s">
        <v>622</v>
      </c>
      <c r="O99" s="17" t="s">
        <v>623</v>
      </c>
      <c r="P99" s="17" t="str">
        <f>HYPERLINK("https://dexscreener.com/solana/6dC8y49qqogktNvnYecEszwuDAgkVsj19UP7dziZpump", "View")</f>
        <v>View</v>
      </c>
    </row>
    <row r="100" spans="1:16" x14ac:dyDescent="0.25">
      <c r="A100" s="13" t="s">
        <v>624</v>
      </c>
      <c r="B100" s="14">
        <v>12991263</v>
      </c>
      <c r="C100" s="14">
        <v>2468340</v>
      </c>
      <c r="D100" s="14" t="s">
        <v>272</v>
      </c>
      <c r="E100" s="14" t="s">
        <v>183</v>
      </c>
      <c r="F100" s="14" t="s">
        <v>625</v>
      </c>
      <c r="G100" s="15" t="s">
        <v>626</v>
      </c>
      <c r="H100" s="15" t="s">
        <v>627</v>
      </c>
      <c r="I100" s="14" t="s">
        <v>88</v>
      </c>
      <c r="J100" s="14">
        <v>1</v>
      </c>
      <c r="K100" s="14">
        <v>2</v>
      </c>
      <c r="L100" s="14" t="s">
        <v>628</v>
      </c>
      <c r="M100" s="14" t="s">
        <v>179</v>
      </c>
      <c r="N100" s="14" t="s">
        <v>629</v>
      </c>
      <c r="O100" s="14" t="s">
        <v>630</v>
      </c>
      <c r="P100" s="14" t="str">
        <f>HYPERLINK("https://dexscreener.com/solana/BJowxCMNHdXzchdKJaVWHUrQAZekpWMqUUgMMHqopump", "View")</f>
        <v>View</v>
      </c>
    </row>
    <row r="101" spans="1:16" x14ac:dyDescent="0.25">
      <c r="A101" s="16" t="s">
        <v>631</v>
      </c>
      <c r="B101" s="17">
        <v>15528781</v>
      </c>
      <c r="C101" s="17">
        <v>0</v>
      </c>
      <c r="D101" s="17" t="s">
        <v>94</v>
      </c>
      <c r="E101" s="17" t="s">
        <v>165</v>
      </c>
      <c r="F101" s="17" t="s">
        <v>96</v>
      </c>
      <c r="G101" s="18" t="s">
        <v>206</v>
      </c>
      <c r="H101" s="18" t="s">
        <v>98</v>
      </c>
      <c r="I101" s="17" t="s">
        <v>632</v>
      </c>
      <c r="J101" s="17">
        <v>1</v>
      </c>
      <c r="K101" s="17">
        <v>0</v>
      </c>
      <c r="L101" s="17" t="s">
        <v>633</v>
      </c>
      <c r="M101" s="19" t="s">
        <v>101</v>
      </c>
      <c r="N101" s="17" t="s">
        <v>634</v>
      </c>
      <c r="O101" s="17" t="s">
        <v>635</v>
      </c>
      <c r="P101" s="17" t="str">
        <f>HYPERLINK("https://dexscreener.com/solana/BPUaSed74toPWkGgmuzZrhUdXXnaQzYRA9jrAToSpump", "View")</f>
        <v>View</v>
      </c>
    </row>
    <row r="102" spans="1:16" x14ac:dyDescent="0.25">
      <c r="A102" s="13" t="s">
        <v>636</v>
      </c>
      <c r="B102" s="14">
        <v>6991063</v>
      </c>
      <c r="C102" s="14">
        <v>0</v>
      </c>
      <c r="D102" s="14" t="s">
        <v>94</v>
      </c>
      <c r="E102" s="14" t="s">
        <v>127</v>
      </c>
      <c r="F102" s="14" t="s">
        <v>96</v>
      </c>
      <c r="G102" s="18" t="s">
        <v>200</v>
      </c>
      <c r="H102" s="18" t="s">
        <v>98</v>
      </c>
      <c r="I102" s="14" t="s">
        <v>637</v>
      </c>
      <c r="J102" s="14">
        <v>1</v>
      </c>
      <c r="K102" s="14">
        <v>0</v>
      </c>
      <c r="L102" s="14" t="s">
        <v>638</v>
      </c>
      <c r="M102" s="19" t="s">
        <v>101</v>
      </c>
      <c r="N102" s="14" t="s">
        <v>639</v>
      </c>
      <c r="O102" s="14" t="s">
        <v>640</v>
      </c>
      <c r="P102" s="14" t="str">
        <f>HYPERLINK("https://dexscreener.com/solana/AJtiNiKwLQUdAEkhqRKqVHMmvpifG5QYHqnL4uvMpump", "View")</f>
        <v>View</v>
      </c>
    </row>
    <row r="103" spans="1:16" x14ac:dyDescent="0.25">
      <c r="A103" s="16" t="s">
        <v>641</v>
      </c>
      <c r="B103" s="17">
        <v>30364457</v>
      </c>
      <c r="C103" s="17">
        <v>0</v>
      </c>
      <c r="D103" s="17" t="s">
        <v>94</v>
      </c>
      <c r="E103" s="17" t="s">
        <v>503</v>
      </c>
      <c r="F103" s="17" t="s">
        <v>96</v>
      </c>
      <c r="G103" s="18" t="s">
        <v>504</v>
      </c>
      <c r="H103" s="18" t="s">
        <v>98</v>
      </c>
      <c r="I103" s="17" t="s">
        <v>642</v>
      </c>
      <c r="J103" s="17">
        <v>1</v>
      </c>
      <c r="K103" s="17">
        <v>0</v>
      </c>
      <c r="L103" s="17" t="s">
        <v>643</v>
      </c>
      <c r="M103" s="19" t="s">
        <v>101</v>
      </c>
      <c r="N103" s="17" t="s">
        <v>644</v>
      </c>
      <c r="O103" s="17" t="s">
        <v>645</v>
      </c>
      <c r="P103" s="17" t="str">
        <f>HYPERLINK("https://photon-sol.tinyastro.io/en/lp/8p1axiyVkUL5zTQREb8zGU2DqaiLUkG4TjDHayhVpump?handle=676050794bc1b1657a56b", "View")</f>
        <v>View</v>
      </c>
    </row>
    <row r="104" spans="1:16" x14ac:dyDescent="0.25">
      <c r="A104" s="13" t="s">
        <v>646</v>
      </c>
      <c r="B104" s="14">
        <v>16034730</v>
      </c>
      <c r="C104" s="14">
        <v>0</v>
      </c>
      <c r="D104" s="14" t="s">
        <v>94</v>
      </c>
      <c r="E104" s="14" t="s">
        <v>165</v>
      </c>
      <c r="F104" s="14" t="s">
        <v>96</v>
      </c>
      <c r="G104" s="18" t="s">
        <v>206</v>
      </c>
      <c r="H104" s="18" t="s">
        <v>98</v>
      </c>
      <c r="I104" s="14" t="s">
        <v>647</v>
      </c>
      <c r="J104" s="14">
        <v>1</v>
      </c>
      <c r="K104" s="14">
        <v>0</v>
      </c>
      <c r="L104" s="14" t="s">
        <v>648</v>
      </c>
      <c r="M104" s="19" t="s">
        <v>101</v>
      </c>
      <c r="N104" s="14" t="s">
        <v>649</v>
      </c>
      <c r="O104" s="14" t="s">
        <v>650</v>
      </c>
      <c r="P104" s="14" t="str">
        <f>HYPERLINK("https://dexscreener.com/solana/2BvM7SWHFpSBJMo3dduBP1J3G9LPjviHNQzw3fb8pump", "View")</f>
        <v>View</v>
      </c>
    </row>
    <row r="105" spans="1:16" x14ac:dyDescent="0.25">
      <c r="A105" s="16" t="s">
        <v>651</v>
      </c>
      <c r="B105" s="17">
        <v>3667493</v>
      </c>
      <c r="C105" s="17">
        <v>1810825</v>
      </c>
      <c r="D105" s="17" t="s">
        <v>298</v>
      </c>
      <c r="E105" s="17" t="s">
        <v>95</v>
      </c>
      <c r="F105" s="17" t="s">
        <v>652</v>
      </c>
      <c r="G105" s="20" t="s">
        <v>653</v>
      </c>
      <c r="H105" s="20" t="s">
        <v>654</v>
      </c>
      <c r="I105" s="17" t="s">
        <v>88</v>
      </c>
      <c r="J105" s="17">
        <v>1</v>
      </c>
      <c r="K105" s="17">
        <v>3</v>
      </c>
      <c r="L105" s="17" t="s">
        <v>655</v>
      </c>
      <c r="M105" s="17" t="s">
        <v>656</v>
      </c>
      <c r="N105" s="17" t="s">
        <v>657</v>
      </c>
      <c r="O105" s="17" t="s">
        <v>658</v>
      </c>
      <c r="P105" s="17" t="str">
        <f>HYPERLINK("https://dexscreener.com/solana/4ytpZgVoNB66bFs6NRCUaAVsLdtYk2fHq4U92Jnjpump", "View")</f>
        <v>View</v>
      </c>
    </row>
    <row r="106" spans="1:16" x14ac:dyDescent="0.25">
      <c r="A106" s="13" t="s">
        <v>659</v>
      </c>
      <c r="B106" s="14">
        <v>33156265</v>
      </c>
      <c r="C106" s="14">
        <v>6299690</v>
      </c>
      <c r="D106" s="14" t="s">
        <v>272</v>
      </c>
      <c r="E106" s="14" t="s">
        <v>569</v>
      </c>
      <c r="F106" s="14" t="s">
        <v>660</v>
      </c>
      <c r="G106" s="21" t="s">
        <v>661</v>
      </c>
      <c r="H106" s="21" t="s">
        <v>662</v>
      </c>
      <c r="I106" s="14" t="s">
        <v>88</v>
      </c>
      <c r="J106" s="14">
        <v>1</v>
      </c>
      <c r="K106" s="14">
        <v>2</v>
      </c>
      <c r="L106" s="14" t="s">
        <v>663</v>
      </c>
      <c r="M106" s="14" t="s">
        <v>117</v>
      </c>
      <c r="N106" s="14" t="s">
        <v>664</v>
      </c>
      <c r="O106" s="14" t="s">
        <v>665</v>
      </c>
      <c r="P106" s="14" t="str">
        <f>HYPERLINK("https://dexscreener.com/solana/3jg8dpbGd9bm3MELMxeu7m7yCGNgiWCn7JUeYTk9pump", "View")</f>
        <v>View</v>
      </c>
    </row>
    <row r="107" spans="1:16" x14ac:dyDescent="0.25">
      <c r="A107" s="16" t="s">
        <v>666</v>
      </c>
      <c r="B107" s="17">
        <v>4520882</v>
      </c>
      <c r="C107" s="17">
        <v>4520882</v>
      </c>
      <c r="D107" s="17" t="s">
        <v>83</v>
      </c>
      <c r="E107" s="17" t="s">
        <v>667</v>
      </c>
      <c r="F107" s="17" t="s">
        <v>668</v>
      </c>
      <c r="G107" s="15" t="s">
        <v>669</v>
      </c>
      <c r="H107" s="15" t="s">
        <v>670</v>
      </c>
      <c r="I107" s="17" t="s">
        <v>88</v>
      </c>
      <c r="J107" s="17">
        <v>1</v>
      </c>
      <c r="K107" s="17">
        <v>1</v>
      </c>
      <c r="L107" s="17" t="s">
        <v>671</v>
      </c>
      <c r="M107" s="17" t="s">
        <v>672</v>
      </c>
      <c r="N107" s="17" t="s">
        <v>673</v>
      </c>
      <c r="O107" s="17" t="s">
        <v>674</v>
      </c>
      <c r="P107" s="17" t="str">
        <f>HYPERLINK("https://dexscreener.com/solana/BMpFQJXd7KBLJBp174fKCFcDxyrd1cTXaFvcudJLpump", "View")</f>
        <v>View</v>
      </c>
    </row>
    <row r="108" spans="1:16" x14ac:dyDescent="0.25">
      <c r="A108" s="13" t="s">
        <v>675</v>
      </c>
      <c r="B108" s="14">
        <v>17024426</v>
      </c>
      <c r="C108" s="14">
        <v>17024426</v>
      </c>
      <c r="D108" s="14" t="s">
        <v>226</v>
      </c>
      <c r="E108" s="14" t="s">
        <v>165</v>
      </c>
      <c r="F108" s="14" t="s">
        <v>676</v>
      </c>
      <c r="G108" s="22" t="s">
        <v>677</v>
      </c>
      <c r="H108" s="22" t="s">
        <v>678</v>
      </c>
      <c r="I108" s="14" t="s">
        <v>88</v>
      </c>
      <c r="J108" s="14">
        <v>1</v>
      </c>
      <c r="K108" s="14">
        <v>1</v>
      </c>
      <c r="L108" s="14" t="s">
        <v>679</v>
      </c>
      <c r="M108" s="14" t="s">
        <v>680</v>
      </c>
      <c r="N108" s="14" t="s">
        <v>681</v>
      </c>
      <c r="O108" s="14" t="s">
        <v>682</v>
      </c>
      <c r="P108" s="14" t="str">
        <f>HYPERLINK("https://dexscreener.com/solana/7HiSM2hkmqzhZMLuKtGMWkhvDi2LpMBepWRFYjXXpump", "View")</f>
        <v>View</v>
      </c>
    </row>
    <row r="109" spans="1:16" x14ac:dyDescent="0.25">
      <c r="A109" s="16" t="s">
        <v>683</v>
      </c>
      <c r="B109" s="17">
        <v>25494638</v>
      </c>
      <c r="C109" s="17">
        <v>25494638</v>
      </c>
      <c r="D109" s="17" t="s">
        <v>684</v>
      </c>
      <c r="E109" s="17" t="s">
        <v>685</v>
      </c>
      <c r="F109" s="17" t="s">
        <v>686</v>
      </c>
      <c r="G109" s="21" t="s">
        <v>687</v>
      </c>
      <c r="H109" s="21" t="s">
        <v>688</v>
      </c>
      <c r="I109" s="17" t="s">
        <v>88</v>
      </c>
      <c r="J109" s="17">
        <v>1</v>
      </c>
      <c r="K109" s="17">
        <v>9</v>
      </c>
      <c r="L109" s="17" t="s">
        <v>689</v>
      </c>
      <c r="M109" s="17" t="s">
        <v>690</v>
      </c>
      <c r="N109" s="17" t="s">
        <v>691</v>
      </c>
      <c r="O109" s="17" t="s">
        <v>692</v>
      </c>
      <c r="P109" s="17" t="str">
        <f>HYPERLINK("https://photon-sol.tinyastro.io/en/lp/Ci6Y1UX8bY4jxn6YiogJmdCxFEu2jmZhCcG65PStpump?handle=676050794bc1b1657a56b", "View")</f>
        <v>View</v>
      </c>
    </row>
    <row r="110" spans="1:16" x14ac:dyDescent="0.25">
      <c r="A110" s="13" t="s">
        <v>693</v>
      </c>
      <c r="B110" s="14">
        <v>15332917</v>
      </c>
      <c r="C110" s="14">
        <v>15332917</v>
      </c>
      <c r="D110" s="14" t="s">
        <v>694</v>
      </c>
      <c r="E110" s="14" t="s">
        <v>165</v>
      </c>
      <c r="F110" s="14" t="s">
        <v>695</v>
      </c>
      <c r="G110" s="21" t="s">
        <v>696</v>
      </c>
      <c r="H110" s="21" t="s">
        <v>697</v>
      </c>
      <c r="I110" s="14" t="s">
        <v>88</v>
      </c>
      <c r="J110" s="14">
        <v>1</v>
      </c>
      <c r="K110" s="14">
        <v>2</v>
      </c>
      <c r="L110" s="14" t="s">
        <v>698</v>
      </c>
      <c r="M110" s="14" t="s">
        <v>699</v>
      </c>
      <c r="N110" s="14" t="s">
        <v>700</v>
      </c>
      <c r="O110" s="14" t="s">
        <v>701</v>
      </c>
      <c r="P110" s="14" t="str">
        <f>HYPERLINK("https://dexscreener.com/solana/A6J6iU22H4dzFsHiSRcPdwYCGtJLNFupDotwhKgfpump", "View")</f>
        <v>View</v>
      </c>
    </row>
    <row r="111" spans="1:16" x14ac:dyDescent="0.25">
      <c r="A111" s="16" t="s">
        <v>702</v>
      </c>
      <c r="B111" s="17">
        <v>1709041</v>
      </c>
      <c r="C111" s="17">
        <v>1709041</v>
      </c>
      <c r="D111" s="17" t="s">
        <v>226</v>
      </c>
      <c r="E111" s="17" t="s">
        <v>127</v>
      </c>
      <c r="F111" s="17" t="s">
        <v>703</v>
      </c>
      <c r="G111" s="15" t="s">
        <v>704</v>
      </c>
      <c r="H111" s="15" t="s">
        <v>705</v>
      </c>
      <c r="I111" s="17" t="s">
        <v>88</v>
      </c>
      <c r="J111" s="17">
        <v>1</v>
      </c>
      <c r="K111" s="17">
        <v>1</v>
      </c>
      <c r="L111" s="17" t="s">
        <v>706</v>
      </c>
      <c r="M111" s="17" t="s">
        <v>132</v>
      </c>
      <c r="N111" s="17" t="s">
        <v>707</v>
      </c>
      <c r="O111" s="17" t="s">
        <v>708</v>
      </c>
      <c r="P111" s="17" t="str">
        <f>HYPERLINK("https://dexscreener.com/solana/BoBj68cWnCvzMNUKzJyR7Jq7tLM3v76D1pYL1E8rpump", "View")</f>
        <v>View</v>
      </c>
    </row>
    <row r="112" spans="1:16" x14ac:dyDescent="0.25">
      <c r="A112" s="13" t="s">
        <v>709</v>
      </c>
      <c r="B112" s="14">
        <v>6041777</v>
      </c>
      <c r="C112" s="14">
        <v>6041777</v>
      </c>
      <c r="D112" s="14" t="s">
        <v>226</v>
      </c>
      <c r="E112" s="14" t="s">
        <v>84</v>
      </c>
      <c r="F112" s="14" t="s">
        <v>710</v>
      </c>
      <c r="G112" s="20" t="s">
        <v>711</v>
      </c>
      <c r="H112" s="20" t="s">
        <v>712</v>
      </c>
      <c r="I112" s="14" t="s">
        <v>88</v>
      </c>
      <c r="J112" s="14">
        <v>1</v>
      </c>
      <c r="K112" s="14">
        <v>1</v>
      </c>
      <c r="L112" s="14" t="s">
        <v>713</v>
      </c>
      <c r="M112" s="14" t="s">
        <v>117</v>
      </c>
      <c r="N112" s="14" t="s">
        <v>714</v>
      </c>
      <c r="O112" s="14" t="s">
        <v>715</v>
      </c>
      <c r="P112" s="14" t="str">
        <f>HYPERLINK("https://dexscreener.com/solana/HFw81sUUPBkNF5tKDanV8VCYTfVY4XbrEEPiwzyypump", "View")</f>
        <v>View</v>
      </c>
    </row>
    <row r="113" spans="1:16" x14ac:dyDescent="0.25">
      <c r="A113" s="16" t="s">
        <v>716</v>
      </c>
      <c r="B113" s="17">
        <v>7099907</v>
      </c>
      <c r="C113" s="17">
        <v>7099907</v>
      </c>
      <c r="D113" s="17" t="s">
        <v>717</v>
      </c>
      <c r="E113" s="17" t="s">
        <v>95</v>
      </c>
      <c r="F113" s="17" t="s">
        <v>718</v>
      </c>
      <c r="G113" s="20" t="s">
        <v>719</v>
      </c>
      <c r="H113" s="20" t="s">
        <v>720</v>
      </c>
      <c r="I113" s="17" t="s">
        <v>88</v>
      </c>
      <c r="J113" s="17">
        <v>1</v>
      </c>
      <c r="K113" s="17">
        <v>6</v>
      </c>
      <c r="L113" s="17" t="s">
        <v>721</v>
      </c>
      <c r="M113" s="17" t="s">
        <v>132</v>
      </c>
      <c r="N113" s="17" t="s">
        <v>722</v>
      </c>
      <c r="O113" s="17" t="s">
        <v>723</v>
      </c>
      <c r="P113" s="17" t="str">
        <f>HYPERLINK("https://dexscreener.com/solana/8QLTsTnPN4XxTP4ZU7osE4j5XpTmJWRDNQmjLzncpump", "View")</f>
        <v>View</v>
      </c>
    </row>
    <row r="114" spans="1:16" x14ac:dyDescent="0.25">
      <c r="A114" s="13" t="s">
        <v>724</v>
      </c>
      <c r="B114" s="14">
        <v>11386580</v>
      </c>
      <c r="C114" s="14">
        <v>11386580</v>
      </c>
      <c r="D114" s="14" t="s">
        <v>725</v>
      </c>
      <c r="E114" s="14" t="s">
        <v>165</v>
      </c>
      <c r="F114" s="14" t="s">
        <v>726</v>
      </c>
      <c r="G114" s="21" t="s">
        <v>727</v>
      </c>
      <c r="H114" s="21" t="s">
        <v>728</v>
      </c>
      <c r="I114" s="14" t="s">
        <v>88</v>
      </c>
      <c r="J114" s="14">
        <v>1</v>
      </c>
      <c r="K114" s="14">
        <v>16</v>
      </c>
      <c r="L114" s="14" t="s">
        <v>729</v>
      </c>
      <c r="M114" s="14" t="s">
        <v>699</v>
      </c>
      <c r="N114" s="14" t="s">
        <v>730</v>
      </c>
      <c r="O114" s="14" t="s">
        <v>731</v>
      </c>
      <c r="P114" s="14" t="str">
        <f>HYPERLINK("https://dexscreener.com/solana/A9e6JzPQstmz94pMnzxgyV14QUqoULSXuf5FPsq8UiRa", "View")</f>
        <v>View</v>
      </c>
    </row>
    <row r="115" spans="1:16" x14ac:dyDescent="0.25">
      <c r="A115" s="16" t="s">
        <v>732</v>
      </c>
      <c r="B115" s="17">
        <v>8305673</v>
      </c>
      <c r="C115" s="17">
        <v>8305673</v>
      </c>
      <c r="D115" s="17" t="s">
        <v>733</v>
      </c>
      <c r="E115" s="17" t="s">
        <v>127</v>
      </c>
      <c r="F115" s="17" t="s">
        <v>734</v>
      </c>
      <c r="G115" s="21" t="s">
        <v>735</v>
      </c>
      <c r="H115" s="21" t="s">
        <v>736</v>
      </c>
      <c r="I115" s="17" t="s">
        <v>88</v>
      </c>
      <c r="J115" s="17">
        <v>1</v>
      </c>
      <c r="K115" s="17">
        <v>13</v>
      </c>
      <c r="L115" s="17" t="s">
        <v>737</v>
      </c>
      <c r="M115" s="17" t="s">
        <v>150</v>
      </c>
      <c r="N115" s="17" t="s">
        <v>738</v>
      </c>
      <c r="O115" s="17" t="s">
        <v>739</v>
      </c>
      <c r="P115" s="17" t="str">
        <f>HYPERLINK("https://dexscreener.com/solana/39qibQxVzemuZTEvjSB7NePhw9WyyHdQCqP8xmBMpump", "View")</f>
        <v>View</v>
      </c>
    </row>
    <row r="116" spans="1:16" x14ac:dyDescent="0.25">
      <c r="A116" s="13" t="s">
        <v>740</v>
      </c>
      <c r="B116" s="14">
        <v>24825725</v>
      </c>
      <c r="C116" s="14">
        <v>13654149</v>
      </c>
      <c r="D116" s="14" t="s">
        <v>272</v>
      </c>
      <c r="E116" s="14" t="s">
        <v>165</v>
      </c>
      <c r="F116" s="14" t="s">
        <v>741</v>
      </c>
      <c r="G116" s="21" t="s">
        <v>742</v>
      </c>
      <c r="H116" s="21" t="s">
        <v>743</v>
      </c>
      <c r="I116" s="14" t="s">
        <v>88</v>
      </c>
      <c r="J116" s="14">
        <v>1</v>
      </c>
      <c r="K116" s="14">
        <v>2</v>
      </c>
      <c r="L116" s="14" t="s">
        <v>744</v>
      </c>
      <c r="M116" s="14" t="s">
        <v>745</v>
      </c>
      <c r="N116" s="14" t="s">
        <v>746</v>
      </c>
      <c r="O116" s="14" t="s">
        <v>747</v>
      </c>
      <c r="P116" s="14" t="str">
        <f>HYPERLINK("https://dexscreener.com/solana/BZW215nxTGpbw87TUQJJpABGTBXeXqfjxjDYyrjCpump", "View")</f>
        <v>View</v>
      </c>
    </row>
    <row r="117" spans="1:16" x14ac:dyDescent="0.25">
      <c r="A117" s="16" t="s">
        <v>748</v>
      </c>
      <c r="B117" s="17">
        <v>14606498</v>
      </c>
      <c r="C117" s="17">
        <v>14606498</v>
      </c>
      <c r="D117" s="17" t="s">
        <v>226</v>
      </c>
      <c r="E117" s="17" t="s">
        <v>84</v>
      </c>
      <c r="F117" s="17" t="s">
        <v>749</v>
      </c>
      <c r="G117" s="20" t="s">
        <v>750</v>
      </c>
      <c r="H117" s="20" t="s">
        <v>751</v>
      </c>
      <c r="I117" s="17" t="s">
        <v>88</v>
      </c>
      <c r="J117" s="17">
        <v>1</v>
      </c>
      <c r="K117" s="17">
        <v>1</v>
      </c>
      <c r="L117" s="17" t="s">
        <v>752</v>
      </c>
      <c r="M117" s="17" t="s">
        <v>680</v>
      </c>
      <c r="N117" s="17" t="s">
        <v>753</v>
      </c>
      <c r="O117" s="17" t="s">
        <v>754</v>
      </c>
      <c r="P117" s="17" t="str">
        <f>HYPERLINK("https://dexscreener.com/solana/5qmL9rCSfZ7pBYAsaoeG8SP76ZELeRCK8XtMmYZvpump", "View")</f>
        <v>View</v>
      </c>
    </row>
    <row r="118" spans="1:16" x14ac:dyDescent="0.25">
      <c r="A118" s="13" t="s">
        <v>755</v>
      </c>
      <c r="B118" s="14">
        <v>5758224</v>
      </c>
      <c r="C118" s="14">
        <v>0</v>
      </c>
      <c r="D118" s="14" t="s">
        <v>94</v>
      </c>
      <c r="E118" s="14" t="s">
        <v>127</v>
      </c>
      <c r="F118" s="14" t="s">
        <v>96</v>
      </c>
      <c r="G118" s="18" t="s">
        <v>200</v>
      </c>
      <c r="H118" s="18" t="s">
        <v>98</v>
      </c>
      <c r="I118" s="14" t="s">
        <v>756</v>
      </c>
      <c r="J118" s="14">
        <v>1</v>
      </c>
      <c r="K118" s="14">
        <v>0</v>
      </c>
      <c r="L118" s="14" t="s">
        <v>757</v>
      </c>
      <c r="M118" s="19" t="s">
        <v>101</v>
      </c>
      <c r="N118" s="14" t="s">
        <v>758</v>
      </c>
      <c r="O118" s="14" t="s">
        <v>759</v>
      </c>
      <c r="P118" s="14" t="str">
        <f>HYPERLINK("https://dexscreener.com/solana/Fmc9g6bL1Y8Szhn3pFqRnoEhaopbJNXHMdcxqHsUpump", "View")</f>
        <v>View</v>
      </c>
    </row>
    <row r="119" spans="1:16" x14ac:dyDescent="0.25">
      <c r="A119" s="16" t="s">
        <v>760</v>
      </c>
      <c r="B119" s="17">
        <v>9918255</v>
      </c>
      <c r="C119" s="17">
        <v>0</v>
      </c>
      <c r="D119" s="17" t="s">
        <v>94</v>
      </c>
      <c r="E119" s="17" t="s">
        <v>105</v>
      </c>
      <c r="F119" s="17" t="s">
        <v>96</v>
      </c>
      <c r="G119" s="18" t="s">
        <v>106</v>
      </c>
      <c r="H119" s="18" t="s">
        <v>98</v>
      </c>
      <c r="I119" s="17" t="s">
        <v>761</v>
      </c>
      <c r="J119" s="17">
        <v>1</v>
      </c>
      <c r="K119" s="17">
        <v>0</v>
      </c>
      <c r="L119" s="17" t="s">
        <v>762</v>
      </c>
      <c r="M119" s="19" t="s">
        <v>101</v>
      </c>
      <c r="N119" s="17" t="s">
        <v>763</v>
      </c>
      <c r="O119" s="17" t="s">
        <v>764</v>
      </c>
      <c r="P119" s="17" t="str">
        <f>HYPERLINK("https://dexscreener.com/solana/GZBwGGgmj3PGSkb8qgsLYkJAQexRVrxNKVZG8xYUpump", "View")</f>
        <v>View</v>
      </c>
    </row>
    <row r="120" spans="1:16" x14ac:dyDescent="0.25">
      <c r="A120" s="13" t="s">
        <v>765</v>
      </c>
      <c r="B120" s="14">
        <v>24288419</v>
      </c>
      <c r="C120" s="14">
        <v>0</v>
      </c>
      <c r="D120" s="14" t="s">
        <v>94</v>
      </c>
      <c r="E120" s="14" t="s">
        <v>219</v>
      </c>
      <c r="F120" s="14" t="s">
        <v>96</v>
      </c>
      <c r="G120" s="18" t="s">
        <v>220</v>
      </c>
      <c r="H120" s="18" t="s">
        <v>98</v>
      </c>
      <c r="I120" s="14" t="s">
        <v>766</v>
      </c>
      <c r="J120" s="14">
        <v>1</v>
      </c>
      <c r="K120" s="14">
        <v>0</v>
      </c>
      <c r="L120" s="14" t="s">
        <v>767</v>
      </c>
      <c r="M120" s="19" t="s">
        <v>101</v>
      </c>
      <c r="N120" s="14" t="s">
        <v>768</v>
      </c>
      <c r="O120" s="14" t="s">
        <v>769</v>
      </c>
      <c r="P120" s="14" t="str">
        <f>HYPERLINK("https://dexscreener.com/solana/C4M9TtoiDJ5LqfTTMiE1ch6gSY2pb9KMUZiXACg4pump", "View")</f>
        <v>View</v>
      </c>
    </row>
    <row r="121" spans="1:16" x14ac:dyDescent="0.25">
      <c r="A121" s="16" t="s">
        <v>770</v>
      </c>
      <c r="B121" s="17">
        <v>17711603</v>
      </c>
      <c r="C121" s="17">
        <v>0</v>
      </c>
      <c r="D121" s="17" t="s">
        <v>94</v>
      </c>
      <c r="E121" s="17" t="s">
        <v>771</v>
      </c>
      <c r="F121" s="17" t="s">
        <v>96</v>
      </c>
      <c r="G121" s="18" t="s">
        <v>772</v>
      </c>
      <c r="H121" s="18" t="s">
        <v>98</v>
      </c>
      <c r="I121" s="17" t="s">
        <v>773</v>
      </c>
      <c r="J121" s="17">
        <v>1</v>
      </c>
      <c r="K121" s="17">
        <v>0</v>
      </c>
      <c r="L121" s="17" t="s">
        <v>774</v>
      </c>
      <c r="M121" s="19" t="s">
        <v>101</v>
      </c>
      <c r="N121" s="17" t="s">
        <v>775</v>
      </c>
      <c r="O121" s="17" t="s">
        <v>776</v>
      </c>
      <c r="P121" s="17" t="str">
        <f>HYPERLINK("https://photon-sol.tinyastro.io/en/lp/ESG5smNY1ceGRwb6kdxojyPQmSG8aVjWpzBw3R7Npump?handle=676050794bc1b1657a56b", "View")</f>
        <v>View</v>
      </c>
    </row>
    <row r="122" spans="1:16" x14ac:dyDescent="0.25">
      <c r="A122" s="13" t="s">
        <v>777</v>
      </c>
      <c r="B122" s="14">
        <v>7215538</v>
      </c>
      <c r="C122" s="14">
        <v>0</v>
      </c>
      <c r="D122" s="14" t="s">
        <v>94</v>
      </c>
      <c r="E122" s="14" t="s">
        <v>778</v>
      </c>
      <c r="F122" s="14" t="s">
        <v>96</v>
      </c>
      <c r="G122" s="18" t="s">
        <v>779</v>
      </c>
      <c r="H122" s="18" t="s">
        <v>98</v>
      </c>
      <c r="I122" s="14" t="s">
        <v>780</v>
      </c>
      <c r="J122" s="14">
        <v>1</v>
      </c>
      <c r="K122" s="14">
        <v>0</v>
      </c>
      <c r="L122" s="14" t="s">
        <v>781</v>
      </c>
      <c r="M122" s="19" t="s">
        <v>101</v>
      </c>
      <c r="N122" s="14" t="s">
        <v>782</v>
      </c>
      <c r="O122" s="14" t="s">
        <v>783</v>
      </c>
      <c r="P122" s="14" t="str">
        <f>HYPERLINK("https://dexscreener.com/solana/ChxbSs4KuqSXMeAb7pa1eLxMgQ9wWybGoS3RLUt6pump", "View")</f>
        <v>View</v>
      </c>
    </row>
    <row r="123" spans="1:16" x14ac:dyDescent="0.25">
      <c r="A123" s="16" t="s">
        <v>777</v>
      </c>
      <c r="B123" s="17">
        <v>23611293</v>
      </c>
      <c r="C123" s="17">
        <v>8311175</v>
      </c>
      <c r="D123" s="17" t="s">
        <v>298</v>
      </c>
      <c r="E123" s="17" t="s">
        <v>778</v>
      </c>
      <c r="F123" s="17" t="s">
        <v>784</v>
      </c>
      <c r="G123" s="21" t="s">
        <v>785</v>
      </c>
      <c r="H123" s="21" t="s">
        <v>786</v>
      </c>
      <c r="I123" s="17" t="s">
        <v>88</v>
      </c>
      <c r="J123" s="17">
        <v>1</v>
      </c>
      <c r="K123" s="17">
        <v>3</v>
      </c>
      <c r="L123" s="17" t="s">
        <v>787</v>
      </c>
      <c r="M123" s="17" t="s">
        <v>788</v>
      </c>
      <c r="N123" s="17" t="s">
        <v>789</v>
      </c>
      <c r="O123" s="17" t="s">
        <v>790</v>
      </c>
      <c r="P123" s="17" t="str">
        <f>HYPERLINK("https://dexscreener.com/solana/5Nvo3o9h3WQy1LnLUfPTMuNCSTssi1WaW6ZJ8kuapump", "View")</f>
        <v>View</v>
      </c>
    </row>
    <row r="124" spans="1:16" x14ac:dyDescent="0.25">
      <c r="A124" s="13" t="s">
        <v>791</v>
      </c>
      <c r="B124" s="14">
        <v>33321449</v>
      </c>
      <c r="C124" s="14">
        <v>0</v>
      </c>
      <c r="D124" s="14" t="s">
        <v>94</v>
      </c>
      <c r="E124" s="14" t="s">
        <v>569</v>
      </c>
      <c r="F124" s="14" t="s">
        <v>96</v>
      </c>
      <c r="G124" s="18" t="s">
        <v>570</v>
      </c>
      <c r="H124" s="18" t="s">
        <v>98</v>
      </c>
      <c r="I124" s="14" t="s">
        <v>792</v>
      </c>
      <c r="J124" s="14">
        <v>1</v>
      </c>
      <c r="K124" s="14">
        <v>0</v>
      </c>
      <c r="L124" s="14" t="s">
        <v>793</v>
      </c>
      <c r="M124" s="19" t="s">
        <v>101</v>
      </c>
      <c r="N124" s="14" t="s">
        <v>794</v>
      </c>
      <c r="O124" s="14" t="s">
        <v>795</v>
      </c>
      <c r="P124" s="14" t="str">
        <f>HYPERLINK("https://dexscreener.com/solana/9HQgmwZe3nBDGjpScqhm1fJaT1ZzY4LWDk5ob3s9pump", "View")</f>
        <v>View</v>
      </c>
    </row>
    <row r="125" spans="1:16" x14ac:dyDescent="0.25">
      <c r="A125" s="16" t="s">
        <v>796</v>
      </c>
      <c r="B125" s="17">
        <v>21624342</v>
      </c>
      <c r="C125" s="17">
        <v>0</v>
      </c>
      <c r="D125" s="17" t="s">
        <v>94</v>
      </c>
      <c r="E125" s="17" t="s">
        <v>219</v>
      </c>
      <c r="F125" s="17" t="s">
        <v>96</v>
      </c>
      <c r="G125" s="18" t="s">
        <v>220</v>
      </c>
      <c r="H125" s="18" t="s">
        <v>98</v>
      </c>
      <c r="I125" s="17" t="s">
        <v>797</v>
      </c>
      <c r="J125" s="17">
        <v>1</v>
      </c>
      <c r="K125" s="17">
        <v>0</v>
      </c>
      <c r="L125" s="17" t="s">
        <v>798</v>
      </c>
      <c r="M125" s="19" t="s">
        <v>101</v>
      </c>
      <c r="N125" s="17" t="s">
        <v>799</v>
      </c>
      <c r="O125" s="17" t="s">
        <v>800</v>
      </c>
      <c r="P125" s="17" t="str">
        <f>HYPERLINK("https://dexscreener.com/solana/J7BVM6GnwFRkbXv9auM6yiKMKCZEqfZJNowEhY3Hpump", "View")</f>
        <v>View</v>
      </c>
    </row>
    <row r="126" spans="1:16" x14ac:dyDescent="0.25">
      <c r="A126" s="13" t="s">
        <v>801</v>
      </c>
      <c r="B126" s="14">
        <v>12255686</v>
      </c>
      <c r="C126" s="14">
        <v>12255686</v>
      </c>
      <c r="D126" s="14" t="s">
        <v>802</v>
      </c>
      <c r="E126" s="14" t="s">
        <v>667</v>
      </c>
      <c r="F126" s="14" t="s">
        <v>803</v>
      </c>
      <c r="G126" s="21" t="s">
        <v>804</v>
      </c>
      <c r="H126" s="21" t="s">
        <v>805</v>
      </c>
      <c r="I126" s="14" t="s">
        <v>88</v>
      </c>
      <c r="J126" s="14">
        <v>2</v>
      </c>
      <c r="K126" s="14">
        <v>7</v>
      </c>
      <c r="L126" s="14" t="s">
        <v>806</v>
      </c>
      <c r="M126" s="14" t="s">
        <v>150</v>
      </c>
      <c r="N126" s="14" t="s">
        <v>807</v>
      </c>
      <c r="O126" s="14" t="s">
        <v>808</v>
      </c>
      <c r="P126" s="14" t="str">
        <f>HYPERLINK("https://dexscreener.com/solana/3JXq16mWyo1uboEK9QCGcjjgCB3DXKWWcF1yySC7pump", "View")</f>
        <v>View</v>
      </c>
    </row>
    <row r="127" spans="1:16" x14ac:dyDescent="0.25">
      <c r="A127" s="16" t="s">
        <v>809</v>
      </c>
      <c r="B127" s="17">
        <v>1222096</v>
      </c>
      <c r="C127" s="17">
        <v>1222096</v>
      </c>
      <c r="D127" s="17" t="s">
        <v>810</v>
      </c>
      <c r="E127" s="17" t="s">
        <v>299</v>
      </c>
      <c r="F127" s="17" t="s">
        <v>811</v>
      </c>
      <c r="G127" s="22" t="s">
        <v>812</v>
      </c>
      <c r="H127" s="22" t="s">
        <v>813</v>
      </c>
      <c r="I127" s="17" t="s">
        <v>88</v>
      </c>
      <c r="J127" s="17">
        <v>1</v>
      </c>
      <c r="K127" s="17">
        <v>4</v>
      </c>
      <c r="L127" s="17" t="s">
        <v>814</v>
      </c>
      <c r="M127" s="17" t="s">
        <v>132</v>
      </c>
      <c r="N127" s="17" t="s">
        <v>815</v>
      </c>
      <c r="O127" s="17" t="s">
        <v>816</v>
      </c>
      <c r="P127" s="17" t="str">
        <f>HYPERLINK("https://dexscreener.com/solana/BoAQaykj3LtkM2Brevc7cQcRAzpqcsP47nJ2rkyopump", "View")</f>
        <v>View</v>
      </c>
    </row>
    <row r="128" spans="1:16" x14ac:dyDescent="0.25">
      <c r="A128" s="13" t="s">
        <v>817</v>
      </c>
      <c r="B128" s="14">
        <v>8553775</v>
      </c>
      <c r="C128" s="14">
        <v>8553775</v>
      </c>
      <c r="D128" s="14" t="s">
        <v>818</v>
      </c>
      <c r="E128" s="14" t="s">
        <v>84</v>
      </c>
      <c r="F128" s="14" t="s">
        <v>819</v>
      </c>
      <c r="G128" s="21" t="s">
        <v>820</v>
      </c>
      <c r="H128" s="21" t="s">
        <v>821</v>
      </c>
      <c r="I128" s="14" t="s">
        <v>88</v>
      </c>
      <c r="J128" s="14">
        <v>1</v>
      </c>
      <c r="K128" s="14">
        <v>26</v>
      </c>
      <c r="L128" s="14" t="s">
        <v>822</v>
      </c>
      <c r="M128" s="14" t="s">
        <v>823</v>
      </c>
      <c r="N128" s="14" t="s">
        <v>824</v>
      </c>
      <c r="O128" s="14" t="s">
        <v>825</v>
      </c>
      <c r="P128" s="14" t="str">
        <f>HYPERLINK("https://dexscreener.com/solana/DwDtUqBZJtbRpdjsFw3N7YKB5epocSru25BGcVhfcYtg", "View")</f>
        <v>View</v>
      </c>
    </row>
    <row r="129" spans="1:16" x14ac:dyDescent="0.25">
      <c r="A129" s="16" t="s">
        <v>826</v>
      </c>
      <c r="B129" s="17">
        <v>16787938</v>
      </c>
      <c r="C129" s="17">
        <v>0</v>
      </c>
      <c r="D129" s="17" t="s">
        <v>94</v>
      </c>
      <c r="E129" s="17" t="s">
        <v>105</v>
      </c>
      <c r="F129" s="17" t="s">
        <v>96</v>
      </c>
      <c r="G129" s="18" t="s">
        <v>106</v>
      </c>
      <c r="H129" s="18" t="s">
        <v>98</v>
      </c>
      <c r="I129" s="17" t="s">
        <v>827</v>
      </c>
      <c r="J129" s="17">
        <v>1</v>
      </c>
      <c r="K129" s="17">
        <v>0</v>
      </c>
      <c r="L129" s="17" t="s">
        <v>828</v>
      </c>
      <c r="M129" s="19" t="s">
        <v>101</v>
      </c>
      <c r="N129" s="17" t="s">
        <v>829</v>
      </c>
      <c r="O129" s="17" t="s">
        <v>830</v>
      </c>
      <c r="P129" s="17" t="str">
        <f>HYPERLINK("https://dexscreener.com/solana/C6Afi7uCY8Had26xwfjcbVvPaTzbFgiJdGjETs5Wpump", "View")</f>
        <v>View</v>
      </c>
    </row>
    <row r="130" spans="1:16" x14ac:dyDescent="0.25">
      <c r="A130" s="13" t="s">
        <v>831</v>
      </c>
      <c r="B130" s="14">
        <v>1253285</v>
      </c>
      <c r="C130" s="14">
        <v>1253285</v>
      </c>
      <c r="D130" s="14" t="s">
        <v>832</v>
      </c>
      <c r="E130" s="14" t="s">
        <v>174</v>
      </c>
      <c r="F130" s="14" t="s">
        <v>833</v>
      </c>
      <c r="G130" s="20" t="s">
        <v>834</v>
      </c>
      <c r="H130" s="20" t="s">
        <v>835</v>
      </c>
      <c r="I130" s="14" t="s">
        <v>88</v>
      </c>
      <c r="J130" s="14">
        <v>1</v>
      </c>
      <c r="K130" s="14">
        <v>1</v>
      </c>
      <c r="L130" s="14" t="s">
        <v>836</v>
      </c>
      <c r="M130" s="14" t="s">
        <v>699</v>
      </c>
      <c r="N130" s="14" t="s">
        <v>837</v>
      </c>
      <c r="O130" s="14" t="s">
        <v>838</v>
      </c>
      <c r="P130" s="14" t="str">
        <f>HYPERLINK("https://dexscreener.com/solana/4qNX615pV1oufdodNoiBzUsrUE3ww57DYg6LsUtupump", "View")</f>
        <v>View</v>
      </c>
    </row>
    <row r="131" spans="1:16" x14ac:dyDescent="0.25">
      <c r="A131" s="16" t="s">
        <v>839</v>
      </c>
      <c r="B131" s="17">
        <v>10845498</v>
      </c>
      <c r="C131" s="17">
        <v>0</v>
      </c>
      <c r="D131" s="17" t="s">
        <v>94</v>
      </c>
      <c r="E131" s="17" t="s">
        <v>165</v>
      </c>
      <c r="F131" s="17" t="s">
        <v>96</v>
      </c>
      <c r="G131" s="18" t="s">
        <v>206</v>
      </c>
      <c r="H131" s="18" t="s">
        <v>98</v>
      </c>
      <c r="I131" s="17" t="s">
        <v>840</v>
      </c>
      <c r="J131" s="17">
        <v>1</v>
      </c>
      <c r="K131" s="17">
        <v>0</v>
      </c>
      <c r="L131" s="17" t="s">
        <v>841</v>
      </c>
      <c r="M131" s="19" t="s">
        <v>101</v>
      </c>
      <c r="N131" s="17" t="s">
        <v>842</v>
      </c>
      <c r="O131" s="17" t="s">
        <v>843</v>
      </c>
      <c r="P131" s="17" t="str">
        <f>HYPERLINK("https://dexscreener.com/solana/BDJ3bvPgMc2EDmegnwBWYsFAWgRHDh7WELswgPJZpump", "View")</f>
        <v>View</v>
      </c>
    </row>
    <row r="132" spans="1:16" x14ac:dyDescent="0.25">
      <c r="A132" s="13" t="s">
        <v>844</v>
      </c>
      <c r="B132" s="14">
        <v>15606848</v>
      </c>
      <c r="C132" s="14">
        <v>4229456</v>
      </c>
      <c r="D132" s="14" t="s">
        <v>298</v>
      </c>
      <c r="E132" s="14" t="s">
        <v>165</v>
      </c>
      <c r="F132" s="14" t="s">
        <v>845</v>
      </c>
      <c r="G132" s="21" t="s">
        <v>846</v>
      </c>
      <c r="H132" s="21" t="s">
        <v>847</v>
      </c>
      <c r="I132" s="14" t="s">
        <v>88</v>
      </c>
      <c r="J132" s="14">
        <v>1</v>
      </c>
      <c r="K132" s="14">
        <v>3</v>
      </c>
      <c r="L132" s="14" t="s">
        <v>848</v>
      </c>
      <c r="M132" s="14" t="s">
        <v>179</v>
      </c>
      <c r="N132" s="14" t="s">
        <v>849</v>
      </c>
      <c r="O132" s="14" t="s">
        <v>850</v>
      </c>
      <c r="P132" s="14" t="str">
        <f>HYPERLINK("https://dexscreener.com/solana/3jik9c8wcB9xLJQyJJqNnabcRsbudZzFFYogaAaupump", "View")</f>
        <v>View</v>
      </c>
    </row>
    <row r="133" spans="1:16" x14ac:dyDescent="0.25">
      <c r="A133" s="16" t="s">
        <v>851</v>
      </c>
      <c r="B133" s="17">
        <v>8663725</v>
      </c>
      <c r="C133" s="17">
        <v>0</v>
      </c>
      <c r="D133" s="17" t="s">
        <v>94</v>
      </c>
      <c r="E133" s="17" t="s">
        <v>183</v>
      </c>
      <c r="F133" s="17" t="s">
        <v>96</v>
      </c>
      <c r="G133" s="18" t="s">
        <v>184</v>
      </c>
      <c r="H133" s="18" t="s">
        <v>98</v>
      </c>
      <c r="I133" s="17" t="s">
        <v>852</v>
      </c>
      <c r="J133" s="17">
        <v>1</v>
      </c>
      <c r="K133" s="17">
        <v>0</v>
      </c>
      <c r="L133" s="17" t="s">
        <v>853</v>
      </c>
      <c r="M133" s="19" t="s">
        <v>101</v>
      </c>
      <c r="N133" s="17" t="s">
        <v>854</v>
      </c>
      <c r="O133" s="17" t="s">
        <v>855</v>
      </c>
      <c r="P133" s="17" t="str">
        <f>HYPERLINK("https://dexscreener.com/solana/AJASqFZxU8Kw3Sg4wQTAARACgfhsJoZGMMmHgYigpump", "View")</f>
        <v>View</v>
      </c>
    </row>
    <row r="134" spans="1:16" x14ac:dyDescent="0.25">
      <c r="A134" s="13" t="s">
        <v>856</v>
      </c>
      <c r="B134" s="14">
        <v>30315583</v>
      </c>
      <c r="C134" s="14">
        <v>0</v>
      </c>
      <c r="D134" s="14" t="s">
        <v>94</v>
      </c>
      <c r="E134" s="14" t="s">
        <v>857</v>
      </c>
      <c r="F134" s="14" t="s">
        <v>96</v>
      </c>
      <c r="G134" s="18" t="s">
        <v>858</v>
      </c>
      <c r="H134" s="18" t="s">
        <v>98</v>
      </c>
      <c r="I134" s="14" t="s">
        <v>859</v>
      </c>
      <c r="J134" s="14">
        <v>1</v>
      </c>
      <c r="K134" s="14">
        <v>0</v>
      </c>
      <c r="L134" s="14" t="s">
        <v>860</v>
      </c>
      <c r="M134" s="19" t="s">
        <v>101</v>
      </c>
      <c r="N134" s="14" t="s">
        <v>861</v>
      </c>
      <c r="O134" s="14" t="s">
        <v>862</v>
      </c>
      <c r="P134" s="14" t="str">
        <f>HYPERLINK("https://photon-sol.tinyastro.io/en/lp/korawtRsb65nVuWdc4L9fSMXnLiAZ8HfiSTrLQwkyT2?handle=676050794bc1b1657a56b", "View")</f>
        <v>View</v>
      </c>
    </row>
    <row r="135" spans="1:16" x14ac:dyDescent="0.25">
      <c r="A135" s="16" t="s">
        <v>863</v>
      </c>
      <c r="B135" s="17">
        <v>6854335</v>
      </c>
      <c r="C135" s="17">
        <v>0</v>
      </c>
      <c r="D135" s="17" t="s">
        <v>864</v>
      </c>
      <c r="E135" s="17" t="s">
        <v>84</v>
      </c>
      <c r="F135" s="17" t="s">
        <v>96</v>
      </c>
      <c r="G135" s="18" t="s">
        <v>865</v>
      </c>
      <c r="H135" s="18" t="s">
        <v>98</v>
      </c>
      <c r="I135" s="17" t="s">
        <v>866</v>
      </c>
      <c r="J135" s="17">
        <v>1</v>
      </c>
      <c r="K135" s="17">
        <v>0</v>
      </c>
      <c r="L135" s="17" t="s">
        <v>867</v>
      </c>
      <c r="M135" s="19" t="s">
        <v>101</v>
      </c>
      <c r="N135" s="17" t="s">
        <v>868</v>
      </c>
      <c r="O135" s="17" t="s">
        <v>869</v>
      </c>
      <c r="P135" s="17" t="str">
        <f>HYPERLINK("https://dexscreener.com/solana/AHLay166DoVa5xKKv1Ke1jf9zkypNCUdBVtW4SXfpump", "View")</f>
        <v>View</v>
      </c>
    </row>
    <row r="136" spans="1:16" x14ac:dyDescent="0.25">
      <c r="A136" s="13" t="s">
        <v>870</v>
      </c>
      <c r="B136" s="14">
        <v>27419210</v>
      </c>
      <c r="C136" s="14">
        <v>0</v>
      </c>
      <c r="D136" s="14" t="s">
        <v>864</v>
      </c>
      <c r="E136" s="14" t="s">
        <v>219</v>
      </c>
      <c r="F136" s="14" t="s">
        <v>96</v>
      </c>
      <c r="G136" s="18" t="s">
        <v>871</v>
      </c>
      <c r="H136" s="18" t="s">
        <v>98</v>
      </c>
      <c r="I136" s="14" t="s">
        <v>872</v>
      </c>
      <c r="J136" s="14">
        <v>1</v>
      </c>
      <c r="K136" s="14">
        <v>0</v>
      </c>
      <c r="L136" s="14" t="s">
        <v>873</v>
      </c>
      <c r="M136" s="19" t="s">
        <v>101</v>
      </c>
      <c r="N136" s="14" t="s">
        <v>874</v>
      </c>
      <c r="O136" s="14" t="s">
        <v>875</v>
      </c>
      <c r="P136" s="14" t="str">
        <f>HYPERLINK("https://dexscreener.com/solana/35Ahbg8yjGh9kKANhh1rTJnbqWYSfbQ4gXdqF4h4pump", "View")</f>
        <v>View</v>
      </c>
    </row>
    <row r="137" spans="1:16" x14ac:dyDescent="0.25">
      <c r="A137" s="16" t="s">
        <v>876</v>
      </c>
      <c r="B137" s="17">
        <v>23713197</v>
      </c>
      <c r="C137" s="17">
        <v>0</v>
      </c>
      <c r="D137" s="17" t="s">
        <v>864</v>
      </c>
      <c r="E137" s="17" t="s">
        <v>569</v>
      </c>
      <c r="F137" s="17" t="s">
        <v>96</v>
      </c>
      <c r="G137" s="18" t="s">
        <v>877</v>
      </c>
      <c r="H137" s="18" t="s">
        <v>98</v>
      </c>
      <c r="I137" s="17" t="s">
        <v>878</v>
      </c>
      <c r="J137" s="17">
        <v>1</v>
      </c>
      <c r="K137" s="17">
        <v>0</v>
      </c>
      <c r="L137" s="17" t="s">
        <v>879</v>
      </c>
      <c r="M137" s="19" t="s">
        <v>101</v>
      </c>
      <c r="N137" s="17" t="s">
        <v>880</v>
      </c>
      <c r="O137" s="17" t="s">
        <v>881</v>
      </c>
      <c r="P137" s="17" t="str">
        <f>HYPERLINK("https://dexscreener.com/solana/LwLcyWpfkc2Rt4qdKeAWRQZN4C8ufnKhijWB7DApump", "View")</f>
        <v>View</v>
      </c>
    </row>
    <row r="138" spans="1:16" x14ac:dyDescent="0.25">
      <c r="A138" s="13" t="s">
        <v>882</v>
      </c>
      <c r="B138" s="14">
        <v>12031550</v>
      </c>
      <c r="C138" s="14">
        <v>12031550</v>
      </c>
      <c r="D138" s="14" t="s">
        <v>883</v>
      </c>
      <c r="E138" s="14" t="s">
        <v>127</v>
      </c>
      <c r="F138" s="14" t="s">
        <v>884</v>
      </c>
      <c r="G138" s="20" t="s">
        <v>535</v>
      </c>
      <c r="H138" s="20" t="s">
        <v>885</v>
      </c>
      <c r="I138" s="14" t="s">
        <v>88</v>
      </c>
      <c r="J138" s="14">
        <v>1</v>
      </c>
      <c r="K138" s="14">
        <v>1</v>
      </c>
      <c r="L138" s="14" t="s">
        <v>886</v>
      </c>
      <c r="M138" s="14" t="s">
        <v>304</v>
      </c>
      <c r="N138" s="14" t="s">
        <v>887</v>
      </c>
      <c r="O138" s="14" t="s">
        <v>888</v>
      </c>
      <c r="P138" s="14" t="str">
        <f>HYPERLINK("https://dexscreener.com/solana/73USbWxfhX9LxgC1tVyQRKq1AZsgLvwChCgEAcU6pump", "View")</f>
        <v>View</v>
      </c>
    </row>
    <row r="139" spans="1:16" x14ac:dyDescent="0.25">
      <c r="A139" s="16" t="s">
        <v>889</v>
      </c>
      <c r="B139" s="17">
        <v>14119328</v>
      </c>
      <c r="C139" s="17">
        <v>0</v>
      </c>
      <c r="D139" s="17" t="s">
        <v>864</v>
      </c>
      <c r="E139" s="17" t="s">
        <v>105</v>
      </c>
      <c r="F139" s="17" t="s">
        <v>96</v>
      </c>
      <c r="G139" s="18" t="s">
        <v>890</v>
      </c>
      <c r="H139" s="18" t="s">
        <v>98</v>
      </c>
      <c r="I139" s="17" t="s">
        <v>891</v>
      </c>
      <c r="J139" s="17">
        <v>1</v>
      </c>
      <c r="K139" s="17">
        <v>0</v>
      </c>
      <c r="L139" s="17" t="s">
        <v>892</v>
      </c>
      <c r="M139" s="19" t="s">
        <v>101</v>
      </c>
      <c r="N139" s="17" t="s">
        <v>893</v>
      </c>
      <c r="O139" s="17" t="s">
        <v>894</v>
      </c>
      <c r="P139" s="17" t="str">
        <f>HYPERLINK("https://dexscreener.com/solana/A1mvjhm4nTxGSHuW1EYqpkSMfQxjdTapbcVHLgm1pump", "View")</f>
        <v>View</v>
      </c>
    </row>
    <row r="140" spans="1:16" x14ac:dyDescent="0.25">
      <c r="A140" s="13" t="s">
        <v>895</v>
      </c>
      <c r="B140" s="14">
        <v>9030199</v>
      </c>
      <c r="C140" s="14">
        <v>0</v>
      </c>
      <c r="D140" s="14" t="s">
        <v>864</v>
      </c>
      <c r="E140" s="14" t="s">
        <v>667</v>
      </c>
      <c r="F140" s="14" t="s">
        <v>96</v>
      </c>
      <c r="G140" s="18" t="s">
        <v>896</v>
      </c>
      <c r="H140" s="18" t="s">
        <v>98</v>
      </c>
      <c r="I140" s="14" t="s">
        <v>897</v>
      </c>
      <c r="J140" s="14">
        <v>1</v>
      </c>
      <c r="K140" s="14">
        <v>0</v>
      </c>
      <c r="L140" s="14" t="s">
        <v>898</v>
      </c>
      <c r="M140" s="19" t="s">
        <v>101</v>
      </c>
      <c r="N140" s="14" t="s">
        <v>899</v>
      </c>
      <c r="O140" s="14" t="s">
        <v>900</v>
      </c>
      <c r="P140" s="14" t="str">
        <f>HYPERLINK("https://dexscreener.com/solana/C3YBjaivX99gzMdeQ1PCpVP3o5kNoaKkT2yAKFqRpump", "View")</f>
        <v>View</v>
      </c>
    </row>
    <row r="141" spans="1:16" x14ac:dyDescent="0.25">
      <c r="A141" s="16" t="s">
        <v>901</v>
      </c>
      <c r="B141" s="17">
        <v>26749572</v>
      </c>
      <c r="C141" s="17">
        <v>0</v>
      </c>
      <c r="D141" s="17" t="s">
        <v>864</v>
      </c>
      <c r="E141" s="17" t="s">
        <v>219</v>
      </c>
      <c r="F141" s="17" t="s">
        <v>96</v>
      </c>
      <c r="G141" s="18" t="s">
        <v>871</v>
      </c>
      <c r="H141" s="18" t="s">
        <v>98</v>
      </c>
      <c r="I141" s="17" t="s">
        <v>902</v>
      </c>
      <c r="J141" s="17">
        <v>1</v>
      </c>
      <c r="K141" s="17">
        <v>0</v>
      </c>
      <c r="L141" s="17" t="s">
        <v>903</v>
      </c>
      <c r="M141" s="19" t="s">
        <v>101</v>
      </c>
      <c r="N141" s="17" t="s">
        <v>904</v>
      </c>
      <c r="O141" s="17" t="s">
        <v>905</v>
      </c>
      <c r="P141" s="17" t="str">
        <f>HYPERLINK("https://dexscreener.com/solana/CcdoyAKPPuZBLL3zdZXGJkTQNuPSTehL8e8b3MmUpump", "View")</f>
        <v>View</v>
      </c>
    </row>
    <row r="142" spans="1:16" x14ac:dyDescent="0.25">
      <c r="A142" s="13" t="s">
        <v>906</v>
      </c>
      <c r="B142" s="14">
        <v>10714821</v>
      </c>
      <c r="C142" s="14">
        <v>0</v>
      </c>
      <c r="D142" s="14" t="s">
        <v>864</v>
      </c>
      <c r="E142" s="14" t="s">
        <v>174</v>
      </c>
      <c r="F142" s="14" t="s">
        <v>96</v>
      </c>
      <c r="G142" s="18" t="s">
        <v>907</v>
      </c>
      <c r="H142" s="18" t="s">
        <v>98</v>
      </c>
      <c r="I142" s="14" t="s">
        <v>908</v>
      </c>
      <c r="J142" s="14">
        <v>1</v>
      </c>
      <c r="K142" s="14">
        <v>0</v>
      </c>
      <c r="L142" s="14" t="s">
        <v>909</v>
      </c>
      <c r="M142" s="19" t="s">
        <v>101</v>
      </c>
      <c r="N142" s="14" t="s">
        <v>910</v>
      </c>
      <c r="O142" s="14" t="s">
        <v>911</v>
      </c>
      <c r="P142" s="14" t="str">
        <f>HYPERLINK("https://dexscreener.com/solana/8SJHvukeqYDyGi64zdv4AM4GrktUtaB7wPMgM3EHpump", "View")</f>
        <v>View</v>
      </c>
    </row>
    <row r="143" spans="1:16" x14ac:dyDescent="0.25">
      <c r="A143" s="16" t="s">
        <v>912</v>
      </c>
      <c r="B143" s="17">
        <v>45671686</v>
      </c>
      <c r="C143" s="17">
        <v>4567169</v>
      </c>
      <c r="D143" s="17" t="s">
        <v>913</v>
      </c>
      <c r="E143" s="17" t="s">
        <v>105</v>
      </c>
      <c r="F143" s="17" t="s">
        <v>914</v>
      </c>
      <c r="G143" s="20" t="s">
        <v>915</v>
      </c>
      <c r="H143" s="20" t="s">
        <v>916</v>
      </c>
      <c r="I143" s="17" t="s">
        <v>88</v>
      </c>
      <c r="J143" s="17">
        <v>2</v>
      </c>
      <c r="K143" s="17">
        <v>1</v>
      </c>
      <c r="L143" s="17" t="s">
        <v>917</v>
      </c>
      <c r="M143" s="17" t="s">
        <v>160</v>
      </c>
      <c r="N143" s="17" t="s">
        <v>918</v>
      </c>
      <c r="O143" s="17" t="s">
        <v>919</v>
      </c>
      <c r="P143" s="17" t="str">
        <f>HYPERLINK("https://dexscreener.com/solana/C9ZdNBhc5oZmqXhWMrKEdBv4pyN1uLDcaZhemmwopump", "View")</f>
        <v>View</v>
      </c>
    </row>
    <row r="144" spans="1:16" x14ac:dyDescent="0.25">
      <c r="A144" s="13" t="s">
        <v>920</v>
      </c>
      <c r="B144" s="14">
        <v>19527362</v>
      </c>
      <c r="C144" s="14">
        <v>0</v>
      </c>
      <c r="D144" s="14" t="s">
        <v>864</v>
      </c>
      <c r="E144" s="14" t="s">
        <v>165</v>
      </c>
      <c r="F144" s="14" t="s">
        <v>96</v>
      </c>
      <c r="G144" s="18" t="s">
        <v>921</v>
      </c>
      <c r="H144" s="18" t="s">
        <v>98</v>
      </c>
      <c r="I144" s="14" t="s">
        <v>922</v>
      </c>
      <c r="J144" s="14">
        <v>1</v>
      </c>
      <c r="K144" s="14">
        <v>0</v>
      </c>
      <c r="L144" s="14" t="s">
        <v>923</v>
      </c>
      <c r="M144" s="19" t="s">
        <v>101</v>
      </c>
      <c r="N144" s="14" t="s">
        <v>924</v>
      </c>
      <c r="O144" s="14" t="s">
        <v>925</v>
      </c>
      <c r="P144" s="14" t="str">
        <f>HYPERLINK("https://dexscreener.com/solana/Fgn3y5zLZTfi5UxP59yHbLmryWgWnHS4BFJHcsuVpump", "View")</f>
        <v>View</v>
      </c>
    </row>
    <row r="145" spans="1:16" x14ac:dyDescent="0.25">
      <c r="A145" s="16" t="s">
        <v>926</v>
      </c>
      <c r="B145" s="17">
        <v>18189382</v>
      </c>
      <c r="C145" s="17">
        <v>0</v>
      </c>
      <c r="D145" s="17" t="s">
        <v>864</v>
      </c>
      <c r="E145" s="17" t="s">
        <v>165</v>
      </c>
      <c r="F145" s="17" t="s">
        <v>96</v>
      </c>
      <c r="G145" s="18" t="s">
        <v>921</v>
      </c>
      <c r="H145" s="18" t="s">
        <v>98</v>
      </c>
      <c r="I145" s="17" t="s">
        <v>927</v>
      </c>
      <c r="J145" s="17">
        <v>1</v>
      </c>
      <c r="K145" s="17">
        <v>0</v>
      </c>
      <c r="L145" s="17" t="s">
        <v>928</v>
      </c>
      <c r="M145" s="19" t="s">
        <v>101</v>
      </c>
      <c r="N145" s="17" t="s">
        <v>929</v>
      </c>
      <c r="O145" s="17" t="s">
        <v>930</v>
      </c>
      <c r="P145" s="17" t="str">
        <f>HYPERLINK("https://dexscreener.com/solana/HxCHmV7w7DNsh6GkftwL7Ykmvx5U41C3LHnosGJJpump", "View")</f>
        <v>View</v>
      </c>
    </row>
    <row r="146" spans="1:16" x14ac:dyDescent="0.25">
      <c r="A146" s="13" t="s">
        <v>931</v>
      </c>
      <c r="B146" s="14">
        <v>12347016</v>
      </c>
      <c r="C146" s="14">
        <v>617351</v>
      </c>
      <c r="D146" s="14" t="s">
        <v>932</v>
      </c>
      <c r="E146" s="14" t="s">
        <v>105</v>
      </c>
      <c r="F146" s="14" t="s">
        <v>933</v>
      </c>
      <c r="G146" s="15" t="s">
        <v>934</v>
      </c>
      <c r="H146" s="15" t="s">
        <v>935</v>
      </c>
      <c r="I146" s="14" t="s">
        <v>88</v>
      </c>
      <c r="J146" s="14">
        <v>1</v>
      </c>
      <c r="K146" s="14">
        <v>1</v>
      </c>
      <c r="L146" s="14" t="s">
        <v>936</v>
      </c>
      <c r="M146" s="14" t="s">
        <v>937</v>
      </c>
      <c r="N146" s="14" t="s">
        <v>938</v>
      </c>
      <c r="O146" s="14" t="s">
        <v>939</v>
      </c>
      <c r="P146" s="14" t="str">
        <f>HYPERLINK("https://dexscreener.com/solana/3Y2Nnu5EDAQHurxmiv2sgpxtZtYV8eNnKNXacWgDpump", "View")</f>
        <v>View</v>
      </c>
    </row>
    <row r="147" spans="1:16" x14ac:dyDescent="0.25">
      <c r="A147" s="16" t="s">
        <v>940</v>
      </c>
      <c r="B147" s="17">
        <v>10253350</v>
      </c>
      <c r="C147" s="17">
        <v>0</v>
      </c>
      <c r="D147" s="17" t="s">
        <v>864</v>
      </c>
      <c r="E147" s="17" t="s">
        <v>165</v>
      </c>
      <c r="F147" s="17" t="s">
        <v>96</v>
      </c>
      <c r="G147" s="18" t="s">
        <v>921</v>
      </c>
      <c r="H147" s="18" t="s">
        <v>98</v>
      </c>
      <c r="I147" s="17" t="s">
        <v>941</v>
      </c>
      <c r="J147" s="17">
        <v>1</v>
      </c>
      <c r="K147" s="17">
        <v>0</v>
      </c>
      <c r="L147" s="17" t="s">
        <v>942</v>
      </c>
      <c r="M147" s="19" t="s">
        <v>101</v>
      </c>
      <c r="N147" s="17" t="s">
        <v>943</v>
      </c>
      <c r="O147" s="17" t="s">
        <v>944</v>
      </c>
      <c r="P147" s="17" t="str">
        <f>HYPERLINK("https://dexscreener.com/solana/C65t4Bd52R1ZdV1GVzzSyLqphoPrShiajsK5nJBrpump", "View")</f>
        <v>View</v>
      </c>
    </row>
    <row r="148" spans="1:16" x14ac:dyDescent="0.25">
      <c r="A148" s="13" t="s">
        <v>945</v>
      </c>
      <c r="B148" s="14">
        <v>4940946</v>
      </c>
      <c r="C148" s="14">
        <v>0</v>
      </c>
      <c r="D148" s="14" t="s">
        <v>864</v>
      </c>
      <c r="E148" s="14" t="s">
        <v>84</v>
      </c>
      <c r="F148" s="14" t="s">
        <v>96</v>
      </c>
      <c r="G148" s="18" t="s">
        <v>865</v>
      </c>
      <c r="H148" s="18" t="s">
        <v>98</v>
      </c>
      <c r="I148" s="14" t="s">
        <v>946</v>
      </c>
      <c r="J148" s="14">
        <v>1</v>
      </c>
      <c r="K148" s="14">
        <v>0</v>
      </c>
      <c r="L148" s="14" t="s">
        <v>947</v>
      </c>
      <c r="M148" s="19" t="s">
        <v>101</v>
      </c>
      <c r="N148" s="14" t="s">
        <v>948</v>
      </c>
      <c r="O148" s="14" t="s">
        <v>949</v>
      </c>
      <c r="P148" s="14" t="str">
        <f>HYPERLINK("https://dexscreener.com/solana/GDEuw8cG6TyAE3hwbFYmTEGVSHWHohLVPkQ3anTBpump", "View")</f>
        <v>View</v>
      </c>
    </row>
    <row r="149" spans="1:16" x14ac:dyDescent="0.25">
      <c r="A149" s="16" t="s">
        <v>950</v>
      </c>
      <c r="B149" s="17">
        <v>26369570</v>
      </c>
      <c r="C149" s="17">
        <v>0</v>
      </c>
      <c r="D149" s="17" t="s">
        <v>864</v>
      </c>
      <c r="E149" s="17" t="s">
        <v>951</v>
      </c>
      <c r="F149" s="17" t="s">
        <v>96</v>
      </c>
      <c r="G149" s="18" t="s">
        <v>952</v>
      </c>
      <c r="H149" s="18" t="s">
        <v>98</v>
      </c>
      <c r="I149" s="17" t="s">
        <v>953</v>
      </c>
      <c r="J149" s="17">
        <v>1</v>
      </c>
      <c r="K149" s="17">
        <v>0</v>
      </c>
      <c r="L149" s="17" t="s">
        <v>954</v>
      </c>
      <c r="M149" s="19" t="s">
        <v>101</v>
      </c>
      <c r="N149" s="17" t="s">
        <v>955</v>
      </c>
      <c r="O149" s="17" t="s">
        <v>956</v>
      </c>
      <c r="P149" s="17" t="str">
        <f>HYPERLINK("https://photon-sol.tinyastro.io/en/lp/47uzMUSMKrQ2Mc2Q4o2mApEUow85cGyTsSt5HT5wpump?handle=676050794bc1b1657a56b", "View")</f>
        <v>View</v>
      </c>
    </row>
    <row r="150" spans="1:16" x14ac:dyDescent="0.25">
      <c r="A150" s="13" t="s">
        <v>957</v>
      </c>
      <c r="B150" s="14">
        <v>15941310</v>
      </c>
      <c r="C150" s="14">
        <v>7925974</v>
      </c>
      <c r="D150" s="14" t="s">
        <v>958</v>
      </c>
      <c r="E150" s="14" t="s">
        <v>183</v>
      </c>
      <c r="F150" s="14" t="s">
        <v>959</v>
      </c>
      <c r="G150" s="21" t="s">
        <v>960</v>
      </c>
      <c r="H150" s="21" t="s">
        <v>961</v>
      </c>
      <c r="I150" s="14" t="s">
        <v>88</v>
      </c>
      <c r="J150" s="14">
        <v>1</v>
      </c>
      <c r="K150" s="14">
        <v>9</v>
      </c>
      <c r="L150" s="14" t="s">
        <v>962</v>
      </c>
      <c r="M150" s="14" t="s">
        <v>398</v>
      </c>
      <c r="N150" s="14" t="s">
        <v>963</v>
      </c>
      <c r="O150" s="14" t="s">
        <v>964</v>
      </c>
      <c r="P150" s="14" t="str">
        <f>HYPERLINK("https://dexscreener.com/solana/6bbATbj5XDYBoS8LFzQmDSRoGwfZZvNaAUA5WKuapump", "View")</f>
        <v>View</v>
      </c>
    </row>
    <row r="151" spans="1:16" x14ac:dyDescent="0.25">
      <c r="A151" s="16" t="s">
        <v>965</v>
      </c>
      <c r="B151" s="17">
        <v>24994955</v>
      </c>
      <c r="C151" s="17">
        <v>0</v>
      </c>
      <c r="D151" s="17" t="s">
        <v>864</v>
      </c>
      <c r="E151" s="17" t="s">
        <v>219</v>
      </c>
      <c r="F151" s="17" t="s">
        <v>96</v>
      </c>
      <c r="G151" s="18" t="s">
        <v>871</v>
      </c>
      <c r="H151" s="18" t="s">
        <v>98</v>
      </c>
      <c r="I151" s="17" t="s">
        <v>966</v>
      </c>
      <c r="J151" s="17">
        <v>1</v>
      </c>
      <c r="K151" s="17">
        <v>0</v>
      </c>
      <c r="L151" s="17" t="s">
        <v>967</v>
      </c>
      <c r="M151" s="19" t="s">
        <v>101</v>
      </c>
      <c r="N151" s="17" t="s">
        <v>968</v>
      </c>
      <c r="O151" s="17" t="s">
        <v>969</v>
      </c>
      <c r="P151" s="17" t="str">
        <f>HYPERLINK("https://dexscreener.com/solana/G9iehSSjm4SVcT85s1DNmNiTyaAhHrenYiWSLfXopump", "View")</f>
        <v>View</v>
      </c>
    </row>
    <row r="152" spans="1:16" x14ac:dyDescent="0.25">
      <c r="A152" s="13" t="s">
        <v>970</v>
      </c>
      <c r="B152" s="14">
        <v>10656883</v>
      </c>
      <c r="C152" s="14">
        <v>0</v>
      </c>
      <c r="D152" s="14" t="s">
        <v>864</v>
      </c>
      <c r="E152" s="14" t="s">
        <v>219</v>
      </c>
      <c r="F152" s="14" t="s">
        <v>96</v>
      </c>
      <c r="G152" s="18" t="s">
        <v>871</v>
      </c>
      <c r="H152" s="18" t="s">
        <v>98</v>
      </c>
      <c r="I152" s="14" t="s">
        <v>971</v>
      </c>
      <c r="J152" s="14">
        <v>1</v>
      </c>
      <c r="K152" s="14">
        <v>0</v>
      </c>
      <c r="L152" s="14" t="s">
        <v>972</v>
      </c>
      <c r="M152" s="19" t="s">
        <v>101</v>
      </c>
      <c r="N152" s="14" t="s">
        <v>973</v>
      </c>
      <c r="O152" s="14" t="s">
        <v>974</v>
      </c>
      <c r="P152" s="14" t="str">
        <f>HYPERLINK("https://dexscreener.com/solana/6KzUWrE31FSZyzswENJ5yR4DXzAzkD15NKvwK7tdpump", "View")</f>
        <v>View</v>
      </c>
    </row>
    <row r="153" spans="1:16" x14ac:dyDescent="0.25">
      <c r="A153" s="16" t="s">
        <v>975</v>
      </c>
      <c r="B153" s="17">
        <v>17134894</v>
      </c>
      <c r="C153" s="17">
        <v>856745</v>
      </c>
      <c r="D153" s="17" t="s">
        <v>932</v>
      </c>
      <c r="E153" s="17" t="s">
        <v>165</v>
      </c>
      <c r="F153" s="17" t="s">
        <v>976</v>
      </c>
      <c r="G153" s="15" t="s">
        <v>977</v>
      </c>
      <c r="H153" s="15" t="s">
        <v>978</v>
      </c>
      <c r="I153" s="17" t="s">
        <v>88</v>
      </c>
      <c r="J153" s="17">
        <v>1</v>
      </c>
      <c r="K153" s="17">
        <v>1</v>
      </c>
      <c r="L153" s="17" t="s">
        <v>979</v>
      </c>
      <c r="M153" s="17" t="s">
        <v>980</v>
      </c>
      <c r="N153" s="17" t="s">
        <v>981</v>
      </c>
      <c r="O153" s="17" t="s">
        <v>982</v>
      </c>
      <c r="P153" s="17" t="str">
        <f>HYPERLINK("https://dexscreener.com/solana/PeSuezqPQbB5k8F4Ew2hWoSjZxf1qKdEbri35s1pump", "View")</f>
        <v>View</v>
      </c>
    </row>
    <row r="154" spans="1:16" x14ac:dyDescent="0.25">
      <c r="A154" s="13" t="s">
        <v>983</v>
      </c>
      <c r="B154" s="14">
        <v>9764569</v>
      </c>
      <c r="C154" s="14">
        <v>0</v>
      </c>
      <c r="D154" s="14" t="s">
        <v>864</v>
      </c>
      <c r="E154" s="14" t="s">
        <v>212</v>
      </c>
      <c r="F154" s="14" t="s">
        <v>96</v>
      </c>
      <c r="G154" s="18" t="s">
        <v>984</v>
      </c>
      <c r="H154" s="18" t="s">
        <v>98</v>
      </c>
      <c r="I154" s="14" t="s">
        <v>985</v>
      </c>
      <c r="J154" s="14">
        <v>1</v>
      </c>
      <c r="K154" s="14">
        <v>0</v>
      </c>
      <c r="L154" s="14" t="s">
        <v>986</v>
      </c>
      <c r="M154" s="19" t="s">
        <v>101</v>
      </c>
      <c r="N154" s="14" t="s">
        <v>987</v>
      </c>
      <c r="O154" s="14" t="s">
        <v>988</v>
      </c>
      <c r="P154" s="14" t="str">
        <f>HYPERLINK("https://dexscreener.com/solana/5NED885EsFwpv4TfJ4V1YFdn9t7ohvbvmiQ6HXSwpump", "View")</f>
        <v>View</v>
      </c>
    </row>
    <row r="155" spans="1:16" x14ac:dyDescent="0.25">
      <c r="A155" s="16" t="s">
        <v>989</v>
      </c>
      <c r="B155" s="17">
        <v>53988762</v>
      </c>
      <c r="C155" s="17">
        <v>0</v>
      </c>
      <c r="D155" s="17" t="s">
        <v>864</v>
      </c>
      <c r="E155" s="17" t="s">
        <v>165</v>
      </c>
      <c r="F155" s="17" t="s">
        <v>96</v>
      </c>
      <c r="G155" s="18" t="s">
        <v>921</v>
      </c>
      <c r="H155" s="18" t="s">
        <v>98</v>
      </c>
      <c r="I155" s="17" t="s">
        <v>990</v>
      </c>
      <c r="J155" s="17">
        <v>1</v>
      </c>
      <c r="K155" s="17">
        <v>0</v>
      </c>
      <c r="L155" s="17" t="s">
        <v>991</v>
      </c>
      <c r="M155" s="19" t="s">
        <v>101</v>
      </c>
      <c r="N155" s="17" t="s">
        <v>904</v>
      </c>
      <c r="O155" s="17" t="s">
        <v>992</v>
      </c>
      <c r="P155" s="17" t="str">
        <f>HYPERLINK("https://dexscreener.com/solana/HKYbTVyfLaCJkWvjion7Me8ADu73mqKktTNjJEp7pump", "View")</f>
        <v>View</v>
      </c>
    </row>
    <row r="156" spans="1:16" x14ac:dyDescent="0.25">
      <c r="A156" s="13" t="s">
        <v>993</v>
      </c>
      <c r="B156" s="14">
        <v>5236122</v>
      </c>
      <c r="C156" s="14">
        <v>0</v>
      </c>
      <c r="D156" s="14" t="s">
        <v>864</v>
      </c>
      <c r="E156" s="14" t="s">
        <v>127</v>
      </c>
      <c r="F156" s="14" t="s">
        <v>96</v>
      </c>
      <c r="G156" s="18" t="s">
        <v>994</v>
      </c>
      <c r="H156" s="18" t="s">
        <v>98</v>
      </c>
      <c r="I156" s="14" t="s">
        <v>995</v>
      </c>
      <c r="J156" s="14">
        <v>1</v>
      </c>
      <c r="K156" s="14">
        <v>0</v>
      </c>
      <c r="L156" s="14" t="s">
        <v>996</v>
      </c>
      <c r="M156" s="19" t="s">
        <v>101</v>
      </c>
      <c r="N156" s="14" t="s">
        <v>997</v>
      </c>
      <c r="O156" s="14" t="s">
        <v>998</v>
      </c>
      <c r="P156" s="14" t="str">
        <f>HYPERLINK("https://dexscreener.com/solana/9qGKumCjK4iNuY4je1nxpt7xb3q7wBa2NZSzJRvEpump", "View")</f>
        <v>View</v>
      </c>
    </row>
    <row r="157" spans="1:16" x14ac:dyDescent="0.25">
      <c r="A157" s="16" t="s">
        <v>999</v>
      </c>
      <c r="B157" s="17">
        <v>25033368</v>
      </c>
      <c r="C157" s="17">
        <v>0</v>
      </c>
      <c r="D157" s="17" t="s">
        <v>864</v>
      </c>
      <c r="E157" s="17" t="s">
        <v>1000</v>
      </c>
      <c r="F157" s="17" t="s">
        <v>96</v>
      </c>
      <c r="G157" s="18" t="s">
        <v>1001</v>
      </c>
      <c r="H157" s="18" t="s">
        <v>98</v>
      </c>
      <c r="I157" s="17" t="s">
        <v>1002</v>
      </c>
      <c r="J157" s="17">
        <v>1</v>
      </c>
      <c r="K157" s="17">
        <v>0</v>
      </c>
      <c r="L157" s="17" t="s">
        <v>1003</v>
      </c>
      <c r="M157" s="19" t="s">
        <v>101</v>
      </c>
      <c r="N157" s="17" t="s">
        <v>1004</v>
      </c>
      <c r="O157" s="17" t="s">
        <v>1005</v>
      </c>
      <c r="P157" s="17" t="str">
        <f>HYPERLINK("https://photon-sol.tinyastro.io/en/lp/8rp71jZuReY95JvR8vTc1zbdaM7o1wjZTtwsJdNmpump?handle=676050794bc1b1657a56b", "View")</f>
        <v>View</v>
      </c>
    </row>
    <row r="158" spans="1:16" x14ac:dyDescent="0.25">
      <c r="A158" s="13" t="s">
        <v>1006</v>
      </c>
      <c r="B158" s="14">
        <v>24709844</v>
      </c>
      <c r="C158" s="14">
        <v>0</v>
      </c>
      <c r="D158" s="14" t="s">
        <v>864</v>
      </c>
      <c r="E158" s="14" t="s">
        <v>1007</v>
      </c>
      <c r="F158" s="14" t="s">
        <v>96</v>
      </c>
      <c r="G158" s="18" t="s">
        <v>1008</v>
      </c>
      <c r="H158" s="18" t="s">
        <v>98</v>
      </c>
      <c r="I158" s="14" t="s">
        <v>1009</v>
      </c>
      <c r="J158" s="14">
        <v>1</v>
      </c>
      <c r="K158" s="14">
        <v>0</v>
      </c>
      <c r="L158" s="14" t="s">
        <v>1010</v>
      </c>
      <c r="M158" s="19" t="s">
        <v>101</v>
      </c>
      <c r="N158" s="14" t="s">
        <v>1011</v>
      </c>
      <c r="O158" s="14" t="s">
        <v>1012</v>
      </c>
      <c r="P158" s="14" t="str">
        <f>HYPERLINK("https://dexscreener.com/solana/DgEbSx4RoMzhz6CJyKN9PN293zPbEm33Sn7BTQVfpump", "View")</f>
        <v>View</v>
      </c>
    </row>
    <row r="159" spans="1:16" x14ac:dyDescent="0.25">
      <c r="A159" s="16" t="s">
        <v>1013</v>
      </c>
      <c r="B159" s="17">
        <v>13383441</v>
      </c>
      <c r="C159" s="17">
        <v>0</v>
      </c>
      <c r="D159" s="17" t="s">
        <v>864</v>
      </c>
      <c r="E159" s="17" t="s">
        <v>165</v>
      </c>
      <c r="F159" s="17" t="s">
        <v>96</v>
      </c>
      <c r="G159" s="18" t="s">
        <v>921</v>
      </c>
      <c r="H159" s="18" t="s">
        <v>98</v>
      </c>
      <c r="I159" s="17" t="s">
        <v>1014</v>
      </c>
      <c r="J159" s="17">
        <v>1</v>
      </c>
      <c r="K159" s="17">
        <v>0</v>
      </c>
      <c r="L159" s="17" t="s">
        <v>1015</v>
      </c>
      <c r="M159" s="19" t="s">
        <v>101</v>
      </c>
      <c r="N159" s="17" t="s">
        <v>1016</v>
      </c>
      <c r="O159" s="17" t="s">
        <v>1017</v>
      </c>
      <c r="P159" s="17" t="str">
        <f>HYPERLINK("https://dexscreener.com/solana/EjggBgTdE9bXWdaFcsnQjBsZTv2mHQKVEKxARpQSpump", "View")</f>
        <v>View</v>
      </c>
    </row>
    <row r="160" spans="1:16" x14ac:dyDescent="0.25">
      <c r="A160" s="13" t="s">
        <v>1018</v>
      </c>
      <c r="B160" s="14">
        <v>16584167</v>
      </c>
      <c r="C160" s="14">
        <v>0</v>
      </c>
      <c r="D160" s="14" t="s">
        <v>864</v>
      </c>
      <c r="E160" s="14" t="s">
        <v>219</v>
      </c>
      <c r="F160" s="14" t="s">
        <v>96</v>
      </c>
      <c r="G160" s="18" t="s">
        <v>871</v>
      </c>
      <c r="H160" s="18" t="s">
        <v>98</v>
      </c>
      <c r="I160" s="14" t="s">
        <v>1019</v>
      </c>
      <c r="J160" s="14">
        <v>1</v>
      </c>
      <c r="K160" s="14">
        <v>0</v>
      </c>
      <c r="L160" s="14" t="s">
        <v>1020</v>
      </c>
      <c r="M160" s="19" t="s">
        <v>101</v>
      </c>
      <c r="N160" s="14" t="s">
        <v>1021</v>
      </c>
      <c r="O160" s="14" t="s">
        <v>1022</v>
      </c>
      <c r="P160" s="14" t="str">
        <f>HYPERLINK("https://dexscreener.com/solana/gVjogZYnqBd8jxqhKdV64TcAoiFDcjH1iYZCPfCpump", "View")</f>
        <v>View</v>
      </c>
    </row>
    <row r="161" spans="1:16" x14ac:dyDescent="0.25">
      <c r="A161" s="16" t="s">
        <v>1023</v>
      </c>
      <c r="B161" s="17">
        <v>30728542</v>
      </c>
      <c r="C161" s="17">
        <v>0</v>
      </c>
      <c r="D161" s="17" t="s">
        <v>864</v>
      </c>
      <c r="E161" s="17" t="s">
        <v>1024</v>
      </c>
      <c r="F161" s="17" t="s">
        <v>96</v>
      </c>
      <c r="G161" s="18" t="s">
        <v>1025</v>
      </c>
      <c r="H161" s="18" t="s">
        <v>98</v>
      </c>
      <c r="I161" s="17" t="s">
        <v>1026</v>
      </c>
      <c r="J161" s="17">
        <v>1</v>
      </c>
      <c r="K161" s="17">
        <v>0</v>
      </c>
      <c r="L161" s="17" t="s">
        <v>1027</v>
      </c>
      <c r="M161" s="19" t="s">
        <v>101</v>
      </c>
      <c r="N161" s="17" t="s">
        <v>1028</v>
      </c>
      <c r="O161" s="17" t="s">
        <v>1029</v>
      </c>
      <c r="P161" s="17" t="str">
        <f>HYPERLINK("https://photon-sol.tinyastro.io/en/lp/9ri6eT4zxfsKLo3a9aGnqQVjx2bnfeJFzMu9pBw3pump?handle=676050794bc1b1657a56b", "View")</f>
        <v>View</v>
      </c>
    </row>
    <row r="162" spans="1:16" x14ac:dyDescent="0.25">
      <c r="A162" s="13" t="s">
        <v>1030</v>
      </c>
      <c r="B162" s="14">
        <v>18395975</v>
      </c>
      <c r="C162" s="14">
        <v>0</v>
      </c>
      <c r="D162" s="14" t="s">
        <v>864</v>
      </c>
      <c r="E162" s="14" t="s">
        <v>165</v>
      </c>
      <c r="F162" s="14" t="s">
        <v>96</v>
      </c>
      <c r="G162" s="18" t="s">
        <v>921</v>
      </c>
      <c r="H162" s="18" t="s">
        <v>98</v>
      </c>
      <c r="I162" s="14" t="s">
        <v>1031</v>
      </c>
      <c r="J162" s="14">
        <v>1</v>
      </c>
      <c r="K162" s="14">
        <v>0</v>
      </c>
      <c r="L162" s="14" t="s">
        <v>1032</v>
      </c>
      <c r="M162" s="19" t="s">
        <v>101</v>
      </c>
      <c r="N162" s="14" t="s">
        <v>1033</v>
      </c>
      <c r="O162" s="14" t="s">
        <v>1034</v>
      </c>
      <c r="P162" s="14" t="str">
        <f>HYPERLINK("https://dexscreener.com/solana/5bakCrizCSwwWJLYoZV68HmowQTTCDiwASFrxcZhpump", "View")</f>
        <v>View</v>
      </c>
    </row>
    <row r="163" spans="1:16" x14ac:dyDescent="0.25">
      <c r="A163" s="16" t="s">
        <v>1035</v>
      </c>
      <c r="B163" s="17">
        <v>10302077</v>
      </c>
      <c r="C163" s="17">
        <v>0</v>
      </c>
      <c r="D163" s="17" t="s">
        <v>864</v>
      </c>
      <c r="E163" s="17" t="s">
        <v>165</v>
      </c>
      <c r="F163" s="17" t="s">
        <v>96</v>
      </c>
      <c r="G163" s="18" t="s">
        <v>921</v>
      </c>
      <c r="H163" s="18" t="s">
        <v>98</v>
      </c>
      <c r="I163" s="17" t="s">
        <v>1036</v>
      </c>
      <c r="J163" s="17">
        <v>1</v>
      </c>
      <c r="K163" s="17">
        <v>0</v>
      </c>
      <c r="L163" s="17" t="s">
        <v>1037</v>
      </c>
      <c r="M163" s="19" t="s">
        <v>101</v>
      </c>
      <c r="N163" s="17" t="s">
        <v>1038</v>
      </c>
      <c r="O163" s="17" t="s">
        <v>1039</v>
      </c>
      <c r="P163" s="17" t="str">
        <f>HYPERLINK("https://dexscreener.com/solana/ExHtzxVCEHKb61SVQ1dVADXvRGSbm3hQtfKnLfZ8pump", "View")</f>
        <v>View</v>
      </c>
    </row>
    <row r="164" spans="1:16" x14ac:dyDescent="0.25">
      <c r="A164" s="13" t="s">
        <v>1040</v>
      </c>
      <c r="B164" s="14">
        <v>12524309</v>
      </c>
      <c r="C164" s="14">
        <v>0</v>
      </c>
      <c r="D164" s="14" t="s">
        <v>864</v>
      </c>
      <c r="E164" s="14" t="s">
        <v>165</v>
      </c>
      <c r="F164" s="14" t="s">
        <v>96</v>
      </c>
      <c r="G164" s="18" t="s">
        <v>921</v>
      </c>
      <c r="H164" s="18" t="s">
        <v>98</v>
      </c>
      <c r="I164" s="14" t="s">
        <v>1041</v>
      </c>
      <c r="J164" s="14">
        <v>1</v>
      </c>
      <c r="K164" s="14">
        <v>0</v>
      </c>
      <c r="L164" s="14" t="s">
        <v>1042</v>
      </c>
      <c r="M164" s="19" t="s">
        <v>101</v>
      </c>
      <c r="N164" s="14" t="s">
        <v>1043</v>
      </c>
      <c r="O164" s="14" t="s">
        <v>1044</v>
      </c>
      <c r="P164" s="14" t="str">
        <f>HYPERLINK("https://dexscreener.com/solana/4BSDdi614rkdb11qQNAUFvaDqZvykn5H8xjQCCTajDVx", "View")</f>
        <v>View</v>
      </c>
    </row>
    <row r="165" spans="1:16" x14ac:dyDescent="0.25">
      <c r="A165" s="16" t="s">
        <v>1045</v>
      </c>
      <c r="B165" s="17">
        <v>10066922</v>
      </c>
      <c r="C165" s="17">
        <v>0</v>
      </c>
      <c r="D165" s="17" t="s">
        <v>864</v>
      </c>
      <c r="E165" s="17" t="s">
        <v>165</v>
      </c>
      <c r="F165" s="17" t="s">
        <v>96</v>
      </c>
      <c r="G165" s="18" t="s">
        <v>921</v>
      </c>
      <c r="H165" s="18" t="s">
        <v>98</v>
      </c>
      <c r="I165" s="17" t="s">
        <v>1046</v>
      </c>
      <c r="J165" s="17">
        <v>1</v>
      </c>
      <c r="K165" s="17">
        <v>0</v>
      </c>
      <c r="L165" s="17" t="s">
        <v>1047</v>
      </c>
      <c r="M165" s="19" t="s">
        <v>101</v>
      </c>
      <c r="N165" s="17" t="s">
        <v>1048</v>
      </c>
      <c r="O165" s="17" t="s">
        <v>1049</v>
      </c>
      <c r="P165" s="17" t="str">
        <f>HYPERLINK("https://dexscreener.com/solana/CKDnn4zTnfSXdeSmJAEQdUyxHH3Lp3pSpYRzizNbpump", "View")</f>
        <v>View</v>
      </c>
    </row>
    <row r="166" spans="1:16" x14ac:dyDescent="0.25">
      <c r="A166" s="13" t="s">
        <v>1050</v>
      </c>
      <c r="B166" s="14">
        <v>30040550</v>
      </c>
      <c r="C166" s="14">
        <v>0</v>
      </c>
      <c r="D166" s="14" t="s">
        <v>864</v>
      </c>
      <c r="E166" s="14" t="s">
        <v>1051</v>
      </c>
      <c r="F166" s="14" t="s">
        <v>96</v>
      </c>
      <c r="G166" s="18" t="s">
        <v>1052</v>
      </c>
      <c r="H166" s="18" t="s">
        <v>98</v>
      </c>
      <c r="I166" s="14" t="s">
        <v>1053</v>
      </c>
      <c r="J166" s="14">
        <v>1</v>
      </c>
      <c r="K166" s="14">
        <v>0</v>
      </c>
      <c r="L166" s="14" t="s">
        <v>1054</v>
      </c>
      <c r="M166" s="19" t="s">
        <v>101</v>
      </c>
      <c r="N166" s="14" t="s">
        <v>1055</v>
      </c>
      <c r="O166" s="14" t="s">
        <v>1056</v>
      </c>
      <c r="P166" s="14" t="str">
        <f>HYPERLINK("https://photon-sol.tinyastro.io/en/lp/gBjcxxWdjYyaiTgiRBWu3HnqfxfQzw5ccah9eR6pump?handle=676050794bc1b1657a56b", "View")</f>
        <v>View</v>
      </c>
    </row>
    <row r="167" spans="1:16" x14ac:dyDescent="0.25">
      <c r="A167" s="16" t="s">
        <v>1057</v>
      </c>
      <c r="B167" s="17">
        <v>9764857</v>
      </c>
      <c r="C167" s="17">
        <v>0</v>
      </c>
      <c r="D167" s="17" t="s">
        <v>864</v>
      </c>
      <c r="E167" s="17" t="s">
        <v>165</v>
      </c>
      <c r="F167" s="17" t="s">
        <v>96</v>
      </c>
      <c r="G167" s="18" t="s">
        <v>921</v>
      </c>
      <c r="H167" s="18" t="s">
        <v>98</v>
      </c>
      <c r="I167" s="17" t="s">
        <v>1058</v>
      </c>
      <c r="J167" s="17">
        <v>1</v>
      </c>
      <c r="K167" s="17">
        <v>0</v>
      </c>
      <c r="L167" s="17" t="s">
        <v>1059</v>
      </c>
      <c r="M167" s="19" t="s">
        <v>101</v>
      </c>
      <c r="N167" s="17" t="s">
        <v>1060</v>
      </c>
      <c r="O167" s="17" t="s">
        <v>1061</v>
      </c>
      <c r="P167" s="17" t="str">
        <f>HYPERLINK("https://dexscreener.com/solana/HeCFQ5hiDZRKVYEuDF1LYBfbYfqAg98CQtbrTR7ipump", "View")</f>
        <v>View</v>
      </c>
    </row>
    <row r="168" spans="1:16" x14ac:dyDescent="0.25">
      <c r="A168" s="13" t="s">
        <v>1062</v>
      </c>
      <c r="B168" s="14">
        <v>8457157</v>
      </c>
      <c r="C168" s="14">
        <v>0</v>
      </c>
      <c r="D168" s="14" t="s">
        <v>864</v>
      </c>
      <c r="E168" s="14" t="s">
        <v>183</v>
      </c>
      <c r="F168" s="14" t="s">
        <v>96</v>
      </c>
      <c r="G168" s="18" t="s">
        <v>1063</v>
      </c>
      <c r="H168" s="18" t="s">
        <v>98</v>
      </c>
      <c r="I168" s="14" t="s">
        <v>1064</v>
      </c>
      <c r="J168" s="14">
        <v>1</v>
      </c>
      <c r="K168" s="14">
        <v>0</v>
      </c>
      <c r="L168" s="14" t="s">
        <v>1065</v>
      </c>
      <c r="M168" s="19" t="s">
        <v>101</v>
      </c>
      <c r="N168" s="14" t="s">
        <v>1066</v>
      </c>
      <c r="O168" s="14" t="s">
        <v>1067</v>
      </c>
      <c r="P168" s="14" t="str">
        <f>HYPERLINK("https://dexscreener.com/solana/2tBPEZp3uChtKvdKhWgaA8AsqK3J6Mvt8w7XQo39pump", "View")</f>
        <v>View</v>
      </c>
    </row>
    <row r="169" spans="1:16" x14ac:dyDescent="0.25">
      <c r="A169" s="16" t="s">
        <v>1068</v>
      </c>
      <c r="B169" s="17">
        <v>28180803</v>
      </c>
      <c r="C169" s="17">
        <v>0</v>
      </c>
      <c r="D169" s="17" t="s">
        <v>864</v>
      </c>
      <c r="E169" s="17" t="s">
        <v>1069</v>
      </c>
      <c r="F169" s="17" t="s">
        <v>96</v>
      </c>
      <c r="G169" s="18" t="s">
        <v>1070</v>
      </c>
      <c r="H169" s="18" t="s">
        <v>98</v>
      </c>
      <c r="I169" s="17" t="s">
        <v>1071</v>
      </c>
      <c r="J169" s="17">
        <v>1</v>
      </c>
      <c r="K169" s="17">
        <v>0</v>
      </c>
      <c r="L169" s="17" t="s">
        <v>1072</v>
      </c>
      <c r="M169" s="19" t="s">
        <v>101</v>
      </c>
      <c r="N169" s="17" t="s">
        <v>1073</v>
      </c>
      <c r="O169" s="17" t="s">
        <v>1074</v>
      </c>
      <c r="P169" s="17" t="str">
        <f>HYPERLINK("https://photon-sol.tinyastro.io/en/lp/7e37YzFumcYBbnVbpiDVMTcmSM3AvEJQENBHSHVUpump?handle=676050794bc1b1657a56b", "View")</f>
        <v>View</v>
      </c>
    </row>
    <row r="170" spans="1:16" x14ac:dyDescent="0.25">
      <c r="A170" s="13" t="s">
        <v>1075</v>
      </c>
      <c r="B170" s="14">
        <v>9224023</v>
      </c>
      <c r="C170" s="14">
        <v>0</v>
      </c>
      <c r="D170" s="14" t="s">
        <v>864</v>
      </c>
      <c r="E170" s="14" t="s">
        <v>165</v>
      </c>
      <c r="F170" s="14" t="s">
        <v>96</v>
      </c>
      <c r="G170" s="18" t="s">
        <v>921</v>
      </c>
      <c r="H170" s="18" t="s">
        <v>98</v>
      </c>
      <c r="I170" s="14" t="s">
        <v>1076</v>
      </c>
      <c r="J170" s="14">
        <v>1</v>
      </c>
      <c r="K170" s="14">
        <v>0</v>
      </c>
      <c r="L170" s="14" t="s">
        <v>1077</v>
      </c>
      <c r="M170" s="19" t="s">
        <v>101</v>
      </c>
      <c r="N170" s="14" t="s">
        <v>1078</v>
      </c>
      <c r="O170" s="14" t="s">
        <v>1079</v>
      </c>
      <c r="P170" s="14" t="str">
        <f>HYPERLINK("https://dexscreener.com/solana/AsyfR3e5JcPqWot4H5MMhQUm7DZ4zwQrcp2zbB7vpump", "View")</f>
        <v>View</v>
      </c>
    </row>
    <row r="171" spans="1:16" x14ac:dyDescent="0.25">
      <c r="A171" s="16" t="s">
        <v>1080</v>
      </c>
      <c r="B171" s="17">
        <v>13017934</v>
      </c>
      <c r="C171" s="17">
        <v>0</v>
      </c>
      <c r="D171" s="17" t="s">
        <v>864</v>
      </c>
      <c r="E171" s="17" t="s">
        <v>165</v>
      </c>
      <c r="F171" s="17" t="s">
        <v>96</v>
      </c>
      <c r="G171" s="18" t="s">
        <v>921</v>
      </c>
      <c r="H171" s="18" t="s">
        <v>98</v>
      </c>
      <c r="I171" s="17" t="s">
        <v>1081</v>
      </c>
      <c r="J171" s="17">
        <v>1</v>
      </c>
      <c r="K171" s="17">
        <v>0</v>
      </c>
      <c r="L171" s="17" t="s">
        <v>1082</v>
      </c>
      <c r="M171" s="19" t="s">
        <v>101</v>
      </c>
      <c r="N171" s="17" t="s">
        <v>1083</v>
      </c>
      <c r="O171" s="17" t="s">
        <v>1084</v>
      </c>
      <c r="P171" s="17" t="str">
        <f>HYPERLINK("https://dexscreener.com/solana/EDNB87kSED7ER2Qe39xSsXDyjSK6LqBSyv6v8ocepump", "View")</f>
        <v>View</v>
      </c>
    </row>
    <row r="172" spans="1:16" x14ac:dyDescent="0.25">
      <c r="A172" s="13" t="s">
        <v>1085</v>
      </c>
      <c r="B172" s="14">
        <v>6673365</v>
      </c>
      <c r="C172" s="14">
        <v>0</v>
      </c>
      <c r="D172" s="14" t="s">
        <v>864</v>
      </c>
      <c r="E172" s="14" t="s">
        <v>165</v>
      </c>
      <c r="F172" s="14" t="s">
        <v>96</v>
      </c>
      <c r="G172" s="18" t="s">
        <v>921</v>
      </c>
      <c r="H172" s="18" t="s">
        <v>98</v>
      </c>
      <c r="I172" s="14" t="s">
        <v>1086</v>
      </c>
      <c r="J172" s="14">
        <v>1</v>
      </c>
      <c r="K172" s="14">
        <v>0</v>
      </c>
      <c r="L172" s="14" t="s">
        <v>1087</v>
      </c>
      <c r="M172" s="19" t="s">
        <v>101</v>
      </c>
      <c r="N172" s="14" t="s">
        <v>1088</v>
      </c>
      <c r="O172" s="14" t="s">
        <v>1089</v>
      </c>
      <c r="P172" s="14" t="str">
        <f>HYPERLINK("https://dexscreener.com/solana/zezJya1acNmn2VeyvUPc9jFgUzk5Eip5h9TDVQxpump", "View")</f>
        <v>View</v>
      </c>
    </row>
    <row r="173" spans="1:16" x14ac:dyDescent="0.25">
      <c r="A173" s="16" t="s">
        <v>1090</v>
      </c>
      <c r="B173" s="17">
        <v>15791626</v>
      </c>
      <c r="C173" s="17">
        <v>0</v>
      </c>
      <c r="D173" s="17" t="s">
        <v>864</v>
      </c>
      <c r="E173" s="17" t="s">
        <v>165</v>
      </c>
      <c r="F173" s="17" t="s">
        <v>96</v>
      </c>
      <c r="G173" s="18" t="s">
        <v>921</v>
      </c>
      <c r="H173" s="18" t="s">
        <v>98</v>
      </c>
      <c r="I173" s="17" t="s">
        <v>1091</v>
      </c>
      <c r="J173" s="17">
        <v>1</v>
      </c>
      <c r="K173" s="17">
        <v>0</v>
      </c>
      <c r="L173" s="17" t="s">
        <v>1092</v>
      </c>
      <c r="M173" s="19" t="s">
        <v>101</v>
      </c>
      <c r="N173" s="17" t="s">
        <v>1093</v>
      </c>
      <c r="O173" s="17" t="s">
        <v>1094</v>
      </c>
      <c r="P173" s="17" t="str">
        <f>HYPERLINK("https://dexscreener.com/solana/EHHAKzPZJhQy4fc7CTaJPFsetPgKnC6JNCdv6pqsQ7Ma", "View")</f>
        <v>View</v>
      </c>
    </row>
    <row r="174" spans="1:16" x14ac:dyDescent="0.25">
      <c r="A174" s="13" t="s">
        <v>1095</v>
      </c>
      <c r="B174" s="14">
        <v>10096795</v>
      </c>
      <c r="C174" s="14">
        <v>0</v>
      </c>
      <c r="D174" s="14" t="s">
        <v>864</v>
      </c>
      <c r="E174" s="14" t="s">
        <v>165</v>
      </c>
      <c r="F174" s="14" t="s">
        <v>96</v>
      </c>
      <c r="G174" s="18" t="s">
        <v>921</v>
      </c>
      <c r="H174" s="18" t="s">
        <v>98</v>
      </c>
      <c r="I174" s="14" t="s">
        <v>1096</v>
      </c>
      <c r="J174" s="14">
        <v>1</v>
      </c>
      <c r="K174" s="14">
        <v>0</v>
      </c>
      <c r="L174" s="14" t="s">
        <v>1097</v>
      </c>
      <c r="M174" s="19" t="s">
        <v>101</v>
      </c>
      <c r="N174" s="14" t="s">
        <v>1098</v>
      </c>
      <c r="O174" s="14" t="s">
        <v>1099</v>
      </c>
      <c r="P174" s="14" t="str">
        <f>HYPERLINK("https://dexscreener.com/solana/LSpcBYHeBchGGw3V2bdpp2abm5UqDU1ydFu4XJhpump", "View")</f>
        <v>View</v>
      </c>
    </row>
    <row r="175" spans="1:16" x14ac:dyDescent="0.25">
      <c r="A175" s="16" t="s">
        <v>1100</v>
      </c>
      <c r="B175" s="17">
        <v>6565165</v>
      </c>
      <c r="C175" s="17">
        <v>0</v>
      </c>
      <c r="D175" s="17" t="s">
        <v>864</v>
      </c>
      <c r="E175" s="17" t="s">
        <v>105</v>
      </c>
      <c r="F175" s="17" t="s">
        <v>96</v>
      </c>
      <c r="G175" s="18" t="s">
        <v>890</v>
      </c>
      <c r="H175" s="18" t="s">
        <v>98</v>
      </c>
      <c r="I175" s="17" t="s">
        <v>1101</v>
      </c>
      <c r="J175" s="17">
        <v>1</v>
      </c>
      <c r="K175" s="17">
        <v>0</v>
      </c>
      <c r="L175" s="17" t="s">
        <v>1102</v>
      </c>
      <c r="M175" s="19" t="s">
        <v>101</v>
      </c>
      <c r="N175" s="17" t="s">
        <v>1103</v>
      </c>
      <c r="O175" s="17" t="s">
        <v>1104</v>
      </c>
      <c r="P175" s="17" t="str">
        <f>HYPERLINK("https://dexscreener.com/solana/GbCBWwoJsYY5fyxbGarZCmRv6FaL8tTiEawNRZ5fpump", "View")</f>
        <v>View</v>
      </c>
    </row>
    <row r="176" spans="1:16" x14ac:dyDescent="0.25">
      <c r="A176" s="13" t="s">
        <v>1105</v>
      </c>
      <c r="B176" s="14">
        <v>16860383</v>
      </c>
      <c r="C176" s="14">
        <v>0</v>
      </c>
      <c r="D176" s="14" t="s">
        <v>864</v>
      </c>
      <c r="E176" s="14" t="s">
        <v>165</v>
      </c>
      <c r="F176" s="14" t="s">
        <v>96</v>
      </c>
      <c r="G176" s="18" t="s">
        <v>921</v>
      </c>
      <c r="H176" s="18" t="s">
        <v>98</v>
      </c>
      <c r="I176" s="14" t="s">
        <v>1106</v>
      </c>
      <c r="J176" s="14">
        <v>1</v>
      </c>
      <c r="K176" s="14">
        <v>0</v>
      </c>
      <c r="L176" s="14" t="s">
        <v>1107</v>
      </c>
      <c r="M176" s="19" t="s">
        <v>101</v>
      </c>
      <c r="N176" s="14" t="s">
        <v>1108</v>
      </c>
      <c r="O176" s="14" t="s">
        <v>1109</v>
      </c>
      <c r="P176" s="14" t="str">
        <f>HYPERLINK("https://dexscreener.com/solana/GmFMTyowhyibYhT4R8B8HtCDmTr9sWBsXMkTsw7Hpump", "View")</f>
        <v>View</v>
      </c>
    </row>
    <row r="177" spans="1:16" x14ac:dyDescent="0.25">
      <c r="A177" s="16" t="s">
        <v>1110</v>
      </c>
      <c r="B177" s="17">
        <v>6827498</v>
      </c>
      <c r="C177" s="17">
        <v>682750</v>
      </c>
      <c r="D177" s="17" t="s">
        <v>883</v>
      </c>
      <c r="E177" s="17" t="s">
        <v>165</v>
      </c>
      <c r="F177" s="17" t="s">
        <v>1111</v>
      </c>
      <c r="G177" s="15" t="s">
        <v>1112</v>
      </c>
      <c r="H177" s="15" t="s">
        <v>1113</v>
      </c>
      <c r="I177" s="17" t="s">
        <v>88</v>
      </c>
      <c r="J177" s="17">
        <v>1</v>
      </c>
      <c r="K177" s="17">
        <v>1</v>
      </c>
      <c r="L177" s="17" t="s">
        <v>1114</v>
      </c>
      <c r="M177" s="17" t="s">
        <v>179</v>
      </c>
      <c r="N177" s="17" t="s">
        <v>1115</v>
      </c>
      <c r="O177" s="17" t="s">
        <v>1116</v>
      </c>
      <c r="P177" s="17" t="str">
        <f>HYPERLINK("https://dexscreener.com/solana/FLuxaik9EoUh4ZwTT8ZhMmNh27XbTcabTMRGSXHvpump", "View")</f>
        <v>View</v>
      </c>
    </row>
    <row r="178" spans="1:16" x14ac:dyDescent="0.25">
      <c r="A178" s="13" t="s">
        <v>1117</v>
      </c>
      <c r="B178" s="14">
        <v>31772139</v>
      </c>
      <c r="C178" s="14">
        <v>0</v>
      </c>
      <c r="D178" s="14" t="s">
        <v>864</v>
      </c>
      <c r="E178" s="14" t="s">
        <v>402</v>
      </c>
      <c r="F178" s="14" t="s">
        <v>96</v>
      </c>
      <c r="G178" s="18" t="s">
        <v>1118</v>
      </c>
      <c r="H178" s="18" t="s">
        <v>98</v>
      </c>
      <c r="I178" s="14" t="s">
        <v>1119</v>
      </c>
      <c r="J178" s="14">
        <v>1</v>
      </c>
      <c r="K178" s="14">
        <v>0</v>
      </c>
      <c r="L178" s="14" t="s">
        <v>1120</v>
      </c>
      <c r="M178" s="19" t="s">
        <v>101</v>
      </c>
      <c r="N178" s="14" t="s">
        <v>955</v>
      </c>
      <c r="O178" s="14" t="s">
        <v>1121</v>
      </c>
      <c r="P178" s="14" t="str">
        <f>HYPERLINK("https://dexscreener.com/solana/Eht2DmYZ95ovADAX55G3hQwnyvANZAeFgAzdZFChpump", "View")</f>
        <v>View</v>
      </c>
    </row>
    <row r="179" spans="1:16" x14ac:dyDescent="0.25">
      <c r="A179" s="16" t="s">
        <v>1122</v>
      </c>
      <c r="B179" s="17">
        <v>16631882</v>
      </c>
      <c r="C179" s="17">
        <v>13588009</v>
      </c>
      <c r="D179" s="17" t="s">
        <v>1123</v>
      </c>
      <c r="E179" s="17" t="s">
        <v>1124</v>
      </c>
      <c r="F179" s="17" t="s">
        <v>1125</v>
      </c>
      <c r="G179" s="21" t="s">
        <v>1126</v>
      </c>
      <c r="H179" s="21" t="s">
        <v>1127</v>
      </c>
      <c r="I179" s="17" t="s">
        <v>88</v>
      </c>
      <c r="J179" s="17">
        <v>1</v>
      </c>
      <c r="K179" s="17">
        <v>15</v>
      </c>
      <c r="L179" s="17" t="s">
        <v>1128</v>
      </c>
      <c r="M179" s="17" t="s">
        <v>356</v>
      </c>
      <c r="N179" s="17" t="s">
        <v>1129</v>
      </c>
      <c r="O179" s="17" t="s">
        <v>1130</v>
      </c>
      <c r="P179" s="17" t="str">
        <f>HYPERLINK("https://dexscreener.com/solana/CSEkG3mT5P1GUf4HZTHdVk1syKFN6gQWokbZ4jDWpump", "View")</f>
        <v>View</v>
      </c>
    </row>
    <row r="180" spans="1:16" x14ac:dyDescent="0.25">
      <c r="A180" s="13" t="s">
        <v>1131</v>
      </c>
      <c r="B180" s="14">
        <v>5319520</v>
      </c>
      <c r="C180" s="14">
        <v>0</v>
      </c>
      <c r="D180" s="14" t="s">
        <v>864</v>
      </c>
      <c r="E180" s="14" t="s">
        <v>165</v>
      </c>
      <c r="F180" s="14" t="s">
        <v>96</v>
      </c>
      <c r="G180" s="18" t="s">
        <v>921</v>
      </c>
      <c r="H180" s="18" t="s">
        <v>98</v>
      </c>
      <c r="I180" s="14" t="s">
        <v>1132</v>
      </c>
      <c r="J180" s="14">
        <v>1</v>
      </c>
      <c r="K180" s="14">
        <v>0</v>
      </c>
      <c r="L180" s="14" t="s">
        <v>1133</v>
      </c>
      <c r="M180" s="19" t="s">
        <v>101</v>
      </c>
      <c r="N180" s="14" t="s">
        <v>1134</v>
      </c>
      <c r="O180" s="14" t="s">
        <v>1135</v>
      </c>
      <c r="P180" s="14" t="str">
        <f>HYPERLINK("https://dexscreener.com/solana/G3FiM6eYqVVVSwKT183kBAbCcLMkZQYnq9bwwnT6pump", "View")</f>
        <v>View</v>
      </c>
    </row>
    <row r="181" spans="1:16" x14ac:dyDescent="0.25">
      <c r="A181" s="16" t="s">
        <v>1136</v>
      </c>
      <c r="B181" s="17">
        <v>10072551</v>
      </c>
      <c r="C181" s="17">
        <v>0</v>
      </c>
      <c r="D181" s="17" t="s">
        <v>864</v>
      </c>
      <c r="E181" s="17" t="s">
        <v>165</v>
      </c>
      <c r="F181" s="17" t="s">
        <v>96</v>
      </c>
      <c r="G181" s="18" t="s">
        <v>921</v>
      </c>
      <c r="H181" s="18" t="s">
        <v>98</v>
      </c>
      <c r="I181" s="17" t="s">
        <v>1137</v>
      </c>
      <c r="J181" s="17">
        <v>1</v>
      </c>
      <c r="K181" s="17">
        <v>0</v>
      </c>
      <c r="L181" s="17" t="s">
        <v>1138</v>
      </c>
      <c r="M181" s="19" t="s">
        <v>101</v>
      </c>
      <c r="N181" s="17" t="s">
        <v>1139</v>
      </c>
      <c r="O181" s="17" t="s">
        <v>1140</v>
      </c>
      <c r="P181" s="17" t="str">
        <f>HYPERLINK("https://dexscreener.com/solana/EZDwvexi9tWuduXTsqCNmgQNPpLPpXJySHCX3PNrpump", "View")</f>
        <v>View</v>
      </c>
    </row>
    <row r="182" spans="1:16" x14ac:dyDescent="0.25">
      <c r="A182" s="13" t="s">
        <v>1141</v>
      </c>
      <c r="B182" s="14">
        <v>12277540</v>
      </c>
      <c r="C182" s="14">
        <v>0</v>
      </c>
      <c r="D182" s="14" t="s">
        <v>864</v>
      </c>
      <c r="E182" s="14" t="s">
        <v>165</v>
      </c>
      <c r="F182" s="14" t="s">
        <v>96</v>
      </c>
      <c r="G182" s="18" t="s">
        <v>921</v>
      </c>
      <c r="H182" s="18" t="s">
        <v>98</v>
      </c>
      <c r="I182" s="14" t="s">
        <v>1142</v>
      </c>
      <c r="J182" s="14">
        <v>1</v>
      </c>
      <c r="K182" s="14">
        <v>0</v>
      </c>
      <c r="L182" s="14" t="s">
        <v>1143</v>
      </c>
      <c r="M182" s="19" t="s">
        <v>101</v>
      </c>
      <c r="N182" s="14" t="s">
        <v>1144</v>
      </c>
      <c r="O182" s="14" t="s">
        <v>1145</v>
      </c>
      <c r="P182" s="14" t="str">
        <f>HYPERLINK("https://dexscreener.com/solana/9wtFqbMCFDLwgEboVs3WJhVG2VgwdFBo3osqtqgXpump", "View")</f>
        <v>View</v>
      </c>
    </row>
    <row r="183" spans="1:16" x14ac:dyDescent="0.25">
      <c r="A183" s="16" t="s">
        <v>1146</v>
      </c>
      <c r="B183" s="17">
        <v>19212524</v>
      </c>
      <c r="C183" s="17">
        <v>16640338</v>
      </c>
      <c r="D183" s="17" t="s">
        <v>1147</v>
      </c>
      <c r="E183" s="17" t="s">
        <v>685</v>
      </c>
      <c r="F183" s="17" t="s">
        <v>1148</v>
      </c>
      <c r="G183" s="21" t="s">
        <v>1149</v>
      </c>
      <c r="H183" s="21" t="s">
        <v>1150</v>
      </c>
      <c r="I183" s="17" t="s">
        <v>88</v>
      </c>
      <c r="J183" s="17">
        <v>1</v>
      </c>
      <c r="K183" s="17">
        <v>18</v>
      </c>
      <c r="L183" s="17" t="s">
        <v>1151</v>
      </c>
      <c r="M183" s="17" t="s">
        <v>414</v>
      </c>
      <c r="N183" s="17" t="s">
        <v>1152</v>
      </c>
      <c r="O183" s="17" t="s">
        <v>1153</v>
      </c>
      <c r="P183" s="17" t="str">
        <f>HYPERLINK("https://photon-sol.tinyastro.io/en/lp/umgcPr2uQHzmCerCu6kSPBiaUdMWZewRRQmQ54Apump?handle=676050794bc1b1657a56b", "View")</f>
        <v>View</v>
      </c>
    </row>
    <row r="184" spans="1:16" x14ac:dyDescent="0.25">
      <c r="A184" s="13" t="s">
        <v>1154</v>
      </c>
      <c r="B184" s="14">
        <v>21108784</v>
      </c>
      <c r="C184" s="14">
        <v>4010669</v>
      </c>
      <c r="D184" s="14" t="s">
        <v>913</v>
      </c>
      <c r="E184" s="14" t="s">
        <v>165</v>
      </c>
      <c r="F184" s="14" t="s">
        <v>1155</v>
      </c>
      <c r="G184" s="20" t="s">
        <v>1156</v>
      </c>
      <c r="H184" s="20" t="s">
        <v>1157</v>
      </c>
      <c r="I184" s="14" t="s">
        <v>88</v>
      </c>
      <c r="J184" s="14">
        <v>1</v>
      </c>
      <c r="K184" s="14">
        <v>2</v>
      </c>
      <c r="L184" s="14" t="s">
        <v>1158</v>
      </c>
      <c r="M184" s="14" t="s">
        <v>1159</v>
      </c>
      <c r="N184" s="14" t="s">
        <v>1160</v>
      </c>
      <c r="O184" s="14" t="s">
        <v>1161</v>
      </c>
      <c r="P184" s="14" t="str">
        <f>HYPERLINK("https://dexscreener.com/solana/5SGt7iwPqxLYrsQiCcUpN3NASstzpsjwAutuPV2Tpump", "View")</f>
        <v>View</v>
      </c>
    </row>
    <row r="185" spans="1:16" x14ac:dyDescent="0.25">
      <c r="A185" s="16" t="s">
        <v>1162</v>
      </c>
      <c r="B185" s="17">
        <v>12584764</v>
      </c>
      <c r="C185" s="17">
        <v>0</v>
      </c>
      <c r="D185" s="17" t="s">
        <v>864</v>
      </c>
      <c r="E185" s="17" t="s">
        <v>165</v>
      </c>
      <c r="F185" s="17" t="s">
        <v>96</v>
      </c>
      <c r="G185" s="18" t="s">
        <v>921</v>
      </c>
      <c r="H185" s="18" t="s">
        <v>98</v>
      </c>
      <c r="I185" s="17" t="s">
        <v>1163</v>
      </c>
      <c r="J185" s="17">
        <v>1</v>
      </c>
      <c r="K185" s="17">
        <v>0</v>
      </c>
      <c r="L185" s="17" t="s">
        <v>1164</v>
      </c>
      <c r="M185" s="19" t="s">
        <v>101</v>
      </c>
      <c r="N185" s="17" t="s">
        <v>1165</v>
      </c>
      <c r="O185" s="17" t="s">
        <v>1166</v>
      </c>
      <c r="P185" s="17" t="str">
        <f>HYPERLINK("https://dexscreener.com/solana/38We91Q27uZ1gJccRLt74eeAk9W5Z8e4vWLcZHWMpump", "View")</f>
        <v>View</v>
      </c>
    </row>
    <row r="186" spans="1:16" x14ac:dyDescent="0.25">
      <c r="A186" s="13" t="s">
        <v>1167</v>
      </c>
      <c r="B186" s="14">
        <v>6651784</v>
      </c>
      <c r="C186" s="14">
        <v>0</v>
      </c>
      <c r="D186" s="14" t="s">
        <v>864</v>
      </c>
      <c r="E186" s="14" t="s">
        <v>165</v>
      </c>
      <c r="F186" s="14" t="s">
        <v>96</v>
      </c>
      <c r="G186" s="18" t="s">
        <v>921</v>
      </c>
      <c r="H186" s="18" t="s">
        <v>98</v>
      </c>
      <c r="I186" s="14" t="s">
        <v>1168</v>
      </c>
      <c r="J186" s="14">
        <v>1</v>
      </c>
      <c r="K186" s="14">
        <v>0</v>
      </c>
      <c r="L186" s="14" t="s">
        <v>1169</v>
      </c>
      <c r="M186" s="19" t="s">
        <v>101</v>
      </c>
      <c r="N186" s="14" t="s">
        <v>1170</v>
      </c>
      <c r="O186" s="14" t="s">
        <v>1171</v>
      </c>
      <c r="P186" s="14" t="str">
        <f>HYPERLINK("https://dexscreener.com/solana/9a3Ce5dP9jXxuMTi3xC5MiLWkWojNHhKd1UcyyAxpump", "View")</f>
        <v>View</v>
      </c>
    </row>
    <row r="187" spans="1:16" x14ac:dyDescent="0.25">
      <c r="A187" s="16" t="s">
        <v>1172</v>
      </c>
      <c r="B187" s="17">
        <v>20357356</v>
      </c>
      <c r="C187" s="17">
        <v>0</v>
      </c>
      <c r="D187" s="17" t="s">
        <v>864</v>
      </c>
      <c r="E187" s="17" t="s">
        <v>165</v>
      </c>
      <c r="F187" s="17" t="s">
        <v>96</v>
      </c>
      <c r="G187" s="18" t="s">
        <v>921</v>
      </c>
      <c r="H187" s="18" t="s">
        <v>98</v>
      </c>
      <c r="I187" s="17" t="s">
        <v>1173</v>
      </c>
      <c r="J187" s="17">
        <v>1</v>
      </c>
      <c r="K187" s="17">
        <v>0</v>
      </c>
      <c r="L187" s="17" t="s">
        <v>1174</v>
      </c>
      <c r="M187" s="19" t="s">
        <v>101</v>
      </c>
      <c r="N187" s="17" t="s">
        <v>1175</v>
      </c>
      <c r="O187" s="17" t="s">
        <v>1176</v>
      </c>
      <c r="P187" s="17" t="str">
        <f>HYPERLINK("https://dexscreener.com/solana/9qd7AxTtsZSXi86j1BKENFhoA3fPFs8gU89Stu3ipump", "View")</f>
        <v>View</v>
      </c>
    </row>
    <row r="188" spans="1:16" x14ac:dyDescent="0.25">
      <c r="A188" s="13" t="s">
        <v>1177</v>
      </c>
      <c r="B188" s="14">
        <v>16462613</v>
      </c>
      <c r="C188" s="14">
        <v>14849208</v>
      </c>
      <c r="D188" s="14" t="s">
        <v>1178</v>
      </c>
      <c r="E188" s="14" t="s">
        <v>1179</v>
      </c>
      <c r="F188" s="14" t="s">
        <v>1180</v>
      </c>
      <c r="G188" s="21" t="s">
        <v>1181</v>
      </c>
      <c r="H188" s="21" t="s">
        <v>1182</v>
      </c>
      <c r="I188" s="14" t="s">
        <v>88</v>
      </c>
      <c r="J188" s="14">
        <v>1</v>
      </c>
      <c r="K188" s="14">
        <v>18</v>
      </c>
      <c r="L188" s="14" t="s">
        <v>1183</v>
      </c>
      <c r="M188" s="14" t="s">
        <v>240</v>
      </c>
      <c r="N188" s="14" t="s">
        <v>1184</v>
      </c>
      <c r="O188" s="14" t="s">
        <v>1185</v>
      </c>
      <c r="P188" s="14" t="str">
        <f>HYPERLINK("https://photon-sol.tinyastro.io/en/lp/FAJW358HjJ2mHXSHbHyxghfVGzX5SBoupdjRr2y9pump?handle=676050794bc1b1657a56b", "View")</f>
        <v>View</v>
      </c>
    </row>
    <row r="189" spans="1:16" x14ac:dyDescent="0.25">
      <c r="A189" s="16" t="s">
        <v>1186</v>
      </c>
      <c r="B189" s="17">
        <v>10452266</v>
      </c>
      <c r="C189" s="17">
        <v>1045227</v>
      </c>
      <c r="D189" s="17" t="s">
        <v>883</v>
      </c>
      <c r="E189" s="17" t="s">
        <v>165</v>
      </c>
      <c r="F189" s="17" t="s">
        <v>1187</v>
      </c>
      <c r="G189" s="15" t="s">
        <v>1188</v>
      </c>
      <c r="H189" s="15" t="s">
        <v>1189</v>
      </c>
      <c r="I189" s="17" t="s">
        <v>88</v>
      </c>
      <c r="J189" s="17">
        <v>1</v>
      </c>
      <c r="K189" s="17">
        <v>1</v>
      </c>
      <c r="L189" s="17" t="s">
        <v>1190</v>
      </c>
      <c r="M189" s="17" t="s">
        <v>680</v>
      </c>
      <c r="N189" s="17" t="s">
        <v>1191</v>
      </c>
      <c r="O189" s="17" t="s">
        <v>1192</v>
      </c>
      <c r="P189" s="17" t="str">
        <f>HYPERLINK("https://dexscreener.com/solana/7wU64AbsCqQKYqvdGEZsdyLRX3zrtwKdSNw1Ze6Rpump", "View")</f>
        <v>View</v>
      </c>
    </row>
    <row r="190" spans="1:16" x14ac:dyDescent="0.25">
      <c r="A190" s="13" t="s">
        <v>1193</v>
      </c>
      <c r="B190" s="14">
        <v>28853306</v>
      </c>
      <c r="C190" s="14">
        <v>0</v>
      </c>
      <c r="D190" s="14" t="s">
        <v>864</v>
      </c>
      <c r="E190" s="14" t="s">
        <v>1194</v>
      </c>
      <c r="F190" s="14" t="s">
        <v>96</v>
      </c>
      <c r="G190" s="18" t="s">
        <v>1195</v>
      </c>
      <c r="H190" s="18" t="s">
        <v>98</v>
      </c>
      <c r="I190" s="14" t="s">
        <v>1196</v>
      </c>
      <c r="J190" s="14">
        <v>1</v>
      </c>
      <c r="K190" s="14">
        <v>0</v>
      </c>
      <c r="L190" s="14" t="s">
        <v>1197</v>
      </c>
      <c r="M190" s="19" t="s">
        <v>101</v>
      </c>
      <c r="N190" s="14" t="s">
        <v>1198</v>
      </c>
      <c r="O190" s="14" t="s">
        <v>1199</v>
      </c>
      <c r="P190" s="14" t="str">
        <f>HYPERLINK("https://photon-sol.tinyastro.io/en/lp/6nS5hcMfvAEbw5K8PMEbXMJdcVdi6P5yZE1WGS8apump?handle=676050794bc1b1657a56b", "View")</f>
        <v>View</v>
      </c>
    </row>
    <row r="191" spans="1:16" x14ac:dyDescent="0.25">
      <c r="A191" s="16" t="s">
        <v>1200</v>
      </c>
      <c r="B191" s="17">
        <v>22992323</v>
      </c>
      <c r="C191" s="17">
        <v>0</v>
      </c>
      <c r="D191" s="17" t="s">
        <v>864</v>
      </c>
      <c r="E191" s="17" t="s">
        <v>1007</v>
      </c>
      <c r="F191" s="17" t="s">
        <v>96</v>
      </c>
      <c r="G191" s="18" t="s">
        <v>1008</v>
      </c>
      <c r="H191" s="18" t="s">
        <v>98</v>
      </c>
      <c r="I191" s="17" t="s">
        <v>1201</v>
      </c>
      <c r="J191" s="17">
        <v>1</v>
      </c>
      <c r="K191" s="17">
        <v>0</v>
      </c>
      <c r="L191" s="17" t="s">
        <v>1202</v>
      </c>
      <c r="M191" s="19" t="s">
        <v>101</v>
      </c>
      <c r="N191" s="17" t="s">
        <v>1203</v>
      </c>
      <c r="O191" s="17" t="s">
        <v>1204</v>
      </c>
      <c r="P191" s="17" t="str">
        <f>HYPERLINK("https://dexscreener.com/solana/Fb1jgnB16LcheeaSDzfxvKMTxXnHFfm5WJsn4vX15zEv", "View")</f>
        <v>View</v>
      </c>
    </row>
    <row r="192" spans="1:16" x14ac:dyDescent="0.25">
      <c r="A192" s="13" t="s">
        <v>1205</v>
      </c>
      <c r="B192" s="14">
        <v>24930850</v>
      </c>
      <c r="C192" s="14">
        <v>0</v>
      </c>
      <c r="D192" s="14" t="s">
        <v>864</v>
      </c>
      <c r="E192" s="14" t="s">
        <v>569</v>
      </c>
      <c r="F192" s="14" t="s">
        <v>96</v>
      </c>
      <c r="G192" s="18" t="s">
        <v>877</v>
      </c>
      <c r="H192" s="18" t="s">
        <v>98</v>
      </c>
      <c r="I192" s="14" t="s">
        <v>1206</v>
      </c>
      <c r="J192" s="14">
        <v>1</v>
      </c>
      <c r="K192" s="14">
        <v>0</v>
      </c>
      <c r="L192" s="14" t="s">
        <v>1207</v>
      </c>
      <c r="M192" s="19" t="s">
        <v>101</v>
      </c>
      <c r="N192" s="14" t="s">
        <v>1208</v>
      </c>
      <c r="O192" s="14" t="s">
        <v>1209</v>
      </c>
      <c r="P192" s="14" t="str">
        <f>HYPERLINK("https://dexscreener.com/solana/3aRvNjgAgcHBs3Dv1D6SLFMNHNLiMmm9eg64FBoppump", "View")</f>
        <v>View</v>
      </c>
    </row>
    <row r="193" spans="1:16" x14ac:dyDescent="0.25">
      <c r="A193" s="16" t="s">
        <v>1210</v>
      </c>
      <c r="B193" s="17">
        <v>18197598</v>
      </c>
      <c r="C193" s="17">
        <v>0</v>
      </c>
      <c r="D193" s="17" t="s">
        <v>864</v>
      </c>
      <c r="E193" s="17" t="s">
        <v>340</v>
      </c>
      <c r="F193" s="17" t="s">
        <v>96</v>
      </c>
      <c r="G193" s="18" t="s">
        <v>1211</v>
      </c>
      <c r="H193" s="18" t="s">
        <v>98</v>
      </c>
      <c r="I193" s="17" t="s">
        <v>1212</v>
      </c>
      <c r="J193" s="17">
        <v>1</v>
      </c>
      <c r="K193" s="17">
        <v>0</v>
      </c>
      <c r="L193" s="17" t="s">
        <v>1213</v>
      </c>
      <c r="M193" s="19" t="s">
        <v>101</v>
      </c>
      <c r="N193" s="17" t="s">
        <v>1214</v>
      </c>
      <c r="O193" s="17" t="s">
        <v>1215</v>
      </c>
      <c r="P193" s="17" t="str">
        <f>HYPERLINK("https://dexscreener.com/solana/8oG6okLneVnD7h2L4ATBZcCT9m8ng7UhvcgdUeuUpump", "View")</f>
        <v>View</v>
      </c>
    </row>
    <row r="194" spans="1:16" x14ac:dyDescent="0.25">
      <c r="A194" s="13" t="s">
        <v>1216</v>
      </c>
      <c r="B194" s="14">
        <v>12011573</v>
      </c>
      <c r="C194" s="14">
        <v>0</v>
      </c>
      <c r="D194" s="14" t="s">
        <v>864</v>
      </c>
      <c r="E194" s="14" t="s">
        <v>165</v>
      </c>
      <c r="F194" s="14" t="s">
        <v>96</v>
      </c>
      <c r="G194" s="18" t="s">
        <v>921</v>
      </c>
      <c r="H194" s="18" t="s">
        <v>98</v>
      </c>
      <c r="I194" s="14" t="s">
        <v>1217</v>
      </c>
      <c r="J194" s="14">
        <v>1</v>
      </c>
      <c r="K194" s="14">
        <v>0</v>
      </c>
      <c r="L194" s="14" t="s">
        <v>1218</v>
      </c>
      <c r="M194" s="19" t="s">
        <v>101</v>
      </c>
      <c r="N194" s="14" t="s">
        <v>1219</v>
      </c>
      <c r="O194" s="14" t="s">
        <v>1220</v>
      </c>
      <c r="P194" s="14" t="str">
        <f>HYPERLINK("https://dexscreener.com/solana/D1kWoYYgLk9KLkGUh2MUfDFzpnTTyixRqBZX7a1i2MEz", "View")</f>
        <v>View</v>
      </c>
    </row>
    <row r="195" spans="1:16" x14ac:dyDescent="0.25">
      <c r="A195" s="16" t="s">
        <v>1221</v>
      </c>
      <c r="B195" s="17">
        <v>6899026</v>
      </c>
      <c r="C195" s="17">
        <v>6899026</v>
      </c>
      <c r="D195" s="17" t="s">
        <v>883</v>
      </c>
      <c r="E195" s="17" t="s">
        <v>183</v>
      </c>
      <c r="F195" s="17" t="s">
        <v>1222</v>
      </c>
      <c r="G195" s="22" t="s">
        <v>1223</v>
      </c>
      <c r="H195" s="22" t="s">
        <v>1224</v>
      </c>
      <c r="I195" s="17" t="s">
        <v>88</v>
      </c>
      <c r="J195" s="17">
        <v>1</v>
      </c>
      <c r="K195" s="17">
        <v>1</v>
      </c>
      <c r="L195" s="17" t="s">
        <v>1225</v>
      </c>
      <c r="M195" s="17" t="s">
        <v>90</v>
      </c>
      <c r="N195" s="17" t="s">
        <v>1226</v>
      </c>
      <c r="O195" s="17" t="s">
        <v>1227</v>
      </c>
      <c r="P195" s="17" t="str">
        <f>HYPERLINK("https://dexscreener.com/solana/41ogcpM8btW6s33SVNM7spBAQQm1ZVdmuDabLLi9pump", "View")</f>
        <v>View</v>
      </c>
    </row>
    <row r="196" spans="1:16" x14ac:dyDescent="0.25">
      <c r="A196" s="13" t="s">
        <v>1228</v>
      </c>
      <c r="B196" s="14">
        <v>16509731</v>
      </c>
      <c r="C196" s="14">
        <v>0</v>
      </c>
      <c r="D196" s="14" t="s">
        <v>864</v>
      </c>
      <c r="E196" s="14" t="s">
        <v>1229</v>
      </c>
      <c r="F196" s="14" t="s">
        <v>96</v>
      </c>
      <c r="G196" s="18" t="s">
        <v>1230</v>
      </c>
      <c r="H196" s="18" t="s">
        <v>98</v>
      </c>
      <c r="I196" s="14" t="s">
        <v>1231</v>
      </c>
      <c r="J196" s="14">
        <v>1</v>
      </c>
      <c r="K196" s="14">
        <v>0</v>
      </c>
      <c r="L196" s="14" t="s">
        <v>1232</v>
      </c>
      <c r="M196" s="19" t="s">
        <v>101</v>
      </c>
      <c r="N196" s="14" t="s">
        <v>1233</v>
      </c>
      <c r="O196" s="14" t="s">
        <v>1234</v>
      </c>
      <c r="P196" s="14" t="str">
        <f>HYPERLINK("https://photon-sol.tinyastro.io/en/lp/6inAmKeZWhGmT9Xs9m3jg3ZGbp1o1AB7JDYYvUqFpump?handle=676050794bc1b1657a56b", "View")</f>
        <v>View</v>
      </c>
    </row>
    <row r="197" spans="1:16" x14ac:dyDescent="0.25">
      <c r="A197" s="16" t="s">
        <v>1235</v>
      </c>
      <c r="B197" s="17">
        <v>31997095</v>
      </c>
      <c r="C197" s="17">
        <v>0</v>
      </c>
      <c r="D197" s="17" t="s">
        <v>864</v>
      </c>
      <c r="E197" s="17" t="s">
        <v>1236</v>
      </c>
      <c r="F197" s="17" t="s">
        <v>96</v>
      </c>
      <c r="G197" s="18" t="s">
        <v>1237</v>
      </c>
      <c r="H197" s="18" t="s">
        <v>98</v>
      </c>
      <c r="I197" s="17" t="s">
        <v>1238</v>
      </c>
      <c r="J197" s="17">
        <v>1</v>
      </c>
      <c r="K197" s="17">
        <v>0</v>
      </c>
      <c r="L197" s="17" t="s">
        <v>1239</v>
      </c>
      <c r="M197" s="19" t="s">
        <v>101</v>
      </c>
      <c r="N197" s="17" t="s">
        <v>1240</v>
      </c>
      <c r="O197" s="17" t="s">
        <v>1241</v>
      </c>
      <c r="P197" s="17" t="str">
        <f>HYPERLINK("https://photon-sol.tinyastro.io/en/lp/2hcj38pAtiGnVsApQ4gZiE43CTKJJDiU7ff32oCYpump?handle=676050794bc1b1657a56b", "View")</f>
        <v>View</v>
      </c>
    </row>
    <row r="198" spans="1:16" x14ac:dyDescent="0.25">
      <c r="A198" s="13" t="s">
        <v>1242</v>
      </c>
      <c r="B198" s="14">
        <v>22526695</v>
      </c>
      <c r="C198" s="14">
        <v>0</v>
      </c>
      <c r="D198" s="14" t="s">
        <v>864</v>
      </c>
      <c r="E198" s="14" t="s">
        <v>569</v>
      </c>
      <c r="F198" s="14" t="s">
        <v>96</v>
      </c>
      <c r="G198" s="18" t="s">
        <v>877</v>
      </c>
      <c r="H198" s="18" t="s">
        <v>98</v>
      </c>
      <c r="I198" s="14" t="s">
        <v>1243</v>
      </c>
      <c r="J198" s="14">
        <v>1</v>
      </c>
      <c r="K198" s="14">
        <v>0</v>
      </c>
      <c r="L198" s="14" t="s">
        <v>1244</v>
      </c>
      <c r="M198" s="19" t="s">
        <v>101</v>
      </c>
      <c r="N198" s="14" t="s">
        <v>880</v>
      </c>
      <c r="O198" s="14" t="s">
        <v>1245</v>
      </c>
      <c r="P198" s="14" t="str">
        <f>HYPERLINK("https://dexscreener.com/solana/C5aaG9ZhgjKHspD9gKum6FmYC5ajDP1WHSG8yfgApump", "View")</f>
        <v>View</v>
      </c>
    </row>
    <row r="199" spans="1:16" x14ac:dyDescent="0.25">
      <c r="A199" s="16" t="s">
        <v>1246</v>
      </c>
      <c r="B199" s="17">
        <v>53190201</v>
      </c>
      <c r="C199" s="17">
        <v>0</v>
      </c>
      <c r="D199" s="17" t="s">
        <v>864</v>
      </c>
      <c r="E199" s="17" t="s">
        <v>951</v>
      </c>
      <c r="F199" s="17" t="s">
        <v>96</v>
      </c>
      <c r="G199" s="18" t="s">
        <v>952</v>
      </c>
      <c r="H199" s="18" t="s">
        <v>98</v>
      </c>
      <c r="I199" s="17" t="s">
        <v>1247</v>
      </c>
      <c r="J199" s="17">
        <v>1</v>
      </c>
      <c r="K199" s="17">
        <v>0</v>
      </c>
      <c r="L199" s="17" t="s">
        <v>1248</v>
      </c>
      <c r="M199" s="19" t="s">
        <v>101</v>
      </c>
      <c r="N199" s="17" t="s">
        <v>1203</v>
      </c>
      <c r="O199" s="17" t="s">
        <v>1249</v>
      </c>
      <c r="P199" s="17" t="str">
        <f>HYPERLINK("https://photon-sol.tinyastro.io/en/lp/8WxSchDxL3TMgL3oQxUgGhfLpG5Avkdwg5E9LhYnpump?handle=676050794bc1b1657a56b", "View")</f>
        <v>View</v>
      </c>
    </row>
    <row r="200" spans="1:16" x14ac:dyDescent="0.25">
      <c r="A200" s="13" t="s">
        <v>1250</v>
      </c>
      <c r="B200" s="14">
        <v>5785706</v>
      </c>
      <c r="C200" s="14">
        <v>0</v>
      </c>
      <c r="D200" s="14" t="s">
        <v>864</v>
      </c>
      <c r="E200" s="14" t="s">
        <v>533</v>
      </c>
      <c r="F200" s="14" t="s">
        <v>96</v>
      </c>
      <c r="G200" s="18" t="s">
        <v>1251</v>
      </c>
      <c r="H200" s="18" t="s">
        <v>98</v>
      </c>
      <c r="I200" s="14" t="s">
        <v>1252</v>
      </c>
      <c r="J200" s="14">
        <v>1</v>
      </c>
      <c r="K200" s="14">
        <v>0</v>
      </c>
      <c r="L200" s="14" t="s">
        <v>1253</v>
      </c>
      <c r="M200" s="19" t="s">
        <v>101</v>
      </c>
      <c r="N200" s="14" t="s">
        <v>1254</v>
      </c>
      <c r="O200" s="14" t="s">
        <v>1255</v>
      </c>
      <c r="P200" s="14" t="str">
        <f>HYPERLINK("https://dexscreener.com/solana/FGSheu4NuiGqf8zjP9Na5BtdQTmd1SzfcdYZAHHNpump", "View")</f>
        <v>View</v>
      </c>
    </row>
    <row r="201" spans="1:16" x14ac:dyDescent="0.25">
      <c r="A201" s="16" t="s">
        <v>1256</v>
      </c>
      <c r="B201" s="17">
        <v>18804128</v>
      </c>
      <c r="C201" s="17">
        <v>0</v>
      </c>
      <c r="D201" s="17" t="s">
        <v>864</v>
      </c>
      <c r="E201" s="17" t="s">
        <v>165</v>
      </c>
      <c r="F201" s="17" t="s">
        <v>96</v>
      </c>
      <c r="G201" s="18" t="s">
        <v>921</v>
      </c>
      <c r="H201" s="18" t="s">
        <v>98</v>
      </c>
      <c r="I201" s="17" t="s">
        <v>1257</v>
      </c>
      <c r="J201" s="17">
        <v>1</v>
      </c>
      <c r="K201" s="17">
        <v>0</v>
      </c>
      <c r="L201" s="17" t="s">
        <v>1258</v>
      </c>
      <c r="M201" s="19" t="s">
        <v>101</v>
      </c>
      <c r="N201" s="17" t="s">
        <v>1259</v>
      </c>
      <c r="O201" s="17" t="s">
        <v>1260</v>
      </c>
      <c r="P201" s="17" t="str">
        <f>HYPERLINK("https://dexscreener.com/solana/CdEvedaCXtwC3ubZNwxMPUbojMvgH7dN6xtKRHSgpump", "View")</f>
        <v>View</v>
      </c>
    </row>
    <row r="202" spans="1:16" x14ac:dyDescent="0.25">
      <c r="A202" s="13" t="s">
        <v>1261</v>
      </c>
      <c r="B202" s="14">
        <v>21439171</v>
      </c>
      <c r="C202" s="14">
        <v>0</v>
      </c>
      <c r="D202" s="14" t="s">
        <v>864</v>
      </c>
      <c r="E202" s="14" t="s">
        <v>569</v>
      </c>
      <c r="F202" s="14" t="s">
        <v>96</v>
      </c>
      <c r="G202" s="18" t="s">
        <v>877</v>
      </c>
      <c r="H202" s="18" t="s">
        <v>98</v>
      </c>
      <c r="I202" s="14" t="s">
        <v>1262</v>
      </c>
      <c r="J202" s="14">
        <v>1</v>
      </c>
      <c r="K202" s="14">
        <v>0</v>
      </c>
      <c r="L202" s="14" t="s">
        <v>1263</v>
      </c>
      <c r="M202" s="19" t="s">
        <v>101</v>
      </c>
      <c r="N202" s="14" t="s">
        <v>1264</v>
      </c>
      <c r="O202" s="14" t="s">
        <v>1265</v>
      </c>
      <c r="P202" s="14" t="str">
        <f>HYPERLINK("https://dexscreener.com/solana/9jXM5YVmVu6D8DVNo7J2cLFWK1MCCWdS3GpGb2HSpump", "View")</f>
        <v>View</v>
      </c>
    </row>
    <row r="203" spans="1:16" x14ac:dyDescent="0.25">
      <c r="A203" s="16" t="s">
        <v>1266</v>
      </c>
      <c r="B203" s="17">
        <v>11436670</v>
      </c>
      <c r="C203" s="17">
        <v>0</v>
      </c>
      <c r="D203" s="17" t="s">
        <v>864</v>
      </c>
      <c r="E203" s="17" t="s">
        <v>1267</v>
      </c>
      <c r="F203" s="17" t="s">
        <v>96</v>
      </c>
      <c r="G203" s="18" t="s">
        <v>1268</v>
      </c>
      <c r="H203" s="18" t="s">
        <v>98</v>
      </c>
      <c r="I203" s="17" t="s">
        <v>1269</v>
      </c>
      <c r="J203" s="17">
        <v>1</v>
      </c>
      <c r="K203" s="17">
        <v>0</v>
      </c>
      <c r="L203" s="17" t="s">
        <v>1270</v>
      </c>
      <c r="M203" s="19" t="s">
        <v>101</v>
      </c>
      <c r="N203" s="17" t="s">
        <v>1271</v>
      </c>
      <c r="O203" s="17" t="s">
        <v>1272</v>
      </c>
      <c r="P203" s="17" t="str">
        <f>HYPERLINK("https://dexscreener.com/solana/AZHzeowRASW6EkfQRxGoHR7J7wUEmMJbJkxtmJGhpump", "View")</f>
        <v>View</v>
      </c>
    </row>
    <row r="204" spans="1:16" x14ac:dyDescent="0.25">
      <c r="A204" s="13" t="s">
        <v>1273</v>
      </c>
      <c r="B204" s="14">
        <v>16608717</v>
      </c>
      <c r="C204" s="14">
        <v>3620700</v>
      </c>
      <c r="D204" s="14" t="s">
        <v>913</v>
      </c>
      <c r="E204" s="14" t="s">
        <v>165</v>
      </c>
      <c r="F204" s="14" t="s">
        <v>1274</v>
      </c>
      <c r="G204" s="20" t="s">
        <v>1275</v>
      </c>
      <c r="H204" s="20" t="s">
        <v>1276</v>
      </c>
      <c r="I204" s="14" t="s">
        <v>88</v>
      </c>
      <c r="J204" s="14">
        <v>1</v>
      </c>
      <c r="K204" s="14">
        <v>2</v>
      </c>
      <c r="L204" s="14" t="s">
        <v>1277</v>
      </c>
      <c r="M204" s="14" t="s">
        <v>117</v>
      </c>
      <c r="N204" s="14" t="s">
        <v>1278</v>
      </c>
      <c r="O204" s="14" t="s">
        <v>1279</v>
      </c>
      <c r="P204" s="14" t="str">
        <f>HYPERLINK("https://dexscreener.com/solana/GpKUvQfGPVhMM62e3aCcBe6tUcVqHXjLK45WySdq5dJf", "View")</f>
        <v>View</v>
      </c>
    </row>
    <row r="205" spans="1:16" x14ac:dyDescent="0.25">
      <c r="A205" s="16" t="s">
        <v>1280</v>
      </c>
      <c r="B205" s="17">
        <v>18255889</v>
      </c>
      <c r="C205" s="17">
        <v>4040247</v>
      </c>
      <c r="D205" s="17" t="s">
        <v>1281</v>
      </c>
      <c r="E205" s="17" t="s">
        <v>1267</v>
      </c>
      <c r="F205" s="17" t="s">
        <v>1282</v>
      </c>
      <c r="G205" s="21" t="s">
        <v>1283</v>
      </c>
      <c r="H205" s="21" t="s">
        <v>1284</v>
      </c>
      <c r="I205" s="17" t="s">
        <v>88</v>
      </c>
      <c r="J205" s="17">
        <v>1</v>
      </c>
      <c r="K205" s="17">
        <v>3</v>
      </c>
      <c r="L205" s="17" t="s">
        <v>1285</v>
      </c>
      <c r="M205" s="17" t="s">
        <v>179</v>
      </c>
      <c r="N205" s="17" t="s">
        <v>1286</v>
      </c>
      <c r="O205" s="17" t="s">
        <v>1287</v>
      </c>
      <c r="P205" s="17" t="str">
        <f>HYPERLINK("https://dexscreener.com/solana/8sj6CvKd8tZttApYFpDKfTrA2osx1eemhemK1YMbpump", "View")</f>
        <v>View</v>
      </c>
    </row>
    <row r="206" spans="1:16" x14ac:dyDescent="0.25">
      <c r="A206" s="13" t="s">
        <v>1288</v>
      </c>
      <c r="B206" s="14">
        <v>21490823</v>
      </c>
      <c r="C206" s="14">
        <v>2149082</v>
      </c>
      <c r="D206" s="14" t="s">
        <v>1289</v>
      </c>
      <c r="E206" s="14" t="s">
        <v>219</v>
      </c>
      <c r="F206" s="14" t="s">
        <v>1290</v>
      </c>
      <c r="G206" s="20" t="s">
        <v>1291</v>
      </c>
      <c r="H206" s="20" t="s">
        <v>1292</v>
      </c>
      <c r="I206" s="14" t="s">
        <v>88</v>
      </c>
      <c r="J206" s="14">
        <v>1</v>
      </c>
      <c r="K206" s="14">
        <v>1</v>
      </c>
      <c r="L206" s="14" t="s">
        <v>1293</v>
      </c>
      <c r="M206" s="14" t="s">
        <v>980</v>
      </c>
      <c r="N206" s="14" t="s">
        <v>1294</v>
      </c>
      <c r="O206" s="14" t="s">
        <v>1295</v>
      </c>
      <c r="P206" s="14" t="str">
        <f>HYPERLINK("https://dexscreener.com/solana/EWKCSAyuWFCTKHXnomA3V81drupcj2fKP9yvsdbdpump", "View")</f>
        <v>View</v>
      </c>
    </row>
    <row r="207" spans="1:16" x14ac:dyDescent="0.25">
      <c r="A207" s="16" t="s">
        <v>1296</v>
      </c>
      <c r="B207" s="17">
        <v>9860709</v>
      </c>
      <c r="C207" s="17">
        <v>1873535</v>
      </c>
      <c r="D207" s="17" t="s">
        <v>913</v>
      </c>
      <c r="E207" s="17" t="s">
        <v>569</v>
      </c>
      <c r="F207" s="17" t="s">
        <v>1297</v>
      </c>
      <c r="G207" s="22" t="s">
        <v>1298</v>
      </c>
      <c r="H207" s="22" t="s">
        <v>1299</v>
      </c>
      <c r="I207" s="17" t="s">
        <v>88</v>
      </c>
      <c r="J207" s="17">
        <v>1</v>
      </c>
      <c r="K207" s="17">
        <v>2</v>
      </c>
      <c r="L207" s="17" t="s">
        <v>1300</v>
      </c>
      <c r="M207" s="17" t="s">
        <v>479</v>
      </c>
      <c r="N207" s="17" t="s">
        <v>1301</v>
      </c>
      <c r="O207" s="17" t="s">
        <v>1302</v>
      </c>
      <c r="P207" s="17" t="str">
        <f>HYPERLINK("https://dexscreener.com/solana/7192XhbzmrUJaei8dgGmmTs8jP6qocNYr9rLYkjqsTEJ", "View")</f>
        <v>View</v>
      </c>
    </row>
    <row r="208" spans="1:16" x14ac:dyDescent="0.25">
      <c r="A208" s="13" t="s">
        <v>1303</v>
      </c>
      <c r="B208" s="14">
        <v>11599125</v>
      </c>
      <c r="C208" s="14">
        <v>0</v>
      </c>
      <c r="D208" s="14" t="s">
        <v>864</v>
      </c>
      <c r="E208" s="14" t="s">
        <v>219</v>
      </c>
      <c r="F208" s="14" t="s">
        <v>96</v>
      </c>
      <c r="G208" s="18" t="s">
        <v>871</v>
      </c>
      <c r="H208" s="18" t="s">
        <v>98</v>
      </c>
      <c r="I208" s="14" t="s">
        <v>1304</v>
      </c>
      <c r="J208" s="14">
        <v>1</v>
      </c>
      <c r="K208" s="14">
        <v>0</v>
      </c>
      <c r="L208" s="14" t="s">
        <v>1305</v>
      </c>
      <c r="M208" s="19" t="s">
        <v>101</v>
      </c>
      <c r="N208" s="14" t="s">
        <v>1306</v>
      </c>
      <c r="O208" s="14" t="s">
        <v>1307</v>
      </c>
      <c r="P208" s="14" t="str">
        <f>HYPERLINK("https://dexscreener.com/solana/5LDKU2JpdgxUmzQq3aQL3tYCWxKf5iXtEXpkGTdHpump", "View")</f>
        <v>View</v>
      </c>
    </row>
    <row r="209" spans="1:16" x14ac:dyDescent="0.25">
      <c r="A209" s="16" t="s">
        <v>1308</v>
      </c>
      <c r="B209" s="17">
        <v>16410668</v>
      </c>
      <c r="C209" s="17">
        <v>0</v>
      </c>
      <c r="D209" s="17" t="s">
        <v>864</v>
      </c>
      <c r="E209" s="17" t="s">
        <v>1007</v>
      </c>
      <c r="F209" s="17" t="s">
        <v>96</v>
      </c>
      <c r="G209" s="18" t="s">
        <v>1008</v>
      </c>
      <c r="H209" s="18" t="s">
        <v>98</v>
      </c>
      <c r="I209" s="17" t="s">
        <v>1309</v>
      </c>
      <c r="J209" s="17">
        <v>1</v>
      </c>
      <c r="K209" s="17">
        <v>0</v>
      </c>
      <c r="L209" s="17" t="s">
        <v>1310</v>
      </c>
      <c r="M209" s="19" t="s">
        <v>101</v>
      </c>
      <c r="N209" s="17" t="s">
        <v>1311</v>
      </c>
      <c r="O209" s="17" t="s">
        <v>1312</v>
      </c>
      <c r="P209" s="17" t="str">
        <f>HYPERLINK("https://dexscreener.com/solana/76nGNHFTuFTgY5Yuvv2dJDHm4xM6XHQYrpvQU2d6toA7", "View")</f>
        <v>View</v>
      </c>
    </row>
    <row r="210" spans="1:16" x14ac:dyDescent="0.25">
      <c r="A210" s="13" t="s">
        <v>1313</v>
      </c>
      <c r="B210" s="14">
        <v>34713556</v>
      </c>
      <c r="C210" s="14">
        <v>0</v>
      </c>
      <c r="D210" s="14" t="s">
        <v>864</v>
      </c>
      <c r="E210" s="14" t="s">
        <v>402</v>
      </c>
      <c r="F210" s="14" t="s">
        <v>96</v>
      </c>
      <c r="G210" s="18" t="s">
        <v>1118</v>
      </c>
      <c r="H210" s="18" t="s">
        <v>98</v>
      </c>
      <c r="I210" s="14" t="s">
        <v>1314</v>
      </c>
      <c r="J210" s="14">
        <v>1</v>
      </c>
      <c r="K210" s="14">
        <v>0</v>
      </c>
      <c r="L210" s="14" t="s">
        <v>1315</v>
      </c>
      <c r="M210" s="19" t="s">
        <v>101</v>
      </c>
      <c r="N210" s="14" t="s">
        <v>1316</v>
      </c>
      <c r="O210" s="14" t="s">
        <v>1317</v>
      </c>
      <c r="P210" s="14" t="str">
        <f>HYPERLINK("https://dexscreener.com/solana/GLqavGgxjwP2gdVoooPzX3HPxPG2YiHJx8PDUEL7pump", "View")</f>
        <v>View</v>
      </c>
    </row>
    <row r="211" spans="1:16" x14ac:dyDescent="0.25">
      <c r="A211" s="16" t="s">
        <v>1318</v>
      </c>
      <c r="B211" s="17">
        <v>18173723</v>
      </c>
      <c r="C211" s="17">
        <v>0</v>
      </c>
      <c r="D211" s="17" t="s">
        <v>864</v>
      </c>
      <c r="E211" s="17" t="s">
        <v>219</v>
      </c>
      <c r="F211" s="17" t="s">
        <v>96</v>
      </c>
      <c r="G211" s="18" t="s">
        <v>871</v>
      </c>
      <c r="H211" s="18" t="s">
        <v>98</v>
      </c>
      <c r="I211" s="17" t="s">
        <v>1319</v>
      </c>
      <c r="J211" s="17">
        <v>1</v>
      </c>
      <c r="K211" s="17">
        <v>0</v>
      </c>
      <c r="L211" s="17" t="s">
        <v>1320</v>
      </c>
      <c r="M211" s="19" t="s">
        <v>101</v>
      </c>
      <c r="N211" s="17" t="s">
        <v>1321</v>
      </c>
      <c r="O211" s="17" t="s">
        <v>1322</v>
      </c>
      <c r="P211" s="17" t="str">
        <f>HYPERLINK("https://dexscreener.com/solana/8VZCsMNqGbTQM3YrPBp6fbKb74tE1WwAH3gvZN5BxCwb", "View")</f>
        <v>View</v>
      </c>
    </row>
    <row r="212" spans="1:16" x14ac:dyDescent="0.25">
      <c r="A212" s="13" t="s">
        <v>1323</v>
      </c>
      <c r="B212" s="14">
        <v>13654494</v>
      </c>
      <c r="C212" s="14">
        <v>0</v>
      </c>
      <c r="D212" s="14" t="s">
        <v>864</v>
      </c>
      <c r="E212" s="14" t="s">
        <v>1179</v>
      </c>
      <c r="F212" s="14" t="s">
        <v>96</v>
      </c>
      <c r="G212" s="18" t="s">
        <v>1324</v>
      </c>
      <c r="H212" s="18" t="s">
        <v>98</v>
      </c>
      <c r="I212" s="14" t="s">
        <v>1325</v>
      </c>
      <c r="J212" s="14">
        <v>1</v>
      </c>
      <c r="K212" s="14">
        <v>0</v>
      </c>
      <c r="L212" s="14" t="s">
        <v>1326</v>
      </c>
      <c r="M212" s="19" t="s">
        <v>101</v>
      </c>
      <c r="N212" s="14" t="s">
        <v>1327</v>
      </c>
      <c r="O212" s="14" t="s">
        <v>1328</v>
      </c>
      <c r="P212" s="14" t="str">
        <f>HYPERLINK("https://photon-sol.tinyastro.io/en/lp/3gAisekR82VdzH4N4pJzbLqkQ1z418eGygs3Kkaupump?handle=676050794bc1b1657a56b", "View")</f>
        <v>View</v>
      </c>
    </row>
    <row r="213" spans="1:16" x14ac:dyDescent="0.25">
      <c r="A213" s="16" t="s">
        <v>1329</v>
      </c>
      <c r="B213" s="17">
        <v>10959371</v>
      </c>
      <c r="C213" s="17">
        <v>0</v>
      </c>
      <c r="D213" s="17" t="s">
        <v>864</v>
      </c>
      <c r="E213" s="17" t="s">
        <v>219</v>
      </c>
      <c r="F213" s="17" t="s">
        <v>96</v>
      </c>
      <c r="G213" s="18" t="s">
        <v>871</v>
      </c>
      <c r="H213" s="18" t="s">
        <v>98</v>
      </c>
      <c r="I213" s="17" t="s">
        <v>1330</v>
      </c>
      <c r="J213" s="17">
        <v>1</v>
      </c>
      <c r="K213" s="17">
        <v>0</v>
      </c>
      <c r="L213" s="17" t="s">
        <v>1331</v>
      </c>
      <c r="M213" s="19" t="s">
        <v>101</v>
      </c>
      <c r="N213" s="17" t="s">
        <v>1332</v>
      </c>
      <c r="O213" s="17" t="s">
        <v>1333</v>
      </c>
      <c r="P213" s="17" t="str">
        <f>HYPERLINK("https://dexscreener.com/solana/BcjQVMVXwUjsKU9mccvqiVog1gW5rh3gWhQnxxcNpump", "View")</f>
        <v>View</v>
      </c>
    </row>
    <row r="214" spans="1:16" x14ac:dyDescent="0.25">
      <c r="A214" s="13" t="s">
        <v>1334</v>
      </c>
      <c r="B214" s="14">
        <v>17538976</v>
      </c>
      <c r="C214" s="14">
        <v>0</v>
      </c>
      <c r="D214" s="14" t="s">
        <v>864</v>
      </c>
      <c r="E214" s="14" t="s">
        <v>569</v>
      </c>
      <c r="F214" s="14" t="s">
        <v>96</v>
      </c>
      <c r="G214" s="18" t="s">
        <v>877</v>
      </c>
      <c r="H214" s="18" t="s">
        <v>98</v>
      </c>
      <c r="I214" s="14" t="s">
        <v>1335</v>
      </c>
      <c r="J214" s="14">
        <v>1</v>
      </c>
      <c r="K214" s="14">
        <v>0</v>
      </c>
      <c r="L214" s="14" t="s">
        <v>1336</v>
      </c>
      <c r="M214" s="19" t="s">
        <v>101</v>
      </c>
      <c r="N214" s="14" t="s">
        <v>1337</v>
      </c>
      <c r="O214" s="14" t="s">
        <v>1338</v>
      </c>
      <c r="P214" s="14" t="str">
        <f>HYPERLINK("https://dexscreener.com/solana/F47eEc7tuC23sXQjtBeGtriYL1jHHVdopywVM3Popump", "View")</f>
        <v>View</v>
      </c>
    </row>
    <row r="215" spans="1:16" x14ac:dyDescent="0.25">
      <c r="A215" s="16" t="s">
        <v>1339</v>
      </c>
      <c r="B215" s="17">
        <v>17997449</v>
      </c>
      <c r="C215" s="17">
        <v>1799745</v>
      </c>
      <c r="D215" s="17" t="s">
        <v>1289</v>
      </c>
      <c r="E215" s="17" t="s">
        <v>219</v>
      </c>
      <c r="F215" s="17" t="s">
        <v>1340</v>
      </c>
      <c r="G215" s="15" t="s">
        <v>1341</v>
      </c>
      <c r="H215" s="15" t="s">
        <v>1342</v>
      </c>
      <c r="I215" s="17" t="s">
        <v>88</v>
      </c>
      <c r="J215" s="17">
        <v>1</v>
      </c>
      <c r="K215" s="17">
        <v>1</v>
      </c>
      <c r="L215" s="17" t="s">
        <v>1343</v>
      </c>
      <c r="M215" s="17" t="s">
        <v>356</v>
      </c>
      <c r="N215" s="17" t="s">
        <v>1344</v>
      </c>
      <c r="O215" s="17" t="s">
        <v>1345</v>
      </c>
      <c r="P215" s="17" t="str">
        <f>HYPERLINK("https://dexscreener.com/solana/48UE1jHd1YRR2EpTnRXi6dA15eboq92jm1YusW2epump", "View")</f>
        <v>View</v>
      </c>
    </row>
    <row r="216" spans="1:16" x14ac:dyDescent="0.25">
      <c r="A216" s="13" t="s">
        <v>1346</v>
      </c>
      <c r="B216" s="14">
        <v>16069329</v>
      </c>
      <c r="C216" s="14">
        <v>4354788</v>
      </c>
      <c r="D216" s="14" t="s">
        <v>1347</v>
      </c>
      <c r="E216" s="14" t="s">
        <v>219</v>
      </c>
      <c r="F216" s="14" t="s">
        <v>1348</v>
      </c>
      <c r="G216" s="22" t="s">
        <v>1349</v>
      </c>
      <c r="H216" s="22" t="s">
        <v>1350</v>
      </c>
      <c r="I216" s="14" t="s">
        <v>88</v>
      </c>
      <c r="J216" s="14">
        <v>1</v>
      </c>
      <c r="K216" s="14">
        <v>3</v>
      </c>
      <c r="L216" s="14" t="s">
        <v>1351</v>
      </c>
      <c r="M216" s="14" t="s">
        <v>414</v>
      </c>
      <c r="N216" s="14" t="s">
        <v>1352</v>
      </c>
      <c r="O216" s="14" t="s">
        <v>1353</v>
      </c>
      <c r="P216" s="14" t="str">
        <f>HYPERLINK("https://dexscreener.com/solana/5LGSb2sNAekH26RxQ6KS9G4Z8wVHiXyzARANNT3Fpump", "View")</f>
        <v>View</v>
      </c>
    </row>
    <row r="217" spans="1:16" x14ac:dyDescent="0.25">
      <c r="A217" s="16" t="s">
        <v>1354</v>
      </c>
      <c r="B217" s="17">
        <v>10684330</v>
      </c>
      <c r="C217" s="17">
        <v>0</v>
      </c>
      <c r="D217" s="17" t="s">
        <v>864</v>
      </c>
      <c r="E217" s="17" t="s">
        <v>484</v>
      </c>
      <c r="F217" s="17" t="s">
        <v>96</v>
      </c>
      <c r="G217" s="18" t="s">
        <v>1355</v>
      </c>
      <c r="H217" s="18" t="s">
        <v>98</v>
      </c>
      <c r="I217" s="17" t="s">
        <v>1356</v>
      </c>
      <c r="J217" s="17">
        <v>1</v>
      </c>
      <c r="K217" s="17">
        <v>0</v>
      </c>
      <c r="L217" s="17" t="s">
        <v>1357</v>
      </c>
      <c r="M217" s="19" t="s">
        <v>101</v>
      </c>
      <c r="N217" s="17" t="s">
        <v>1358</v>
      </c>
      <c r="O217" s="17" t="s">
        <v>1359</v>
      </c>
      <c r="P217" s="17" t="str">
        <f>HYPERLINK("https://dexscreener.com/solana/Fydx7jRPVT7iJi8VNLCdXp1iH7KeqLj1bsuFHUAPpump", "View")</f>
        <v>View</v>
      </c>
    </row>
    <row r="218" spans="1:16" x14ac:dyDescent="0.25">
      <c r="A218" s="13" t="s">
        <v>1360</v>
      </c>
      <c r="B218" s="14">
        <v>16456823</v>
      </c>
      <c r="C218" s="14">
        <v>0</v>
      </c>
      <c r="D218" s="14" t="s">
        <v>864</v>
      </c>
      <c r="E218" s="14" t="s">
        <v>1361</v>
      </c>
      <c r="F218" s="14" t="s">
        <v>96</v>
      </c>
      <c r="G218" s="18" t="s">
        <v>1362</v>
      </c>
      <c r="H218" s="18" t="s">
        <v>98</v>
      </c>
      <c r="I218" s="14" t="s">
        <v>1363</v>
      </c>
      <c r="J218" s="14">
        <v>1</v>
      </c>
      <c r="K218" s="14">
        <v>0</v>
      </c>
      <c r="L218" s="14" t="s">
        <v>1364</v>
      </c>
      <c r="M218" s="19" t="s">
        <v>101</v>
      </c>
      <c r="N218" s="14" t="s">
        <v>507</v>
      </c>
      <c r="O218" s="14" t="s">
        <v>1365</v>
      </c>
      <c r="P218" s="14" t="str">
        <f>HYPERLINK("https://photon-sol.tinyastro.io/en/lp/G7GsT8zNrTFa1quWj9acHeZtQzzkVVyDCwKuxfAvpump?handle=676050794bc1b1657a56b", "View")</f>
        <v>View</v>
      </c>
    </row>
    <row r="219" spans="1:16" x14ac:dyDescent="0.25">
      <c r="A219" s="16" t="s">
        <v>1366</v>
      </c>
      <c r="B219" s="17">
        <v>13418345</v>
      </c>
      <c r="C219" s="17">
        <v>0</v>
      </c>
      <c r="D219" s="17" t="s">
        <v>864</v>
      </c>
      <c r="E219" s="17" t="s">
        <v>219</v>
      </c>
      <c r="F219" s="17" t="s">
        <v>96</v>
      </c>
      <c r="G219" s="18" t="s">
        <v>871</v>
      </c>
      <c r="H219" s="18" t="s">
        <v>98</v>
      </c>
      <c r="I219" s="17" t="s">
        <v>1367</v>
      </c>
      <c r="J219" s="17">
        <v>1</v>
      </c>
      <c r="K219" s="17">
        <v>0</v>
      </c>
      <c r="L219" s="17" t="s">
        <v>1368</v>
      </c>
      <c r="M219" s="19" t="s">
        <v>101</v>
      </c>
      <c r="N219" s="17" t="s">
        <v>1369</v>
      </c>
      <c r="O219" s="17" t="s">
        <v>1370</v>
      </c>
      <c r="P219" s="17" t="str">
        <f>HYPERLINK("https://dexscreener.com/solana/2YqkwZBf6aJ5mY3aitDz1W3CXTFmABjTApongtdLpump", "View")</f>
        <v>View</v>
      </c>
    </row>
    <row r="220" spans="1:16" x14ac:dyDescent="0.25">
      <c r="A220" s="13" t="s">
        <v>1371</v>
      </c>
      <c r="B220" s="14">
        <v>17079857</v>
      </c>
      <c r="C220" s="14">
        <v>7395578</v>
      </c>
      <c r="D220" s="14" t="s">
        <v>1372</v>
      </c>
      <c r="E220" s="14" t="s">
        <v>165</v>
      </c>
      <c r="F220" s="14" t="s">
        <v>1373</v>
      </c>
      <c r="G220" s="20" t="s">
        <v>1374</v>
      </c>
      <c r="H220" s="20" t="s">
        <v>1375</v>
      </c>
      <c r="I220" s="14" t="s">
        <v>88</v>
      </c>
      <c r="J220" s="14">
        <v>2</v>
      </c>
      <c r="K220" s="14">
        <v>3</v>
      </c>
      <c r="L220" s="14" t="s">
        <v>1376</v>
      </c>
      <c r="M220" s="14" t="s">
        <v>132</v>
      </c>
      <c r="N220" s="14" t="s">
        <v>1377</v>
      </c>
      <c r="O220" s="14" t="s">
        <v>1378</v>
      </c>
      <c r="P220" s="14" t="str">
        <f>HYPERLINK("https://dexscreener.com/solana/4CPQVcfg4o16KTFfy1XVc2TXvNcp8Zep8QnwTHm4pump", "View")</f>
        <v>View</v>
      </c>
    </row>
    <row r="221" spans="1:16" x14ac:dyDescent="0.25">
      <c r="A221" s="16" t="s">
        <v>1379</v>
      </c>
      <c r="B221" s="17">
        <v>23470241</v>
      </c>
      <c r="C221" s="17">
        <v>0</v>
      </c>
      <c r="D221" s="17" t="s">
        <v>913</v>
      </c>
      <c r="E221" s="17" t="s">
        <v>1380</v>
      </c>
      <c r="F221" s="17" t="s">
        <v>96</v>
      </c>
      <c r="G221" s="18" t="s">
        <v>1381</v>
      </c>
      <c r="H221" s="18" t="s">
        <v>98</v>
      </c>
      <c r="I221" s="17" t="s">
        <v>1382</v>
      </c>
      <c r="J221" s="17">
        <v>3</v>
      </c>
      <c r="K221" s="17">
        <v>0</v>
      </c>
      <c r="L221" s="17" t="s">
        <v>1383</v>
      </c>
      <c r="M221" s="17" t="s">
        <v>356</v>
      </c>
      <c r="N221" s="17" t="s">
        <v>1384</v>
      </c>
      <c r="O221" s="17" t="s">
        <v>1385</v>
      </c>
      <c r="P221" s="17" t="str">
        <f>HYPERLINK("https://dexscreener.com/solana/C1XU84iJUs2WiPy4G25VmSsSFCY1G9uj6TDyAXmRpump", "View")</f>
        <v>View</v>
      </c>
    </row>
    <row r="222" spans="1:16" x14ac:dyDescent="0.25">
      <c r="A222" s="13" t="s">
        <v>1386</v>
      </c>
      <c r="B222" s="14">
        <v>14066653</v>
      </c>
      <c r="C222" s="14">
        <v>0</v>
      </c>
      <c r="D222" s="14" t="s">
        <v>864</v>
      </c>
      <c r="E222" s="14" t="s">
        <v>569</v>
      </c>
      <c r="F222" s="14" t="s">
        <v>96</v>
      </c>
      <c r="G222" s="18" t="s">
        <v>877</v>
      </c>
      <c r="H222" s="18" t="s">
        <v>98</v>
      </c>
      <c r="I222" s="14" t="s">
        <v>1387</v>
      </c>
      <c r="J222" s="14">
        <v>1</v>
      </c>
      <c r="K222" s="14">
        <v>0</v>
      </c>
      <c r="L222" s="14" t="s">
        <v>1388</v>
      </c>
      <c r="M222" s="19" t="s">
        <v>101</v>
      </c>
      <c r="N222" s="14" t="s">
        <v>591</v>
      </c>
      <c r="O222" s="14" t="s">
        <v>1389</v>
      </c>
      <c r="P222" s="14" t="str">
        <f>HYPERLINK("https://dexscreener.com/solana/36wNQNczRFXnYNrTSC6EE1VszBAmMCi4jL5fawXFpump", "View")</f>
        <v>View</v>
      </c>
    </row>
    <row r="223" spans="1:16" x14ac:dyDescent="0.25">
      <c r="A223" s="16" t="s">
        <v>1390</v>
      </c>
      <c r="B223" s="17">
        <v>21211877</v>
      </c>
      <c r="C223" s="17">
        <v>0</v>
      </c>
      <c r="D223" s="17" t="s">
        <v>864</v>
      </c>
      <c r="E223" s="17" t="s">
        <v>951</v>
      </c>
      <c r="F223" s="17" t="s">
        <v>96</v>
      </c>
      <c r="G223" s="18" t="s">
        <v>952</v>
      </c>
      <c r="H223" s="18" t="s">
        <v>98</v>
      </c>
      <c r="I223" s="17" t="s">
        <v>1391</v>
      </c>
      <c r="J223" s="17">
        <v>1</v>
      </c>
      <c r="K223" s="17">
        <v>0</v>
      </c>
      <c r="L223" s="17" t="s">
        <v>1392</v>
      </c>
      <c r="M223" s="19" t="s">
        <v>101</v>
      </c>
      <c r="N223" s="17" t="s">
        <v>1393</v>
      </c>
      <c r="O223" s="17" t="s">
        <v>1394</v>
      </c>
      <c r="P223" s="17" t="str">
        <f>HYPERLINK("https://photon-sol.tinyastro.io/en/lp/2ndcviftHLjAYCkTYYAA4bneEFparnbeMR3uYSVLpump?handle=676050794bc1b1657a56b", "View")</f>
        <v>View</v>
      </c>
    </row>
    <row r="224" spans="1:16" x14ac:dyDescent="0.25">
      <c r="A224" s="13" t="s">
        <v>1395</v>
      </c>
      <c r="B224" s="14">
        <v>22505021</v>
      </c>
      <c r="C224" s="14">
        <v>0</v>
      </c>
      <c r="D224" s="14" t="s">
        <v>864</v>
      </c>
      <c r="E224" s="14" t="s">
        <v>951</v>
      </c>
      <c r="F224" s="14" t="s">
        <v>96</v>
      </c>
      <c r="G224" s="18" t="s">
        <v>952</v>
      </c>
      <c r="H224" s="18" t="s">
        <v>98</v>
      </c>
      <c r="I224" s="14" t="s">
        <v>1396</v>
      </c>
      <c r="J224" s="14">
        <v>1</v>
      </c>
      <c r="K224" s="14">
        <v>0</v>
      </c>
      <c r="L224" s="14" t="s">
        <v>1397</v>
      </c>
      <c r="M224" s="19" t="s">
        <v>101</v>
      </c>
      <c r="N224" s="14" t="s">
        <v>507</v>
      </c>
      <c r="O224" s="14" t="s">
        <v>1398</v>
      </c>
      <c r="P224" s="14" t="str">
        <f>HYPERLINK("https://photon-sol.tinyastro.io/en/lp/6XK9THyDdgL4x5JqKJCxfRq2oLYxGaFwdcnJ8H9Bpump?handle=676050794bc1b1657a56b", "View")</f>
        <v>View</v>
      </c>
    </row>
    <row r="225" spans="1:16" x14ac:dyDescent="0.25">
      <c r="A225" s="16" t="s">
        <v>1399</v>
      </c>
      <c r="B225" s="17">
        <v>19411607</v>
      </c>
      <c r="C225" s="17">
        <v>0</v>
      </c>
      <c r="D225" s="17" t="s">
        <v>864</v>
      </c>
      <c r="E225" s="17" t="s">
        <v>1400</v>
      </c>
      <c r="F225" s="17" t="s">
        <v>96</v>
      </c>
      <c r="G225" s="18" t="s">
        <v>1401</v>
      </c>
      <c r="H225" s="18" t="s">
        <v>98</v>
      </c>
      <c r="I225" s="17" t="s">
        <v>1402</v>
      </c>
      <c r="J225" s="17">
        <v>1</v>
      </c>
      <c r="K225" s="17">
        <v>0</v>
      </c>
      <c r="L225" s="17" t="s">
        <v>1403</v>
      </c>
      <c r="M225" s="19" t="s">
        <v>101</v>
      </c>
      <c r="N225" s="17" t="s">
        <v>507</v>
      </c>
      <c r="O225" s="17" t="s">
        <v>1404</v>
      </c>
      <c r="P225" s="17" t="str">
        <f>HYPERLINK("https://photon-sol.tinyastro.io/en/lp/DE8BMuw3mFtkJ5Na6A1D4hmFF7EoyGe3jk9qYNvbpump?handle=676050794bc1b1657a56b", "View")</f>
        <v>View</v>
      </c>
    </row>
    <row r="226" spans="1:16" x14ac:dyDescent="0.25">
      <c r="A226" s="13" t="s">
        <v>1405</v>
      </c>
      <c r="B226" s="14">
        <v>12852484</v>
      </c>
      <c r="C226" s="14">
        <v>6426242</v>
      </c>
      <c r="D226" s="14" t="s">
        <v>883</v>
      </c>
      <c r="E226" s="14" t="s">
        <v>1179</v>
      </c>
      <c r="F226" s="14" t="s">
        <v>1406</v>
      </c>
      <c r="G226" s="22" t="s">
        <v>1407</v>
      </c>
      <c r="H226" s="22" t="s">
        <v>1408</v>
      </c>
      <c r="I226" s="14" t="s">
        <v>88</v>
      </c>
      <c r="J226" s="14">
        <v>1</v>
      </c>
      <c r="K226" s="14">
        <v>1</v>
      </c>
      <c r="L226" s="14" t="s">
        <v>1409</v>
      </c>
      <c r="M226" s="14" t="s">
        <v>179</v>
      </c>
      <c r="N226" s="14" t="s">
        <v>1410</v>
      </c>
      <c r="O226" s="14" t="s">
        <v>1411</v>
      </c>
      <c r="P226" s="14" t="str">
        <f>HYPERLINK("https://photon-sol.tinyastro.io/en/lp/4f3EyhJ95QsAL8VPKKzFpb2p63nX3tn47C6sB5Gbpump?handle=676050794bc1b1657a56b", "View")</f>
        <v>View</v>
      </c>
    </row>
    <row r="227" spans="1:16" x14ac:dyDescent="0.25">
      <c r="A227" s="16" t="s">
        <v>1412</v>
      </c>
      <c r="B227" s="17">
        <v>21832554</v>
      </c>
      <c r="C227" s="17">
        <v>0</v>
      </c>
      <c r="D227" s="17" t="s">
        <v>864</v>
      </c>
      <c r="E227" s="17" t="s">
        <v>1413</v>
      </c>
      <c r="F227" s="17" t="s">
        <v>96</v>
      </c>
      <c r="G227" s="18" t="s">
        <v>1414</v>
      </c>
      <c r="H227" s="18" t="s">
        <v>98</v>
      </c>
      <c r="I227" s="17" t="s">
        <v>1415</v>
      </c>
      <c r="J227" s="17">
        <v>1</v>
      </c>
      <c r="K227" s="17">
        <v>0</v>
      </c>
      <c r="L227" s="17" t="s">
        <v>1416</v>
      </c>
      <c r="M227" s="19" t="s">
        <v>101</v>
      </c>
      <c r="N227" s="17" t="s">
        <v>507</v>
      </c>
      <c r="O227" s="17" t="s">
        <v>1417</v>
      </c>
      <c r="P227" s="17" t="str">
        <f>HYPERLINK("https://photon-sol.tinyastro.io/en/lp/Ge1WcDX4BhgdDB9PwFtfmc5HBvwFusEUNRPmM37Mpump?handle=676050794bc1b1657a56b", "View")</f>
        <v>View</v>
      </c>
    </row>
    <row r="228" spans="1:16" x14ac:dyDescent="0.25">
      <c r="A228" s="13" t="s">
        <v>1418</v>
      </c>
      <c r="B228" s="14">
        <v>15420921</v>
      </c>
      <c r="C228" s="14">
        <v>0</v>
      </c>
      <c r="D228" s="14" t="s">
        <v>864</v>
      </c>
      <c r="E228" s="14" t="s">
        <v>569</v>
      </c>
      <c r="F228" s="14" t="s">
        <v>96</v>
      </c>
      <c r="G228" s="18" t="s">
        <v>877</v>
      </c>
      <c r="H228" s="18" t="s">
        <v>98</v>
      </c>
      <c r="I228" s="14" t="s">
        <v>1419</v>
      </c>
      <c r="J228" s="14">
        <v>1</v>
      </c>
      <c r="K228" s="14">
        <v>0</v>
      </c>
      <c r="L228" s="14" t="s">
        <v>1420</v>
      </c>
      <c r="M228" s="19" t="s">
        <v>101</v>
      </c>
      <c r="N228" s="14" t="s">
        <v>904</v>
      </c>
      <c r="O228" s="14" t="s">
        <v>1421</v>
      </c>
      <c r="P228" s="14" t="str">
        <f>HYPERLINK("https://dexscreener.com/solana/Ezeatd6mQxMSGuB5Aeg7MGUNDbYEWoUHSgXxiehKpump", "View")</f>
        <v>View</v>
      </c>
    </row>
    <row r="229" spans="1:16" x14ac:dyDescent="0.25">
      <c r="A229" s="16" t="s">
        <v>1422</v>
      </c>
      <c r="B229" s="17">
        <v>26135186</v>
      </c>
      <c r="C229" s="17">
        <v>4965685</v>
      </c>
      <c r="D229" s="17" t="s">
        <v>913</v>
      </c>
      <c r="E229" s="17" t="s">
        <v>219</v>
      </c>
      <c r="F229" s="17" t="s">
        <v>1423</v>
      </c>
      <c r="G229" s="22" t="s">
        <v>1424</v>
      </c>
      <c r="H229" s="22" t="s">
        <v>1425</v>
      </c>
      <c r="I229" s="17" t="s">
        <v>88</v>
      </c>
      <c r="J229" s="17">
        <v>1</v>
      </c>
      <c r="K229" s="17">
        <v>2</v>
      </c>
      <c r="L229" s="17" t="s">
        <v>1426</v>
      </c>
      <c r="M229" s="17" t="s">
        <v>414</v>
      </c>
      <c r="N229" s="17" t="s">
        <v>1427</v>
      </c>
      <c r="O229" s="17" t="s">
        <v>1428</v>
      </c>
      <c r="P229" s="17" t="str">
        <f>HYPERLINK("https://dexscreener.com/solana/RyRuUXejECrSJgZCvvaF76HZifsT3KsqYtAHUxapump", "View")</f>
        <v>View</v>
      </c>
    </row>
    <row r="230" spans="1:16" x14ac:dyDescent="0.25">
      <c r="A230" s="13" t="s">
        <v>1429</v>
      </c>
      <c r="B230" s="14">
        <v>9830314</v>
      </c>
      <c r="C230" s="14">
        <v>2457578</v>
      </c>
      <c r="D230" s="14" t="s">
        <v>883</v>
      </c>
      <c r="E230" s="14" t="s">
        <v>219</v>
      </c>
      <c r="F230" s="14" t="s">
        <v>1430</v>
      </c>
      <c r="G230" s="15" t="s">
        <v>1431</v>
      </c>
      <c r="H230" s="15" t="s">
        <v>1432</v>
      </c>
      <c r="I230" s="14" t="s">
        <v>88</v>
      </c>
      <c r="J230" s="14">
        <v>1</v>
      </c>
      <c r="K230" s="14">
        <v>1</v>
      </c>
      <c r="L230" s="14" t="s">
        <v>1433</v>
      </c>
      <c r="M230" s="14" t="s">
        <v>1434</v>
      </c>
      <c r="N230" s="14" t="s">
        <v>1435</v>
      </c>
      <c r="O230" s="14" t="s">
        <v>1436</v>
      </c>
      <c r="P230" s="14" t="str">
        <f>HYPERLINK("https://dexscreener.com/solana/DubWbTkpdwYrHiPSmL62vAmDA6fHbSjkX66qKtj1pump", "View")</f>
        <v>View</v>
      </c>
    </row>
    <row r="231" spans="1:16" x14ac:dyDescent="0.25">
      <c r="A231" s="16" t="s">
        <v>1437</v>
      </c>
      <c r="B231" s="17">
        <v>22504831</v>
      </c>
      <c r="C231" s="17">
        <v>0</v>
      </c>
      <c r="D231" s="17" t="s">
        <v>864</v>
      </c>
      <c r="E231" s="17" t="s">
        <v>1438</v>
      </c>
      <c r="F231" s="17" t="s">
        <v>96</v>
      </c>
      <c r="G231" s="18" t="s">
        <v>1439</v>
      </c>
      <c r="H231" s="18" t="s">
        <v>98</v>
      </c>
      <c r="I231" s="17" t="s">
        <v>1440</v>
      </c>
      <c r="J231" s="17">
        <v>1</v>
      </c>
      <c r="K231" s="17">
        <v>0</v>
      </c>
      <c r="L231" s="17" t="s">
        <v>1441</v>
      </c>
      <c r="M231" s="19" t="s">
        <v>101</v>
      </c>
      <c r="N231" s="17" t="s">
        <v>507</v>
      </c>
      <c r="O231" s="17" t="s">
        <v>1442</v>
      </c>
      <c r="P231" s="17" t="str">
        <f>HYPERLINK("https://photon-sol.tinyastro.io/en/lp/BC85nJWt8cGfavV2RfU1oZukPPwocbbcViwEyAQfpump?handle=676050794bc1b1657a56b", "View")</f>
        <v>View</v>
      </c>
    </row>
    <row r="232" spans="1:16" x14ac:dyDescent="0.25">
      <c r="A232" s="13" t="s">
        <v>1443</v>
      </c>
      <c r="B232" s="14">
        <v>11870085</v>
      </c>
      <c r="C232" s="14">
        <v>5193162</v>
      </c>
      <c r="D232" s="14" t="s">
        <v>913</v>
      </c>
      <c r="E232" s="14" t="s">
        <v>219</v>
      </c>
      <c r="F232" s="14" t="s">
        <v>1444</v>
      </c>
      <c r="G232" s="20" t="s">
        <v>1445</v>
      </c>
      <c r="H232" s="20" t="s">
        <v>1446</v>
      </c>
      <c r="I232" s="14" t="s">
        <v>88</v>
      </c>
      <c r="J232" s="14">
        <v>1</v>
      </c>
      <c r="K232" s="14">
        <v>2</v>
      </c>
      <c r="L232" s="14" t="s">
        <v>1447</v>
      </c>
      <c r="M232" s="14" t="s">
        <v>1448</v>
      </c>
      <c r="N232" s="14" t="s">
        <v>1449</v>
      </c>
      <c r="O232" s="14" t="s">
        <v>1450</v>
      </c>
      <c r="P232" s="14" t="str">
        <f>HYPERLINK("https://dexscreener.com/solana/2qAx8nkVedYNNff19N4CZZJT66etYgSyWcYvNasGpump", "View")</f>
        <v>View</v>
      </c>
    </row>
    <row r="233" spans="1:16" x14ac:dyDescent="0.25">
      <c r="A233" s="16" t="s">
        <v>1451</v>
      </c>
      <c r="B233" s="17">
        <v>14249001</v>
      </c>
      <c r="C233" s="17">
        <v>0</v>
      </c>
      <c r="D233" s="17" t="s">
        <v>864</v>
      </c>
      <c r="E233" s="17" t="s">
        <v>1236</v>
      </c>
      <c r="F233" s="17" t="s">
        <v>96</v>
      </c>
      <c r="G233" s="18" t="s">
        <v>1237</v>
      </c>
      <c r="H233" s="18" t="s">
        <v>98</v>
      </c>
      <c r="I233" s="17" t="s">
        <v>1452</v>
      </c>
      <c r="J233" s="17">
        <v>1</v>
      </c>
      <c r="K233" s="17">
        <v>0</v>
      </c>
      <c r="L233" s="17" t="s">
        <v>1453</v>
      </c>
      <c r="M233" s="19" t="s">
        <v>101</v>
      </c>
      <c r="N233" s="17" t="s">
        <v>1454</v>
      </c>
      <c r="O233" s="17" t="s">
        <v>1455</v>
      </c>
      <c r="P233" s="17" t="str">
        <f>HYPERLINK("https://photon-sol.tinyastro.io/en/lp/8Un9rQPjWRuZio74Fv5MpHQJpQmxn473QKsDXaZfpump?handle=676050794bc1b1657a56b", "View")</f>
        <v>View</v>
      </c>
    </row>
    <row r="234" spans="1:16" x14ac:dyDescent="0.25">
      <c r="A234" s="13" t="s">
        <v>1456</v>
      </c>
      <c r="B234" s="14">
        <v>18618299</v>
      </c>
      <c r="C234" s="14">
        <v>0</v>
      </c>
      <c r="D234" s="14" t="s">
        <v>864</v>
      </c>
      <c r="E234" s="14" t="s">
        <v>1457</v>
      </c>
      <c r="F234" s="14" t="s">
        <v>96</v>
      </c>
      <c r="G234" s="18" t="s">
        <v>1458</v>
      </c>
      <c r="H234" s="18" t="s">
        <v>98</v>
      </c>
      <c r="I234" s="14" t="s">
        <v>1459</v>
      </c>
      <c r="J234" s="14">
        <v>1</v>
      </c>
      <c r="K234" s="14">
        <v>0</v>
      </c>
      <c r="L234" s="14" t="s">
        <v>1460</v>
      </c>
      <c r="M234" s="19" t="s">
        <v>101</v>
      </c>
      <c r="N234" s="14" t="s">
        <v>1461</v>
      </c>
      <c r="O234" s="14" t="s">
        <v>1462</v>
      </c>
      <c r="P234" s="14" t="str">
        <f>HYPERLINK("https://dexscreener.com/solana/FWn21BaY3Lz8VNDJWnVdhbAbCaJsktpCoBzb4bVjpump", "View")</f>
        <v>View</v>
      </c>
    </row>
    <row r="235" spans="1:16" x14ac:dyDescent="0.25">
      <c r="A235" s="16" t="s">
        <v>1463</v>
      </c>
      <c r="B235" s="17">
        <v>17685984</v>
      </c>
      <c r="C235" s="17">
        <v>0</v>
      </c>
      <c r="D235" s="17" t="s">
        <v>864</v>
      </c>
      <c r="E235" s="17" t="s">
        <v>219</v>
      </c>
      <c r="F235" s="17" t="s">
        <v>96</v>
      </c>
      <c r="G235" s="18" t="s">
        <v>871</v>
      </c>
      <c r="H235" s="18" t="s">
        <v>98</v>
      </c>
      <c r="I235" s="17" t="s">
        <v>1464</v>
      </c>
      <c r="J235" s="17">
        <v>1</v>
      </c>
      <c r="K235" s="17">
        <v>0</v>
      </c>
      <c r="L235" s="17" t="s">
        <v>1465</v>
      </c>
      <c r="M235" s="19" t="s">
        <v>101</v>
      </c>
      <c r="N235" s="17" t="s">
        <v>1466</v>
      </c>
      <c r="O235" s="17" t="s">
        <v>1467</v>
      </c>
      <c r="P235" s="17" t="str">
        <f>HYPERLINK("https://dexscreener.com/solana/G4RJPzVfDWxxZogJpKA2WyF4nYorrmkMTnRjuPQiEK6j", "View")</f>
        <v>View</v>
      </c>
    </row>
    <row r="236" spans="1:16" x14ac:dyDescent="0.25">
      <c r="A236" s="13" t="s">
        <v>1468</v>
      </c>
      <c r="B236" s="14">
        <v>24437238</v>
      </c>
      <c r="C236" s="14">
        <v>0</v>
      </c>
      <c r="D236" s="14" t="s">
        <v>864</v>
      </c>
      <c r="E236" s="14" t="s">
        <v>1457</v>
      </c>
      <c r="F236" s="14" t="s">
        <v>96</v>
      </c>
      <c r="G236" s="18" t="s">
        <v>1458</v>
      </c>
      <c r="H236" s="18" t="s">
        <v>98</v>
      </c>
      <c r="I236" s="14" t="s">
        <v>1469</v>
      </c>
      <c r="J236" s="14">
        <v>1</v>
      </c>
      <c r="K236" s="14">
        <v>0</v>
      </c>
      <c r="L236" s="14" t="s">
        <v>1470</v>
      </c>
      <c r="M236" s="19" t="s">
        <v>101</v>
      </c>
      <c r="N236" s="14" t="s">
        <v>1471</v>
      </c>
      <c r="O236" s="14" t="s">
        <v>1472</v>
      </c>
      <c r="P236" s="14" t="str">
        <f>HYPERLINK("https://dexscreener.com/solana/GTTAHWdh7nyXR9cRHa6iscGZkWexZDLRiV9H5zyUpump", "View")</f>
        <v>View</v>
      </c>
    </row>
    <row r="237" spans="1:16" x14ac:dyDescent="0.25">
      <c r="A237" s="16" t="s">
        <v>1473</v>
      </c>
      <c r="B237" s="17">
        <v>4648570</v>
      </c>
      <c r="C237" s="17">
        <v>4648570</v>
      </c>
      <c r="D237" s="17" t="s">
        <v>883</v>
      </c>
      <c r="E237" s="17" t="s">
        <v>340</v>
      </c>
      <c r="F237" s="17" t="s">
        <v>1474</v>
      </c>
      <c r="G237" s="15" t="s">
        <v>1475</v>
      </c>
      <c r="H237" s="15" t="s">
        <v>1476</v>
      </c>
      <c r="I237" s="17" t="s">
        <v>88</v>
      </c>
      <c r="J237" s="17">
        <v>1</v>
      </c>
      <c r="K237" s="17">
        <v>1</v>
      </c>
      <c r="L237" s="17" t="s">
        <v>1477</v>
      </c>
      <c r="M237" s="17" t="s">
        <v>1478</v>
      </c>
      <c r="N237" s="17" t="s">
        <v>1479</v>
      </c>
      <c r="O237" s="17" t="s">
        <v>1480</v>
      </c>
      <c r="P237" s="17" t="str">
        <f>HYPERLINK("https://dexscreener.com/solana/BWzZQswJRUh5aHQ5P6txtgC2GwYdmJ58ukwriUFFpump", "View")</f>
        <v>View</v>
      </c>
    </row>
    <row r="238" spans="1:16" x14ac:dyDescent="0.25">
      <c r="A238" s="13" t="s">
        <v>1481</v>
      </c>
      <c r="B238" s="14">
        <v>17271396</v>
      </c>
      <c r="C238" s="14">
        <v>0</v>
      </c>
      <c r="D238" s="14" t="s">
        <v>864</v>
      </c>
      <c r="E238" s="14" t="s">
        <v>219</v>
      </c>
      <c r="F238" s="14" t="s">
        <v>96</v>
      </c>
      <c r="G238" s="18" t="s">
        <v>871</v>
      </c>
      <c r="H238" s="18" t="s">
        <v>98</v>
      </c>
      <c r="I238" s="14" t="s">
        <v>1482</v>
      </c>
      <c r="J238" s="14">
        <v>1</v>
      </c>
      <c r="K238" s="14">
        <v>0</v>
      </c>
      <c r="L238" s="14" t="s">
        <v>1483</v>
      </c>
      <c r="M238" s="19" t="s">
        <v>101</v>
      </c>
      <c r="N238" s="14" t="s">
        <v>1484</v>
      </c>
      <c r="O238" s="14" t="s">
        <v>1485</v>
      </c>
      <c r="P238" s="14" t="str">
        <f>HYPERLINK("https://dexscreener.com/solana/ErKuAEXNvTKpbhbKfTkYNUhkyhmxEwjeXc8wXLGhpump", "View")</f>
        <v>View</v>
      </c>
    </row>
    <row r="239" spans="1:16" x14ac:dyDescent="0.25">
      <c r="A239" s="16" t="s">
        <v>1486</v>
      </c>
      <c r="B239" s="17">
        <v>9055628</v>
      </c>
      <c r="C239" s="17">
        <v>9055628</v>
      </c>
      <c r="D239" s="17" t="s">
        <v>1487</v>
      </c>
      <c r="E239" s="17" t="s">
        <v>1457</v>
      </c>
      <c r="F239" s="17" t="s">
        <v>1488</v>
      </c>
      <c r="G239" s="21" t="s">
        <v>1489</v>
      </c>
      <c r="H239" s="21" t="s">
        <v>1490</v>
      </c>
      <c r="I239" s="17" t="s">
        <v>88</v>
      </c>
      <c r="J239" s="17">
        <v>1</v>
      </c>
      <c r="K239" s="17">
        <v>14</v>
      </c>
      <c r="L239" s="17" t="s">
        <v>1491</v>
      </c>
      <c r="M239" s="17" t="s">
        <v>132</v>
      </c>
      <c r="N239" s="17" t="s">
        <v>1492</v>
      </c>
      <c r="O239" s="17" t="s">
        <v>1493</v>
      </c>
      <c r="P239" s="17" t="str">
        <f>HYPERLINK("https://dexscreener.com/solana/5UeaxTbiipJSNgkdx8ySsk49pRuATMMFuNGhoNEwpump", "View")</f>
        <v>View</v>
      </c>
    </row>
    <row r="240" spans="1:16" x14ac:dyDescent="0.25">
      <c r="A240" s="13" t="s">
        <v>1494</v>
      </c>
      <c r="B240" s="14">
        <v>11419386</v>
      </c>
      <c r="C240" s="14">
        <v>3425816</v>
      </c>
      <c r="D240" s="14" t="s">
        <v>883</v>
      </c>
      <c r="E240" s="14" t="s">
        <v>219</v>
      </c>
      <c r="F240" s="14" t="s">
        <v>1495</v>
      </c>
      <c r="G240" s="20" t="s">
        <v>1496</v>
      </c>
      <c r="H240" s="20" t="s">
        <v>1497</v>
      </c>
      <c r="I240" s="14" t="s">
        <v>88</v>
      </c>
      <c r="J240" s="14">
        <v>1</v>
      </c>
      <c r="K240" s="14">
        <v>1</v>
      </c>
      <c r="L240" s="14" t="s">
        <v>1498</v>
      </c>
      <c r="M240" s="14" t="s">
        <v>179</v>
      </c>
      <c r="N240" s="14" t="s">
        <v>1499</v>
      </c>
      <c r="O240" s="14" t="s">
        <v>1500</v>
      </c>
      <c r="P240" s="14" t="str">
        <f>HYPERLINK("https://dexscreener.com/solana/9u321XmFWk6MTTkkaMYs4njb6LXKR3PPWihsQ135pump", "View")</f>
        <v>View</v>
      </c>
    </row>
    <row r="241" spans="1:16" x14ac:dyDescent="0.25">
      <c r="A241" s="16" t="s">
        <v>1501</v>
      </c>
      <c r="B241" s="17">
        <v>19923035</v>
      </c>
      <c r="C241" s="17">
        <v>0</v>
      </c>
      <c r="D241" s="17" t="s">
        <v>864</v>
      </c>
      <c r="E241" s="17" t="s">
        <v>1502</v>
      </c>
      <c r="F241" s="17" t="s">
        <v>96</v>
      </c>
      <c r="G241" s="18" t="s">
        <v>1503</v>
      </c>
      <c r="H241" s="18" t="s">
        <v>98</v>
      </c>
      <c r="I241" s="17" t="s">
        <v>1504</v>
      </c>
      <c r="J241" s="17">
        <v>1</v>
      </c>
      <c r="K241" s="17">
        <v>0</v>
      </c>
      <c r="L241" s="17" t="s">
        <v>1505</v>
      </c>
      <c r="M241" s="19" t="s">
        <v>101</v>
      </c>
      <c r="N241" s="17" t="s">
        <v>968</v>
      </c>
      <c r="O241" s="17" t="s">
        <v>1506</v>
      </c>
      <c r="P241" s="17" t="str">
        <f>HYPERLINK("https://dexscreener.com/solana/QRYVRkQKHkZvxek49GWB7WL31dzmVTnHjZMUss2x5HY", "View")</f>
        <v>View</v>
      </c>
    </row>
    <row r="242" spans="1:16" x14ac:dyDescent="0.25">
      <c r="A242" s="13" t="s">
        <v>1507</v>
      </c>
      <c r="B242" s="14">
        <v>6172047</v>
      </c>
      <c r="C242" s="14">
        <v>2634193</v>
      </c>
      <c r="D242" s="14" t="s">
        <v>913</v>
      </c>
      <c r="E242" s="14" t="s">
        <v>552</v>
      </c>
      <c r="F242" s="14" t="s">
        <v>1508</v>
      </c>
      <c r="G242" s="21" t="s">
        <v>1509</v>
      </c>
      <c r="H242" s="21" t="s">
        <v>1510</v>
      </c>
      <c r="I242" s="14" t="s">
        <v>88</v>
      </c>
      <c r="J242" s="14">
        <v>1</v>
      </c>
      <c r="K242" s="14">
        <v>2</v>
      </c>
      <c r="L242" s="14" t="s">
        <v>1511</v>
      </c>
      <c r="M242" s="14" t="s">
        <v>680</v>
      </c>
      <c r="N242" s="14" t="s">
        <v>1512</v>
      </c>
      <c r="O242" s="14" t="s">
        <v>1513</v>
      </c>
      <c r="P242" s="14" t="str">
        <f>HYPERLINK("https://photon-sol.tinyastro.io/en/lp/H9pjZBVBACSYBN3fF6aWAPCF7zHxtxZrBPwfvpGLpump?handle=676050794bc1b1657a56b", "View")</f>
        <v>View</v>
      </c>
    </row>
    <row r="243" spans="1:16" x14ac:dyDescent="0.25">
      <c r="A243" s="16" t="s">
        <v>1514</v>
      </c>
      <c r="B243" s="17">
        <v>9836038</v>
      </c>
      <c r="C243" s="17">
        <v>9836038</v>
      </c>
      <c r="D243" s="17" t="s">
        <v>1289</v>
      </c>
      <c r="E243" s="17" t="s">
        <v>1457</v>
      </c>
      <c r="F243" s="17" t="s">
        <v>1515</v>
      </c>
      <c r="G243" s="20" t="s">
        <v>1516</v>
      </c>
      <c r="H243" s="20" t="s">
        <v>1517</v>
      </c>
      <c r="I243" s="17" t="s">
        <v>88</v>
      </c>
      <c r="J243" s="17">
        <v>1</v>
      </c>
      <c r="K243" s="17">
        <v>1</v>
      </c>
      <c r="L243" s="17" t="s">
        <v>1518</v>
      </c>
      <c r="M243" s="17" t="s">
        <v>379</v>
      </c>
      <c r="N243" s="17" t="s">
        <v>1519</v>
      </c>
      <c r="O243" s="17" t="s">
        <v>1520</v>
      </c>
      <c r="P243" s="17" t="str">
        <f>HYPERLINK("https://dexscreener.com/solana/VaxZxmFXV8tmsd72hUn22ex6GFzZ5uq9DVJ5wA5pump", "View")</f>
        <v>View</v>
      </c>
    </row>
    <row r="244" spans="1:16" x14ac:dyDescent="0.25">
      <c r="A244" s="13" t="s">
        <v>1521</v>
      </c>
      <c r="B244" s="14">
        <v>10635595</v>
      </c>
      <c r="C244" s="14">
        <v>2796098</v>
      </c>
      <c r="D244" s="14" t="s">
        <v>1289</v>
      </c>
      <c r="E244" s="14" t="s">
        <v>951</v>
      </c>
      <c r="F244" s="14" t="s">
        <v>1522</v>
      </c>
      <c r="G244" s="20" t="s">
        <v>1523</v>
      </c>
      <c r="H244" s="20" t="s">
        <v>1524</v>
      </c>
      <c r="I244" s="14" t="s">
        <v>88</v>
      </c>
      <c r="J244" s="14">
        <v>1</v>
      </c>
      <c r="K244" s="14">
        <v>1</v>
      </c>
      <c r="L244" s="14" t="s">
        <v>1525</v>
      </c>
      <c r="M244" s="14" t="s">
        <v>1526</v>
      </c>
      <c r="N244" s="14" t="s">
        <v>1527</v>
      </c>
      <c r="O244" s="14" t="s">
        <v>1528</v>
      </c>
      <c r="P244" s="14" t="str">
        <f>HYPERLINK("https://photon-sol.tinyastro.io/en/lp/9T3tLsiwAKmzJY5JfxGCET8vYY2cDRFALN3oXD4pump?handle=676050794bc1b1657a56b", "View")</f>
        <v>View</v>
      </c>
    </row>
    <row r="245" spans="1:16" x14ac:dyDescent="0.25">
      <c r="A245" s="16" t="s">
        <v>1529</v>
      </c>
      <c r="B245" s="17">
        <v>7143297</v>
      </c>
      <c r="C245" s="17">
        <v>5357473</v>
      </c>
      <c r="D245" s="17" t="s">
        <v>913</v>
      </c>
      <c r="E245" s="17" t="s">
        <v>569</v>
      </c>
      <c r="F245" s="17" t="s">
        <v>1530</v>
      </c>
      <c r="G245" s="22" t="s">
        <v>1531</v>
      </c>
      <c r="H245" s="22" t="s">
        <v>1532</v>
      </c>
      <c r="I245" s="17" t="s">
        <v>88</v>
      </c>
      <c r="J245" s="17">
        <v>1</v>
      </c>
      <c r="K245" s="17">
        <v>2</v>
      </c>
      <c r="L245" s="17" t="s">
        <v>1533</v>
      </c>
      <c r="M245" s="17" t="s">
        <v>414</v>
      </c>
      <c r="N245" s="17" t="s">
        <v>1534</v>
      </c>
      <c r="O245" s="17" t="s">
        <v>1535</v>
      </c>
      <c r="P245" s="17" t="str">
        <f>HYPERLINK("https://dexscreener.com/solana/aeAFefDk8CZeyjvP3nZ5yRutB6oAfQnhvoh9jZMpump", "View")</f>
        <v>View</v>
      </c>
    </row>
    <row r="246" spans="1:16" x14ac:dyDescent="0.25">
      <c r="A246" s="13" t="s">
        <v>1536</v>
      </c>
      <c r="B246" s="14">
        <v>15159884</v>
      </c>
      <c r="C246" s="14">
        <v>0</v>
      </c>
      <c r="D246" s="14" t="s">
        <v>864</v>
      </c>
      <c r="E246" s="14" t="s">
        <v>1537</v>
      </c>
      <c r="F246" s="14" t="s">
        <v>96</v>
      </c>
      <c r="G246" s="18" t="s">
        <v>1538</v>
      </c>
      <c r="H246" s="18" t="s">
        <v>98</v>
      </c>
      <c r="I246" s="14" t="s">
        <v>1539</v>
      </c>
      <c r="J246" s="14">
        <v>1</v>
      </c>
      <c r="K246" s="14">
        <v>0</v>
      </c>
      <c r="L246" s="14" t="s">
        <v>1540</v>
      </c>
      <c r="M246" s="19" t="s">
        <v>101</v>
      </c>
      <c r="N246" s="14" t="s">
        <v>1541</v>
      </c>
      <c r="O246" s="14" t="s">
        <v>1542</v>
      </c>
      <c r="P246" s="14" t="str">
        <f>HYPERLINK("https://photon-sol.tinyastro.io/en/lp/kxLV5cgzENvoL7urtd8pwVwL2K4PunoHhYXzxGqpump?handle=676050794bc1b1657a56b", "View")</f>
        <v>View</v>
      </c>
    </row>
    <row r="247" spans="1:16" x14ac:dyDescent="0.25">
      <c r="A247" s="16" t="s">
        <v>1543</v>
      </c>
      <c r="B247" s="17">
        <v>12696983</v>
      </c>
      <c r="C247" s="17">
        <v>0</v>
      </c>
      <c r="D247" s="17" t="s">
        <v>864</v>
      </c>
      <c r="E247" s="17" t="s">
        <v>1007</v>
      </c>
      <c r="F247" s="17" t="s">
        <v>96</v>
      </c>
      <c r="G247" s="18" t="s">
        <v>1008</v>
      </c>
      <c r="H247" s="18" t="s">
        <v>98</v>
      </c>
      <c r="I247" s="17" t="s">
        <v>1544</v>
      </c>
      <c r="J247" s="17">
        <v>1</v>
      </c>
      <c r="K247" s="17">
        <v>0</v>
      </c>
      <c r="L247" s="17" t="s">
        <v>1545</v>
      </c>
      <c r="M247" s="19" t="s">
        <v>101</v>
      </c>
      <c r="N247" s="17" t="s">
        <v>1546</v>
      </c>
      <c r="O247" s="17" t="s">
        <v>1547</v>
      </c>
      <c r="P247" s="17" t="str">
        <f>HYPERLINK("https://dexscreener.com/solana/6hFvvk3Q8fD9WcFnVHawrdZ8Yh62opH6nPySqMRgpump", "View")</f>
        <v>View</v>
      </c>
    </row>
    <row r="248" spans="1:16" x14ac:dyDescent="0.25">
      <c r="A248" s="13" t="s">
        <v>1548</v>
      </c>
      <c r="B248" s="14">
        <v>2906378</v>
      </c>
      <c r="C248" s="14">
        <v>1453189</v>
      </c>
      <c r="D248" s="14" t="s">
        <v>883</v>
      </c>
      <c r="E248" s="14" t="s">
        <v>1549</v>
      </c>
      <c r="F248" s="14" t="s">
        <v>1550</v>
      </c>
      <c r="G248" s="21" t="s">
        <v>1551</v>
      </c>
      <c r="H248" s="21" t="s">
        <v>1552</v>
      </c>
      <c r="I248" s="14" t="s">
        <v>88</v>
      </c>
      <c r="J248" s="14">
        <v>1</v>
      </c>
      <c r="K248" s="14">
        <v>1</v>
      </c>
      <c r="L248" s="14" t="s">
        <v>1553</v>
      </c>
      <c r="M248" s="14" t="s">
        <v>672</v>
      </c>
      <c r="N248" s="14" t="s">
        <v>1554</v>
      </c>
      <c r="O248" s="14" t="s">
        <v>1555</v>
      </c>
      <c r="P248" s="14" t="str">
        <f>HYPERLINK("https://dexscreener.com/solana/2RDQFs8JxSSazNjBs2bfWfN7yAy5shXap2zXR6Nmpump", "View")</f>
        <v>View</v>
      </c>
    </row>
    <row r="249" spans="1:16" x14ac:dyDescent="0.25">
      <c r="A249" s="16" t="s">
        <v>1556</v>
      </c>
      <c r="B249" s="17">
        <v>11141848</v>
      </c>
      <c r="C249" s="17">
        <v>0</v>
      </c>
      <c r="D249" s="17" t="s">
        <v>864</v>
      </c>
      <c r="E249" s="17" t="s">
        <v>1007</v>
      </c>
      <c r="F249" s="17" t="s">
        <v>96</v>
      </c>
      <c r="G249" s="18" t="s">
        <v>1008</v>
      </c>
      <c r="H249" s="18" t="s">
        <v>98</v>
      </c>
      <c r="I249" s="17" t="s">
        <v>1557</v>
      </c>
      <c r="J249" s="17">
        <v>1</v>
      </c>
      <c r="K249" s="17">
        <v>0</v>
      </c>
      <c r="L249" s="17" t="s">
        <v>1558</v>
      </c>
      <c r="M249" s="19" t="s">
        <v>101</v>
      </c>
      <c r="N249" s="17" t="s">
        <v>794</v>
      </c>
      <c r="O249" s="17" t="s">
        <v>1559</v>
      </c>
      <c r="P249" s="17" t="str">
        <f>HYPERLINK("https://dexscreener.com/solana/BXD3PUmVWY8tUC91Bg53Mz5XnN9LDzUxkz5pzK1Ldxig", "View")</f>
        <v>View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C365-1C92-4254-B4F0-B5C7B6C3EE92}">
  <dimension ref="A1:P5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HYPERLINK("https://gmgn.ai/sol/address/BA2Y866oRBaEzgYt7pQ4hBERHfUnhSEGqGmYU9nbbwaz", "GMGN")</f>
        <v>GMGN</v>
      </c>
    </row>
    <row r="2" spans="1:14" x14ac:dyDescent="0.25">
      <c r="A2" s="3" t="s">
        <v>13975</v>
      </c>
      <c r="B2" s="3" t="s">
        <v>13976</v>
      </c>
      <c r="C2" s="3" t="s">
        <v>13977</v>
      </c>
      <c r="D2" s="3" t="s">
        <v>4357</v>
      </c>
      <c r="E2" s="3" t="s">
        <v>13978</v>
      </c>
      <c r="F2" s="3" t="s">
        <v>13979</v>
      </c>
      <c r="G2" s="3" t="s">
        <v>18</v>
      </c>
      <c r="H2" s="3">
        <v>34</v>
      </c>
      <c r="I2" s="3">
        <v>0</v>
      </c>
      <c r="J2" s="3" t="s">
        <v>690</v>
      </c>
      <c r="K2" s="3" t="s">
        <v>2403</v>
      </c>
      <c r="L2" s="3">
        <v>33</v>
      </c>
      <c r="M2" s="3">
        <v>20</v>
      </c>
      <c r="N2" s="3" t="str">
        <f>HYPERLINK("https://solscan.io/account/BA2Y866oRBaEzgYt7pQ4hBERHfUnhSEGqGmYU9nbbwaz", "Solscan")</f>
        <v>Solscan</v>
      </c>
    </row>
    <row r="3" spans="1:14" x14ac:dyDescent="0.25">
      <c r="A3" s="1" t="s">
        <v>21</v>
      </c>
      <c r="B3" s="4" t="s">
        <v>13980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HYPERLINK("https://birdeye.so/profile/BA2Y866oRBaEzgYt7pQ4hBERHfUnhSEGqGmYU9nbbwaz", "Birdeye")</f>
        <v>Birdeye</v>
      </c>
    </row>
    <row r="4" spans="1:14" x14ac:dyDescent="0.25">
      <c r="A4" s="1" t="s">
        <v>25</v>
      </c>
      <c r="B4" s="3" t="s">
        <v>13981</v>
      </c>
      <c r="C4" s="3"/>
      <c r="D4" s="3" t="s">
        <v>2004</v>
      </c>
      <c r="E4" s="3" t="s">
        <v>13982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4368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4</v>
      </c>
      <c r="D10" s="1">
        <v>4</v>
      </c>
      <c r="E10" s="1">
        <v>6</v>
      </c>
      <c r="F10" s="1">
        <v>18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13983</v>
      </c>
      <c r="C11" s="1" t="s">
        <v>13984</v>
      </c>
      <c r="D11" s="1" t="s">
        <v>13984</v>
      </c>
      <c r="E11" s="1" t="s">
        <v>13985</v>
      </c>
      <c r="F11" s="1" t="s">
        <v>13986</v>
      </c>
      <c r="G11" s="1" t="s">
        <v>13983</v>
      </c>
      <c r="H11" s="3"/>
      <c r="I11" s="3" t="s">
        <v>50</v>
      </c>
      <c r="J11" s="3" t="s">
        <v>4369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13987</v>
      </c>
      <c r="C12" s="1" t="s">
        <v>13988</v>
      </c>
      <c r="D12" s="1" t="s">
        <v>13989</v>
      </c>
      <c r="E12" s="1" t="s">
        <v>8327</v>
      </c>
      <c r="F12" s="1" t="s">
        <v>11202</v>
      </c>
      <c r="G12" s="1" t="s">
        <v>13990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8608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13991</v>
      </c>
      <c r="B20" s="14">
        <v>25893419</v>
      </c>
      <c r="C20" s="14">
        <v>25893419</v>
      </c>
      <c r="D20" s="14" t="s">
        <v>13992</v>
      </c>
      <c r="E20" s="14" t="s">
        <v>13993</v>
      </c>
      <c r="F20" s="14" t="s">
        <v>13994</v>
      </c>
      <c r="G20" s="22" t="s">
        <v>10636</v>
      </c>
      <c r="H20" s="22" t="s">
        <v>13995</v>
      </c>
      <c r="I20" s="14" t="s">
        <v>88</v>
      </c>
      <c r="J20" s="14">
        <v>1</v>
      </c>
      <c r="K20" s="14">
        <v>1</v>
      </c>
      <c r="L20" s="14" t="s">
        <v>13996</v>
      </c>
      <c r="M20" s="14" t="s">
        <v>1448</v>
      </c>
      <c r="N20" s="14" t="s">
        <v>2316</v>
      </c>
      <c r="O20" s="14" t="s">
        <v>13997</v>
      </c>
      <c r="P20" s="14" t="str">
        <f>HYPERLINK("https://photon-sol.tinyastro.io/en/lp/GpeLip57awJCJAomjikKjkzkyaszNm68Q1c3Ldx6pump?handle=676050794bc1b1657a56b", "View")</f>
        <v>View</v>
      </c>
    </row>
    <row r="21" spans="1:16" x14ac:dyDescent="0.25">
      <c r="A21" s="16" t="s">
        <v>13998</v>
      </c>
      <c r="B21" s="17">
        <v>26539651</v>
      </c>
      <c r="C21" s="17">
        <v>26539651</v>
      </c>
      <c r="D21" s="17" t="s">
        <v>13992</v>
      </c>
      <c r="E21" s="17" t="s">
        <v>13993</v>
      </c>
      <c r="F21" s="17" t="s">
        <v>13999</v>
      </c>
      <c r="G21" s="21" t="s">
        <v>14000</v>
      </c>
      <c r="H21" s="21" t="s">
        <v>14001</v>
      </c>
      <c r="I21" s="17" t="s">
        <v>88</v>
      </c>
      <c r="J21" s="17">
        <v>1</v>
      </c>
      <c r="K21" s="17">
        <v>1</v>
      </c>
      <c r="L21" s="17" t="s">
        <v>14002</v>
      </c>
      <c r="M21" s="17" t="s">
        <v>980</v>
      </c>
      <c r="N21" s="17" t="s">
        <v>9233</v>
      </c>
      <c r="O21" s="17" t="s">
        <v>14003</v>
      </c>
      <c r="P21" s="17" t="str">
        <f>HYPERLINK("https://photon-sol.tinyastro.io/en/lp/6bezxq1dFEGDUbEmTyZFpSAK7tz6kWwNwQiTaa4pump?handle=676050794bc1b1657a56b", "View")</f>
        <v>View</v>
      </c>
    </row>
    <row r="22" spans="1:16" x14ac:dyDescent="0.25">
      <c r="A22" s="13" t="s">
        <v>14004</v>
      </c>
      <c r="B22" s="14">
        <v>25397345</v>
      </c>
      <c r="C22" s="14">
        <v>25397345</v>
      </c>
      <c r="D22" s="14" t="s">
        <v>13992</v>
      </c>
      <c r="E22" s="14" t="s">
        <v>13993</v>
      </c>
      <c r="F22" s="14" t="s">
        <v>3342</v>
      </c>
      <c r="G22" s="20" t="s">
        <v>7810</v>
      </c>
      <c r="H22" s="20" t="s">
        <v>14005</v>
      </c>
      <c r="I22" s="14" t="s">
        <v>88</v>
      </c>
      <c r="J22" s="14">
        <v>1</v>
      </c>
      <c r="K22" s="14">
        <v>1</v>
      </c>
      <c r="L22" s="14" t="s">
        <v>14006</v>
      </c>
      <c r="M22" s="14" t="s">
        <v>2789</v>
      </c>
      <c r="N22" s="14" t="s">
        <v>1011</v>
      </c>
      <c r="O22" s="14" t="s">
        <v>14007</v>
      </c>
      <c r="P22" s="14" t="str">
        <f>HYPERLINK("https://photon-sol.tinyastro.io/en/lp/7bCWEF1SThudZsFPGAdm2csdmPH75hm3Jm9o9Bq9pump?handle=676050794bc1b1657a56b", "View")</f>
        <v>View</v>
      </c>
    </row>
    <row r="23" spans="1:16" x14ac:dyDescent="0.25">
      <c r="A23" s="16" t="s">
        <v>9681</v>
      </c>
      <c r="B23" s="17">
        <v>25302147</v>
      </c>
      <c r="C23" s="17">
        <v>25302147</v>
      </c>
      <c r="D23" s="17" t="s">
        <v>13992</v>
      </c>
      <c r="E23" s="17" t="s">
        <v>13993</v>
      </c>
      <c r="F23" s="17" t="s">
        <v>6857</v>
      </c>
      <c r="G23" s="22" t="s">
        <v>7749</v>
      </c>
      <c r="H23" s="22" t="s">
        <v>14008</v>
      </c>
      <c r="I23" s="17" t="s">
        <v>88</v>
      </c>
      <c r="J23" s="17">
        <v>1</v>
      </c>
      <c r="K23" s="17">
        <v>1</v>
      </c>
      <c r="L23" s="17" t="s">
        <v>14009</v>
      </c>
      <c r="M23" s="17" t="s">
        <v>980</v>
      </c>
      <c r="N23" s="17" t="s">
        <v>1203</v>
      </c>
      <c r="O23" s="17" t="s">
        <v>14010</v>
      </c>
      <c r="P23" s="17" t="str">
        <f>HYPERLINK("https://photon-sol.tinyastro.io/en/lp/HZ1sTY7ZbHuLru3fPw9DMobVoo8y1tFz65W4XrUPpump?handle=676050794bc1b1657a56b", "View")</f>
        <v>View</v>
      </c>
    </row>
    <row r="24" spans="1:16" x14ac:dyDescent="0.25">
      <c r="A24" s="13" t="s">
        <v>14011</v>
      </c>
      <c r="B24" s="14">
        <v>13727413</v>
      </c>
      <c r="C24" s="14">
        <v>13727413</v>
      </c>
      <c r="D24" s="14" t="s">
        <v>13992</v>
      </c>
      <c r="E24" s="14" t="s">
        <v>13993</v>
      </c>
      <c r="F24" s="14" t="s">
        <v>2448</v>
      </c>
      <c r="G24" s="20" t="s">
        <v>3920</v>
      </c>
      <c r="H24" s="20" t="s">
        <v>14012</v>
      </c>
      <c r="I24" s="14" t="s">
        <v>88</v>
      </c>
      <c r="J24" s="14">
        <v>1</v>
      </c>
      <c r="K24" s="14">
        <v>1</v>
      </c>
      <c r="L24" s="14" t="s">
        <v>14013</v>
      </c>
      <c r="M24" s="14" t="s">
        <v>1932</v>
      </c>
      <c r="N24" s="14" t="s">
        <v>7819</v>
      </c>
      <c r="O24" s="14" t="s">
        <v>14014</v>
      </c>
      <c r="P24" s="14" t="str">
        <f>HYPERLINK("https://photon-sol.tinyastro.io/en/lp/2U48DWQGNsmvxMfXHHwc9WGYoBkk3tBz4EKddB9WuAp1?handle=676050794bc1b1657a56b", "View")</f>
        <v>View</v>
      </c>
    </row>
    <row r="25" spans="1:16" x14ac:dyDescent="0.25">
      <c r="A25" s="16" t="s">
        <v>14015</v>
      </c>
      <c r="B25" s="17">
        <v>25881424</v>
      </c>
      <c r="C25" s="17">
        <v>25881424</v>
      </c>
      <c r="D25" s="17" t="s">
        <v>13992</v>
      </c>
      <c r="E25" s="17" t="s">
        <v>13993</v>
      </c>
      <c r="F25" s="17" t="s">
        <v>14016</v>
      </c>
      <c r="G25" s="22" t="s">
        <v>5715</v>
      </c>
      <c r="H25" s="22" t="s">
        <v>14017</v>
      </c>
      <c r="I25" s="17" t="s">
        <v>88</v>
      </c>
      <c r="J25" s="17">
        <v>1</v>
      </c>
      <c r="K25" s="17">
        <v>1</v>
      </c>
      <c r="L25" s="17" t="s">
        <v>14018</v>
      </c>
      <c r="M25" s="17" t="s">
        <v>1448</v>
      </c>
      <c r="N25" s="17" t="s">
        <v>1011</v>
      </c>
      <c r="O25" s="17" t="s">
        <v>14019</v>
      </c>
      <c r="P25" s="17" t="str">
        <f>HYPERLINK("https://photon-sol.tinyastro.io/en/lp/UPEHC7DQMnJtxVLeYnyL8U7sPVBHHiKLprPrSmTpump?handle=676050794bc1b1657a56b", "View")</f>
        <v>View</v>
      </c>
    </row>
    <row r="26" spans="1:16" x14ac:dyDescent="0.25">
      <c r="A26" s="13" t="s">
        <v>14020</v>
      </c>
      <c r="B26" s="14">
        <v>21617802</v>
      </c>
      <c r="C26" s="14">
        <v>21617802</v>
      </c>
      <c r="D26" s="14" t="s">
        <v>13992</v>
      </c>
      <c r="E26" s="14" t="s">
        <v>13993</v>
      </c>
      <c r="F26" s="14" t="s">
        <v>14021</v>
      </c>
      <c r="G26" s="21" t="s">
        <v>14022</v>
      </c>
      <c r="H26" s="21" t="s">
        <v>14023</v>
      </c>
      <c r="I26" s="14" t="s">
        <v>88</v>
      </c>
      <c r="J26" s="14">
        <v>1</v>
      </c>
      <c r="K26" s="14">
        <v>1</v>
      </c>
      <c r="L26" s="14" t="s">
        <v>14024</v>
      </c>
      <c r="M26" s="14" t="s">
        <v>3355</v>
      </c>
      <c r="N26" s="14" t="s">
        <v>14025</v>
      </c>
      <c r="O26" s="14" t="s">
        <v>14026</v>
      </c>
      <c r="P26" s="14" t="str">
        <f>HYPERLINK("https://photon-sol.tinyastro.io/en/lp/FEPHYgxr88Mc7jYvYJuq8UrxZEwh3qDBYKLKaQKLpump?handle=676050794bc1b1657a56b", "View")</f>
        <v>View</v>
      </c>
    </row>
    <row r="27" spans="1:16" x14ac:dyDescent="0.25">
      <c r="A27" s="16" t="s">
        <v>14027</v>
      </c>
      <c r="B27" s="17">
        <v>27229895</v>
      </c>
      <c r="C27" s="17">
        <v>27229895</v>
      </c>
      <c r="D27" s="17" t="s">
        <v>13992</v>
      </c>
      <c r="E27" s="17" t="s">
        <v>2644</v>
      </c>
      <c r="F27" s="17" t="s">
        <v>14028</v>
      </c>
      <c r="G27" s="20" t="s">
        <v>2214</v>
      </c>
      <c r="H27" s="20" t="s">
        <v>14029</v>
      </c>
      <c r="I27" s="17" t="s">
        <v>88</v>
      </c>
      <c r="J27" s="17">
        <v>1</v>
      </c>
      <c r="K27" s="17">
        <v>1</v>
      </c>
      <c r="L27" s="17" t="s">
        <v>14030</v>
      </c>
      <c r="M27" s="17" t="s">
        <v>6257</v>
      </c>
      <c r="N27" s="17" t="s">
        <v>7687</v>
      </c>
      <c r="O27" s="17" t="s">
        <v>14031</v>
      </c>
      <c r="P27" s="17" t="str">
        <f>HYPERLINK("https://photon-sol.tinyastro.io/en/lp/G3jATMV8uQ3FjxpcMMafTFNrLbe8jyPmiMQMefZApump?handle=676050794bc1b1657a56b", "View")</f>
        <v>View</v>
      </c>
    </row>
    <row r="28" spans="1:16" x14ac:dyDescent="0.25">
      <c r="A28" s="13" t="s">
        <v>4340</v>
      </c>
      <c r="B28" s="14">
        <v>16337130</v>
      </c>
      <c r="C28" s="14">
        <v>16337130</v>
      </c>
      <c r="D28" s="14" t="s">
        <v>13992</v>
      </c>
      <c r="E28" s="14" t="s">
        <v>13993</v>
      </c>
      <c r="F28" s="14" t="s">
        <v>13255</v>
      </c>
      <c r="G28" s="21" t="s">
        <v>14032</v>
      </c>
      <c r="H28" s="21" t="s">
        <v>14033</v>
      </c>
      <c r="I28" s="14" t="s">
        <v>88</v>
      </c>
      <c r="J28" s="14">
        <v>1</v>
      </c>
      <c r="K28" s="14">
        <v>1</v>
      </c>
      <c r="L28" s="14" t="s">
        <v>14034</v>
      </c>
      <c r="M28" s="14" t="s">
        <v>179</v>
      </c>
      <c r="N28" s="14" t="s">
        <v>14035</v>
      </c>
      <c r="O28" s="14" t="s">
        <v>4346</v>
      </c>
      <c r="P28" s="14" t="str">
        <f>HYPERLINK("https://photon-sol.tinyastro.io/en/lp/5j6AyHUJPMUJ2AvZA22vkVFD1kQ7DgwA7tHqXgiupump?handle=676050794bc1b1657a56b", "View")</f>
        <v>View</v>
      </c>
    </row>
    <row r="29" spans="1:16" x14ac:dyDescent="0.25">
      <c r="A29" s="16" t="s">
        <v>14036</v>
      </c>
      <c r="B29" s="17">
        <v>37446490</v>
      </c>
      <c r="C29" s="17">
        <v>3744649</v>
      </c>
      <c r="D29" s="17" t="s">
        <v>13992</v>
      </c>
      <c r="E29" s="17" t="s">
        <v>14037</v>
      </c>
      <c r="F29" s="17" t="s">
        <v>5861</v>
      </c>
      <c r="G29" s="15" t="s">
        <v>14038</v>
      </c>
      <c r="H29" s="15" t="s">
        <v>14039</v>
      </c>
      <c r="I29" s="17" t="s">
        <v>88</v>
      </c>
      <c r="J29" s="17">
        <v>1</v>
      </c>
      <c r="K29" s="17">
        <v>1</v>
      </c>
      <c r="L29" s="17" t="s">
        <v>14040</v>
      </c>
      <c r="M29" s="17" t="s">
        <v>1566</v>
      </c>
      <c r="N29" s="17" t="s">
        <v>14041</v>
      </c>
      <c r="O29" s="17" t="s">
        <v>14042</v>
      </c>
      <c r="P29" s="17" t="str">
        <f>HYPERLINK("https://photon-sol.tinyastro.io/en/lp/33MD3pqkgJzD4uvtYqfxZ5V8j7fPpZeToikiXhtkpump?handle=676050794bc1b1657a56b", "View")</f>
        <v>View</v>
      </c>
    </row>
    <row r="30" spans="1:16" x14ac:dyDescent="0.25">
      <c r="A30" s="13" t="s">
        <v>14043</v>
      </c>
      <c r="B30" s="14">
        <v>26655578</v>
      </c>
      <c r="C30" s="14">
        <v>26655578</v>
      </c>
      <c r="D30" s="14" t="s">
        <v>13992</v>
      </c>
      <c r="E30" s="14" t="s">
        <v>13993</v>
      </c>
      <c r="F30" s="14" t="s">
        <v>14044</v>
      </c>
      <c r="G30" s="20" t="s">
        <v>3920</v>
      </c>
      <c r="H30" s="20" t="s">
        <v>14045</v>
      </c>
      <c r="I30" s="14" t="s">
        <v>88</v>
      </c>
      <c r="J30" s="14">
        <v>1</v>
      </c>
      <c r="K30" s="14">
        <v>1</v>
      </c>
      <c r="L30" s="14" t="s">
        <v>14046</v>
      </c>
      <c r="M30" s="19" t="s">
        <v>3324</v>
      </c>
      <c r="N30" s="14" t="s">
        <v>2585</v>
      </c>
      <c r="O30" s="14" t="s">
        <v>14047</v>
      </c>
      <c r="P30" s="14" t="str">
        <f>HYPERLINK("https://photon-sol.tinyastro.io/en/lp/AuBxc7HMVfRj8Lv6WMG5uKfZpLXp6PNiJrp1EPEPpump?handle=676050794bc1b1657a56b", "View")</f>
        <v>View</v>
      </c>
    </row>
    <row r="31" spans="1:16" x14ac:dyDescent="0.25">
      <c r="A31" s="16" t="s">
        <v>5732</v>
      </c>
      <c r="B31" s="17">
        <v>26295496</v>
      </c>
      <c r="C31" s="17">
        <v>26295496</v>
      </c>
      <c r="D31" s="17" t="s">
        <v>13992</v>
      </c>
      <c r="E31" s="17" t="s">
        <v>13993</v>
      </c>
      <c r="F31" s="17" t="s">
        <v>13392</v>
      </c>
      <c r="G31" s="21" t="s">
        <v>11098</v>
      </c>
      <c r="H31" s="21" t="s">
        <v>14048</v>
      </c>
      <c r="I31" s="17" t="s">
        <v>88</v>
      </c>
      <c r="J31" s="17">
        <v>1</v>
      </c>
      <c r="K31" s="17">
        <v>1</v>
      </c>
      <c r="L31" s="17" t="s">
        <v>14049</v>
      </c>
      <c r="M31" s="17" t="s">
        <v>1610</v>
      </c>
      <c r="N31" s="17" t="s">
        <v>14050</v>
      </c>
      <c r="O31" s="17" t="s">
        <v>14051</v>
      </c>
      <c r="P31" s="17" t="str">
        <f>HYPERLINK("https://photon-sol.tinyastro.io/en/lp/4M9xuFs5rxVTfaEbBdRswxzppmb1U75BA5x8FuyZpump?handle=676050794bc1b1657a56b", "View")</f>
        <v>View</v>
      </c>
    </row>
    <row r="32" spans="1:16" x14ac:dyDescent="0.25">
      <c r="A32" s="13" t="s">
        <v>14052</v>
      </c>
      <c r="B32" s="14">
        <v>29471581</v>
      </c>
      <c r="C32" s="14">
        <v>29471581</v>
      </c>
      <c r="D32" s="14" t="s">
        <v>13992</v>
      </c>
      <c r="E32" s="14" t="s">
        <v>13993</v>
      </c>
      <c r="F32" s="14" t="s">
        <v>2407</v>
      </c>
      <c r="G32" s="20" t="s">
        <v>5692</v>
      </c>
      <c r="H32" s="20" t="s">
        <v>14053</v>
      </c>
      <c r="I32" s="14" t="s">
        <v>88</v>
      </c>
      <c r="J32" s="14">
        <v>1</v>
      </c>
      <c r="K32" s="14">
        <v>1</v>
      </c>
      <c r="L32" s="14" t="s">
        <v>14054</v>
      </c>
      <c r="M32" s="14" t="s">
        <v>602</v>
      </c>
      <c r="N32" s="14" t="s">
        <v>1011</v>
      </c>
      <c r="O32" s="14" t="s">
        <v>14055</v>
      </c>
      <c r="P32" s="14" t="str">
        <f>HYPERLINK("https://photon-sol.tinyastro.io/en/lp/BRZkoDc4EdzNis2jH3oJqiKUbQuJeShhRDWAgsYxpump?handle=676050794bc1b1657a56b", "View")</f>
        <v>View</v>
      </c>
    </row>
    <row r="33" spans="1:16" x14ac:dyDescent="0.25">
      <c r="A33" s="16" t="s">
        <v>14056</v>
      </c>
      <c r="B33" s="17">
        <v>30609586</v>
      </c>
      <c r="C33" s="17">
        <v>30609586</v>
      </c>
      <c r="D33" s="17" t="s">
        <v>13992</v>
      </c>
      <c r="E33" s="17" t="s">
        <v>13993</v>
      </c>
      <c r="F33" s="17" t="s">
        <v>14057</v>
      </c>
      <c r="G33" s="20" t="s">
        <v>1869</v>
      </c>
      <c r="H33" s="20" t="s">
        <v>14058</v>
      </c>
      <c r="I33" s="17" t="s">
        <v>88</v>
      </c>
      <c r="J33" s="17">
        <v>1</v>
      </c>
      <c r="K33" s="17">
        <v>1</v>
      </c>
      <c r="L33" s="17" t="s">
        <v>14059</v>
      </c>
      <c r="M33" s="17" t="s">
        <v>1957</v>
      </c>
      <c r="N33" s="17" t="s">
        <v>2308</v>
      </c>
      <c r="O33" s="17" t="s">
        <v>14060</v>
      </c>
      <c r="P33" s="17" t="str">
        <f>HYPERLINK("https://photon-sol.tinyastro.io/en/lp/8ZSiyjE3Ggojn4k6essXZzMVmBrrtxBNEJrPfnipump?handle=676050794bc1b1657a56b", "View")</f>
        <v>View</v>
      </c>
    </row>
    <row r="34" spans="1:16" x14ac:dyDescent="0.25">
      <c r="A34" s="13" t="s">
        <v>14061</v>
      </c>
      <c r="B34" s="14">
        <v>24195019</v>
      </c>
      <c r="C34" s="14">
        <v>24195019</v>
      </c>
      <c r="D34" s="14" t="s">
        <v>13992</v>
      </c>
      <c r="E34" s="14" t="s">
        <v>13993</v>
      </c>
      <c r="F34" s="14" t="s">
        <v>11453</v>
      </c>
      <c r="G34" s="22" t="s">
        <v>4609</v>
      </c>
      <c r="H34" s="22" t="s">
        <v>14062</v>
      </c>
      <c r="I34" s="14" t="s">
        <v>88</v>
      </c>
      <c r="J34" s="14">
        <v>1</v>
      </c>
      <c r="K34" s="14">
        <v>1</v>
      </c>
      <c r="L34" s="14" t="s">
        <v>14063</v>
      </c>
      <c r="M34" s="14" t="s">
        <v>3355</v>
      </c>
      <c r="N34" s="14" t="s">
        <v>2316</v>
      </c>
      <c r="O34" s="14" t="s">
        <v>14064</v>
      </c>
      <c r="P34" s="14" t="str">
        <f>HYPERLINK("https://photon-sol.tinyastro.io/en/lp/65n1LcUaJgS5JYzVzwdYbMEDHb2LpF3m6bWkh5Topump?handle=676050794bc1b1657a56b", "View")</f>
        <v>View</v>
      </c>
    </row>
    <row r="35" spans="1:16" x14ac:dyDescent="0.25">
      <c r="A35" s="16" t="s">
        <v>14065</v>
      </c>
      <c r="B35" s="17">
        <v>29742374</v>
      </c>
      <c r="C35" s="17">
        <v>29742374</v>
      </c>
      <c r="D35" s="17" t="s">
        <v>13992</v>
      </c>
      <c r="E35" s="17" t="s">
        <v>13993</v>
      </c>
      <c r="F35" s="17" t="s">
        <v>14032</v>
      </c>
      <c r="G35" s="20" t="s">
        <v>3751</v>
      </c>
      <c r="H35" s="20" t="s">
        <v>14066</v>
      </c>
      <c r="I35" s="17" t="s">
        <v>88</v>
      </c>
      <c r="J35" s="17">
        <v>1</v>
      </c>
      <c r="K35" s="17">
        <v>1</v>
      </c>
      <c r="L35" s="17" t="s">
        <v>14067</v>
      </c>
      <c r="M35" s="17" t="s">
        <v>1434</v>
      </c>
      <c r="N35" s="17" t="s">
        <v>2585</v>
      </c>
      <c r="O35" s="17" t="s">
        <v>14068</v>
      </c>
      <c r="P35" s="17" t="str">
        <f>HYPERLINK("https://photon-sol.tinyastro.io/en/lp/qrU51aRRqNWdcQcfQEbZ34Lzq47LDYLpfA5RRqvpump?handle=676050794bc1b1657a56b", "View")</f>
        <v>View</v>
      </c>
    </row>
    <row r="36" spans="1:16" x14ac:dyDescent="0.25">
      <c r="A36" s="13" t="s">
        <v>14069</v>
      </c>
      <c r="B36" s="14">
        <v>29305105</v>
      </c>
      <c r="C36" s="14">
        <v>29305105</v>
      </c>
      <c r="D36" s="14" t="s">
        <v>13992</v>
      </c>
      <c r="E36" s="14" t="s">
        <v>13993</v>
      </c>
      <c r="F36" s="14" t="s">
        <v>14070</v>
      </c>
      <c r="G36" s="20" t="s">
        <v>3496</v>
      </c>
      <c r="H36" s="20" t="s">
        <v>1964</v>
      </c>
      <c r="I36" s="14" t="s">
        <v>88</v>
      </c>
      <c r="J36" s="14">
        <v>1</v>
      </c>
      <c r="K36" s="14">
        <v>1</v>
      </c>
      <c r="L36" s="14" t="s">
        <v>14071</v>
      </c>
      <c r="M36" s="14" t="s">
        <v>1434</v>
      </c>
      <c r="N36" s="14" t="s">
        <v>2585</v>
      </c>
      <c r="O36" s="14" t="s">
        <v>14072</v>
      </c>
      <c r="P36" s="14" t="str">
        <f>HYPERLINK("https://photon-sol.tinyastro.io/en/lp/68YeDycyKsKcizvU7vJzVpFXXjApw8oYsXEEZTSfpump?handle=676050794bc1b1657a56b", "View")</f>
        <v>View</v>
      </c>
    </row>
    <row r="37" spans="1:16" x14ac:dyDescent="0.25">
      <c r="A37" s="16" t="s">
        <v>14073</v>
      </c>
      <c r="B37" s="17">
        <v>25859073</v>
      </c>
      <c r="C37" s="17">
        <v>25859073</v>
      </c>
      <c r="D37" s="17" t="s">
        <v>13992</v>
      </c>
      <c r="E37" s="17" t="s">
        <v>13993</v>
      </c>
      <c r="F37" s="17" t="s">
        <v>14074</v>
      </c>
      <c r="G37" s="20" t="s">
        <v>2101</v>
      </c>
      <c r="H37" s="20" t="s">
        <v>14075</v>
      </c>
      <c r="I37" s="17" t="s">
        <v>88</v>
      </c>
      <c r="J37" s="17">
        <v>1</v>
      </c>
      <c r="K37" s="17">
        <v>1</v>
      </c>
      <c r="L37" s="17" t="s">
        <v>14076</v>
      </c>
      <c r="M37" s="19" t="s">
        <v>3626</v>
      </c>
      <c r="N37" s="17" t="s">
        <v>2585</v>
      </c>
      <c r="O37" s="17" t="s">
        <v>14077</v>
      </c>
      <c r="P37" s="17" t="str">
        <f>HYPERLINK("https://photon-sol.tinyastro.io/en/lp/6pS6Wu4Cg2BAwWsT17QvR6eXuwou5rVkmuQEVxGzpump?handle=676050794bc1b1657a56b", "View")</f>
        <v>View</v>
      </c>
    </row>
    <row r="38" spans="1:16" x14ac:dyDescent="0.25">
      <c r="A38" s="13" t="s">
        <v>14078</v>
      </c>
      <c r="B38" s="14">
        <v>32693885</v>
      </c>
      <c r="C38" s="14">
        <v>32693885</v>
      </c>
      <c r="D38" s="14" t="s">
        <v>14079</v>
      </c>
      <c r="E38" s="14" t="s">
        <v>14080</v>
      </c>
      <c r="F38" s="14" t="s">
        <v>1701</v>
      </c>
      <c r="G38" s="22" t="s">
        <v>2871</v>
      </c>
      <c r="H38" s="22" t="s">
        <v>14081</v>
      </c>
      <c r="I38" s="14" t="s">
        <v>88</v>
      </c>
      <c r="J38" s="14">
        <v>2</v>
      </c>
      <c r="K38" s="14">
        <v>2</v>
      </c>
      <c r="L38" s="14" t="s">
        <v>14082</v>
      </c>
      <c r="M38" s="14" t="s">
        <v>1566</v>
      </c>
      <c r="N38" s="14" t="s">
        <v>407</v>
      </c>
      <c r="O38" s="14" t="s">
        <v>14083</v>
      </c>
      <c r="P38" s="14" t="str">
        <f>HYPERLINK("https://photon-sol.tinyastro.io/en/lp/ES6UEyZyQvqS5BMpYwCrYidAZajPsQUVVDPar8otpump?handle=676050794bc1b1657a56b", "View")</f>
        <v>View</v>
      </c>
    </row>
    <row r="39" spans="1:16" x14ac:dyDescent="0.25">
      <c r="A39" s="16" t="s">
        <v>10684</v>
      </c>
      <c r="B39" s="17">
        <v>28271612</v>
      </c>
      <c r="C39" s="17">
        <v>25785395</v>
      </c>
      <c r="D39" s="17" t="s">
        <v>13992</v>
      </c>
      <c r="E39" s="17" t="s">
        <v>13993</v>
      </c>
      <c r="F39" s="17" t="s">
        <v>3872</v>
      </c>
      <c r="G39" s="20" t="s">
        <v>4212</v>
      </c>
      <c r="H39" s="20" t="s">
        <v>14084</v>
      </c>
      <c r="I39" s="17" t="s">
        <v>88</v>
      </c>
      <c r="J39" s="17">
        <v>1</v>
      </c>
      <c r="K39" s="17">
        <v>1</v>
      </c>
      <c r="L39" s="17" t="s">
        <v>14085</v>
      </c>
      <c r="M39" s="19" t="s">
        <v>3033</v>
      </c>
      <c r="N39" s="17" t="s">
        <v>2585</v>
      </c>
      <c r="O39" s="17" t="s">
        <v>14086</v>
      </c>
      <c r="P39" s="17" t="str">
        <f>HYPERLINK("https://photon-sol.tinyastro.io/en/lp/6cNdT68qtWT74KCBLuB9AQAEqdqptEzzUFotmM7cpump?handle=676050794bc1b1657a56b", "View")</f>
        <v>View</v>
      </c>
    </row>
    <row r="40" spans="1:16" x14ac:dyDescent="0.25">
      <c r="A40" s="13" t="s">
        <v>1898</v>
      </c>
      <c r="B40" s="14">
        <v>46064761</v>
      </c>
      <c r="C40" s="14">
        <v>46064761</v>
      </c>
      <c r="D40" s="14" t="s">
        <v>7161</v>
      </c>
      <c r="E40" s="14" t="s">
        <v>2644</v>
      </c>
      <c r="F40" s="14" t="s">
        <v>14087</v>
      </c>
      <c r="G40" s="21" t="s">
        <v>9959</v>
      </c>
      <c r="H40" s="21" t="s">
        <v>14088</v>
      </c>
      <c r="I40" s="14" t="s">
        <v>88</v>
      </c>
      <c r="J40" s="14">
        <v>1</v>
      </c>
      <c r="K40" s="14">
        <v>2</v>
      </c>
      <c r="L40" s="14" t="s">
        <v>14089</v>
      </c>
      <c r="M40" s="14" t="s">
        <v>1526</v>
      </c>
      <c r="N40" s="14" t="s">
        <v>7713</v>
      </c>
      <c r="O40" s="14" t="s">
        <v>1905</v>
      </c>
      <c r="P40" s="14" t="str">
        <f>HYPERLINK("https://photon-sol.tinyastro.io/en/lp/d9oyyTx4oAwFG41zJLi5EbU1mKcPg32XCAoqNQcpump?handle=676050794bc1b1657a56b", "View")</f>
        <v>View</v>
      </c>
    </row>
    <row r="41" spans="1:16" x14ac:dyDescent="0.25">
      <c r="A41" s="16" t="s">
        <v>1927</v>
      </c>
      <c r="B41" s="17">
        <v>9644652</v>
      </c>
      <c r="C41" s="17">
        <v>9644652</v>
      </c>
      <c r="D41" s="17" t="s">
        <v>13992</v>
      </c>
      <c r="E41" s="17" t="s">
        <v>6581</v>
      </c>
      <c r="F41" s="17" t="s">
        <v>14090</v>
      </c>
      <c r="G41" s="20" t="s">
        <v>14091</v>
      </c>
      <c r="H41" s="20" t="s">
        <v>14092</v>
      </c>
      <c r="I41" s="17" t="s">
        <v>88</v>
      </c>
      <c r="J41" s="17">
        <v>1</v>
      </c>
      <c r="K41" s="17">
        <v>1</v>
      </c>
      <c r="L41" s="17" t="s">
        <v>14093</v>
      </c>
      <c r="M41" s="17" t="s">
        <v>8522</v>
      </c>
      <c r="N41" s="17" t="s">
        <v>14094</v>
      </c>
      <c r="O41" s="17" t="s">
        <v>14095</v>
      </c>
      <c r="P41" s="17" t="str">
        <f>HYPERLINK("https://dexscreener.com/solana/5nZTEtgd9pyehq7Yz1mtf9EJBrsLwqoHqS9R9by9pump", "View")</f>
        <v>View</v>
      </c>
    </row>
    <row r="42" spans="1:16" x14ac:dyDescent="0.25">
      <c r="A42" s="13" t="s">
        <v>14096</v>
      </c>
      <c r="B42" s="14">
        <v>38861993</v>
      </c>
      <c r="C42" s="14">
        <v>38861993</v>
      </c>
      <c r="D42" s="14" t="s">
        <v>14097</v>
      </c>
      <c r="E42" s="14" t="s">
        <v>14098</v>
      </c>
      <c r="F42" s="14" t="s">
        <v>14099</v>
      </c>
      <c r="G42" s="21" t="s">
        <v>9332</v>
      </c>
      <c r="H42" s="21" t="s">
        <v>6984</v>
      </c>
      <c r="I42" s="14" t="s">
        <v>88</v>
      </c>
      <c r="J42" s="14">
        <v>2</v>
      </c>
      <c r="K42" s="14">
        <v>3</v>
      </c>
      <c r="L42" s="14" t="s">
        <v>14100</v>
      </c>
      <c r="M42" s="14" t="s">
        <v>2715</v>
      </c>
      <c r="N42" s="14" t="s">
        <v>14101</v>
      </c>
      <c r="O42" s="14" t="s">
        <v>14102</v>
      </c>
      <c r="P42" s="14" t="str">
        <f>HYPERLINK("https://photon-sol.tinyastro.io/en/lp/EQHsRm1qcLVUxwBJU5iBTxvASmvqtPVeEaHRN4MHpump?handle=676050794bc1b1657a56b", "View")</f>
        <v>View</v>
      </c>
    </row>
    <row r="43" spans="1:16" x14ac:dyDescent="0.25">
      <c r="A43" s="16" t="s">
        <v>14103</v>
      </c>
      <c r="B43" s="17">
        <v>20372580</v>
      </c>
      <c r="C43" s="17">
        <v>20372580</v>
      </c>
      <c r="D43" s="17" t="s">
        <v>13992</v>
      </c>
      <c r="E43" s="17" t="s">
        <v>13993</v>
      </c>
      <c r="F43" s="17" t="s">
        <v>14104</v>
      </c>
      <c r="G43" s="21" t="s">
        <v>2327</v>
      </c>
      <c r="H43" s="21" t="s">
        <v>14105</v>
      </c>
      <c r="I43" s="17" t="s">
        <v>88</v>
      </c>
      <c r="J43" s="17">
        <v>1</v>
      </c>
      <c r="K43" s="17">
        <v>1</v>
      </c>
      <c r="L43" s="17" t="s">
        <v>14106</v>
      </c>
      <c r="M43" s="17" t="s">
        <v>5702</v>
      </c>
      <c r="N43" s="17" t="s">
        <v>8796</v>
      </c>
      <c r="O43" s="17" t="s">
        <v>14107</v>
      </c>
      <c r="P43" s="17" t="str">
        <f>HYPERLINK("https://photon-sol.tinyastro.io/en/lp/A1KbXvALunReUWnRcffvWbArQTRuEPHQFPQyNqs7pump?handle=676050794bc1b1657a56b", "View")</f>
        <v>View</v>
      </c>
    </row>
    <row r="44" spans="1:16" x14ac:dyDescent="0.25">
      <c r="A44" s="13" t="s">
        <v>14108</v>
      </c>
      <c r="B44" s="14">
        <v>16097912</v>
      </c>
      <c r="C44" s="14">
        <v>16097912</v>
      </c>
      <c r="D44" s="14" t="s">
        <v>13992</v>
      </c>
      <c r="E44" s="14" t="s">
        <v>13993</v>
      </c>
      <c r="F44" s="14" t="s">
        <v>13837</v>
      </c>
      <c r="G44" s="20" t="s">
        <v>14109</v>
      </c>
      <c r="H44" s="20" t="s">
        <v>14110</v>
      </c>
      <c r="I44" s="14" t="s">
        <v>88</v>
      </c>
      <c r="J44" s="14">
        <v>1</v>
      </c>
      <c r="K44" s="14">
        <v>1</v>
      </c>
      <c r="L44" s="14" t="s">
        <v>14111</v>
      </c>
      <c r="M44" s="14" t="s">
        <v>3355</v>
      </c>
      <c r="N44" s="14" t="s">
        <v>1706</v>
      </c>
      <c r="O44" s="14" t="s">
        <v>14112</v>
      </c>
      <c r="P44" s="14" t="str">
        <f>HYPERLINK("https://photon-sol.tinyastro.io/en/lp/ctqqFVBuQM4Cu3EKrcUFt4e9bT1myoGHxjXa5nUpump?handle=676050794bc1b1657a56b", "View")</f>
        <v>View</v>
      </c>
    </row>
    <row r="45" spans="1:16" x14ac:dyDescent="0.25">
      <c r="A45" s="16" t="s">
        <v>14113</v>
      </c>
      <c r="B45" s="17">
        <v>22943956</v>
      </c>
      <c r="C45" s="17">
        <v>22943956</v>
      </c>
      <c r="D45" s="17" t="s">
        <v>13992</v>
      </c>
      <c r="E45" s="17" t="s">
        <v>13993</v>
      </c>
      <c r="F45" s="17" t="s">
        <v>4325</v>
      </c>
      <c r="G45" s="20" t="s">
        <v>7875</v>
      </c>
      <c r="H45" s="20" t="s">
        <v>14114</v>
      </c>
      <c r="I45" s="17" t="s">
        <v>88</v>
      </c>
      <c r="J45" s="17">
        <v>1</v>
      </c>
      <c r="K45" s="17">
        <v>1</v>
      </c>
      <c r="L45" s="17" t="s">
        <v>14115</v>
      </c>
      <c r="M45" s="17" t="s">
        <v>179</v>
      </c>
      <c r="N45" s="17" t="s">
        <v>1667</v>
      </c>
      <c r="O45" s="17" t="s">
        <v>14116</v>
      </c>
      <c r="P45" s="17" t="str">
        <f>HYPERLINK("https://photon-sol.tinyastro.io/en/lp/CHsxwzRBx71wjv7zekEn5ZxeG5rhMyQaBDefrfaZpump?handle=676050794bc1b1657a56b", "View")</f>
        <v>View</v>
      </c>
    </row>
    <row r="46" spans="1:16" x14ac:dyDescent="0.25">
      <c r="A46" s="13" t="s">
        <v>14117</v>
      </c>
      <c r="B46" s="14">
        <v>27437123</v>
      </c>
      <c r="C46" s="14">
        <v>27437123</v>
      </c>
      <c r="D46" s="14" t="s">
        <v>7054</v>
      </c>
      <c r="E46" s="14" t="s">
        <v>14044</v>
      </c>
      <c r="F46" s="14" t="s">
        <v>2759</v>
      </c>
      <c r="G46" s="20" t="s">
        <v>14118</v>
      </c>
      <c r="H46" s="20" t="s">
        <v>14119</v>
      </c>
      <c r="I46" s="14" t="s">
        <v>88</v>
      </c>
      <c r="J46" s="14">
        <v>1</v>
      </c>
      <c r="K46" s="14">
        <v>1</v>
      </c>
      <c r="L46" s="14" t="s">
        <v>14120</v>
      </c>
      <c r="M46" s="14" t="s">
        <v>253</v>
      </c>
      <c r="N46" s="14" t="s">
        <v>2308</v>
      </c>
      <c r="O46" s="14" t="s">
        <v>14121</v>
      </c>
      <c r="P46" s="14" t="str">
        <f>HYPERLINK("https://photon-sol.tinyastro.io/en/lp/DLoiqxvzsjbrzT9VFYmZsxJs6sste6piEt3F3UZ6pump?handle=676050794bc1b1657a56b", "View")</f>
        <v>View</v>
      </c>
    </row>
    <row r="47" spans="1:16" x14ac:dyDescent="0.25">
      <c r="A47" s="16" t="s">
        <v>14122</v>
      </c>
      <c r="B47" s="17">
        <v>28948717</v>
      </c>
      <c r="C47" s="17">
        <v>28948717</v>
      </c>
      <c r="D47" s="17" t="s">
        <v>7054</v>
      </c>
      <c r="E47" s="17" t="s">
        <v>14044</v>
      </c>
      <c r="F47" s="17" t="s">
        <v>3713</v>
      </c>
      <c r="G47" s="20" t="s">
        <v>5681</v>
      </c>
      <c r="H47" s="20" t="s">
        <v>14123</v>
      </c>
      <c r="I47" s="17" t="s">
        <v>88</v>
      </c>
      <c r="J47" s="17">
        <v>1</v>
      </c>
      <c r="K47" s="17">
        <v>1</v>
      </c>
      <c r="L47" s="17" t="s">
        <v>14124</v>
      </c>
      <c r="M47" s="17" t="s">
        <v>745</v>
      </c>
      <c r="N47" s="17" t="s">
        <v>2308</v>
      </c>
      <c r="O47" s="17" t="s">
        <v>14125</v>
      </c>
      <c r="P47" s="17" t="str">
        <f>HYPERLINK("https://photon-sol.tinyastro.io/en/lp/JE3x7jSHEhTXJquF6umrV9tMvF4Zr3K2mqKUH8SWpump?handle=676050794bc1b1657a56b", "View")</f>
        <v>View</v>
      </c>
    </row>
    <row r="48" spans="1:16" x14ac:dyDescent="0.25">
      <c r="A48" s="13" t="s">
        <v>11117</v>
      </c>
      <c r="B48" s="14">
        <v>54747503</v>
      </c>
      <c r="C48" s="14">
        <v>54747503</v>
      </c>
      <c r="D48" s="14" t="s">
        <v>7189</v>
      </c>
      <c r="E48" s="14" t="s">
        <v>2614</v>
      </c>
      <c r="F48" s="14" t="s">
        <v>14126</v>
      </c>
      <c r="G48" s="20" t="s">
        <v>3829</v>
      </c>
      <c r="H48" s="20" t="s">
        <v>14127</v>
      </c>
      <c r="I48" s="14" t="s">
        <v>88</v>
      </c>
      <c r="J48" s="14">
        <v>3</v>
      </c>
      <c r="K48" s="14">
        <v>3</v>
      </c>
      <c r="L48" s="14" t="s">
        <v>14128</v>
      </c>
      <c r="M48" s="14" t="s">
        <v>179</v>
      </c>
      <c r="N48" s="14" t="s">
        <v>1011</v>
      </c>
      <c r="O48" s="14" t="s">
        <v>14129</v>
      </c>
      <c r="P48" s="14" t="str">
        <f>HYPERLINK("https://photon-sol.tinyastro.io/en/lp/zW7rM1Jk7WtDNRzdQyaXiNNQUMbHTNyYAhMhmyppump?handle=676050794bc1b1657a56b", "View")</f>
        <v>View</v>
      </c>
    </row>
    <row r="49" spans="1:16" x14ac:dyDescent="0.25">
      <c r="A49" s="16" t="s">
        <v>11117</v>
      </c>
      <c r="B49" s="17">
        <v>60326666</v>
      </c>
      <c r="C49" s="17">
        <v>60326666</v>
      </c>
      <c r="D49" s="17" t="s">
        <v>7230</v>
      </c>
      <c r="E49" s="17" t="s">
        <v>14130</v>
      </c>
      <c r="F49" s="17" t="s">
        <v>2988</v>
      </c>
      <c r="G49" s="22" t="s">
        <v>3993</v>
      </c>
      <c r="H49" s="22" t="s">
        <v>14131</v>
      </c>
      <c r="I49" s="17" t="s">
        <v>88</v>
      </c>
      <c r="J49" s="17">
        <v>4</v>
      </c>
      <c r="K49" s="17">
        <v>6</v>
      </c>
      <c r="L49" s="17" t="s">
        <v>14132</v>
      </c>
      <c r="M49" s="17" t="s">
        <v>7661</v>
      </c>
      <c r="N49" s="17" t="s">
        <v>8752</v>
      </c>
      <c r="O49" s="17" t="s">
        <v>14133</v>
      </c>
      <c r="P49" s="17" t="str">
        <f>HYPERLINK("https://photon-sol.tinyastro.io/en/lp/G19HAKL94PDqgKf47t55kSyEQKsUnKC2K4ftxDApump?handle=676050794bc1b1657a56b", "View")</f>
        <v>View</v>
      </c>
    </row>
    <row r="50" spans="1:16" x14ac:dyDescent="0.25">
      <c r="A50" s="13" t="s">
        <v>14134</v>
      </c>
      <c r="B50" s="14">
        <v>31866800</v>
      </c>
      <c r="C50" s="14">
        <v>31866800</v>
      </c>
      <c r="D50" s="14" t="s">
        <v>7189</v>
      </c>
      <c r="E50" s="14" t="s">
        <v>13588</v>
      </c>
      <c r="F50" s="14" t="s">
        <v>14135</v>
      </c>
      <c r="G50" s="21" t="s">
        <v>14136</v>
      </c>
      <c r="H50" s="21" t="s">
        <v>14137</v>
      </c>
      <c r="I50" s="14" t="s">
        <v>88</v>
      </c>
      <c r="J50" s="14">
        <v>1</v>
      </c>
      <c r="K50" s="14">
        <v>5</v>
      </c>
      <c r="L50" s="14" t="s">
        <v>14138</v>
      </c>
      <c r="M50" s="14" t="s">
        <v>117</v>
      </c>
      <c r="N50" s="14" t="s">
        <v>14139</v>
      </c>
      <c r="O50" s="14" t="s">
        <v>14140</v>
      </c>
      <c r="P50" s="14" t="str">
        <f>HYPERLINK("https://photon-sol.tinyastro.io/en/lp/DknbGnV1coAMAHznQMYuEN7FHeYSmu4E3ZnFnUqUpump?handle=676050794bc1b1657a56b", "View")</f>
        <v>View</v>
      </c>
    </row>
    <row r="51" spans="1:16" x14ac:dyDescent="0.25">
      <c r="A51" s="16" t="s">
        <v>14141</v>
      </c>
      <c r="B51" s="17">
        <v>23820003</v>
      </c>
      <c r="C51" s="17">
        <v>23820003</v>
      </c>
      <c r="D51" s="17" t="s">
        <v>7054</v>
      </c>
      <c r="E51" s="17" t="s">
        <v>13588</v>
      </c>
      <c r="F51" s="17" t="s">
        <v>6843</v>
      </c>
      <c r="G51" s="20" t="s">
        <v>14142</v>
      </c>
      <c r="H51" s="20" t="s">
        <v>14143</v>
      </c>
      <c r="I51" s="17" t="s">
        <v>88</v>
      </c>
      <c r="J51" s="17">
        <v>1</v>
      </c>
      <c r="K51" s="17">
        <v>1</v>
      </c>
      <c r="L51" s="17" t="s">
        <v>14144</v>
      </c>
      <c r="M51" s="17" t="s">
        <v>3355</v>
      </c>
      <c r="N51" s="17" t="s">
        <v>2585</v>
      </c>
      <c r="O51" s="17" t="s">
        <v>14145</v>
      </c>
      <c r="P51" s="17" t="str">
        <f>HYPERLINK("https://photon-sol.tinyastro.io/en/lp/CuwS3AmAaFyWwykioz6VoRVj7ccPrD8HaEjuEDvopump?handle=676050794bc1b1657a56b", "View")</f>
        <v>View</v>
      </c>
    </row>
    <row r="52" spans="1:16" x14ac:dyDescent="0.25">
      <c r="A52" s="13" t="s">
        <v>14146</v>
      </c>
      <c r="B52" s="14">
        <v>23118412</v>
      </c>
      <c r="C52" s="14">
        <v>23118412</v>
      </c>
      <c r="D52" s="14" t="s">
        <v>7054</v>
      </c>
      <c r="E52" s="14" t="s">
        <v>13588</v>
      </c>
      <c r="F52" s="14" t="s">
        <v>14147</v>
      </c>
      <c r="G52" s="20" t="s">
        <v>14148</v>
      </c>
      <c r="H52" s="20" t="s">
        <v>14149</v>
      </c>
      <c r="I52" s="14" t="s">
        <v>88</v>
      </c>
      <c r="J52" s="14">
        <v>1</v>
      </c>
      <c r="K52" s="14">
        <v>1</v>
      </c>
      <c r="L52" s="14" t="s">
        <v>14150</v>
      </c>
      <c r="M52" s="19" t="s">
        <v>1940</v>
      </c>
      <c r="N52" s="14" t="s">
        <v>2585</v>
      </c>
      <c r="O52" s="14" t="s">
        <v>14151</v>
      </c>
      <c r="P52" s="14" t="str">
        <f>HYPERLINK("https://photon-sol.tinyastro.io/en/lp/AcMxbikmTQy9zy9r8DHaNGmuCdWsSf4YwBDEPRKapump?handle=676050794bc1b1657a56b", "View")</f>
        <v>View</v>
      </c>
    </row>
    <row r="53" spans="1:16" x14ac:dyDescent="0.25">
      <c r="A53" s="16" t="s">
        <v>14152</v>
      </c>
      <c r="B53" s="17">
        <v>24560547</v>
      </c>
      <c r="C53" s="17">
        <v>24560547</v>
      </c>
      <c r="D53" s="17" t="s">
        <v>7054</v>
      </c>
      <c r="E53" s="17" t="s">
        <v>13588</v>
      </c>
      <c r="F53" s="17" t="s">
        <v>14153</v>
      </c>
      <c r="G53" s="21" t="s">
        <v>9620</v>
      </c>
      <c r="H53" s="21" t="s">
        <v>14154</v>
      </c>
      <c r="I53" s="17" t="s">
        <v>88</v>
      </c>
      <c r="J53" s="17">
        <v>1</v>
      </c>
      <c r="K53" s="17">
        <v>1</v>
      </c>
      <c r="L53" s="17" t="s">
        <v>14155</v>
      </c>
      <c r="M53" s="17" t="s">
        <v>179</v>
      </c>
      <c r="N53" s="17" t="s">
        <v>14156</v>
      </c>
      <c r="O53" s="17" t="s">
        <v>14157</v>
      </c>
      <c r="P53" s="17" t="str">
        <f>HYPERLINK("https://photon-sol.tinyastro.io/en/lp/A7CtiV5AX7nLipM4ZdE3enYt5Xi67Jyo8foVTXjgpump?handle=676050794bc1b1657a56b", "View")</f>
        <v>View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308A-3CE0-4830-B284-76B04BE89602}">
  <dimension ref="A1:P10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HYPERLINK("https://gmgn.ai/sol/address/2QNiKmv13a5RVWAuiCPYK8GPWkuzmNkB67pDDoi1JdKZ", "GMGN")</f>
        <v>GMGN</v>
      </c>
    </row>
    <row r="2" spans="1:14" x14ac:dyDescent="0.25">
      <c r="A2" s="3" t="s">
        <v>14158</v>
      </c>
      <c r="B2" s="3" t="s">
        <v>14159</v>
      </c>
      <c r="C2" s="3" t="s">
        <v>6309</v>
      </c>
      <c r="D2" s="3" t="s">
        <v>14160</v>
      </c>
      <c r="E2" s="3" t="s">
        <v>14161</v>
      </c>
      <c r="F2" s="3" t="s">
        <v>14162</v>
      </c>
      <c r="G2" s="3" t="s">
        <v>18</v>
      </c>
      <c r="H2" s="3">
        <v>89</v>
      </c>
      <c r="I2" s="3">
        <v>1</v>
      </c>
      <c r="J2" s="3" t="s">
        <v>479</v>
      </c>
      <c r="K2" s="3" t="s">
        <v>1849</v>
      </c>
      <c r="L2" s="3">
        <v>80</v>
      </c>
      <c r="M2" s="3">
        <v>60</v>
      </c>
      <c r="N2" s="3" t="str">
        <f>HYPERLINK("https://solscan.io/account/2QNiKmv13a5RVWAuiCPYK8GPWkuzmNkB67pDDoi1JdKZ", "Solscan")</f>
        <v>Solscan</v>
      </c>
    </row>
    <row r="3" spans="1:14" x14ac:dyDescent="0.25">
      <c r="A3" s="1" t="s">
        <v>21</v>
      </c>
      <c r="B3" s="4" t="s">
        <v>13168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HYPERLINK("https://birdeye.so/profile/2QNiKmv13a5RVWAuiCPYK8GPWkuzmNkB67pDDoi1JdKZ", "Birdeye")</f>
        <v>Birdeye</v>
      </c>
    </row>
    <row r="4" spans="1:14" x14ac:dyDescent="0.25">
      <c r="A4" s="1" t="s">
        <v>25</v>
      </c>
      <c r="B4" s="3" t="s">
        <v>2004</v>
      </c>
      <c r="C4" s="3"/>
      <c r="D4" s="3" t="s">
        <v>1568</v>
      </c>
      <c r="E4" s="3" t="s">
        <v>14163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12318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5</v>
      </c>
      <c r="D10" s="1">
        <v>7</v>
      </c>
      <c r="E10" s="1">
        <v>29</v>
      </c>
      <c r="F10" s="1">
        <v>35</v>
      </c>
      <c r="G10" s="1">
        <v>10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12321</v>
      </c>
      <c r="C11" s="1" t="s">
        <v>14164</v>
      </c>
      <c r="D11" s="1" t="s">
        <v>14165</v>
      </c>
      <c r="E11" s="1" t="s">
        <v>14166</v>
      </c>
      <c r="F11" s="1" t="s">
        <v>14167</v>
      </c>
      <c r="G11" s="1" t="s">
        <v>6319</v>
      </c>
      <c r="H11" s="3"/>
      <c r="I11" s="3" t="s">
        <v>50</v>
      </c>
      <c r="J11" s="3" t="s">
        <v>14168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14169</v>
      </c>
      <c r="C12" s="1" t="s">
        <v>14170</v>
      </c>
      <c r="D12" s="1" t="s">
        <v>14171</v>
      </c>
      <c r="E12" s="1" t="s">
        <v>14172</v>
      </c>
      <c r="F12" s="1" t="s">
        <v>4732</v>
      </c>
      <c r="G12" s="1" t="s">
        <v>14173</v>
      </c>
      <c r="H12" s="3"/>
      <c r="I12" s="3" t="s">
        <v>59</v>
      </c>
      <c r="J12" s="3" t="s">
        <v>14174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1583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1584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14175</v>
      </c>
      <c r="B20" s="14">
        <v>21277068</v>
      </c>
      <c r="C20" s="14">
        <v>21277068</v>
      </c>
      <c r="D20" s="14" t="s">
        <v>4379</v>
      </c>
      <c r="E20" s="14" t="s">
        <v>14176</v>
      </c>
      <c r="F20" s="14" t="s">
        <v>14177</v>
      </c>
      <c r="G20" s="20" t="s">
        <v>4626</v>
      </c>
      <c r="H20" s="20" t="s">
        <v>14178</v>
      </c>
      <c r="I20" s="14" t="s">
        <v>88</v>
      </c>
      <c r="J20" s="14">
        <v>2</v>
      </c>
      <c r="K20" s="14">
        <v>2</v>
      </c>
      <c r="L20" s="14" t="s">
        <v>14179</v>
      </c>
      <c r="M20" s="19" t="s">
        <v>2479</v>
      </c>
      <c r="N20" s="14" t="s">
        <v>14180</v>
      </c>
      <c r="O20" s="14" t="s">
        <v>14181</v>
      </c>
      <c r="P20" s="14" t="str">
        <f>HYPERLINK("https://photon-sol.tinyastro.io/en/lp/DgWHZPG1GRnnDzyascKL2H57nEMernAdKTmfcRv7pump?handle=676050794bc1b1657a56b", "View")</f>
        <v>View</v>
      </c>
    </row>
    <row r="21" spans="1:16" x14ac:dyDescent="0.25">
      <c r="A21" s="16" t="s">
        <v>14182</v>
      </c>
      <c r="B21" s="17">
        <v>14993149</v>
      </c>
      <c r="C21" s="17">
        <v>14993149</v>
      </c>
      <c r="D21" s="17" t="s">
        <v>4389</v>
      </c>
      <c r="E21" s="17" t="s">
        <v>1814</v>
      </c>
      <c r="F21" s="17" t="s">
        <v>14183</v>
      </c>
      <c r="G21" s="20" t="s">
        <v>14184</v>
      </c>
      <c r="H21" s="20" t="s">
        <v>2523</v>
      </c>
      <c r="I21" s="17" t="s">
        <v>88</v>
      </c>
      <c r="J21" s="17">
        <v>1</v>
      </c>
      <c r="K21" s="17">
        <v>1</v>
      </c>
      <c r="L21" s="17" t="s">
        <v>14185</v>
      </c>
      <c r="M21" s="19" t="s">
        <v>2525</v>
      </c>
      <c r="N21" s="17" t="s">
        <v>14186</v>
      </c>
      <c r="O21" s="17" t="s">
        <v>14187</v>
      </c>
      <c r="P21" s="17" t="str">
        <f>HYPERLINK("https://photon-sol.tinyastro.io/en/lp/Fptg2rBLBQSNNkBo72JuJH68a6pwWNxzhPfaSMJDpump?handle=676050794bc1b1657a56b", "View")</f>
        <v>View</v>
      </c>
    </row>
    <row r="22" spans="1:16" x14ac:dyDescent="0.25">
      <c r="A22" s="13" t="s">
        <v>14188</v>
      </c>
      <c r="B22" s="14">
        <v>6387033</v>
      </c>
      <c r="C22" s="14">
        <v>6387033</v>
      </c>
      <c r="D22" s="14" t="s">
        <v>4389</v>
      </c>
      <c r="E22" s="14" t="s">
        <v>1814</v>
      </c>
      <c r="F22" s="14" t="s">
        <v>14189</v>
      </c>
      <c r="G22" s="15" t="s">
        <v>14190</v>
      </c>
      <c r="H22" s="15" t="s">
        <v>14191</v>
      </c>
      <c r="I22" s="14" t="s">
        <v>88</v>
      </c>
      <c r="J22" s="14">
        <v>1</v>
      </c>
      <c r="K22" s="14">
        <v>1</v>
      </c>
      <c r="L22" s="14" t="s">
        <v>14192</v>
      </c>
      <c r="M22" s="19" t="s">
        <v>2955</v>
      </c>
      <c r="N22" s="14" t="s">
        <v>14193</v>
      </c>
      <c r="O22" s="14" t="s">
        <v>14194</v>
      </c>
      <c r="P22" s="14" t="str">
        <f>HYPERLINK("https://photon-sol.tinyastro.io/en/lp/FYiUnxxMp9KK2AjnXv84Bs23ZWqxAJaw9i9D6jnipump?handle=676050794bc1b1657a56b", "View")</f>
        <v>View</v>
      </c>
    </row>
    <row r="23" spans="1:16" x14ac:dyDescent="0.25">
      <c r="A23" s="16" t="s">
        <v>14195</v>
      </c>
      <c r="B23" s="17">
        <v>49064875</v>
      </c>
      <c r="C23" s="17">
        <v>49064875</v>
      </c>
      <c r="D23" s="17" t="s">
        <v>14196</v>
      </c>
      <c r="E23" s="17" t="s">
        <v>1814</v>
      </c>
      <c r="F23" s="17" t="s">
        <v>14197</v>
      </c>
      <c r="G23" s="20" t="s">
        <v>5681</v>
      </c>
      <c r="H23" s="20" t="s">
        <v>14198</v>
      </c>
      <c r="I23" s="17" t="s">
        <v>88</v>
      </c>
      <c r="J23" s="17">
        <v>1</v>
      </c>
      <c r="K23" s="17">
        <v>1</v>
      </c>
      <c r="L23" s="17" t="s">
        <v>14199</v>
      </c>
      <c r="M23" s="19" t="s">
        <v>1688</v>
      </c>
      <c r="N23" s="17" t="s">
        <v>1011</v>
      </c>
      <c r="O23" s="17" t="s">
        <v>14200</v>
      </c>
      <c r="P23" s="17" t="str">
        <f>HYPERLINK("https://photon-sol.tinyastro.io/en/lp/J2G3i1P9GAwtGZUgheYVV4Xu1BmXPHmRFJkcz5owpump?handle=676050794bc1b1657a56b", "View")</f>
        <v>View</v>
      </c>
    </row>
    <row r="24" spans="1:16" x14ac:dyDescent="0.25">
      <c r="A24" s="13" t="s">
        <v>14201</v>
      </c>
      <c r="B24" s="14">
        <v>65815985</v>
      </c>
      <c r="C24" s="14">
        <v>65815985</v>
      </c>
      <c r="D24" s="14" t="s">
        <v>4389</v>
      </c>
      <c r="E24" s="14" t="s">
        <v>1814</v>
      </c>
      <c r="F24" s="14" t="s">
        <v>14202</v>
      </c>
      <c r="G24" s="20" t="s">
        <v>13583</v>
      </c>
      <c r="H24" s="20" t="s">
        <v>14203</v>
      </c>
      <c r="I24" s="14" t="s">
        <v>88</v>
      </c>
      <c r="J24" s="14">
        <v>1</v>
      </c>
      <c r="K24" s="14">
        <v>1</v>
      </c>
      <c r="L24" s="14" t="s">
        <v>14204</v>
      </c>
      <c r="M24" s="19" t="s">
        <v>2993</v>
      </c>
      <c r="N24" s="14" t="s">
        <v>2308</v>
      </c>
      <c r="O24" s="14" t="s">
        <v>14205</v>
      </c>
      <c r="P24" s="14" t="str">
        <f>HYPERLINK("https://photon-sol.tinyastro.io/en/lp/GeoaoQsfFdymMYXrTA7umzGsehk2TwZPHVakVN9bpump?handle=676050794bc1b1657a56b", "View")</f>
        <v>View</v>
      </c>
    </row>
    <row r="25" spans="1:16" x14ac:dyDescent="0.25">
      <c r="A25" s="16" t="s">
        <v>14206</v>
      </c>
      <c r="B25" s="17">
        <v>31893719</v>
      </c>
      <c r="C25" s="17">
        <v>31893719</v>
      </c>
      <c r="D25" s="17" t="s">
        <v>14207</v>
      </c>
      <c r="E25" s="17" t="s">
        <v>1814</v>
      </c>
      <c r="F25" s="17" t="s">
        <v>14208</v>
      </c>
      <c r="G25" s="22" t="s">
        <v>13547</v>
      </c>
      <c r="H25" s="22" t="s">
        <v>14209</v>
      </c>
      <c r="I25" s="17" t="s">
        <v>88</v>
      </c>
      <c r="J25" s="17">
        <v>1</v>
      </c>
      <c r="K25" s="17">
        <v>2</v>
      </c>
      <c r="L25" s="17" t="s">
        <v>14210</v>
      </c>
      <c r="M25" s="19" t="s">
        <v>1872</v>
      </c>
      <c r="N25" s="17" t="s">
        <v>2069</v>
      </c>
      <c r="O25" s="17" t="s">
        <v>14211</v>
      </c>
      <c r="P25" s="17" t="str">
        <f>HYPERLINK("https://photon-sol.tinyastro.io/en/lp/3EjU1pU1kjgefHhNdjCtMpoi3jM1LK6DGvCCpqDipump?handle=676050794bc1b1657a56b", "View")</f>
        <v>View</v>
      </c>
    </row>
    <row r="26" spans="1:16" x14ac:dyDescent="0.25">
      <c r="A26" s="13" t="s">
        <v>14212</v>
      </c>
      <c r="B26" s="14">
        <v>37771058</v>
      </c>
      <c r="C26" s="14">
        <v>37771058</v>
      </c>
      <c r="D26" s="14" t="s">
        <v>4389</v>
      </c>
      <c r="E26" s="14" t="s">
        <v>14213</v>
      </c>
      <c r="F26" s="14" t="s">
        <v>6768</v>
      </c>
      <c r="G26" s="20" t="s">
        <v>14214</v>
      </c>
      <c r="H26" s="20" t="s">
        <v>14215</v>
      </c>
      <c r="I26" s="14" t="s">
        <v>88</v>
      </c>
      <c r="J26" s="14">
        <v>1</v>
      </c>
      <c r="K26" s="14">
        <v>1</v>
      </c>
      <c r="L26" s="14" t="s">
        <v>14216</v>
      </c>
      <c r="M26" s="19" t="s">
        <v>2122</v>
      </c>
      <c r="N26" s="14" t="s">
        <v>1011</v>
      </c>
      <c r="O26" s="14" t="s">
        <v>14217</v>
      </c>
      <c r="P26" s="14" t="str">
        <f>HYPERLINK("https://photon-sol.tinyastro.io/en/lp/DU38MwUbQfgGR1yKN5AutJYf7ZcoXEQxgVvH6GCBpump?handle=676050794bc1b1657a56b", "View")</f>
        <v>View</v>
      </c>
    </row>
    <row r="27" spans="1:16" x14ac:dyDescent="0.25">
      <c r="A27" s="16" t="s">
        <v>6347</v>
      </c>
      <c r="B27" s="17">
        <v>7393309</v>
      </c>
      <c r="C27" s="17">
        <v>7393309</v>
      </c>
      <c r="D27" s="17" t="s">
        <v>4389</v>
      </c>
      <c r="E27" s="17" t="s">
        <v>14213</v>
      </c>
      <c r="F27" s="17" t="s">
        <v>14218</v>
      </c>
      <c r="G27" s="22" t="s">
        <v>3563</v>
      </c>
      <c r="H27" s="22" t="s">
        <v>14219</v>
      </c>
      <c r="I27" s="17" t="s">
        <v>88</v>
      </c>
      <c r="J27" s="17">
        <v>1</v>
      </c>
      <c r="K27" s="17">
        <v>1</v>
      </c>
      <c r="L27" s="17" t="s">
        <v>14220</v>
      </c>
      <c r="M27" s="19" t="s">
        <v>3076</v>
      </c>
      <c r="N27" s="17" t="s">
        <v>14221</v>
      </c>
      <c r="O27" s="17" t="s">
        <v>6353</v>
      </c>
      <c r="P27" s="17" t="str">
        <f>HYPERLINK("https://photon-sol.tinyastro.io/en/lp/8YiB8B43EwDeSx5Jp91VQjgBU4mfCgVvyNahadtzpump?handle=676050794bc1b1657a56b", "View")</f>
        <v>View</v>
      </c>
    </row>
    <row r="28" spans="1:16" x14ac:dyDescent="0.25">
      <c r="A28" s="13" t="s">
        <v>14222</v>
      </c>
      <c r="B28" s="14">
        <v>10091768</v>
      </c>
      <c r="C28" s="14">
        <v>10091768</v>
      </c>
      <c r="D28" s="14" t="s">
        <v>4389</v>
      </c>
      <c r="E28" s="14" t="s">
        <v>14223</v>
      </c>
      <c r="F28" s="14" t="s">
        <v>12965</v>
      </c>
      <c r="G28" s="20" t="s">
        <v>3537</v>
      </c>
      <c r="H28" s="20" t="s">
        <v>14224</v>
      </c>
      <c r="I28" s="14" t="s">
        <v>88</v>
      </c>
      <c r="J28" s="14">
        <v>1</v>
      </c>
      <c r="K28" s="14">
        <v>1</v>
      </c>
      <c r="L28" s="14" t="s">
        <v>14225</v>
      </c>
      <c r="M28" s="19" t="s">
        <v>3158</v>
      </c>
      <c r="N28" s="14" t="s">
        <v>1949</v>
      </c>
      <c r="O28" s="14" t="s">
        <v>14226</v>
      </c>
      <c r="P28" s="14" t="str">
        <f>HYPERLINK("https://photon-sol.tinyastro.io/en/lp/HiFi6mAhrCSZydVUVEhs4F2EJm6nhVucjq4pCYnVpump?handle=676050794bc1b1657a56b", "View")</f>
        <v>View</v>
      </c>
    </row>
    <row r="29" spans="1:16" x14ac:dyDescent="0.25">
      <c r="A29" s="16" t="s">
        <v>14227</v>
      </c>
      <c r="B29" s="17">
        <v>91542900</v>
      </c>
      <c r="C29" s="17">
        <v>91542900</v>
      </c>
      <c r="D29" s="17" t="s">
        <v>14207</v>
      </c>
      <c r="E29" s="17" t="s">
        <v>14228</v>
      </c>
      <c r="F29" s="17" t="s">
        <v>14229</v>
      </c>
      <c r="G29" s="21" t="s">
        <v>14230</v>
      </c>
      <c r="H29" s="21" t="s">
        <v>14231</v>
      </c>
      <c r="I29" s="17" t="s">
        <v>88</v>
      </c>
      <c r="J29" s="17">
        <v>1</v>
      </c>
      <c r="K29" s="17">
        <v>2</v>
      </c>
      <c r="L29" s="17" t="s">
        <v>14232</v>
      </c>
      <c r="M29" s="19" t="s">
        <v>1827</v>
      </c>
      <c r="N29" s="17" t="s">
        <v>3296</v>
      </c>
      <c r="O29" s="17" t="s">
        <v>14233</v>
      </c>
      <c r="P29" s="17" t="str">
        <f>HYPERLINK("https://photon-sol.tinyastro.io/en/lp/2d9wCcm6bsivvm8TK3nGn6f8jGTTs8rqsaoUDRbPpump?handle=676050794bc1b1657a56b", "View")</f>
        <v>View</v>
      </c>
    </row>
    <row r="30" spans="1:16" x14ac:dyDescent="0.25">
      <c r="A30" s="13" t="s">
        <v>14234</v>
      </c>
      <c r="B30" s="14">
        <v>47700743</v>
      </c>
      <c r="C30" s="14">
        <v>47700743</v>
      </c>
      <c r="D30" s="14" t="s">
        <v>14207</v>
      </c>
      <c r="E30" s="14" t="s">
        <v>1814</v>
      </c>
      <c r="F30" s="14" t="s">
        <v>14235</v>
      </c>
      <c r="G30" s="21" t="s">
        <v>3690</v>
      </c>
      <c r="H30" s="21" t="s">
        <v>14236</v>
      </c>
      <c r="I30" s="14" t="s">
        <v>88</v>
      </c>
      <c r="J30" s="14">
        <v>1</v>
      </c>
      <c r="K30" s="14">
        <v>2</v>
      </c>
      <c r="L30" s="14" t="s">
        <v>14237</v>
      </c>
      <c r="M30" s="19" t="s">
        <v>3626</v>
      </c>
      <c r="N30" s="14" t="s">
        <v>8940</v>
      </c>
      <c r="O30" s="14" t="s">
        <v>14238</v>
      </c>
      <c r="P30" s="14" t="str">
        <f>HYPERLINK("https://photon-sol.tinyastro.io/en/lp/FtVQd9B5iWHmh7w3fTjxTRj7pRptNuNHb989ULtmpump?handle=676050794bc1b1657a56b", "View")</f>
        <v>View</v>
      </c>
    </row>
    <row r="31" spans="1:16" x14ac:dyDescent="0.25">
      <c r="A31" s="16" t="s">
        <v>12647</v>
      </c>
      <c r="B31" s="17">
        <v>80323855</v>
      </c>
      <c r="C31" s="17">
        <v>80323855</v>
      </c>
      <c r="D31" s="17" t="s">
        <v>4389</v>
      </c>
      <c r="E31" s="17" t="s">
        <v>14228</v>
      </c>
      <c r="F31" s="17" t="s">
        <v>13577</v>
      </c>
      <c r="G31" s="20" t="s">
        <v>14239</v>
      </c>
      <c r="H31" s="20" t="s">
        <v>14240</v>
      </c>
      <c r="I31" s="17" t="s">
        <v>88</v>
      </c>
      <c r="J31" s="17">
        <v>1</v>
      </c>
      <c r="K31" s="17">
        <v>1</v>
      </c>
      <c r="L31" s="17" t="s">
        <v>14241</v>
      </c>
      <c r="M31" s="19" t="s">
        <v>2167</v>
      </c>
      <c r="N31" s="17" t="s">
        <v>1980</v>
      </c>
      <c r="O31" s="17" t="s">
        <v>14242</v>
      </c>
      <c r="P31" s="17" t="str">
        <f>HYPERLINK("https://photon-sol.tinyastro.io/en/lp/J2zFTg6dCdsfitb6sicFZaBE3cQa96TBPjmmKyhMpump?handle=676050794bc1b1657a56b", "View")</f>
        <v>View</v>
      </c>
    </row>
    <row r="32" spans="1:16" x14ac:dyDescent="0.25">
      <c r="A32" s="13" t="s">
        <v>14243</v>
      </c>
      <c r="B32" s="14">
        <v>7078705</v>
      </c>
      <c r="C32" s="14">
        <v>7078705</v>
      </c>
      <c r="D32" s="14" t="s">
        <v>4389</v>
      </c>
      <c r="E32" s="14" t="s">
        <v>1814</v>
      </c>
      <c r="F32" s="14" t="s">
        <v>14244</v>
      </c>
      <c r="G32" s="20" t="s">
        <v>14245</v>
      </c>
      <c r="H32" s="20" t="s">
        <v>14246</v>
      </c>
      <c r="I32" s="14" t="s">
        <v>88</v>
      </c>
      <c r="J32" s="14">
        <v>1</v>
      </c>
      <c r="K32" s="14">
        <v>1</v>
      </c>
      <c r="L32" s="14" t="s">
        <v>14247</v>
      </c>
      <c r="M32" s="19" t="s">
        <v>3000</v>
      </c>
      <c r="N32" s="14" t="s">
        <v>14248</v>
      </c>
      <c r="O32" s="14" t="s">
        <v>14249</v>
      </c>
      <c r="P32" s="14" t="str">
        <f>HYPERLINK("https://photon-sol.tinyastro.io/en/lp/3fuMyZga9pypJEBysZGm2JZCDKK58frhQ4DRX7HTpump?handle=676050794bc1b1657a56b", "View")</f>
        <v>View</v>
      </c>
    </row>
    <row r="33" spans="1:16" x14ac:dyDescent="0.25">
      <c r="A33" s="16" t="s">
        <v>14250</v>
      </c>
      <c r="B33" s="17">
        <v>108960631</v>
      </c>
      <c r="C33" s="17">
        <v>108960631</v>
      </c>
      <c r="D33" s="17" t="s">
        <v>4389</v>
      </c>
      <c r="E33" s="17" t="s">
        <v>14228</v>
      </c>
      <c r="F33" s="17" t="s">
        <v>14251</v>
      </c>
      <c r="G33" s="20" t="s">
        <v>14252</v>
      </c>
      <c r="H33" s="20" t="s">
        <v>14253</v>
      </c>
      <c r="I33" s="17" t="s">
        <v>88</v>
      </c>
      <c r="J33" s="17">
        <v>1</v>
      </c>
      <c r="K33" s="17">
        <v>1</v>
      </c>
      <c r="L33" s="17" t="s">
        <v>14254</v>
      </c>
      <c r="M33" s="19" t="s">
        <v>2323</v>
      </c>
      <c r="N33" s="17" t="s">
        <v>1011</v>
      </c>
      <c r="O33" s="17" t="s">
        <v>14255</v>
      </c>
      <c r="P33" s="17" t="str">
        <f>HYPERLINK("https://photon-sol.tinyastro.io/en/lp/B2qPG2YapjVe5ppQd2XbxJKTDdWRbf5cec4u8D2hpump?handle=676050794bc1b1657a56b", "View")</f>
        <v>View</v>
      </c>
    </row>
    <row r="34" spans="1:16" x14ac:dyDescent="0.25">
      <c r="A34" s="13" t="s">
        <v>14256</v>
      </c>
      <c r="B34" s="14">
        <v>5035360</v>
      </c>
      <c r="C34" s="14">
        <v>5035360</v>
      </c>
      <c r="D34" s="14" t="s">
        <v>4389</v>
      </c>
      <c r="E34" s="14" t="s">
        <v>14223</v>
      </c>
      <c r="F34" s="14" t="s">
        <v>2084</v>
      </c>
      <c r="G34" s="22" t="s">
        <v>7639</v>
      </c>
      <c r="H34" s="22" t="s">
        <v>14257</v>
      </c>
      <c r="I34" s="14" t="s">
        <v>88</v>
      </c>
      <c r="J34" s="14">
        <v>1</v>
      </c>
      <c r="K34" s="14">
        <v>1</v>
      </c>
      <c r="L34" s="14" t="s">
        <v>14258</v>
      </c>
      <c r="M34" s="14" t="s">
        <v>602</v>
      </c>
      <c r="N34" s="14" t="s">
        <v>14259</v>
      </c>
      <c r="O34" s="14" t="s">
        <v>14260</v>
      </c>
      <c r="P34" s="14" t="str">
        <f>HYPERLINK("https://photon-sol.tinyastro.io/en/lp/6oQw2Q27jLD9ABQcjLowrZPMRbjSMXMaJrRAa9XCpump?handle=676050794bc1b1657a56b", "View")</f>
        <v>View</v>
      </c>
    </row>
    <row r="35" spans="1:16" x14ac:dyDescent="0.25">
      <c r="A35" s="16" t="s">
        <v>14261</v>
      </c>
      <c r="B35" s="17">
        <v>56251302</v>
      </c>
      <c r="C35" s="17">
        <v>56251302</v>
      </c>
      <c r="D35" s="17" t="s">
        <v>14207</v>
      </c>
      <c r="E35" s="17" t="s">
        <v>14262</v>
      </c>
      <c r="F35" s="17" t="s">
        <v>14263</v>
      </c>
      <c r="G35" s="22" t="s">
        <v>5674</v>
      </c>
      <c r="H35" s="22" t="s">
        <v>14264</v>
      </c>
      <c r="I35" s="17" t="s">
        <v>88</v>
      </c>
      <c r="J35" s="17">
        <v>1</v>
      </c>
      <c r="K35" s="17">
        <v>2</v>
      </c>
      <c r="L35" s="17" t="s">
        <v>14265</v>
      </c>
      <c r="M35" s="19" t="s">
        <v>2323</v>
      </c>
      <c r="N35" s="17" t="s">
        <v>2249</v>
      </c>
      <c r="O35" s="17" t="s">
        <v>14266</v>
      </c>
      <c r="P35" s="17" t="str">
        <f>HYPERLINK("https://photon-sol.tinyastro.io/en/lp/D2RU4Yo9ZviAkRLRH91sGVVFTp1nmK6G8ndbScKmpump?handle=676050794bc1b1657a56b", "View")</f>
        <v>View</v>
      </c>
    </row>
    <row r="36" spans="1:16" x14ac:dyDescent="0.25">
      <c r="A36" s="13" t="s">
        <v>14267</v>
      </c>
      <c r="B36" s="14">
        <v>15269911</v>
      </c>
      <c r="C36" s="14">
        <v>15269911</v>
      </c>
      <c r="D36" s="14" t="s">
        <v>4389</v>
      </c>
      <c r="E36" s="14" t="s">
        <v>14213</v>
      </c>
      <c r="F36" s="14" t="s">
        <v>14268</v>
      </c>
      <c r="G36" s="20" t="s">
        <v>14269</v>
      </c>
      <c r="H36" s="20" t="s">
        <v>14270</v>
      </c>
      <c r="I36" s="14" t="s">
        <v>88</v>
      </c>
      <c r="J36" s="14">
        <v>1</v>
      </c>
      <c r="K36" s="14">
        <v>1</v>
      </c>
      <c r="L36" s="14" t="s">
        <v>14271</v>
      </c>
      <c r="M36" s="19" t="s">
        <v>3000</v>
      </c>
      <c r="N36" s="14" t="s">
        <v>3923</v>
      </c>
      <c r="O36" s="14" t="s">
        <v>14272</v>
      </c>
      <c r="P36" s="14" t="str">
        <f>HYPERLINK("https://photon-sol.tinyastro.io/en/lp/TGZoLoWDACtRidWfDyeXjaro7Bz23AuKiVm8JfApump?handle=676050794bc1b1657a56b", "View")</f>
        <v>View</v>
      </c>
    </row>
    <row r="37" spans="1:16" x14ac:dyDescent="0.25">
      <c r="A37" s="16" t="s">
        <v>11458</v>
      </c>
      <c r="B37" s="17">
        <v>18646454</v>
      </c>
      <c r="C37" s="17">
        <v>18646454</v>
      </c>
      <c r="D37" s="17" t="s">
        <v>4389</v>
      </c>
      <c r="E37" s="17" t="s">
        <v>14213</v>
      </c>
      <c r="F37" s="17" t="s">
        <v>6365</v>
      </c>
      <c r="G37" s="22" t="s">
        <v>8540</v>
      </c>
      <c r="H37" s="22" t="s">
        <v>14273</v>
      </c>
      <c r="I37" s="17" t="s">
        <v>88</v>
      </c>
      <c r="J37" s="17">
        <v>1</v>
      </c>
      <c r="K37" s="17">
        <v>1</v>
      </c>
      <c r="L37" s="17" t="s">
        <v>14274</v>
      </c>
      <c r="M37" s="19" t="s">
        <v>2379</v>
      </c>
      <c r="N37" s="17" t="s">
        <v>3347</v>
      </c>
      <c r="O37" s="17" t="s">
        <v>14275</v>
      </c>
      <c r="P37" s="17" t="str">
        <f>HYPERLINK("https://photon-sol.tinyastro.io/en/lp/9QzWMjMpZjPMi62h9XVPPmLjE5rtoPdZpphEGcGqqHer?handle=676050794bc1b1657a56b", "View")</f>
        <v>View</v>
      </c>
    </row>
    <row r="38" spans="1:16" x14ac:dyDescent="0.25">
      <c r="A38" s="13" t="s">
        <v>12388</v>
      </c>
      <c r="B38" s="14">
        <v>282575</v>
      </c>
      <c r="C38" s="14">
        <v>282575</v>
      </c>
      <c r="D38" s="14" t="s">
        <v>14276</v>
      </c>
      <c r="E38" s="14" t="s">
        <v>10388</v>
      </c>
      <c r="F38" s="14" t="s">
        <v>13215</v>
      </c>
      <c r="G38" s="20" t="s">
        <v>14277</v>
      </c>
      <c r="H38" s="20" t="s">
        <v>14278</v>
      </c>
      <c r="I38" s="14" t="s">
        <v>88</v>
      </c>
      <c r="J38" s="14">
        <v>1</v>
      </c>
      <c r="K38" s="14">
        <v>1</v>
      </c>
      <c r="L38" s="14" t="s">
        <v>14279</v>
      </c>
      <c r="M38" s="19" t="s">
        <v>1948</v>
      </c>
      <c r="N38" s="14" t="s">
        <v>14280</v>
      </c>
      <c r="O38" s="14" t="s">
        <v>12395</v>
      </c>
      <c r="P38" s="14" t="str">
        <f>HYPERLINK("https://dexscreener.com/solana/6Xx8p2WmY1Uk2GD35uxhEyuniNrVEeSu3CUThb8Upump", "View")</f>
        <v>View</v>
      </c>
    </row>
    <row r="39" spans="1:16" x14ac:dyDescent="0.25">
      <c r="A39" s="16" t="s">
        <v>14281</v>
      </c>
      <c r="B39" s="17">
        <v>28501356</v>
      </c>
      <c r="C39" s="17">
        <v>26996438</v>
      </c>
      <c r="D39" s="17" t="s">
        <v>14207</v>
      </c>
      <c r="E39" s="17" t="s">
        <v>14262</v>
      </c>
      <c r="F39" s="17" t="s">
        <v>14282</v>
      </c>
      <c r="G39" s="20" t="s">
        <v>4799</v>
      </c>
      <c r="H39" s="20" t="s">
        <v>14283</v>
      </c>
      <c r="I39" s="17" t="s">
        <v>88</v>
      </c>
      <c r="J39" s="17">
        <v>1</v>
      </c>
      <c r="K39" s="17">
        <v>2</v>
      </c>
      <c r="L39" s="17" t="s">
        <v>14284</v>
      </c>
      <c r="M39" s="19" t="s">
        <v>1619</v>
      </c>
      <c r="N39" s="17" t="s">
        <v>3935</v>
      </c>
      <c r="O39" s="17" t="s">
        <v>14285</v>
      </c>
      <c r="P39" s="17" t="str">
        <f>HYPERLINK("https://photon-sol.tinyastro.io/en/lp/9ZLeAUEwuZLZR1g7pvAWG8FkrVt9mgEzq7FgJpiepump?handle=676050794bc1b1657a56b", "View")</f>
        <v>View</v>
      </c>
    </row>
    <row r="40" spans="1:16" x14ac:dyDescent="0.25">
      <c r="A40" s="13" t="s">
        <v>125</v>
      </c>
      <c r="B40" s="14">
        <v>21379337</v>
      </c>
      <c r="C40" s="14">
        <v>21379337</v>
      </c>
      <c r="D40" s="14" t="s">
        <v>14286</v>
      </c>
      <c r="E40" s="14" t="s">
        <v>14287</v>
      </c>
      <c r="F40" s="14" t="s">
        <v>14288</v>
      </c>
      <c r="G40" s="21" t="s">
        <v>14289</v>
      </c>
      <c r="H40" s="21" t="s">
        <v>14290</v>
      </c>
      <c r="I40" s="14" t="s">
        <v>88</v>
      </c>
      <c r="J40" s="14">
        <v>2</v>
      </c>
      <c r="K40" s="14">
        <v>8</v>
      </c>
      <c r="L40" s="14" t="s">
        <v>14291</v>
      </c>
      <c r="M40" s="14" t="s">
        <v>1566</v>
      </c>
      <c r="N40" s="14" t="s">
        <v>507</v>
      </c>
      <c r="O40" s="14" t="s">
        <v>14292</v>
      </c>
      <c r="P40" s="14" t="str">
        <f>HYPERLINK("https://photon-sol.tinyastro.io/en/lp/Cf44kpbStS49P8tDqQb3EAhjpCpXfhTAgzG9tXEPpump?handle=676050794bc1b1657a56b", "View")</f>
        <v>View</v>
      </c>
    </row>
    <row r="41" spans="1:16" x14ac:dyDescent="0.25">
      <c r="A41" s="16" t="s">
        <v>14293</v>
      </c>
      <c r="B41" s="17">
        <v>46942371</v>
      </c>
      <c r="C41" s="17">
        <v>46942371</v>
      </c>
      <c r="D41" s="17" t="s">
        <v>4389</v>
      </c>
      <c r="E41" s="17" t="s">
        <v>1814</v>
      </c>
      <c r="F41" s="17" t="s">
        <v>8211</v>
      </c>
      <c r="G41" s="21" t="s">
        <v>14294</v>
      </c>
      <c r="H41" s="21" t="s">
        <v>14295</v>
      </c>
      <c r="I41" s="17" t="s">
        <v>88</v>
      </c>
      <c r="J41" s="17">
        <v>1</v>
      </c>
      <c r="K41" s="17">
        <v>1</v>
      </c>
      <c r="L41" s="17" t="s">
        <v>14296</v>
      </c>
      <c r="M41" s="19" t="s">
        <v>2315</v>
      </c>
      <c r="N41" s="17" t="s">
        <v>2827</v>
      </c>
      <c r="O41" s="17" t="s">
        <v>14297</v>
      </c>
      <c r="P41" s="17" t="str">
        <f>HYPERLINK("https://photon-sol.tinyastro.io/en/lp/Gh4cw4WyG6H9deJjFKGisr1qgzqhNQ8bwKtN9VL9pump?handle=676050794bc1b1657a56b", "View")</f>
        <v>View</v>
      </c>
    </row>
    <row r="42" spans="1:16" x14ac:dyDescent="0.25">
      <c r="A42" s="13" t="s">
        <v>11318</v>
      </c>
      <c r="B42" s="14">
        <v>14494425</v>
      </c>
      <c r="C42" s="14">
        <v>14494425</v>
      </c>
      <c r="D42" s="14" t="s">
        <v>14298</v>
      </c>
      <c r="E42" s="14" t="s">
        <v>8699</v>
      </c>
      <c r="F42" s="14" t="s">
        <v>14299</v>
      </c>
      <c r="G42" s="21" t="s">
        <v>7862</v>
      </c>
      <c r="H42" s="21" t="s">
        <v>14300</v>
      </c>
      <c r="I42" s="14" t="s">
        <v>88</v>
      </c>
      <c r="J42" s="14">
        <v>1</v>
      </c>
      <c r="K42" s="14">
        <v>5</v>
      </c>
      <c r="L42" s="14" t="s">
        <v>14301</v>
      </c>
      <c r="M42" s="14" t="s">
        <v>2695</v>
      </c>
      <c r="N42" s="14" t="s">
        <v>14302</v>
      </c>
      <c r="O42" s="14" t="s">
        <v>11323</v>
      </c>
      <c r="P42" s="14" t="str">
        <f>HYPERLINK("https://photon-sol.tinyastro.io/en/lp/4su2qWj6wDaVRjQ2if5CcqX5g9LLbBLLpACD3rwWpump?handle=676050794bc1b1657a56b", "View")</f>
        <v>View</v>
      </c>
    </row>
    <row r="43" spans="1:16" x14ac:dyDescent="0.25">
      <c r="A43" s="16" t="s">
        <v>14303</v>
      </c>
      <c r="B43" s="17">
        <v>35032</v>
      </c>
      <c r="C43" s="17">
        <v>0</v>
      </c>
      <c r="D43" s="17" t="s">
        <v>14304</v>
      </c>
      <c r="E43" s="17" t="s">
        <v>5057</v>
      </c>
      <c r="F43" s="17" t="s">
        <v>96</v>
      </c>
      <c r="G43" s="18" t="s">
        <v>14305</v>
      </c>
      <c r="H43" s="18" t="s">
        <v>98</v>
      </c>
      <c r="I43" s="17" t="s">
        <v>14306</v>
      </c>
      <c r="J43" s="17">
        <v>1</v>
      </c>
      <c r="K43" s="17">
        <v>0</v>
      </c>
      <c r="L43" s="17" t="s">
        <v>14307</v>
      </c>
      <c r="M43" s="19" t="s">
        <v>101</v>
      </c>
      <c r="N43" s="17" t="s">
        <v>507</v>
      </c>
      <c r="O43" s="17" t="s">
        <v>14308</v>
      </c>
      <c r="P43" s="17" t="str">
        <f>HYPERLINK("https://photon-sol.tinyastro.io/en/lp/76WzsnSYEPQHcU7YXVuGHpQoF5wJHd4RgzRu7x6spump?handle=676050794bc1b1657a56b", "View")</f>
        <v>View</v>
      </c>
    </row>
    <row r="44" spans="1:16" x14ac:dyDescent="0.25">
      <c r="A44" s="13" t="s">
        <v>7046</v>
      </c>
      <c r="B44" s="14">
        <v>41279699</v>
      </c>
      <c r="C44" s="14">
        <v>41279699</v>
      </c>
      <c r="D44" s="14" t="s">
        <v>14309</v>
      </c>
      <c r="E44" s="14" t="s">
        <v>4425</v>
      </c>
      <c r="F44" s="14" t="s">
        <v>14310</v>
      </c>
      <c r="G44" s="22" t="s">
        <v>1867</v>
      </c>
      <c r="H44" s="22" t="s">
        <v>14311</v>
      </c>
      <c r="I44" s="14" t="s">
        <v>88</v>
      </c>
      <c r="J44" s="14">
        <v>1</v>
      </c>
      <c r="K44" s="14">
        <v>2</v>
      </c>
      <c r="L44" s="14" t="s">
        <v>14312</v>
      </c>
      <c r="M44" s="19" t="s">
        <v>1948</v>
      </c>
      <c r="N44" s="14" t="s">
        <v>8403</v>
      </c>
      <c r="O44" s="14" t="s">
        <v>14313</v>
      </c>
      <c r="P44" s="14" t="str">
        <f>HYPERLINK("https://photon-sol.tinyastro.io/en/lp/6bjbgXCFe5QLSftX5y6ym6HGKebGYjWCxQqLaWhkpump?handle=676050794bc1b1657a56b", "View")</f>
        <v>View</v>
      </c>
    </row>
    <row r="45" spans="1:16" x14ac:dyDescent="0.25">
      <c r="A45" s="16" t="s">
        <v>14314</v>
      </c>
      <c r="B45" s="17">
        <v>63311235</v>
      </c>
      <c r="C45" s="17">
        <v>63311235</v>
      </c>
      <c r="D45" s="17" t="s">
        <v>14315</v>
      </c>
      <c r="E45" s="17" t="s">
        <v>14316</v>
      </c>
      <c r="F45" s="17" t="s">
        <v>2951</v>
      </c>
      <c r="G45" s="20" t="s">
        <v>14317</v>
      </c>
      <c r="H45" s="20" t="s">
        <v>14318</v>
      </c>
      <c r="I45" s="17" t="s">
        <v>88</v>
      </c>
      <c r="J45" s="17">
        <v>1</v>
      </c>
      <c r="K45" s="17">
        <v>1</v>
      </c>
      <c r="L45" s="17" t="s">
        <v>14319</v>
      </c>
      <c r="M45" s="19" t="s">
        <v>2315</v>
      </c>
      <c r="N45" s="17" t="s">
        <v>7687</v>
      </c>
      <c r="O45" s="17" t="s">
        <v>14320</v>
      </c>
      <c r="P45" s="17" t="str">
        <f>HYPERLINK("https://photon-sol.tinyastro.io/en/lp/83fykTesiN1vYaU1vXeST1bZM3N9ZRHQVgrnFzBWpump?handle=676050794bc1b1657a56b", "View")</f>
        <v>View</v>
      </c>
    </row>
    <row r="46" spans="1:16" x14ac:dyDescent="0.25">
      <c r="A46" s="13" t="s">
        <v>14321</v>
      </c>
      <c r="B46" s="14">
        <v>53808397</v>
      </c>
      <c r="C46" s="14">
        <v>53808397</v>
      </c>
      <c r="D46" s="14" t="s">
        <v>14322</v>
      </c>
      <c r="E46" s="14" t="s">
        <v>14323</v>
      </c>
      <c r="F46" s="14" t="s">
        <v>14324</v>
      </c>
      <c r="G46" s="21" t="s">
        <v>14325</v>
      </c>
      <c r="H46" s="21" t="s">
        <v>14326</v>
      </c>
      <c r="I46" s="14" t="s">
        <v>88</v>
      </c>
      <c r="J46" s="14">
        <v>1</v>
      </c>
      <c r="K46" s="14">
        <v>4</v>
      </c>
      <c r="L46" s="14" t="s">
        <v>14327</v>
      </c>
      <c r="M46" s="19" t="s">
        <v>7834</v>
      </c>
      <c r="N46" s="14" t="s">
        <v>14328</v>
      </c>
      <c r="O46" s="14" t="s">
        <v>14329</v>
      </c>
      <c r="P46" s="14" t="str">
        <f>HYPERLINK("https://photon-sol.tinyastro.io/en/lp/3isMw7jdrBPqCXK2vypVLKPg2ZDxpRYHs4z4eqJqpump?handle=676050794bc1b1657a56b", "View")</f>
        <v>View</v>
      </c>
    </row>
    <row r="47" spans="1:16" x14ac:dyDescent="0.25">
      <c r="A47" s="16" t="s">
        <v>5131</v>
      </c>
      <c r="B47" s="17">
        <v>30075343</v>
      </c>
      <c r="C47" s="17">
        <v>30075343</v>
      </c>
      <c r="D47" s="17" t="s">
        <v>14330</v>
      </c>
      <c r="E47" s="17" t="s">
        <v>14331</v>
      </c>
      <c r="F47" s="17" t="s">
        <v>14332</v>
      </c>
      <c r="G47" s="21" t="s">
        <v>14333</v>
      </c>
      <c r="H47" s="21" t="s">
        <v>14334</v>
      </c>
      <c r="I47" s="17" t="s">
        <v>88</v>
      </c>
      <c r="J47" s="17">
        <v>1</v>
      </c>
      <c r="K47" s="17">
        <v>10</v>
      </c>
      <c r="L47" s="17" t="s">
        <v>14335</v>
      </c>
      <c r="M47" s="17" t="s">
        <v>3180</v>
      </c>
      <c r="N47" s="17" t="s">
        <v>14336</v>
      </c>
      <c r="O47" s="17" t="s">
        <v>5137</v>
      </c>
      <c r="P47" s="17" t="str">
        <f>HYPERLINK("https://photon-sol.tinyastro.io/en/lp/6ec1k1xF46XRdCupyc44MzcmL2Yi4WVP3F9NC4Snpump?handle=676050794bc1b1657a56b", "View")</f>
        <v>View</v>
      </c>
    </row>
    <row r="48" spans="1:16" x14ac:dyDescent="0.25">
      <c r="A48" s="13" t="s">
        <v>5131</v>
      </c>
      <c r="B48" s="14">
        <v>56643199</v>
      </c>
      <c r="C48" s="14">
        <v>56643199</v>
      </c>
      <c r="D48" s="14" t="s">
        <v>14315</v>
      </c>
      <c r="E48" s="14" t="s">
        <v>14331</v>
      </c>
      <c r="F48" s="14" t="s">
        <v>14337</v>
      </c>
      <c r="G48" s="20" t="s">
        <v>14338</v>
      </c>
      <c r="H48" s="20" t="s">
        <v>14270</v>
      </c>
      <c r="I48" s="14" t="s">
        <v>88</v>
      </c>
      <c r="J48" s="14">
        <v>1</v>
      </c>
      <c r="K48" s="14">
        <v>1</v>
      </c>
      <c r="L48" s="14" t="s">
        <v>14339</v>
      </c>
      <c r="M48" s="14" t="s">
        <v>1434</v>
      </c>
      <c r="N48" s="14" t="s">
        <v>14340</v>
      </c>
      <c r="O48" s="14" t="s">
        <v>14341</v>
      </c>
      <c r="P48" s="14" t="str">
        <f>HYPERLINK("https://photon-sol.tinyastro.io/en/lp/CCEVETwEMxeghyKw1Q2yvNrtpbSFy7G1HoxZoDXzpump?handle=676050794bc1b1657a56b", "View")</f>
        <v>View</v>
      </c>
    </row>
    <row r="49" spans="1:16" x14ac:dyDescent="0.25">
      <c r="A49" s="16" t="s">
        <v>4771</v>
      </c>
      <c r="B49" s="17">
        <v>46165851</v>
      </c>
      <c r="C49" s="17">
        <v>46165851</v>
      </c>
      <c r="D49" s="17" t="s">
        <v>14309</v>
      </c>
      <c r="E49" s="17" t="s">
        <v>14342</v>
      </c>
      <c r="F49" s="17" t="s">
        <v>14343</v>
      </c>
      <c r="G49" s="22" t="s">
        <v>14344</v>
      </c>
      <c r="H49" s="22" t="s">
        <v>14345</v>
      </c>
      <c r="I49" s="17" t="s">
        <v>88</v>
      </c>
      <c r="J49" s="17">
        <v>1</v>
      </c>
      <c r="K49" s="17">
        <v>2</v>
      </c>
      <c r="L49" s="17" t="s">
        <v>14346</v>
      </c>
      <c r="M49" s="17" t="s">
        <v>1434</v>
      </c>
      <c r="N49" s="17" t="s">
        <v>3768</v>
      </c>
      <c r="O49" s="17" t="s">
        <v>14347</v>
      </c>
      <c r="P49" s="17" t="str">
        <f>HYPERLINK("https://photon-sol.tinyastro.io/en/lp/2ZDxE5DtHE6SeutJipA2LUTMpjfyn6ZPofyk3n8Rpump?handle=676050794bc1b1657a56b", "View")</f>
        <v>View</v>
      </c>
    </row>
    <row r="50" spans="1:16" x14ac:dyDescent="0.25">
      <c r="A50" s="13" t="s">
        <v>491</v>
      </c>
      <c r="B50" s="14">
        <v>34947973</v>
      </c>
      <c r="C50" s="14">
        <v>34947973</v>
      </c>
      <c r="D50" s="14" t="s">
        <v>14348</v>
      </c>
      <c r="E50" s="14" t="s">
        <v>14349</v>
      </c>
      <c r="F50" s="14" t="s">
        <v>14350</v>
      </c>
      <c r="G50" s="21" t="s">
        <v>14351</v>
      </c>
      <c r="H50" s="21" t="s">
        <v>14352</v>
      </c>
      <c r="I50" s="14" t="s">
        <v>88</v>
      </c>
      <c r="J50" s="14">
        <v>3</v>
      </c>
      <c r="K50" s="14">
        <v>15</v>
      </c>
      <c r="L50" s="14" t="s">
        <v>14353</v>
      </c>
      <c r="M50" s="14" t="s">
        <v>788</v>
      </c>
      <c r="N50" s="14" t="s">
        <v>14354</v>
      </c>
      <c r="O50" s="14" t="s">
        <v>496</v>
      </c>
      <c r="P50" s="14" t="str">
        <f>HYPERLINK("https://photon-sol.tinyastro.io/en/lp/E9cw2Xx3j23JnnmBZNFinTkmnFC7ch1xB4zJ8QPapump?handle=676050794bc1b1657a56b", "View")</f>
        <v>View</v>
      </c>
    </row>
    <row r="51" spans="1:16" x14ac:dyDescent="0.25">
      <c r="A51" s="16" t="s">
        <v>280</v>
      </c>
      <c r="B51" s="17">
        <v>15093263</v>
      </c>
      <c r="C51" s="17">
        <v>15093263</v>
      </c>
      <c r="D51" s="17" t="s">
        <v>14355</v>
      </c>
      <c r="E51" s="17" t="s">
        <v>14356</v>
      </c>
      <c r="F51" s="17" t="s">
        <v>14357</v>
      </c>
      <c r="G51" s="21" t="s">
        <v>14358</v>
      </c>
      <c r="H51" s="21" t="s">
        <v>14359</v>
      </c>
      <c r="I51" s="17" t="s">
        <v>88</v>
      </c>
      <c r="J51" s="17">
        <v>1</v>
      </c>
      <c r="K51" s="17">
        <v>13</v>
      </c>
      <c r="L51" s="17" t="s">
        <v>14360</v>
      </c>
      <c r="M51" s="17" t="s">
        <v>1957</v>
      </c>
      <c r="N51" s="17" t="s">
        <v>14361</v>
      </c>
      <c r="O51" s="17" t="s">
        <v>289</v>
      </c>
      <c r="P51" s="17" t="str">
        <f>HYPERLINK("https://photon-sol.tinyastro.io/en/lp/7wUwkXo8Qjt3cYM8BaHHHeyfDY7ZSn7qvod92pNupump?handle=676050794bc1b1657a56b", "View")</f>
        <v>View</v>
      </c>
    </row>
    <row r="52" spans="1:16" x14ac:dyDescent="0.25">
      <c r="A52" s="13" t="s">
        <v>266</v>
      </c>
      <c r="B52" s="14">
        <v>8543753</v>
      </c>
      <c r="C52" s="14">
        <v>8543753</v>
      </c>
      <c r="D52" s="14" t="s">
        <v>4389</v>
      </c>
      <c r="E52" s="14" t="s">
        <v>1804</v>
      </c>
      <c r="F52" s="14" t="s">
        <v>14362</v>
      </c>
      <c r="G52" s="22" t="s">
        <v>14363</v>
      </c>
      <c r="H52" s="22" t="s">
        <v>14364</v>
      </c>
      <c r="I52" s="14" t="s">
        <v>88</v>
      </c>
      <c r="J52" s="14">
        <v>1</v>
      </c>
      <c r="K52" s="14">
        <v>1</v>
      </c>
      <c r="L52" s="14" t="s">
        <v>14365</v>
      </c>
      <c r="M52" s="19" t="s">
        <v>1760</v>
      </c>
      <c r="N52" s="14" t="s">
        <v>14366</v>
      </c>
      <c r="O52" s="14" t="s">
        <v>270</v>
      </c>
      <c r="P52" s="14" t="str">
        <f>HYPERLINK("https://dexscreener.com/solana/E1vpyG4Yy7FV4Y1aGvGkRV5PH38JrEZv2QUm8PEdpump", "View")</f>
        <v>View</v>
      </c>
    </row>
    <row r="53" spans="1:16" x14ac:dyDescent="0.25">
      <c r="A53" s="16" t="s">
        <v>8623</v>
      </c>
      <c r="B53" s="17">
        <v>42573653</v>
      </c>
      <c r="C53" s="17">
        <v>42573653</v>
      </c>
      <c r="D53" s="17" t="s">
        <v>14207</v>
      </c>
      <c r="E53" s="17" t="s">
        <v>1991</v>
      </c>
      <c r="F53" s="17" t="s">
        <v>13355</v>
      </c>
      <c r="G53" s="22" t="s">
        <v>9657</v>
      </c>
      <c r="H53" s="22" t="s">
        <v>14367</v>
      </c>
      <c r="I53" s="17" t="s">
        <v>88</v>
      </c>
      <c r="J53" s="17">
        <v>1</v>
      </c>
      <c r="K53" s="17">
        <v>2</v>
      </c>
      <c r="L53" s="17" t="s">
        <v>14368</v>
      </c>
      <c r="M53" s="17" t="s">
        <v>1434</v>
      </c>
      <c r="N53" s="17" t="s">
        <v>13037</v>
      </c>
      <c r="O53" s="17" t="s">
        <v>14369</v>
      </c>
      <c r="P53" s="17" t="str">
        <f>HYPERLINK("https://photon-sol.tinyastro.io/en/lp/G9TJe4nv3xggDUynxSWzDujnkz6QSE2XQgQbXvRppump?handle=676050794bc1b1657a56b", "View")</f>
        <v>View</v>
      </c>
    </row>
    <row r="54" spans="1:16" x14ac:dyDescent="0.25">
      <c r="A54" s="13" t="s">
        <v>4928</v>
      </c>
      <c r="B54" s="14">
        <v>61892593</v>
      </c>
      <c r="C54" s="14">
        <v>61892593</v>
      </c>
      <c r="D54" s="14" t="s">
        <v>14207</v>
      </c>
      <c r="E54" s="14" t="s">
        <v>1991</v>
      </c>
      <c r="F54" s="14" t="s">
        <v>14370</v>
      </c>
      <c r="G54" s="22" t="s">
        <v>14371</v>
      </c>
      <c r="H54" s="22" t="s">
        <v>14372</v>
      </c>
      <c r="I54" s="14" t="s">
        <v>88</v>
      </c>
      <c r="J54" s="14">
        <v>1</v>
      </c>
      <c r="K54" s="14">
        <v>2</v>
      </c>
      <c r="L54" s="14" t="s">
        <v>14373</v>
      </c>
      <c r="M54" s="19" t="s">
        <v>1940</v>
      </c>
      <c r="N54" s="14" t="s">
        <v>1980</v>
      </c>
      <c r="O54" s="14" t="s">
        <v>14374</v>
      </c>
      <c r="P54" s="14" t="str">
        <f>HYPERLINK("https://photon-sol.tinyastro.io/en/lp/7Bm1We9eZRAx7r8az3J7sCcMadK4mvNTp3hB7yDmpump?handle=676050794bc1b1657a56b", "View")</f>
        <v>View</v>
      </c>
    </row>
    <row r="55" spans="1:16" x14ac:dyDescent="0.25">
      <c r="A55" s="16" t="s">
        <v>14375</v>
      </c>
      <c r="B55" s="17">
        <v>20199500</v>
      </c>
      <c r="C55" s="17">
        <v>20199500</v>
      </c>
      <c r="D55" s="17" t="s">
        <v>4389</v>
      </c>
      <c r="E55" s="17" t="s">
        <v>14376</v>
      </c>
      <c r="F55" s="17" t="s">
        <v>14377</v>
      </c>
      <c r="G55" s="22" t="s">
        <v>12743</v>
      </c>
      <c r="H55" s="22" t="s">
        <v>14378</v>
      </c>
      <c r="I55" s="17" t="s">
        <v>88</v>
      </c>
      <c r="J55" s="17">
        <v>1</v>
      </c>
      <c r="K55" s="17">
        <v>1</v>
      </c>
      <c r="L55" s="17" t="s">
        <v>14379</v>
      </c>
      <c r="M55" s="17" t="s">
        <v>1434</v>
      </c>
      <c r="N55" s="17" t="s">
        <v>14380</v>
      </c>
      <c r="O55" s="17" t="s">
        <v>14381</v>
      </c>
      <c r="P55" s="17" t="str">
        <f>HYPERLINK("https://photon-sol.tinyastro.io/en/lp/4v3eK5KmrxQFttvuc7xgw6JuSw7cQ34if9M5LoELpump?handle=676050794bc1b1657a56b", "View")</f>
        <v>View</v>
      </c>
    </row>
    <row r="56" spans="1:16" x14ac:dyDescent="0.25">
      <c r="A56" s="13" t="s">
        <v>14382</v>
      </c>
      <c r="B56" s="14">
        <v>26141766</v>
      </c>
      <c r="C56" s="14">
        <v>26141766</v>
      </c>
      <c r="D56" s="14" t="s">
        <v>4389</v>
      </c>
      <c r="E56" s="14" t="s">
        <v>1991</v>
      </c>
      <c r="F56" s="14" t="s">
        <v>14383</v>
      </c>
      <c r="G56" s="22" t="s">
        <v>6991</v>
      </c>
      <c r="H56" s="22" t="s">
        <v>14384</v>
      </c>
      <c r="I56" s="14" t="s">
        <v>88</v>
      </c>
      <c r="J56" s="14">
        <v>1</v>
      </c>
      <c r="K56" s="14">
        <v>1</v>
      </c>
      <c r="L56" s="14" t="s">
        <v>14385</v>
      </c>
      <c r="M56" s="19" t="s">
        <v>2993</v>
      </c>
      <c r="N56" s="14" t="s">
        <v>14386</v>
      </c>
      <c r="O56" s="14" t="s">
        <v>14387</v>
      </c>
      <c r="P56" s="14" t="str">
        <f>HYPERLINK("https://photon-sol.tinyastro.io/en/lp/GF1mEjq8g5HWqCsUaW6WusXnPC95bRgPbJhGUqUtijKD?handle=676050794bc1b1657a56b", "View")</f>
        <v>View</v>
      </c>
    </row>
    <row r="57" spans="1:16" x14ac:dyDescent="0.25">
      <c r="A57" s="16" t="s">
        <v>14388</v>
      </c>
      <c r="B57" s="17">
        <v>48890256</v>
      </c>
      <c r="C57" s="17">
        <v>48890256</v>
      </c>
      <c r="D57" s="17" t="s">
        <v>14207</v>
      </c>
      <c r="E57" s="17" t="s">
        <v>1991</v>
      </c>
      <c r="F57" s="17" t="s">
        <v>14389</v>
      </c>
      <c r="G57" s="21" t="s">
        <v>2399</v>
      </c>
      <c r="H57" s="21" t="s">
        <v>14390</v>
      </c>
      <c r="I57" s="17" t="s">
        <v>88</v>
      </c>
      <c r="J57" s="17">
        <v>1</v>
      </c>
      <c r="K57" s="17">
        <v>2</v>
      </c>
      <c r="L57" s="17" t="s">
        <v>14391</v>
      </c>
      <c r="M57" s="17" t="s">
        <v>1434</v>
      </c>
      <c r="N57" s="17" t="s">
        <v>2459</v>
      </c>
      <c r="O57" s="17" t="s">
        <v>14392</v>
      </c>
      <c r="P57" s="17" t="str">
        <f>HYPERLINK("https://photon-sol.tinyastro.io/en/lp/AGYmDT4wZJJ1QdUUquo3vYkP8TuHi2KEhfw4Nhpkpump?handle=676050794bc1b1657a56b", "View")</f>
        <v>View</v>
      </c>
    </row>
    <row r="58" spans="1:16" x14ac:dyDescent="0.25">
      <c r="A58" s="13" t="s">
        <v>14393</v>
      </c>
      <c r="B58" s="14">
        <v>1281536</v>
      </c>
      <c r="C58" s="14">
        <v>1281536</v>
      </c>
      <c r="D58" s="14" t="s">
        <v>4389</v>
      </c>
      <c r="E58" s="14" t="s">
        <v>10388</v>
      </c>
      <c r="F58" s="14" t="s">
        <v>14394</v>
      </c>
      <c r="G58" s="22" t="s">
        <v>5498</v>
      </c>
      <c r="H58" s="22" t="s">
        <v>14395</v>
      </c>
      <c r="I58" s="14" t="s">
        <v>88</v>
      </c>
      <c r="J58" s="14">
        <v>1</v>
      </c>
      <c r="K58" s="14">
        <v>1</v>
      </c>
      <c r="L58" s="14" t="s">
        <v>14396</v>
      </c>
      <c r="M58" s="14" t="s">
        <v>602</v>
      </c>
      <c r="N58" s="14" t="s">
        <v>14397</v>
      </c>
      <c r="O58" s="14" t="s">
        <v>14398</v>
      </c>
      <c r="P58" s="14" t="str">
        <f>HYPERLINK("https://dexscreener.com/solana/9J7WDmBYY7ikgLi1mo6utpEPo5WEhkQsCxTvDPfnpump", "View")</f>
        <v>View</v>
      </c>
    </row>
    <row r="59" spans="1:16" x14ac:dyDescent="0.25">
      <c r="A59" s="16" t="s">
        <v>14399</v>
      </c>
      <c r="B59" s="17">
        <v>11065356</v>
      </c>
      <c r="C59" s="17">
        <v>11065356</v>
      </c>
      <c r="D59" s="17" t="s">
        <v>14315</v>
      </c>
      <c r="E59" s="17" t="s">
        <v>14400</v>
      </c>
      <c r="F59" s="17" t="s">
        <v>14401</v>
      </c>
      <c r="G59" s="22" t="s">
        <v>14402</v>
      </c>
      <c r="H59" s="22" t="s">
        <v>14403</v>
      </c>
      <c r="I59" s="17" t="s">
        <v>88</v>
      </c>
      <c r="J59" s="17">
        <v>1</v>
      </c>
      <c r="K59" s="17">
        <v>1</v>
      </c>
      <c r="L59" s="17" t="s">
        <v>14404</v>
      </c>
      <c r="M59" s="19" t="s">
        <v>2525</v>
      </c>
      <c r="N59" s="17" t="s">
        <v>14405</v>
      </c>
      <c r="O59" s="17" t="s">
        <v>14406</v>
      </c>
      <c r="P59" s="17" t="str">
        <f>HYPERLINK("https://photon-sol.tinyastro.io/en/lp/ATdeVBHRa3QEB3atbHkEmut93gv4J8Fo5SjooLRppump?handle=676050794bc1b1657a56b", "View")</f>
        <v>View</v>
      </c>
    </row>
    <row r="60" spans="1:16" x14ac:dyDescent="0.25">
      <c r="A60" s="13" t="s">
        <v>14407</v>
      </c>
      <c r="B60" s="14">
        <v>42539607</v>
      </c>
      <c r="C60" s="14">
        <v>42539607</v>
      </c>
      <c r="D60" s="14" t="s">
        <v>14315</v>
      </c>
      <c r="E60" s="14" t="s">
        <v>4425</v>
      </c>
      <c r="F60" s="14" t="s">
        <v>14408</v>
      </c>
      <c r="G60" s="20" t="s">
        <v>14409</v>
      </c>
      <c r="H60" s="20" t="s">
        <v>14410</v>
      </c>
      <c r="I60" s="14" t="s">
        <v>88</v>
      </c>
      <c r="J60" s="14">
        <v>1</v>
      </c>
      <c r="K60" s="14">
        <v>1</v>
      </c>
      <c r="L60" s="14" t="s">
        <v>14411</v>
      </c>
      <c r="M60" s="19" t="s">
        <v>2517</v>
      </c>
      <c r="N60" s="14" t="s">
        <v>14412</v>
      </c>
      <c r="O60" s="14" t="s">
        <v>14413</v>
      </c>
      <c r="P60" s="14" t="str">
        <f>HYPERLINK("https://photon-sol.tinyastro.io/en/lp/5QXTipHYd8LENqkGchnDh9v6SxcmeFbiKDorYYLrpump?handle=676050794bc1b1657a56b", "View")</f>
        <v>View</v>
      </c>
    </row>
    <row r="61" spans="1:16" x14ac:dyDescent="0.25">
      <c r="A61" s="16" t="s">
        <v>14414</v>
      </c>
      <c r="B61" s="17">
        <v>23854579</v>
      </c>
      <c r="C61" s="17">
        <v>23854579</v>
      </c>
      <c r="D61" s="17" t="s">
        <v>14415</v>
      </c>
      <c r="E61" s="17" t="s">
        <v>14416</v>
      </c>
      <c r="F61" s="17" t="s">
        <v>14417</v>
      </c>
      <c r="G61" s="20" t="s">
        <v>14418</v>
      </c>
      <c r="H61" s="20" t="s">
        <v>9632</v>
      </c>
      <c r="I61" s="17" t="s">
        <v>88</v>
      </c>
      <c r="J61" s="17">
        <v>3</v>
      </c>
      <c r="K61" s="17">
        <v>3</v>
      </c>
      <c r="L61" s="17" t="s">
        <v>14419</v>
      </c>
      <c r="M61" s="17" t="s">
        <v>1957</v>
      </c>
      <c r="N61" s="17" t="s">
        <v>14420</v>
      </c>
      <c r="O61" s="17" t="s">
        <v>14421</v>
      </c>
      <c r="P61" s="17" t="str">
        <f>HYPERLINK("https://photon-sol.tinyastro.io/en/lp/CXccAEuNEYpARMXia1Ge4JUv87fagwtfq6GuBeoipump?handle=676050794bc1b1657a56b", "View")</f>
        <v>View</v>
      </c>
    </row>
    <row r="62" spans="1:16" x14ac:dyDescent="0.25">
      <c r="A62" s="13" t="s">
        <v>14422</v>
      </c>
      <c r="B62" s="14">
        <v>14465187</v>
      </c>
      <c r="C62" s="14">
        <v>14465187</v>
      </c>
      <c r="D62" s="14" t="s">
        <v>4389</v>
      </c>
      <c r="E62" s="14" t="s">
        <v>1814</v>
      </c>
      <c r="F62" s="14" t="s">
        <v>14423</v>
      </c>
      <c r="G62" s="20" t="s">
        <v>14424</v>
      </c>
      <c r="H62" s="20" t="s">
        <v>14425</v>
      </c>
      <c r="I62" s="14" t="s">
        <v>88</v>
      </c>
      <c r="J62" s="14">
        <v>1</v>
      </c>
      <c r="K62" s="14">
        <v>1</v>
      </c>
      <c r="L62" s="14" t="s">
        <v>14426</v>
      </c>
      <c r="M62" s="19" t="s">
        <v>2853</v>
      </c>
      <c r="N62" s="14" t="s">
        <v>14427</v>
      </c>
      <c r="O62" s="14" t="s">
        <v>14428</v>
      </c>
      <c r="P62" s="14" t="str">
        <f>HYPERLINK("https://photon-sol.tinyastro.io/en/lp/3Q9UuydivgaVCfPKQpnxYvKdjCGPVz9meeXfS197pump?handle=676050794bc1b1657a56b", "View")</f>
        <v>View</v>
      </c>
    </row>
    <row r="63" spans="1:16" x14ac:dyDescent="0.25">
      <c r="A63" s="16" t="s">
        <v>14429</v>
      </c>
      <c r="B63" s="17">
        <v>5759494</v>
      </c>
      <c r="C63" s="17">
        <v>5759494</v>
      </c>
      <c r="D63" s="17" t="s">
        <v>4389</v>
      </c>
      <c r="E63" s="17" t="s">
        <v>6581</v>
      </c>
      <c r="F63" s="17" t="s">
        <v>9400</v>
      </c>
      <c r="G63" s="22" t="s">
        <v>11856</v>
      </c>
      <c r="H63" s="22" t="s">
        <v>14430</v>
      </c>
      <c r="I63" s="17" t="s">
        <v>88</v>
      </c>
      <c r="J63" s="17">
        <v>1</v>
      </c>
      <c r="K63" s="17">
        <v>1</v>
      </c>
      <c r="L63" s="17" t="s">
        <v>14431</v>
      </c>
      <c r="M63" s="19" t="s">
        <v>2292</v>
      </c>
      <c r="N63" s="17" t="s">
        <v>14432</v>
      </c>
      <c r="O63" s="17" t="s">
        <v>14433</v>
      </c>
      <c r="P63" s="17" t="str">
        <f>HYPERLINK("https://dexscreener.com/solana/6pQ5UgpPP5Ny1vfoxRRWVuFvkXAfNH5QgdWN975Sovc", "View")</f>
        <v>View</v>
      </c>
    </row>
    <row r="64" spans="1:16" x14ac:dyDescent="0.25">
      <c r="A64" s="13" t="s">
        <v>14434</v>
      </c>
      <c r="B64" s="14">
        <v>27568221</v>
      </c>
      <c r="C64" s="14">
        <v>27568221</v>
      </c>
      <c r="D64" s="14" t="s">
        <v>14435</v>
      </c>
      <c r="E64" s="14" t="s">
        <v>14436</v>
      </c>
      <c r="F64" s="14" t="s">
        <v>14437</v>
      </c>
      <c r="G64" s="20" t="s">
        <v>14438</v>
      </c>
      <c r="H64" s="20" t="s">
        <v>14439</v>
      </c>
      <c r="I64" s="14" t="s">
        <v>88</v>
      </c>
      <c r="J64" s="14">
        <v>3</v>
      </c>
      <c r="K64" s="14">
        <v>4</v>
      </c>
      <c r="L64" s="14" t="s">
        <v>14440</v>
      </c>
      <c r="M64" s="14" t="s">
        <v>1705</v>
      </c>
      <c r="N64" s="14" t="s">
        <v>5392</v>
      </c>
      <c r="O64" s="14" t="s">
        <v>14441</v>
      </c>
      <c r="P64" s="14" t="str">
        <f>HYPERLINK("https://photon-sol.tinyastro.io/en/lp/5g9FpYP37b1fLhvtkLVakXwzbKh4WScfTaSYT9Lg7z6v?handle=676050794bc1b1657a56b", "View")</f>
        <v>View</v>
      </c>
    </row>
    <row r="65" spans="1:16" x14ac:dyDescent="0.25">
      <c r="A65" s="16" t="s">
        <v>14442</v>
      </c>
      <c r="B65" s="17">
        <v>16086658</v>
      </c>
      <c r="C65" s="17">
        <v>16086658</v>
      </c>
      <c r="D65" s="17" t="s">
        <v>4389</v>
      </c>
      <c r="E65" s="17" t="s">
        <v>1814</v>
      </c>
      <c r="F65" s="17" t="s">
        <v>14443</v>
      </c>
      <c r="G65" s="20" t="s">
        <v>14444</v>
      </c>
      <c r="H65" s="20" t="s">
        <v>13168</v>
      </c>
      <c r="I65" s="17" t="s">
        <v>88</v>
      </c>
      <c r="J65" s="17">
        <v>1</v>
      </c>
      <c r="K65" s="17">
        <v>1</v>
      </c>
      <c r="L65" s="17" t="s">
        <v>14445</v>
      </c>
      <c r="M65" s="19" t="s">
        <v>2189</v>
      </c>
      <c r="N65" s="17" t="s">
        <v>1240</v>
      </c>
      <c r="O65" s="17" t="s">
        <v>14446</v>
      </c>
      <c r="P65" s="17" t="str">
        <f>HYPERLINK("https://photon-sol.tinyastro.io/en/lp/67vEg6miP4Z5Atj1uznfzy3Sw3sStvDt8PKuAYyFpump?handle=676050794bc1b1657a56b", "View")</f>
        <v>View</v>
      </c>
    </row>
    <row r="66" spans="1:16" x14ac:dyDescent="0.25">
      <c r="A66" s="13" t="s">
        <v>6758</v>
      </c>
      <c r="B66" s="14">
        <v>17642039</v>
      </c>
      <c r="C66" s="14">
        <v>17642039</v>
      </c>
      <c r="D66" s="14" t="s">
        <v>4389</v>
      </c>
      <c r="E66" s="14" t="s">
        <v>14228</v>
      </c>
      <c r="F66" s="14" t="s">
        <v>6125</v>
      </c>
      <c r="G66" s="15" t="s">
        <v>14447</v>
      </c>
      <c r="H66" s="15" t="s">
        <v>14448</v>
      </c>
      <c r="I66" s="14" t="s">
        <v>88</v>
      </c>
      <c r="J66" s="14">
        <v>1</v>
      </c>
      <c r="K66" s="14">
        <v>1</v>
      </c>
      <c r="L66" s="14" t="s">
        <v>14449</v>
      </c>
      <c r="M66" s="14" t="s">
        <v>1448</v>
      </c>
      <c r="N66" s="14" t="s">
        <v>14450</v>
      </c>
      <c r="O66" s="14" t="s">
        <v>12655</v>
      </c>
      <c r="P66" s="14" t="str">
        <f>HYPERLINK("https://photon-sol.tinyastro.io/en/lp/2ZzZkcZzLhhQFJ8dZNQS9kDYhSUGUZU6dF1ZYbN3pump?handle=676050794bc1b1657a56b", "View")</f>
        <v>View</v>
      </c>
    </row>
    <row r="67" spans="1:16" x14ac:dyDescent="0.25">
      <c r="A67" s="16" t="s">
        <v>14451</v>
      </c>
      <c r="B67" s="17">
        <v>83906489</v>
      </c>
      <c r="C67" s="17">
        <v>83906489</v>
      </c>
      <c r="D67" s="17" t="s">
        <v>14207</v>
      </c>
      <c r="E67" s="17" t="s">
        <v>14228</v>
      </c>
      <c r="F67" s="17" t="s">
        <v>14452</v>
      </c>
      <c r="G67" s="22" t="s">
        <v>14453</v>
      </c>
      <c r="H67" s="22" t="s">
        <v>14454</v>
      </c>
      <c r="I67" s="17" t="s">
        <v>88</v>
      </c>
      <c r="J67" s="17">
        <v>1</v>
      </c>
      <c r="K67" s="17">
        <v>2</v>
      </c>
      <c r="L67" s="17" t="s">
        <v>14455</v>
      </c>
      <c r="M67" s="19" t="s">
        <v>9152</v>
      </c>
      <c r="N67" s="17" t="s">
        <v>3188</v>
      </c>
      <c r="O67" s="17" t="s">
        <v>14456</v>
      </c>
      <c r="P67" s="17" t="str">
        <f>HYPERLINK("https://photon-sol.tinyastro.io/en/lp/E6RpjEKeq7QsVMdYE6eWxmNmRWSsLLimLDfM75PJpump?handle=676050794bc1b1657a56b", "View")</f>
        <v>View</v>
      </c>
    </row>
    <row r="68" spans="1:16" x14ac:dyDescent="0.25">
      <c r="A68" s="13" t="s">
        <v>14451</v>
      </c>
      <c r="B68" s="14">
        <v>51717434</v>
      </c>
      <c r="C68" s="14">
        <v>51717434</v>
      </c>
      <c r="D68" s="14" t="s">
        <v>4389</v>
      </c>
      <c r="E68" s="14" t="s">
        <v>14262</v>
      </c>
      <c r="F68" s="14" t="s">
        <v>14457</v>
      </c>
      <c r="G68" s="22" t="s">
        <v>14458</v>
      </c>
      <c r="H68" s="22" t="s">
        <v>14459</v>
      </c>
      <c r="I68" s="14" t="s">
        <v>88</v>
      </c>
      <c r="J68" s="14">
        <v>1</v>
      </c>
      <c r="K68" s="14">
        <v>1</v>
      </c>
      <c r="L68" s="14" t="s">
        <v>14460</v>
      </c>
      <c r="M68" s="19" t="s">
        <v>2323</v>
      </c>
      <c r="N68" s="14" t="s">
        <v>2459</v>
      </c>
      <c r="O68" s="14" t="s">
        <v>14461</v>
      </c>
      <c r="P68" s="14" t="str">
        <f>HYPERLINK("https://photon-sol.tinyastro.io/en/lp/3rkatKjUjgDrpSBCVvJRBt6Guhp21MRhMTPiadYepump?handle=676050794bc1b1657a56b", "View")</f>
        <v>View</v>
      </c>
    </row>
    <row r="69" spans="1:16" x14ac:dyDescent="0.25">
      <c r="A69" s="16" t="s">
        <v>14462</v>
      </c>
      <c r="B69" s="17">
        <v>81410913</v>
      </c>
      <c r="C69" s="17">
        <v>81410913</v>
      </c>
      <c r="D69" s="17" t="s">
        <v>4389</v>
      </c>
      <c r="E69" s="17" t="s">
        <v>14262</v>
      </c>
      <c r="F69" s="17" t="s">
        <v>14463</v>
      </c>
      <c r="G69" s="20" t="s">
        <v>14464</v>
      </c>
      <c r="H69" s="20" t="s">
        <v>14465</v>
      </c>
      <c r="I69" s="17" t="s">
        <v>88</v>
      </c>
      <c r="J69" s="17">
        <v>1</v>
      </c>
      <c r="K69" s="17">
        <v>1</v>
      </c>
      <c r="L69" s="17" t="s">
        <v>14466</v>
      </c>
      <c r="M69" s="19" t="s">
        <v>2509</v>
      </c>
      <c r="N69" s="17" t="s">
        <v>2585</v>
      </c>
      <c r="O69" s="17" t="s">
        <v>14467</v>
      </c>
      <c r="P69" s="17" t="str">
        <f>HYPERLINK("https://photon-sol.tinyastro.io/en/lp/6x5GAq4oFPQcavf512kotqHA29Qy6BR886PYm5gPpump?handle=676050794bc1b1657a56b", "View")</f>
        <v>View</v>
      </c>
    </row>
    <row r="70" spans="1:16" x14ac:dyDescent="0.25">
      <c r="A70" s="13" t="s">
        <v>14468</v>
      </c>
      <c r="B70" s="14">
        <v>47970716</v>
      </c>
      <c r="C70" s="14">
        <v>47970716</v>
      </c>
      <c r="D70" s="14" t="s">
        <v>4389</v>
      </c>
      <c r="E70" s="14" t="s">
        <v>1814</v>
      </c>
      <c r="F70" s="14" t="s">
        <v>2614</v>
      </c>
      <c r="G70" s="22" t="s">
        <v>4217</v>
      </c>
      <c r="H70" s="22" t="s">
        <v>14469</v>
      </c>
      <c r="I70" s="14" t="s">
        <v>88</v>
      </c>
      <c r="J70" s="14">
        <v>1</v>
      </c>
      <c r="K70" s="14">
        <v>1</v>
      </c>
      <c r="L70" s="14" t="s">
        <v>14470</v>
      </c>
      <c r="M70" s="19" t="s">
        <v>2937</v>
      </c>
      <c r="N70" s="14" t="s">
        <v>2316</v>
      </c>
      <c r="O70" s="14" t="s">
        <v>14471</v>
      </c>
      <c r="P70" s="14" t="str">
        <f>HYPERLINK("https://photon-sol.tinyastro.io/en/lp/GHnsXd3kZKCceb46ps1MEu8qTKajYRBPDa6cwriupump?handle=676050794bc1b1657a56b", "View")</f>
        <v>View</v>
      </c>
    </row>
    <row r="71" spans="1:16" x14ac:dyDescent="0.25">
      <c r="A71" s="16" t="s">
        <v>14472</v>
      </c>
      <c r="B71" s="17">
        <v>30457262</v>
      </c>
      <c r="C71" s="17">
        <v>30457262</v>
      </c>
      <c r="D71" s="17" t="s">
        <v>4389</v>
      </c>
      <c r="E71" s="17" t="s">
        <v>14223</v>
      </c>
      <c r="F71" s="17" t="s">
        <v>14473</v>
      </c>
      <c r="G71" s="20" t="s">
        <v>14474</v>
      </c>
      <c r="H71" s="20" t="s">
        <v>14475</v>
      </c>
      <c r="I71" s="17" t="s">
        <v>88</v>
      </c>
      <c r="J71" s="17">
        <v>1</v>
      </c>
      <c r="K71" s="17">
        <v>1</v>
      </c>
      <c r="L71" s="17" t="s">
        <v>14476</v>
      </c>
      <c r="M71" s="19" t="s">
        <v>3076</v>
      </c>
      <c r="N71" s="17" t="s">
        <v>2585</v>
      </c>
      <c r="O71" s="17" t="s">
        <v>14477</v>
      </c>
      <c r="P71" s="17" t="str">
        <f>HYPERLINK("https://photon-sol.tinyastro.io/en/lp/BuvFzzFzw3AKVZoag4EK7A95Kamd5AEJt7g4J5eVpump?handle=676050794bc1b1657a56b", "View")</f>
        <v>View</v>
      </c>
    </row>
    <row r="72" spans="1:16" x14ac:dyDescent="0.25">
      <c r="A72" s="13" t="s">
        <v>14314</v>
      </c>
      <c r="B72" s="14">
        <v>68900582</v>
      </c>
      <c r="C72" s="14">
        <v>68900582</v>
      </c>
      <c r="D72" s="14" t="s">
        <v>14207</v>
      </c>
      <c r="E72" s="14" t="s">
        <v>14262</v>
      </c>
      <c r="F72" s="14" t="s">
        <v>14478</v>
      </c>
      <c r="G72" s="22" t="s">
        <v>11127</v>
      </c>
      <c r="H72" s="22" t="s">
        <v>14479</v>
      </c>
      <c r="I72" s="14" t="s">
        <v>88</v>
      </c>
      <c r="J72" s="14">
        <v>1</v>
      </c>
      <c r="K72" s="14">
        <v>2</v>
      </c>
      <c r="L72" s="14" t="s">
        <v>14480</v>
      </c>
      <c r="M72" s="19" t="s">
        <v>3000</v>
      </c>
      <c r="N72" s="14" t="s">
        <v>1980</v>
      </c>
      <c r="O72" s="14" t="s">
        <v>14481</v>
      </c>
      <c r="P72" s="14" t="str">
        <f>HYPERLINK("https://photon-sol.tinyastro.io/en/lp/64vqwFk25n6tvWCYYbJHfMHBhwKYEX7Bjjut7Q9dpump?handle=676050794bc1b1657a56b", "View")</f>
        <v>View</v>
      </c>
    </row>
    <row r="73" spans="1:16" x14ac:dyDescent="0.25">
      <c r="A73" s="16" t="s">
        <v>14482</v>
      </c>
      <c r="B73" s="17">
        <v>75528024</v>
      </c>
      <c r="C73" s="17">
        <v>75528024</v>
      </c>
      <c r="D73" s="17" t="s">
        <v>4389</v>
      </c>
      <c r="E73" s="17" t="s">
        <v>14262</v>
      </c>
      <c r="F73" s="17" t="s">
        <v>14483</v>
      </c>
      <c r="G73" s="21" t="s">
        <v>14484</v>
      </c>
      <c r="H73" s="21" t="s">
        <v>14485</v>
      </c>
      <c r="I73" s="17" t="s">
        <v>88</v>
      </c>
      <c r="J73" s="17">
        <v>1</v>
      </c>
      <c r="K73" s="17">
        <v>1</v>
      </c>
      <c r="L73" s="17" t="s">
        <v>14486</v>
      </c>
      <c r="M73" s="19" t="s">
        <v>2993</v>
      </c>
      <c r="N73" s="17" t="s">
        <v>12662</v>
      </c>
      <c r="O73" s="17" t="s">
        <v>14487</v>
      </c>
      <c r="P73" s="17" t="str">
        <f>HYPERLINK("https://photon-sol.tinyastro.io/en/lp/G3yhv4JZ6rWetvoo1boZghQo17iCrLb58PfVExPSpump?handle=676050794bc1b1657a56b", "View")</f>
        <v>View</v>
      </c>
    </row>
    <row r="74" spans="1:16" x14ac:dyDescent="0.25">
      <c r="A74" s="13" t="s">
        <v>3444</v>
      </c>
      <c r="B74" s="14">
        <v>8185289</v>
      </c>
      <c r="C74" s="14">
        <v>8185289</v>
      </c>
      <c r="D74" s="14" t="s">
        <v>4389</v>
      </c>
      <c r="E74" s="14" t="s">
        <v>1814</v>
      </c>
      <c r="F74" s="14" t="s">
        <v>14488</v>
      </c>
      <c r="G74" s="20" t="s">
        <v>14489</v>
      </c>
      <c r="H74" s="20" t="s">
        <v>14490</v>
      </c>
      <c r="I74" s="14" t="s">
        <v>88</v>
      </c>
      <c r="J74" s="14">
        <v>1</v>
      </c>
      <c r="K74" s="14">
        <v>1</v>
      </c>
      <c r="L74" s="14" t="s">
        <v>14491</v>
      </c>
      <c r="M74" s="19" t="s">
        <v>2937</v>
      </c>
      <c r="N74" s="14" t="s">
        <v>14492</v>
      </c>
      <c r="O74" s="14" t="s">
        <v>14493</v>
      </c>
      <c r="P74" s="14" t="str">
        <f>HYPERLINK("https://photon-sol.tinyastro.io/en/lp/FTqDToHq2WhJtRovZuCyXHPS3xgXF3APpzytpEMVpump?handle=676050794bc1b1657a56b", "View")</f>
        <v>View</v>
      </c>
    </row>
    <row r="75" spans="1:16" x14ac:dyDescent="0.25">
      <c r="A75" s="16" t="s">
        <v>14494</v>
      </c>
      <c r="B75" s="17">
        <v>13094634</v>
      </c>
      <c r="C75" s="17">
        <v>13094634</v>
      </c>
      <c r="D75" s="17" t="s">
        <v>4389</v>
      </c>
      <c r="E75" s="17" t="s">
        <v>1814</v>
      </c>
      <c r="F75" s="17" t="s">
        <v>14495</v>
      </c>
      <c r="G75" s="22" t="s">
        <v>14496</v>
      </c>
      <c r="H75" s="22" t="s">
        <v>14497</v>
      </c>
      <c r="I75" s="17" t="s">
        <v>88</v>
      </c>
      <c r="J75" s="17">
        <v>1</v>
      </c>
      <c r="K75" s="17">
        <v>1</v>
      </c>
      <c r="L75" s="17" t="s">
        <v>14498</v>
      </c>
      <c r="M75" s="19" t="s">
        <v>3000</v>
      </c>
      <c r="N75" s="17" t="s">
        <v>14499</v>
      </c>
      <c r="O75" s="17" t="s">
        <v>14500</v>
      </c>
      <c r="P75" s="17" t="str">
        <f>HYPERLINK("https://photon-sol.tinyastro.io/en/lp/5PbVDCUF4apH9jwi1qx53dm3z4FncTKBGeAzcBxxpump?handle=676050794bc1b1657a56b", "View")</f>
        <v>View</v>
      </c>
    </row>
    <row r="76" spans="1:16" x14ac:dyDescent="0.25">
      <c r="A76" s="13" t="s">
        <v>14501</v>
      </c>
      <c r="B76" s="14">
        <v>79273228</v>
      </c>
      <c r="C76" s="14">
        <v>79273228</v>
      </c>
      <c r="D76" s="14" t="s">
        <v>4389</v>
      </c>
      <c r="E76" s="14" t="s">
        <v>14262</v>
      </c>
      <c r="F76" s="14" t="s">
        <v>14502</v>
      </c>
      <c r="G76" s="22" t="s">
        <v>9055</v>
      </c>
      <c r="H76" s="22" t="s">
        <v>14503</v>
      </c>
      <c r="I76" s="14" t="s">
        <v>88</v>
      </c>
      <c r="J76" s="14">
        <v>1</v>
      </c>
      <c r="K76" s="14">
        <v>1</v>
      </c>
      <c r="L76" s="14" t="s">
        <v>14504</v>
      </c>
      <c r="M76" s="19" t="s">
        <v>2937</v>
      </c>
      <c r="N76" s="14" t="s">
        <v>8752</v>
      </c>
      <c r="O76" s="14" t="s">
        <v>14505</v>
      </c>
      <c r="P76" s="14" t="str">
        <f>HYPERLINK("https://photon-sol.tinyastro.io/en/lp/DszuSKqfM3J4YuhHE78A7tK8gY8Rfs2TKZaim81Apump?handle=676050794bc1b1657a56b", "View")</f>
        <v>View</v>
      </c>
    </row>
    <row r="77" spans="1:16" x14ac:dyDescent="0.25">
      <c r="A77" s="16" t="s">
        <v>14506</v>
      </c>
      <c r="B77" s="17">
        <v>47496338</v>
      </c>
      <c r="C77" s="17">
        <v>47496338</v>
      </c>
      <c r="D77" s="17" t="s">
        <v>14309</v>
      </c>
      <c r="E77" s="17" t="s">
        <v>14316</v>
      </c>
      <c r="F77" s="17" t="s">
        <v>14507</v>
      </c>
      <c r="G77" s="20" t="s">
        <v>14508</v>
      </c>
      <c r="H77" s="20" t="s">
        <v>14509</v>
      </c>
      <c r="I77" s="17" t="s">
        <v>88</v>
      </c>
      <c r="J77" s="17">
        <v>1</v>
      </c>
      <c r="K77" s="17">
        <v>2</v>
      </c>
      <c r="L77" s="17" t="s">
        <v>14510</v>
      </c>
      <c r="M77" s="19" t="s">
        <v>2189</v>
      </c>
      <c r="N77" s="17" t="s">
        <v>14511</v>
      </c>
      <c r="O77" s="17" t="s">
        <v>14512</v>
      </c>
      <c r="P77" s="17" t="str">
        <f>HYPERLINK("https://photon-sol.tinyastro.io/en/lp/9c76SMVSpJeM8sC9KMwVmVpQXFe8AmSg5kiW6woApump?handle=676050794bc1b1657a56b", "View")</f>
        <v>View</v>
      </c>
    </row>
    <row r="78" spans="1:16" x14ac:dyDescent="0.25">
      <c r="A78" s="13" t="s">
        <v>5310</v>
      </c>
      <c r="B78" s="14">
        <v>16473053</v>
      </c>
      <c r="C78" s="14">
        <v>16473053</v>
      </c>
      <c r="D78" s="14" t="s">
        <v>14309</v>
      </c>
      <c r="E78" s="14" t="s">
        <v>14400</v>
      </c>
      <c r="F78" s="14" t="s">
        <v>14513</v>
      </c>
      <c r="G78" s="22" t="s">
        <v>6226</v>
      </c>
      <c r="H78" s="22" t="s">
        <v>14514</v>
      </c>
      <c r="I78" s="14" t="s">
        <v>88</v>
      </c>
      <c r="J78" s="14">
        <v>1</v>
      </c>
      <c r="K78" s="14">
        <v>2</v>
      </c>
      <c r="L78" s="14" t="s">
        <v>14515</v>
      </c>
      <c r="M78" s="19" t="s">
        <v>1760</v>
      </c>
      <c r="N78" s="14" t="s">
        <v>12797</v>
      </c>
      <c r="O78" s="14" t="s">
        <v>14516</v>
      </c>
      <c r="P78" s="14" t="str">
        <f>HYPERLINK("https://photon-sol.tinyastro.io/en/lp/Fijfwd9bpaWtfQv6P8MnVgMNWzC7FspXyURdBosipump?handle=676050794bc1b1657a56b", "View")</f>
        <v>View</v>
      </c>
    </row>
    <row r="79" spans="1:16" x14ac:dyDescent="0.25">
      <c r="A79" s="16" t="s">
        <v>10039</v>
      </c>
      <c r="B79" s="17">
        <v>9737553</v>
      </c>
      <c r="C79" s="17">
        <v>9737553</v>
      </c>
      <c r="D79" s="17" t="s">
        <v>14315</v>
      </c>
      <c r="E79" s="17" t="s">
        <v>12930</v>
      </c>
      <c r="F79" s="17" t="s">
        <v>14517</v>
      </c>
      <c r="G79" s="20" t="s">
        <v>14518</v>
      </c>
      <c r="H79" s="20" t="s">
        <v>2740</v>
      </c>
      <c r="I79" s="17" t="s">
        <v>88</v>
      </c>
      <c r="J79" s="17">
        <v>1</v>
      </c>
      <c r="K79" s="17">
        <v>1</v>
      </c>
      <c r="L79" s="17" t="s">
        <v>14519</v>
      </c>
      <c r="M79" s="17" t="s">
        <v>1957</v>
      </c>
      <c r="N79" s="17" t="s">
        <v>14520</v>
      </c>
      <c r="O79" s="17" t="s">
        <v>10043</v>
      </c>
      <c r="P79" s="17" t="str">
        <f>HYPERLINK("https://photon-sol.tinyastro.io/en/lp/GmP1TruYcMAE4Yh6m3KQpNvxdDUwUtKzj5CqFQbopump?handle=676050794bc1b1657a56b", "View")</f>
        <v>View</v>
      </c>
    </row>
    <row r="80" spans="1:16" x14ac:dyDescent="0.25">
      <c r="A80" s="13" t="s">
        <v>10081</v>
      </c>
      <c r="B80" s="14">
        <v>14734295</v>
      </c>
      <c r="C80" s="14">
        <v>14734295</v>
      </c>
      <c r="D80" s="14" t="s">
        <v>14309</v>
      </c>
      <c r="E80" s="14" t="s">
        <v>12930</v>
      </c>
      <c r="F80" s="14" t="s">
        <v>14521</v>
      </c>
      <c r="G80" s="22" t="s">
        <v>14522</v>
      </c>
      <c r="H80" s="22" t="s">
        <v>2998</v>
      </c>
      <c r="I80" s="14" t="s">
        <v>88</v>
      </c>
      <c r="J80" s="14">
        <v>1</v>
      </c>
      <c r="K80" s="14">
        <v>2</v>
      </c>
      <c r="L80" s="14" t="s">
        <v>14523</v>
      </c>
      <c r="M80" s="14" t="s">
        <v>1448</v>
      </c>
      <c r="N80" s="14" t="s">
        <v>14524</v>
      </c>
      <c r="O80" s="14" t="s">
        <v>10086</v>
      </c>
      <c r="P80" s="14" t="str">
        <f>HYPERLINK("https://photon-sol.tinyastro.io/en/lp/FSqwGmzdf1V3RFfmdgd7XZZtMoeVmoFggveNK48epump?handle=676050794bc1b1657a56b", "View")</f>
        <v>View</v>
      </c>
    </row>
    <row r="81" spans="1:16" x14ac:dyDescent="0.25">
      <c r="A81" s="16" t="s">
        <v>14525</v>
      </c>
      <c r="B81" s="17">
        <v>4503103</v>
      </c>
      <c r="C81" s="17">
        <v>4503103</v>
      </c>
      <c r="D81" s="17" t="s">
        <v>14315</v>
      </c>
      <c r="E81" s="17" t="s">
        <v>6467</v>
      </c>
      <c r="F81" s="17" t="s">
        <v>14526</v>
      </c>
      <c r="G81" s="20" t="s">
        <v>14527</v>
      </c>
      <c r="H81" s="20" t="s">
        <v>2796</v>
      </c>
      <c r="I81" s="17" t="s">
        <v>88</v>
      </c>
      <c r="J81" s="17">
        <v>1</v>
      </c>
      <c r="K81" s="17">
        <v>1</v>
      </c>
      <c r="L81" s="17" t="s">
        <v>14528</v>
      </c>
      <c r="M81" s="19" t="s">
        <v>370</v>
      </c>
      <c r="N81" s="17" t="s">
        <v>14529</v>
      </c>
      <c r="O81" s="17" t="s">
        <v>14530</v>
      </c>
      <c r="P81" s="17" t="str">
        <f>HYPERLINK("https://dexscreener.com/solana/7rXjV8SGQq3v8XngTitxxmqcQQzfvwyHateGRafSpump", "View")</f>
        <v>View</v>
      </c>
    </row>
    <row r="82" spans="1:16" x14ac:dyDescent="0.25">
      <c r="A82" s="13" t="s">
        <v>14531</v>
      </c>
      <c r="B82" s="14">
        <v>8559618</v>
      </c>
      <c r="C82" s="14">
        <v>8559618</v>
      </c>
      <c r="D82" s="14" t="s">
        <v>14532</v>
      </c>
      <c r="E82" s="14" t="s">
        <v>14533</v>
      </c>
      <c r="F82" s="14" t="s">
        <v>14534</v>
      </c>
      <c r="G82" s="22" t="s">
        <v>8771</v>
      </c>
      <c r="H82" s="22" t="s">
        <v>11384</v>
      </c>
      <c r="I82" s="14" t="s">
        <v>88</v>
      </c>
      <c r="J82" s="14">
        <v>5</v>
      </c>
      <c r="K82" s="14">
        <v>3</v>
      </c>
      <c r="L82" s="14" t="s">
        <v>14535</v>
      </c>
      <c r="M82" s="14" t="s">
        <v>788</v>
      </c>
      <c r="N82" s="14" t="s">
        <v>14536</v>
      </c>
      <c r="O82" s="14" t="s">
        <v>14537</v>
      </c>
      <c r="P82" s="14" t="str">
        <f>HYPERLINK("https://photon-sol.tinyastro.io/en/lp/HR8mf9eCB31bQMNAaysPuwiqS1K5b1SqvPWdkGMCpump?handle=676050794bc1b1657a56b", "View")</f>
        <v>View</v>
      </c>
    </row>
    <row r="83" spans="1:16" x14ac:dyDescent="0.25">
      <c r="A83" s="16" t="s">
        <v>14538</v>
      </c>
      <c r="B83" s="17">
        <v>30499469</v>
      </c>
      <c r="C83" s="17">
        <v>30499469</v>
      </c>
      <c r="D83" s="17" t="s">
        <v>14207</v>
      </c>
      <c r="E83" s="17" t="s">
        <v>14539</v>
      </c>
      <c r="F83" s="17" t="s">
        <v>14540</v>
      </c>
      <c r="G83" s="21" t="s">
        <v>14541</v>
      </c>
      <c r="H83" s="21" t="s">
        <v>14542</v>
      </c>
      <c r="I83" s="17" t="s">
        <v>88</v>
      </c>
      <c r="J83" s="17">
        <v>1</v>
      </c>
      <c r="K83" s="17">
        <v>2</v>
      </c>
      <c r="L83" s="17" t="s">
        <v>14543</v>
      </c>
      <c r="M83" s="17" t="s">
        <v>1448</v>
      </c>
      <c r="N83" s="17" t="s">
        <v>14544</v>
      </c>
      <c r="O83" s="17" t="s">
        <v>14545</v>
      </c>
      <c r="P83" s="17" t="str">
        <f>HYPERLINK("https://photon-sol.tinyastro.io/en/lp/HLaF4RvNxi5ugLwA8LtYh9nmnLDQ65UWcoRxi77Epump?handle=676050794bc1b1657a56b", "View")</f>
        <v>View</v>
      </c>
    </row>
    <row r="84" spans="1:16" x14ac:dyDescent="0.25">
      <c r="A84" s="13" t="s">
        <v>14546</v>
      </c>
      <c r="B84" s="14">
        <v>26633533</v>
      </c>
      <c r="C84" s="14">
        <v>26633533</v>
      </c>
      <c r="D84" s="14" t="s">
        <v>14207</v>
      </c>
      <c r="E84" s="14" t="s">
        <v>14539</v>
      </c>
      <c r="F84" s="14" t="s">
        <v>14547</v>
      </c>
      <c r="G84" s="20" t="s">
        <v>14548</v>
      </c>
      <c r="H84" s="20" t="s">
        <v>4957</v>
      </c>
      <c r="I84" s="14" t="s">
        <v>88</v>
      </c>
      <c r="J84" s="14">
        <v>1</v>
      </c>
      <c r="K84" s="14">
        <v>2</v>
      </c>
      <c r="L84" s="14" t="s">
        <v>14549</v>
      </c>
      <c r="M84" s="19" t="s">
        <v>2509</v>
      </c>
      <c r="N84" s="14" t="s">
        <v>7699</v>
      </c>
      <c r="O84" s="14" t="s">
        <v>14550</v>
      </c>
      <c r="P84" s="14" t="str">
        <f>HYPERLINK("https://photon-sol.tinyastro.io/en/lp/4rqa73Z796WNM4hCALPebrdBmD2uy85UJiGQk4TZpump?handle=676050794bc1b1657a56b", "View")</f>
        <v>View</v>
      </c>
    </row>
    <row r="85" spans="1:16" x14ac:dyDescent="0.25">
      <c r="A85" s="16" t="s">
        <v>14551</v>
      </c>
      <c r="B85" s="17">
        <v>304782</v>
      </c>
      <c r="C85" s="17">
        <v>304782</v>
      </c>
      <c r="D85" s="17" t="s">
        <v>4389</v>
      </c>
      <c r="E85" s="17" t="s">
        <v>6467</v>
      </c>
      <c r="F85" s="17" t="s">
        <v>14552</v>
      </c>
      <c r="G85" s="20" t="s">
        <v>14553</v>
      </c>
      <c r="H85" s="20" t="s">
        <v>14554</v>
      </c>
      <c r="I85" s="17" t="s">
        <v>88</v>
      </c>
      <c r="J85" s="17">
        <v>1</v>
      </c>
      <c r="K85" s="17">
        <v>1</v>
      </c>
      <c r="L85" s="17" t="s">
        <v>14555</v>
      </c>
      <c r="M85" s="17" t="s">
        <v>1448</v>
      </c>
      <c r="N85" s="17" t="s">
        <v>14556</v>
      </c>
      <c r="O85" s="17" t="s">
        <v>14557</v>
      </c>
      <c r="P85" s="17" t="str">
        <f>HYPERLINK("https://dexscreener.com/solana/mmfkyTYJS9fPnWBDfbayi5zKYtioYM7mbGUSLPQk94U", "View")</f>
        <v>View</v>
      </c>
    </row>
    <row r="86" spans="1:16" x14ac:dyDescent="0.25">
      <c r="A86" s="13" t="s">
        <v>14558</v>
      </c>
      <c r="B86" s="14">
        <v>30550638</v>
      </c>
      <c r="C86" s="14">
        <v>30550638</v>
      </c>
      <c r="D86" s="14" t="s">
        <v>4389</v>
      </c>
      <c r="E86" s="14" t="s">
        <v>14539</v>
      </c>
      <c r="F86" s="14" t="s">
        <v>2178</v>
      </c>
      <c r="G86" s="15" t="s">
        <v>14559</v>
      </c>
      <c r="H86" s="15" t="s">
        <v>14560</v>
      </c>
      <c r="I86" s="14" t="s">
        <v>88</v>
      </c>
      <c r="J86" s="14">
        <v>1</v>
      </c>
      <c r="K86" s="14">
        <v>1</v>
      </c>
      <c r="L86" s="14" t="s">
        <v>14561</v>
      </c>
      <c r="M86" s="19" t="s">
        <v>2239</v>
      </c>
      <c r="N86" s="14" t="s">
        <v>2069</v>
      </c>
      <c r="O86" s="14" t="s">
        <v>14562</v>
      </c>
      <c r="P86" s="14" t="str">
        <f>HYPERLINK("https://photon-sol.tinyastro.io/en/lp/F3nAo7QANB3HhiRrqDhVC7vMrcpxyViJyXwPzwo5pump?handle=676050794bc1b1657a56b", "View")</f>
        <v>View</v>
      </c>
    </row>
    <row r="87" spans="1:16" x14ac:dyDescent="0.25">
      <c r="A87" s="16" t="s">
        <v>14558</v>
      </c>
      <c r="B87" s="17">
        <v>17273401</v>
      </c>
      <c r="C87" s="17">
        <v>17273401</v>
      </c>
      <c r="D87" s="17" t="s">
        <v>4389</v>
      </c>
      <c r="E87" s="17" t="s">
        <v>14563</v>
      </c>
      <c r="F87" s="17" t="s">
        <v>14564</v>
      </c>
      <c r="G87" s="20" t="s">
        <v>14565</v>
      </c>
      <c r="H87" s="20" t="s">
        <v>14566</v>
      </c>
      <c r="I87" s="17" t="s">
        <v>88</v>
      </c>
      <c r="J87" s="17">
        <v>1</v>
      </c>
      <c r="K87" s="17">
        <v>1</v>
      </c>
      <c r="L87" s="17" t="s">
        <v>14567</v>
      </c>
      <c r="M87" s="19" t="s">
        <v>2239</v>
      </c>
      <c r="N87" s="17" t="s">
        <v>1746</v>
      </c>
      <c r="O87" s="17" t="s">
        <v>14568</v>
      </c>
      <c r="P87" s="17" t="str">
        <f>HYPERLINK("https://photon-sol.tinyastro.io/en/lp/AoGbsGTjJCyYbDfj8yr37izs7ETZdKFF9XWfe6BhixD?handle=676050794bc1b1657a56b", "View")</f>
        <v>View</v>
      </c>
    </row>
    <row r="88" spans="1:16" x14ac:dyDescent="0.25">
      <c r="A88" s="13" t="s">
        <v>14569</v>
      </c>
      <c r="B88" s="14">
        <v>38592500</v>
      </c>
      <c r="C88" s="14">
        <v>38592500</v>
      </c>
      <c r="D88" s="14" t="s">
        <v>14207</v>
      </c>
      <c r="E88" s="14" t="s">
        <v>1991</v>
      </c>
      <c r="F88" s="14" t="s">
        <v>14570</v>
      </c>
      <c r="G88" s="21" t="s">
        <v>14571</v>
      </c>
      <c r="H88" s="21" t="s">
        <v>14572</v>
      </c>
      <c r="I88" s="14" t="s">
        <v>88</v>
      </c>
      <c r="J88" s="14">
        <v>1</v>
      </c>
      <c r="K88" s="14">
        <v>2</v>
      </c>
      <c r="L88" s="14" t="s">
        <v>14573</v>
      </c>
      <c r="M88" s="14" t="s">
        <v>602</v>
      </c>
      <c r="N88" s="14" t="s">
        <v>14574</v>
      </c>
      <c r="O88" s="14" t="s">
        <v>14575</v>
      </c>
      <c r="P88" s="14" t="str">
        <f>HYPERLINK("https://photon-sol.tinyastro.io/en/lp/5QBkUPxKLqvHD1HJ6GXPM72Jr1gy2W98fe9fE9i6pump?handle=676050794bc1b1657a56b", "View")</f>
        <v>View</v>
      </c>
    </row>
    <row r="89" spans="1:16" x14ac:dyDescent="0.25">
      <c r="A89" s="16" t="s">
        <v>14576</v>
      </c>
      <c r="B89" s="17">
        <v>20020702</v>
      </c>
      <c r="C89" s="17">
        <v>20020702</v>
      </c>
      <c r="D89" s="17" t="s">
        <v>14207</v>
      </c>
      <c r="E89" s="17" t="s">
        <v>14577</v>
      </c>
      <c r="F89" s="17" t="s">
        <v>14578</v>
      </c>
      <c r="G89" s="15" t="s">
        <v>14579</v>
      </c>
      <c r="H89" s="15" t="s">
        <v>14580</v>
      </c>
      <c r="I89" s="17" t="s">
        <v>88</v>
      </c>
      <c r="J89" s="17">
        <v>2</v>
      </c>
      <c r="K89" s="17">
        <v>1</v>
      </c>
      <c r="L89" s="17" t="s">
        <v>14581</v>
      </c>
      <c r="M89" s="19" t="s">
        <v>3324</v>
      </c>
      <c r="N89" s="17" t="s">
        <v>3824</v>
      </c>
      <c r="O89" s="17" t="s">
        <v>14582</v>
      </c>
      <c r="P89" s="17" t="str">
        <f>HYPERLINK("https://photon-sol.tinyastro.io/en/lp/FKQsYxzrJAsJVh53Rhe5eGhvPEWRu3bENb9AYpN6pump?handle=676050794bc1b1657a56b", "View")</f>
        <v>View</v>
      </c>
    </row>
    <row r="90" spans="1:16" x14ac:dyDescent="0.25">
      <c r="A90" s="13" t="s">
        <v>6160</v>
      </c>
      <c r="B90" s="14">
        <v>26867029</v>
      </c>
      <c r="C90" s="14">
        <v>26867029</v>
      </c>
      <c r="D90" s="14" t="s">
        <v>14415</v>
      </c>
      <c r="E90" s="14" t="s">
        <v>14583</v>
      </c>
      <c r="F90" s="14" t="s">
        <v>14584</v>
      </c>
      <c r="G90" s="21" t="s">
        <v>14585</v>
      </c>
      <c r="H90" s="21" t="s">
        <v>14586</v>
      </c>
      <c r="I90" s="14" t="s">
        <v>88</v>
      </c>
      <c r="J90" s="14">
        <v>1</v>
      </c>
      <c r="K90" s="14">
        <v>5</v>
      </c>
      <c r="L90" s="14" t="s">
        <v>14587</v>
      </c>
      <c r="M90" s="14" t="s">
        <v>788</v>
      </c>
      <c r="N90" s="14" t="s">
        <v>14588</v>
      </c>
      <c r="O90" s="14" t="s">
        <v>14589</v>
      </c>
      <c r="P90" s="14" t="str">
        <f>HYPERLINK("https://photon-sol.tinyastro.io/en/lp/4W1ffaJyieu84MXB4cFmM2ELLDMQTb41VRrtko6Wpump?handle=676050794bc1b1657a56b", "View")</f>
        <v>View</v>
      </c>
    </row>
    <row r="91" spans="1:16" x14ac:dyDescent="0.25">
      <c r="A91" s="16" t="s">
        <v>14590</v>
      </c>
      <c r="B91" s="17">
        <v>5200512</v>
      </c>
      <c r="C91" s="17">
        <v>5200512</v>
      </c>
      <c r="D91" s="17" t="s">
        <v>4389</v>
      </c>
      <c r="E91" s="17" t="s">
        <v>14539</v>
      </c>
      <c r="F91" s="17" t="s">
        <v>13760</v>
      </c>
      <c r="G91" s="15" t="s">
        <v>14591</v>
      </c>
      <c r="H91" s="15" t="s">
        <v>14592</v>
      </c>
      <c r="I91" s="17" t="s">
        <v>88</v>
      </c>
      <c r="J91" s="17">
        <v>1</v>
      </c>
      <c r="K91" s="17">
        <v>1</v>
      </c>
      <c r="L91" s="17" t="s">
        <v>14593</v>
      </c>
      <c r="M91" s="17" t="s">
        <v>1448</v>
      </c>
      <c r="N91" s="17" t="s">
        <v>14594</v>
      </c>
      <c r="O91" s="17" t="s">
        <v>14595</v>
      </c>
      <c r="P91" s="17" t="str">
        <f>HYPERLINK("https://photon-sol.tinyastro.io/en/lp/5DHnX1L82XFzz3XejR1QCcpa31EJnJrMcFdraCKapump?handle=676050794bc1b1657a56b", "View")</f>
        <v>View</v>
      </c>
    </row>
    <row r="92" spans="1:16" x14ac:dyDescent="0.25">
      <c r="A92" s="13" t="s">
        <v>3071</v>
      </c>
      <c r="B92" s="14">
        <v>15777854</v>
      </c>
      <c r="C92" s="14">
        <v>15777854</v>
      </c>
      <c r="D92" s="14" t="s">
        <v>4389</v>
      </c>
      <c r="E92" s="14" t="s">
        <v>14539</v>
      </c>
      <c r="F92" s="14" t="s">
        <v>14596</v>
      </c>
      <c r="G92" s="15" t="s">
        <v>14597</v>
      </c>
      <c r="H92" s="15" t="s">
        <v>14598</v>
      </c>
      <c r="I92" s="14" t="s">
        <v>88</v>
      </c>
      <c r="J92" s="14">
        <v>1</v>
      </c>
      <c r="K92" s="14">
        <v>1</v>
      </c>
      <c r="L92" s="14" t="s">
        <v>14599</v>
      </c>
      <c r="M92" s="19" t="s">
        <v>3076</v>
      </c>
      <c r="N92" s="14" t="s">
        <v>14600</v>
      </c>
      <c r="O92" s="14" t="s">
        <v>14601</v>
      </c>
      <c r="P92" s="14" t="str">
        <f>HYPERLINK("https://photon-sol.tinyastro.io/en/lp/GGK3ZRHxeXDnzNWsYDXsHb5Bcv1nuNEGRFTpJ1fipump?handle=676050794bc1b1657a56b", "View")</f>
        <v>View</v>
      </c>
    </row>
    <row r="93" spans="1:16" x14ac:dyDescent="0.25">
      <c r="A93" s="16" t="s">
        <v>14602</v>
      </c>
      <c r="B93" s="17">
        <v>49257734</v>
      </c>
      <c r="C93" s="17">
        <v>49257734</v>
      </c>
      <c r="D93" s="17" t="s">
        <v>4389</v>
      </c>
      <c r="E93" s="17" t="s">
        <v>1991</v>
      </c>
      <c r="F93" s="17" t="s">
        <v>11086</v>
      </c>
      <c r="G93" s="20" t="s">
        <v>10198</v>
      </c>
      <c r="H93" s="20" t="s">
        <v>14603</v>
      </c>
      <c r="I93" s="17" t="s">
        <v>88</v>
      </c>
      <c r="J93" s="17">
        <v>1</v>
      </c>
      <c r="K93" s="17">
        <v>1</v>
      </c>
      <c r="L93" s="17" t="s">
        <v>14604</v>
      </c>
      <c r="M93" s="19" t="s">
        <v>2239</v>
      </c>
      <c r="N93" s="17" t="s">
        <v>3908</v>
      </c>
      <c r="O93" s="17" t="s">
        <v>14605</v>
      </c>
      <c r="P93" s="17" t="str">
        <f>HYPERLINK("https://photon-sol.tinyastro.io/en/lp/7A3TRinD5q5vkufEeDz9iYUPisEdSBHjD8WTt1appump?handle=676050794bc1b1657a56b", "View")</f>
        <v>View</v>
      </c>
    </row>
    <row r="94" spans="1:16" x14ac:dyDescent="0.25">
      <c r="A94" s="13" t="s">
        <v>7009</v>
      </c>
      <c r="B94" s="14">
        <v>3234035</v>
      </c>
      <c r="C94" s="14">
        <v>3234035</v>
      </c>
      <c r="D94" s="14" t="s">
        <v>4379</v>
      </c>
      <c r="E94" s="14" t="s">
        <v>6403</v>
      </c>
      <c r="F94" s="14" t="s">
        <v>14606</v>
      </c>
      <c r="G94" s="22" t="s">
        <v>14607</v>
      </c>
      <c r="H94" s="22" t="s">
        <v>14608</v>
      </c>
      <c r="I94" s="14" t="s">
        <v>88</v>
      </c>
      <c r="J94" s="14">
        <v>2</v>
      </c>
      <c r="K94" s="14">
        <v>2</v>
      </c>
      <c r="L94" s="14" t="s">
        <v>14609</v>
      </c>
      <c r="M94" s="14" t="s">
        <v>1957</v>
      </c>
      <c r="N94" s="14" t="s">
        <v>14610</v>
      </c>
      <c r="O94" s="14" t="s">
        <v>14611</v>
      </c>
      <c r="P94" s="14" t="str">
        <f>HYPERLINK("https://dexscreener.com/solana/2VhiEiVVMcy7ApyocRezTjMediG9thZJhZQxDuMrpump", "View")</f>
        <v>View</v>
      </c>
    </row>
    <row r="95" spans="1:16" x14ac:dyDescent="0.25">
      <c r="A95" s="16" t="s">
        <v>14612</v>
      </c>
      <c r="B95" s="17">
        <v>33026296</v>
      </c>
      <c r="C95" s="17">
        <v>33026296</v>
      </c>
      <c r="D95" s="17" t="s">
        <v>4389</v>
      </c>
      <c r="E95" s="17" t="s">
        <v>14539</v>
      </c>
      <c r="F95" s="17" t="s">
        <v>14613</v>
      </c>
      <c r="G95" s="20" t="s">
        <v>1523</v>
      </c>
      <c r="H95" s="20" t="s">
        <v>14614</v>
      </c>
      <c r="I95" s="17" t="s">
        <v>88</v>
      </c>
      <c r="J95" s="17">
        <v>1</v>
      </c>
      <c r="K95" s="17">
        <v>1</v>
      </c>
      <c r="L95" s="17" t="s">
        <v>14615</v>
      </c>
      <c r="M95" s="19" t="s">
        <v>1940</v>
      </c>
      <c r="N95" s="17" t="s">
        <v>3908</v>
      </c>
      <c r="O95" s="17" t="s">
        <v>14616</v>
      </c>
      <c r="P95" s="17" t="str">
        <f>HYPERLINK("https://photon-sol.tinyastro.io/en/lp/85gDWaJV8nwtuQBkcdCmPT9UmVKek2EBHhUPUpHbpump?handle=676050794bc1b1657a56b", "View")</f>
        <v>View</v>
      </c>
    </row>
    <row r="96" spans="1:16" x14ac:dyDescent="0.25">
      <c r="A96" s="13" t="s">
        <v>7009</v>
      </c>
      <c r="B96" s="14">
        <v>32850610</v>
      </c>
      <c r="C96" s="14">
        <v>32850610</v>
      </c>
      <c r="D96" s="14" t="s">
        <v>14617</v>
      </c>
      <c r="E96" s="14" t="s">
        <v>14618</v>
      </c>
      <c r="F96" s="14" t="s">
        <v>14619</v>
      </c>
      <c r="G96" s="21" t="s">
        <v>14620</v>
      </c>
      <c r="H96" s="21" t="s">
        <v>14621</v>
      </c>
      <c r="I96" s="14" t="s">
        <v>88</v>
      </c>
      <c r="J96" s="14">
        <v>2</v>
      </c>
      <c r="K96" s="14">
        <v>17</v>
      </c>
      <c r="L96" s="14" t="s">
        <v>14622</v>
      </c>
      <c r="M96" s="14" t="s">
        <v>179</v>
      </c>
      <c r="N96" s="14" t="s">
        <v>14623</v>
      </c>
      <c r="O96" s="14" t="s">
        <v>7015</v>
      </c>
      <c r="P96" s="14" t="str">
        <f>HYPERLINK("https://photon-sol.tinyastro.io/en/lp/AnnG2PnH4ijFrbAf6G6MWXHtrwUxT8bkyd5MJNnCpump?handle=676050794bc1b1657a56b", "View")</f>
        <v>View</v>
      </c>
    </row>
    <row r="97" spans="1:16" x14ac:dyDescent="0.25">
      <c r="A97" s="16" t="s">
        <v>14624</v>
      </c>
      <c r="B97" s="17">
        <v>9102048</v>
      </c>
      <c r="C97" s="17">
        <v>9102048</v>
      </c>
      <c r="D97" s="17" t="s">
        <v>4379</v>
      </c>
      <c r="E97" s="17" t="s">
        <v>1899</v>
      </c>
      <c r="F97" s="17" t="s">
        <v>14625</v>
      </c>
      <c r="G97" s="20" t="s">
        <v>14626</v>
      </c>
      <c r="H97" s="20" t="s">
        <v>14627</v>
      </c>
      <c r="I97" s="17" t="s">
        <v>88</v>
      </c>
      <c r="J97" s="17">
        <v>2</v>
      </c>
      <c r="K97" s="17">
        <v>2</v>
      </c>
      <c r="L97" s="17" t="s">
        <v>14628</v>
      </c>
      <c r="M97" s="19" t="s">
        <v>2509</v>
      </c>
      <c r="N97" s="17" t="s">
        <v>14629</v>
      </c>
      <c r="O97" s="17" t="s">
        <v>14630</v>
      </c>
      <c r="P97" s="17" t="str">
        <f>HYPERLINK("https://photon-sol.tinyastro.io/en/lp/4BhBbHgvh7S1uPoB7fFkTLN46sAxdVre9mNTnZTHpump?handle=676050794bc1b1657a56b", "View")</f>
        <v>View</v>
      </c>
    </row>
    <row r="98" spans="1:16" x14ac:dyDescent="0.25">
      <c r="A98" s="13" t="s">
        <v>14631</v>
      </c>
      <c r="B98" s="14">
        <v>12977886</v>
      </c>
      <c r="C98" s="14">
        <v>12977886</v>
      </c>
      <c r="D98" s="14" t="s">
        <v>4389</v>
      </c>
      <c r="E98" s="14" t="s">
        <v>14563</v>
      </c>
      <c r="F98" s="14" t="s">
        <v>6849</v>
      </c>
      <c r="G98" s="15" t="s">
        <v>14632</v>
      </c>
      <c r="H98" s="15" t="s">
        <v>14633</v>
      </c>
      <c r="I98" s="14" t="s">
        <v>88</v>
      </c>
      <c r="J98" s="14">
        <v>1</v>
      </c>
      <c r="K98" s="14">
        <v>1</v>
      </c>
      <c r="L98" s="14" t="s">
        <v>14634</v>
      </c>
      <c r="M98" s="19" t="s">
        <v>1856</v>
      </c>
      <c r="N98" s="14" t="s">
        <v>14635</v>
      </c>
      <c r="O98" s="14" t="s">
        <v>14636</v>
      </c>
      <c r="P98" s="14" t="str">
        <f>HYPERLINK("https://photon-sol.tinyastro.io/en/lp/Dpn9zz21SZwY79keqhERrPuwBo822Ar6Zcq32FZGpump?handle=676050794bc1b1657a56b", "View")</f>
        <v>View</v>
      </c>
    </row>
    <row r="99" spans="1:16" x14ac:dyDescent="0.25">
      <c r="A99" s="16" t="s">
        <v>14637</v>
      </c>
      <c r="B99" s="17">
        <v>7089036</v>
      </c>
      <c r="C99" s="17">
        <v>7089036</v>
      </c>
      <c r="D99" s="17" t="s">
        <v>4389</v>
      </c>
      <c r="E99" s="17" t="s">
        <v>14563</v>
      </c>
      <c r="F99" s="17" t="s">
        <v>14638</v>
      </c>
      <c r="G99" s="22" t="s">
        <v>14639</v>
      </c>
      <c r="H99" s="22" t="s">
        <v>14640</v>
      </c>
      <c r="I99" s="17" t="s">
        <v>88</v>
      </c>
      <c r="J99" s="17">
        <v>1</v>
      </c>
      <c r="K99" s="17">
        <v>1</v>
      </c>
      <c r="L99" s="17" t="s">
        <v>14641</v>
      </c>
      <c r="M99" s="19" t="s">
        <v>3076</v>
      </c>
      <c r="N99" s="17" t="s">
        <v>14642</v>
      </c>
      <c r="O99" s="17" t="s">
        <v>14643</v>
      </c>
      <c r="P99" s="17" t="str">
        <f>HYPERLINK("https://photon-sol.tinyastro.io/en/lp/2t43w3MP8D17eShRBV7P5JFuL5Phn58Y5EiKP35Wpump?handle=676050794bc1b1657a56b", "View")</f>
        <v>View</v>
      </c>
    </row>
    <row r="100" spans="1:16" x14ac:dyDescent="0.25">
      <c r="A100" s="13" t="s">
        <v>14644</v>
      </c>
      <c r="B100" s="14">
        <v>52410211</v>
      </c>
      <c r="C100" s="14">
        <v>52410211</v>
      </c>
      <c r="D100" s="14" t="s">
        <v>4389</v>
      </c>
      <c r="E100" s="14" t="s">
        <v>14539</v>
      </c>
      <c r="F100" s="14" t="s">
        <v>7631</v>
      </c>
      <c r="G100" s="20" t="s">
        <v>14645</v>
      </c>
      <c r="H100" s="20" t="s">
        <v>14646</v>
      </c>
      <c r="I100" s="14" t="s">
        <v>88</v>
      </c>
      <c r="J100" s="14">
        <v>1</v>
      </c>
      <c r="K100" s="14">
        <v>1</v>
      </c>
      <c r="L100" s="14" t="s">
        <v>14647</v>
      </c>
      <c r="M100" s="19" t="s">
        <v>3076</v>
      </c>
      <c r="N100" s="14" t="s">
        <v>2585</v>
      </c>
      <c r="O100" s="14" t="s">
        <v>14648</v>
      </c>
      <c r="P100" s="14" t="str">
        <f>HYPERLINK("https://photon-sol.tinyastro.io/en/lp/9TobG5uwqDBnFTJYqybtfsUFJqVF8eZkNn4pqp1cpump?handle=676050794bc1b1657a56b", "View")</f>
        <v>View</v>
      </c>
    </row>
    <row r="101" spans="1:16" x14ac:dyDescent="0.25">
      <c r="A101" s="16" t="s">
        <v>14649</v>
      </c>
      <c r="B101" s="17">
        <v>39281012</v>
      </c>
      <c r="C101" s="17">
        <v>39281012</v>
      </c>
      <c r="D101" s="17" t="s">
        <v>4379</v>
      </c>
      <c r="E101" s="17" t="s">
        <v>1899</v>
      </c>
      <c r="F101" s="17" t="s">
        <v>9393</v>
      </c>
      <c r="G101" s="20" t="s">
        <v>14548</v>
      </c>
      <c r="H101" s="20" t="s">
        <v>4763</v>
      </c>
      <c r="I101" s="17" t="s">
        <v>88</v>
      </c>
      <c r="J101" s="17">
        <v>2</v>
      </c>
      <c r="K101" s="17">
        <v>2</v>
      </c>
      <c r="L101" s="17" t="s">
        <v>14650</v>
      </c>
      <c r="M101" s="17" t="s">
        <v>1434</v>
      </c>
      <c r="N101" s="17" t="s">
        <v>1706</v>
      </c>
      <c r="O101" s="17" t="s">
        <v>14651</v>
      </c>
      <c r="P101" s="17" t="str">
        <f>HYPERLINK("https://photon-sol.tinyastro.io/en/lp/2WZHNFxNAmFByJyFmtSVRt7TkLknpBcAYTWWryMVpump?handle=676050794bc1b1657a56b", "View")</f>
        <v>View</v>
      </c>
    </row>
    <row r="102" spans="1:16" x14ac:dyDescent="0.25">
      <c r="A102" s="13" t="s">
        <v>14652</v>
      </c>
      <c r="B102" s="14">
        <v>43760817</v>
      </c>
      <c r="C102" s="14">
        <v>43760817</v>
      </c>
      <c r="D102" s="14" t="s">
        <v>4379</v>
      </c>
      <c r="E102" s="14" t="s">
        <v>14577</v>
      </c>
      <c r="F102" s="14" t="s">
        <v>14653</v>
      </c>
      <c r="G102" s="22" t="s">
        <v>2448</v>
      </c>
      <c r="H102" s="22" t="s">
        <v>14654</v>
      </c>
      <c r="I102" s="14" t="s">
        <v>88</v>
      </c>
      <c r="J102" s="14">
        <v>2</v>
      </c>
      <c r="K102" s="14">
        <v>2</v>
      </c>
      <c r="L102" s="14" t="s">
        <v>14655</v>
      </c>
      <c r="M102" s="14" t="s">
        <v>1434</v>
      </c>
      <c r="N102" s="14" t="s">
        <v>1819</v>
      </c>
      <c r="O102" s="14" t="s">
        <v>14656</v>
      </c>
      <c r="P102" s="14" t="str">
        <f>HYPERLINK("https://photon-sol.tinyastro.io/en/lp/3fhjyQ2CFRjzxVFSHHAa9dTxRfKazNKYiZxNhEG5pump?handle=676050794bc1b1657a56b", "View")</f>
        <v>View</v>
      </c>
    </row>
    <row r="103" spans="1:16" x14ac:dyDescent="0.25">
      <c r="A103" s="16" t="s">
        <v>14657</v>
      </c>
      <c r="B103" s="17">
        <v>3146948</v>
      </c>
      <c r="C103" s="17">
        <v>3146948</v>
      </c>
      <c r="D103" s="17" t="s">
        <v>4389</v>
      </c>
      <c r="E103" s="17" t="s">
        <v>14376</v>
      </c>
      <c r="F103" s="17" t="s">
        <v>3554</v>
      </c>
      <c r="G103" s="15" t="s">
        <v>14658</v>
      </c>
      <c r="H103" s="15" t="s">
        <v>14659</v>
      </c>
      <c r="I103" s="17" t="s">
        <v>88</v>
      </c>
      <c r="J103" s="17">
        <v>1</v>
      </c>
      <c r="K103" s="17">
        <v>1</v>
      </c>
      <c r="L103" s="17" t="s">
        <v>14660</v>
      </c>
      <c r="M103" s="19" t="s">
        <v>2525</v>
      </c>
      <c r="N103" s="17" t="s">
        <v>14661</v>
      </c>
      <c r="O103" s="17" t="s">
        <v>14662</v>
      </c>
      <c r="P103" s="17" t="str">
        <f>HYPERLINK("https://photon-sol.tinyastro.io/en/lp/3cHxMFundTub3XtJiCGqxNnz5RhhLWcScRhSBdHgpump?handle=676050794bc1b1657a56b", "View")</f>
        <v>View</v>
      </c>
    </row>
    <row r="104" spans="1:16" x14ac:dyDescent="0.25">
      <c r="A104" s="13" t="s">
        <v>14663</v>
      </c>
      <c r="B104" s="14">
        <v>5211911</v>
      </c>
      <c r="C104" s="14">
        <v>5211911</v>
      </c>
      <c r="D104" s="14" t="s">
        <v>4389</v>
      </c>
      <c r="E104" s="14" t="s">
        <v>14376</v>
      </c>
      <c r="F104" s="14" t="s">
        <v>12183</v>
      </c>
      <c r="G104" s="15" t="s">
        <v>10007</v>
      </c>
      <c r="H104" s="15" t="s">
        <v>14664</v>
      </c>
      <c r="I104" s="14" t="s">
        <v>88</v>
      </c>
      <c r="J104" s="14">
        <v>1</v>
      </c>
      <c r="K104" s="14">
        <v>1</v>
      </c>
      <c r="L104" s="14" t="s">
        <v>14665</v>
      </c>
      <c r="M104" s="19" t="s">
        <v>2593</v>
      </c>
      <c r="N104" s="14" t="s">
        <v>14666</v>
      </c>
      <c r="O104" s="14" t="s">
        <v>14667</v>
      </c>
      <c r="P104" s="14" t="str">
        <f>HYPERLINK("https://photon-sol.tinyastro.io/en/lp/2Q2ASMHhNvPe9FoJ9NvDtWVtZTYpkTrngbx9SAmKpump?handle=676050794bc1b1657a56b", "View")</f>
        <v>View</v>
      </c>
    </row>
    <row r="105" spans="1:16" x14ac:dyDescent="0.25">
      <c r="A105" s="16" t="s">
        <v>5686</v>
      </c>
      <c r="B105" s="17">
        <v>1260196</v>
      </c>
      <c r="C105" s="17">
        <v>1260196</v>
      </c>
      <c r="D105" s="17" t="s">
        <v>4389</v>
      </c>
      <c r="E105" s="17" t="s">
        <v>3045</v>
      </c>
      <c r="F105" s="17" t="s">
        <v>3637</v>
      </c>
      <c r="G105" s="20" t="s">
        <v>3751</v>
      </c>
      <c r="H105" s="20" t="s">
        <v>14668</v>
      </c>
      <c r="I105" s="17" t="s">
        <v>88</v>
      </c>
      <c r="J105" s="17">
        <v>1</v>
      </c>
      <c r="K105" s="17">
        <v>1</v>
      </c>
      <c r="L105" s="17" t="s">
        <v>14669</v>
      </c>
      <c r="M105" s="19" t="s">
        <v>2826</v>
      </c>
      <c r="N105" s="17" t="s">
        <v>14670</v>
      </c>
      <c r="O105" s="17" t="s">
        <v>5690</v>
      </c>
      <c r="P105" s="17" t="str">
        <f>HYPERLINK("https://dexscreener.com/solana/fXrocZXTrfUQ6ocGbM2z89ZXSZ5k6nxqM3Np1pZpump", "View")</f>
        <v>View</v>
      </c>
    </row>
    <row r="106" spans="1:16" x14ac:dyDescent="0.25">
      <c r="A106" s="13" t="s">
        <v>14671</v>
      </c>
      <c r="B106" s="14">
        <v>44003746</v>
      </c>
      <c r="C106" s="14">
        <v>44003746</v>
      </c>
      <c r="D106" s="14" t="s">
        <v>14276</v>
      </c>
      <c r="E106" s="14" t="s">
        <v>14539</v>
      </c>
      <c r="F106" s="14" t="s">
        <v>14672</v>
      </c>
      <c r="G106" s="20" t="s">
        <v>14673</v>
      </c>
      <c r="H106" s="20" t="s">
        <v>14674</v>
      </c>
      <c r="I106" s="14" t="s">
        <v>88</v>
      </c>
      <c r="J106" s="14">
        <v>1</v>
      </c>
      <c r="K106" s="14">
        <v>1</v>
      </c>
      <c r="L106" s="14" t="s">
        <v>14675</v>
      </c>
      <c r="M106" s="19" t="s">
        <v>1948</v>
      </c>
      <c r="N106" s="14" t="s">
        <v>1667</v>
      </c>
      <c r="O106" s="14" t="s">
        <v>14676</v>
      </c>
      <c r="P106" s="14" t="str">
        <f>HYPERLINK("https://photon-sol.tinyastro.io/en/lp/DxL6azPGXjqUaBzgG74iCxAL2Tf5jbnGVYSJwUiapump?handle=676050794bc1b1657a56b", "View")</f>
        <v>View</v>
      </c>
    </row>
    <row r="107" spans="1:16" x14ac:dyDescent="0.25">
      <c r="A107" s="16" t="s">
        <v>14677</v>
      </c>
      <c r="B107" s="17">
        <v>3197392</v>
      </c>
      <c r="C107" s="17">
        <v>3197392</v>
      </c>
      <c r="D107" s="17" t="s">
        <v>14678</v>
      </c>
      <c r="E107" s="17" t="s">
        <v>14679</v>
      </c>
      <c r="F107" s="17" t="s">
        <v>9472</v>
      </c>
      <c r="G107" s="22" t="s">
        <v>14680</v>
      </c>
      <c r="H107" s="22" t="s">
        <v>14681</v>
      </c>
      <c r="I107" s="17" t="s">
        <v>88</v>
      </c>
      <c r="J107" s="17">
        <v>2</v>
      </c>
      <c r="K107" s="17">
        <v>3</v>
      </c>
      <c r="L107" s="17" t="s">
        <v>14682</v>
      </c>
      <c r="M107" s="17" t="s">
        <v>3355</v>
      </c>
      <c r="N107" s="17" t="s">
        <v>14683</v>
      </c>
      <c r="O107" s="17" t="s">
        <v>14684</v>
      </c>
      <c r="P107" s="17" t="str">
        <f>HYPERLINK("https://dexscreener.com/solana/3mJq67c5wJxS4QHaZ3mnq9jbMcNVtSbLm5QLbKpspump", "View")</f>
        <v>View</v>
      </c>
    </row>
    <row r="108" spans="1:16" x14ac:dyDescent="0.25">
      <c r="A108" s="13" t="s">
        <v>14685</v>
      </c>
      <c r="B108" s="14">
        <v>19136616</v>
      </c>
      <c r="C108" s="14">
        <v>19136616</v>
      </c>
      <c r="D108" s="14" t="s">
        <v>7054</v>
      </c>
      <c r="E108" s="14" t="s">
        <v>7148</v>
      </c>
      <c r="F108" s="14" t="s">
        <v>14686</v>
      </c>
      <c r="G108" s="22" t="s">
        <v>2767</v>
      </c>
      <c r="H108" s="22" t="s">
        <v>14687</v>
      </c>
      <c r="I108" s="14" t="s">
        <v>88</v>
      </c>
      <c r="J108" s="14">
        <v>1</v>
      </c>
      <c r="K108" s="14">
        <v>1</v>
      </c>
      <c r="L108" s="14" t="s">
        <v>14688</v>
      </c>
      <c r="M108" s="19" t="s">
        <v>1688</v>
      </c>
      <c r="N108" s="14" t="s">
        <v>14689</v>
      </c>
      <c r="O108" s="14" t="s">
        <v>14690</v>
      </c>
      <c r="P108" s="14" t="str">
        <f>HYPERLINK("https://photon-sol.tinyastro.io/en/lp/8bEqvgSUc9ANr9vASXG2UkonjC4aeQPwPHEKjtsapump?handle=676050794bc1b1657a56b", "View")</f>
        <v>View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C799-ED5F-4DC3-AEAD-CF4C1D6B8461}">
  <dimension ref="A1:P168"/>
  <sheetViews>
    <sheetView workbookViewId="0"/>
  </sheetViews>
  <sheetFormatPr defaultRowHeight="15" x14ac:dyDescent="0.25"/>
  <cols>
    <col min="1" max="1" width="46" style="2" customWidth="1"/>
    <col min="2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HYPERLINK("https://gmgn.ai/sol/address/6xuMV6W6QVxrVmsZxEdLfV6kfhuBsg3ah1X8rydLfQvy", "GMGN")</f>
        <v>GMGN</v>
      </c>
    </row>
    <row r="2" spans="1:14" x14ac:dyDescent="0.25">
      <c r="A2" s="3" t="s">
        <v>14691</v>
      </c>
      <c r="B2" s="3" t="s">
        <v>14692</v>
      </c>
      <c r="C2" s="3" t="s">
        <v>14693</v>
      </c>
      <c r="D2" s="3" t="s">
        <v>8452</v>
      </c>
      <c r="E2" s="3" t="s">
        <v>14694</v>
      </c>
      <c r="F2" s="3" t="s">
        <v>14695</v>
      </c>
      <c r="G2" s="3" t="s">
        <v>18</v>
      </c>
      <c r="H2" s="3">
        <v>149</v>
      </c>
      <c r="I2" s="3">
        <v>15</v>
      </c>
      <c r="J2" s="3" t="s">
        <v>14696</v>
      </c>
      <c r="K2" s="3" t="s">
        <v>3180</v>
      </c>
      <c r="L2" s="3">
        <v>77</v>
      </c>
      <c r="M2" s="3">
        <v>90</v>
      </c>
      <c r="N2" s="3" t="str">
        <f>HYPERLINK("https://solscan.io/account/6xuMV6W6QVxrVmsZxEdLfV6kfhuBsg3ah1X8rydLfQvy", "Solscan")</f>
        <v>Solscan</v>
      </c>
    </row>
    <row r="3" spans="1:14" x14ac:dyDescent="0.25">
      <c r="A3" s="1" t="s">
        <v>21</v>
      </c>
      <c r="B3" s="4" t="s">
        <v>14697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HYPERLINK("https://birdeye.so/profile/6xuMV6W6QVxrVmsZxEdLfV6kfhuBsg3ah1X8rydLfQvy", "Birdeye")</f>
        <v>Birdeye</v>
      </c>
    </row>
    <row r="4" spans="1:14" x14ac:dyDescent="0.25">
      <c r="A4" s="1" t="s">
        <v>25</v>
      </c>
      <c r="B4" s="3" t="s">
        <v>4271</v>
      </c>
      <c r="C4" s="3"/>
      <c r="D4" s="3" t="s">
        <v>8594</v>
      </c>
      <c r="E4" s="3" t="s">
        <v>14698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14699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8458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7</v>
      </c>
      <c r="C10" s="1">
        <v>13</v>
      </c>
      <c r="D10" s="1">
        <v>6</v>
      </c>
      <c r="E10" s="1">
        <v>37</v>
      </c>
      <c r="F10" s="1">
        <v>26</v>
      </c>
      <c r="G10" s="1">
        <v>60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12320</v>
      </c>
      <c r="C11" s="1" t="s">
        <v>1573</v>
      </c>
      <c r="D11" s="1" t="s">
        <v>14700</v>
      </c>
      <c r="E11" s="1" t="s">
        <v>8599</v>
      </c>
      <c r="F11" s="1" t="s">
        <v>1574</v>
      </c>
      <c r="G11" s="1" t="s">
        <v>14701</v>
      </c>
      <c r="H11" s="3"/>
      <c r="I11" s="3" t="s">
        <v>50</v>
      </c>
      <c r="J11" s="3" t="s">
        <v>51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14702</v>
      </c>
      <c r="C12" s="1" t="s">
        <v>14703</v>
      </c>
      <c r="D12" s="1" t="s">
        <v>14704</v>
      </c>
      <c r="E12" s="1" t="s">
        <v>14705</v>
      </c>
      <c r="F12" s="1" t="s">
        <v>14706</v>
      </c>
      <c r="G12" s="1" t="s">
        <v>14707</v>
      </c>
      <c r="H12" s="3"/>
      <c r="I12" s="3" t="s">
        <v>59</v>
      </c>
      <c r="J12" s="3" t="s">
        <v>14708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7497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6330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14709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14710</v>
      </c>
      <c r="B20" s="14">
        <v>15079848</v>
      </c>
      <c r="C20" s="14">
        <v>0</v>
      </c>
      <c r="D20" s="14" t="s">
        <v>14711</v>
      </c>
      <c r="E20" s="14" t="s">
        <v>13499</v>
      </c>
      <c r="F20" s="14" t="s">
        <v>96</v>
      </c>
      <c r="G20" s="18" t="s">
        <v>14712</v>
      </c>
      <c r="H20" s="18" t="s">
        <v>98</v>
      </c>
      <c r="I20" s="14" t="s">
        <v>14713</v>
      </c>
      <c r="J20" s="14">
        <v>1</v>
      </c>
      <c r="K20" s="14">
        <v>0</v>
      </c>
      <c r="L20" s="14" t="s">
        <v>14714</v>
      </c>
      <c r="M20" s="19" t="s">
        <v>101</v>
      </c>
      <c r="N20" s="14" t="s">
        <v>507</v>
      </c>
      <c r="O20" s="14" t="s">
        <v>14715</v>
      </c>
      <c r="P20" s="14" t="str">
        <f>HYPERLINK("https://photon-sol.tinyastro.io/en/lp/At94dGXemEihLuFr83CC1Mz3XXtKi6nxG6N5KmCppump?handle=676050794bc1b1657a56b", "View")</f>
        <v>View</v>
      </c>
    </row>
    <row r="21" spans="1:16" x14ac:dyDescent="0.25">
      <c r="A21" s="16" t="s">
        <v>1699</v>
      </c>
      <c r="B21" s="17">
        <v>9033491</v>
      </c>
      <c r="C21" s="17">
        <v>9033491</v>
      </c>
      <c r="D21" s="17" t="s">
        <v>14716</v>
      </c>
      <c r="E21" s="17" t="s">
        <v>14717</v>
      </c>
      <c r="F21" s="17" t="s">
        <v>2869</v>
      </c>
      <c r="G21" s="22" t="s">
        <v>13090</v>
      </c>
      <c r="H21" s="22" t="s">
        <v>14718</v>
      </c>
      <c r="I21" s="17" t="s">
        <v>88</v>
      </c>
      <c r="J21" s="17">
        <v>1</v>
      </c>
      <c r="K21" s="17">
        <v>1</v>
      </c>
      <c r="L21" s="17" t="s">
        <v>8474</v>
      </c>
      <c r="M21" s="17" t="s">
        <v>5027</v>
      </c>
      <c r="N21" s="17" t="s">
        <v>14719</v>
      </c>
      <c r="O21" s="17" t="s">
        <v>8476</v>
      </c>
      <c r="P21" s="17" t="str">
        <f>HYPERLINK("https://photon-sol.tinyastro.io/en/lp/4ujouAR7AWi3z6r795C5m1WhdTZuN86tsxndL3yapump?handle=676050794bc1b1657a56b", "View")</f>
        <v>View</v>
      </c>
    </row>
    <row r="22" spans="1:16" x14ac:dyDescent="0.25">
      <c r="A22" s="13" t="s">
        <v>8477</v>
      </c>
      <c r="B22" s="14">
        <v>4138612</v>
      </c>
      <c r="C22" s="14">
        <v>4138612</v>
      </c>
      <c r="D22" s="14" t="s">
        <v>14720</v>
      </c>
      <c r="E22" s="14" t="s">
        <v>14721</v>
      </c>
      <c r="F22" s="14" t="s">
        <v>14722</v>
      </c>
      <c r="G22" s="22" t="s">
        <v>3111</v>
      </c>
      <c r="H22" s="22" t="s">
        <v>14723</v>
      </c>
      <c r="I22" s="14" t="s">
        <v>88</v>
      </c>
      <c r="J22" s="14">
        <v>3</v>
      </c>
      <c r="K22" s="14">
        <v>1</v>
      </c>
      <c r="L22" s="14" t="s">
        <v>14724</v>
      </c>
      <c r="M22" s="14" t="s">
        <v>1448</v>
      </c>
      <c r="N22" s="14" t="s">
        <v>14725</v>
      </c>
      <c r="O22" s="14" t="s">
        <v>8483</v>
      </c>
      <c r="P22" s="14" t="str">
        <f>HYPERLINK("https://dexscreener.com/solana/Ga3j8U26vf2VYk6pCFR8Pq2hmhZytFfQc53GsGKppump", "View")</f>
        <v>View</v>
      </c>
    </row>
    <row r="23" spans="1:16" x14ac:dyDescent="0.25">
      <c r="A23" s="16" t="s">
        <v>93</v>
      </c>
      <c r="B23" s="17">
        <v>7810612</v>
      </c>
      <c r="C23" s="17">
        <v>7810612</v>
      </c>
      <c r="D23" s="17" t="s">
        <v>14726</v>
      </c>
      <c r="E23" s="17" t="s">
        <v>8211</v>
      </c>
      <c r="F23" s="17" t="s">
        <v>14727</v>
      </c>
      <c r="G23" s="15" t="s">
        <v>14728</v>
      </c>
      <c r="H23" s="15" t="s">
        <v>14729</v>
      </c>
      <c r="I23" s="17" t="s">
        <v>88</v>
      </c>
      <c r="J23" s="17">
        <v>2</v>
      </c>
      <c r="K23" s="17">
        <v>1</v>
      </c>
      <c r="L23" s="17" t="s">
        <v>14730</v>
      </c>
      <c r="M23" s="17" t="s">
        <v>3171</v>
      </c>
      <c r="N23" s="17" t="s">
        <v>14731</v>
      </c>
      <c r="O23" s="17" t="s">
        <v>8490</v>
      </c>
      <c r="P23" s="17" t="str">
        <f>HYPERLINK("https://dexscreener.com/solana/CkDJ8d1SvoVAariA8YkH1uthoeHELyxHkfwDLv9pump", "View")</f>
        <v>View</v>
      </c>
    </row>
    <row r="24" spans="1:16" x14ac:dyDescent="0.25">
      <c r="A24" s="13" t="s">
        <v>2389</v>
      </c>
      <c r="B24" s="14">
        <v>4190989</v>
      </c>
      <c r="C24" s="14">
        <v>4190989</v>
      </c>
      <c r="D24" s="14" t="s">
        <v>14716</v>
      </c>
      <c r="E24" s="14" t="s">
        <v>14732</v>
      </c>
      <c r="F24" s="14" t="s">
        <v>7612</v>
      </c>
      <c r="G24" s="22" t="s">
        <v>3699</v>
      </c>
      <c r="H24" s="22" t="s">
        <v>14733</v>
      </c>
      <c r="I24" s="14" t="s">
        <v>88</v>
      </c>
      <c r="J24" s="14">
        <v>1</v>
      </c>
      <c r="K24" s="14">
        <v>1</v>
      </c>
      <c r="L24" s="14" t="s">
        <v>14734</v>
      </c>
      <c r="M24" s="14" t="s">
        <v>4922</v>
      </c>
      <c r="N24" s="14" t="s">
        <v>14735</v>
      </c>
      <c r="O24" s="14" t="s">
        <v>2396</v>
      </c>
      <c r="P24" s="14" t="str">
        <f>HYPERLINK("https://photon-sol.tinyastro.io/en/lp/GTKYRw79jMCdnyHQjeFJHZChbRSKHwUZfYY8E5acpump?handle=676050794bc1b1657a56b", "View")</f>
        <v>View</v>
      </c>
    </row>
    <row r="25" spans="1:16" x14ac:dyDescent="0.25">
      <c r="A25" s="16" t="s">
        <v>8496</v>
      </c>
      <c r="B25" s="17">
        <v>41271804</v>
      </c>
      <c r="C25" s="17">
        <v>41271804</v>
      </c>
      <c r="D25" s="17" t="s">
        <v>14716</v>
      </c>
      <c r="E25" s="17" t="s">
        <v>14732</v>
      </c>
      <c r="F25" s="17" t="s">
        <v>2303</v>
      </c>
      <c r="G25" s="22" t="s">
        <v>3046</v>
      </c>
      <c r="H25" s="22" t="s">
        <v>14736</v>
      </c>
      <c r="I25" s="17" t="s">
        <v>88</v>
      </c>
      <c r="J25" s="17">
        <v>1</v>
      </c>
      <c r="K25" s="17">
        <v>1</v>
      </c>
      <c r="L25" s="17" t="s">
        <v>14737</v>
      </c>
      <c r="M25" s="17" t="s">
        <v>602</v>
      </c>
      <c r="N25" s="17" t="s">
        <v>2316</v>
      </c>
      <c r="O25" s="17" t="s">
        <v>8500</v>
      </c>
      <c r="P25" s="17" t="str">
        <f>HYPERLINK("https://photon-sol.tinyastro.io/en/lp/FzZu8zgTvkhkYG7LLTZR2TC9B4X4shaimUvGnmgMpump?handle=676050794bc1b1657a56b", "View")</f>
        <v>View</v>
      </c>
    </row>
    <row r="26" spans="1:16" x14ac:dyDescent="0.25">
      <c r="A26" s="13" t="s">
        <v>8501</v>
      </c>
      <c r="B26" s="14">
        <v>4251225</v>
      </c>
      <c r="C26" s="14">
        <v>4251225</v>
      </c>
      <c r="D26" s="14" t="s">
        <v>14738</v>
      </c>
      <c r="E26" s="14" t="s">
        <v>14739</v>
      </c>
      <c r="F26" s="14" t="s">
        <v>14740</v>
      </c>
      <c r="G26" s="21" t="s">
        <v>14741</v>
      </c>
      <c r="H26" s="21" t="s">
        <v>14742</v>
      </c>
      <c r="I26" s="14" t="s">
        <v>88</v>
      </c>
      <c r="J26" s="14">
        <v>2</v>
      </c>
      <c r="K26" s="14">
        <v>1</v>
      </c>
      <c r="L26" s="14" t="s">
        <v>14743</v>
      </c>
      <c r="M26" s="14" t="s">
        <v>1448</v>
      </c>
      <c r="N26" s="14" t="s">
        <v>14744</v>
      </c>
      <c r="O26" s="14" t="s">
        <v>8508</v>
      </c>
      <c r="P26" s="14" t="str">
        <f>HYPERLINK("https://dexscreener.com/solana/E6N1aagrUTAqtAe6DnV4bctib37tCERbr2TPiHzrpump", "View")</f>
        <v>View</v>
      </c>
    </row>
    <row r="27" spans="1:16" x14ac:dyDescent="0.25">
      <c r="A27" s="16" t="s">
        <v>8509</v>
      </c>
      <c r="B27" s="17">
        <v>11593753</v>
      </c>
      <c r="C27" s="17">
        <v>11593753</v>
      </c>
      <c r="D27" s="17" t="s">
        <v>14738</v>
      </c>
      <c r="E27" s="17" t="s">
        <v>4409</v>
      </c>
      <c r="F27" s="17" t="s">
        <v>13442</v>
      </c>
      <c r="G27" s="22" t="s">
        <v>3799</v>
      </c>
      <c r="H27" s="22" t="s">
        <v>14745</v>
      </c>
      <c r="I27" s="17" t="s">
        <v>88</v>
      </c>
      <c r="J27" s="17">
        <v>2</v>
      </c>
      <c r="K27" s="17">
        <v>1</v>
      </c>
      <c r="L27" s="17" t="s">
        <v>14746</v>
      </c>
      <c r="M27" s="17" t="s">
        <v>602</v>
      </c>
      <c r="N27" s="17" t="s">
        <v>14747</v>
      </c>
      <c r="O27" s="17" t="s">
        <v>8516</v>
      </c>
      <c r="P27" s="17" t="str">
        <f>HYPERLINK("https://photon-sol.tinyastro.io/en/lp/AReHDp38ySrnQoSde2bK88uxUtsWsNSHbHfyzRvKpump?handle=676050794bc1b1657a56b", "View")</f>
        <v>View</v>
      </c>
    </row>
    <row r="28" spans="1:16" x14ac:dyDescent="0.25">
      <c r="A28" s="13" t="s">
        <v>297</v>
      </c>
      <c r="B28" s="14">
        <v>7316100</v>
      </c>
      <c r="C28" s="14">
        <v>7316100</v>
      </c>
      <c r="D28" s="14" t="s">
        <v>14748</v>
      </c>
      <c r="E28" s="14" t="s">
        <v>14749</v>
      </c>
      <c r="F28" s="14" t="s">
        <v>14750</v>
      </c>
      <c r="G28" s="22" t="s">
        <v>14751</v>
      </c>
      <c r="H28" s="22" t="s">
        <v>14752</v>
      </c>
      <c r="I28" s="14" t="s">
        <v>88</v>
      </c>
      <c r="J28" s="14">
        <v>4</v>
      </c>
      <c r="K28" s="14">
        <v>4</v>
      </c>
      <c r="L28" s="14" t="s">
        <v>14753</v>
      </c>
      <c r="M28" s="14" t="s">
        <v>8522</v>
      </c>
      <c r="N28" s="14" t="s">
        <v>14754</v>
      </c>
      <c r="O28" s="14" t="s">
        <v>306</v>
      </c>
      <c r="P28" s="14" t="str">
        <f>HYPERLINK("https://dexscreener.com/solana/yG6bXPEFaUnGAEHHqH9H7t1VSfaK7YrggCqHy35pump", "View")</f>
        <v>View</v>
      </c>
    </row>
    <row r="29" spans="1:16" x14ac:dyDescent="0.25">
      <c r="A29" s="16" t="s">
        <v>6423</v>
      </c>
      <c r="B29" s="17">
        <v>4654115</v>
      </c>
      <c r="C29" s="17">
        <v>2327057</v>
      </c>
      <c r="D29" s="17" t="s">
        <v>14716</v>
      </c>
      <c r="E29" s="17" t="s">
        <v>14732</v>
      </c>
      <c r="F29" s="17" t="s">
        <v>14755</v>
      </c>
      <c r="G29" s="20" t="s">
        <v>5692</v>
      </c>
      <c r="H29" s="20" t="s">
        <v>14756</v>
      </c>
      <c r="I29" s="17" t="s">
        <v>88</v>
      </c>
      <c r="J29" s="17">
        <v>1</v>
      </c>
      <c r="K29" s="17">
        <v>1</v>
      </c>
      <c r="L29" s="17" t="s">
        <v>14757</v>
      </c>
      <c r="M29" s="17" t="s">
        <v>1957</v>
      </c>
      <c r="N29" s="17" t="s">
        <v>14758</v>
      </c>
      <c r="O29" s="17" t="s">
        <v>6431</v>
      </c>
      <c r="P29" s="17" t="str">
        <f>HYPERLINK("https://photon-sol.tinyastro.io/en/lp/9Q3no5oBzJW37TgcBP22F6SVZCtsc3G3RHELSbbgpump?handle=676050794bc1b1657a56b", "View")</f>
        <v>View</v>
      </c>
    </row>
    <row r="30" spans="1:16" x14ac:dyDescent="0.25">
      <c r="A30" s="13" t="s">
        <v>8538</v>
      </c>
      <c r="B30" s="14">
        <v>4850550</v>
      </c>
      <c r="C30" s="14">
        <v>4850550</v>
      </c>
      <c r="D30" s="14" t="s">
        <v>14759</v>
      </c>
      <c r="E30" s="14" t="s">
        <v>10388</v>
      </c>
      <c r="F30" s="14" t="s">
        <v>14760</v>
      </c>
      <c r="G30" s="22" t="s">
        <v>11780</v>
      </c>
      <c r="H30" s="22" t="s">
        <v>14761</v>
      </c>
      <c r="I30" s="14" t="s">
        <v>88</v>
      </c>
      <c r="J30" s="14">
        <v>1</v>
      </c>
      <c r="K30" s="14">
        <v>1</v>
      </c>
      <c r="L30" s="14" t="s">
        <v>14762</v>
      </c>
      <c r="M30" s="14" t="s">
        <v>1957</v>
      </c>
      <c r="N30" s="14" t="s">
        <v>14763</v>
      </c>
      <c r="O30" s="14" t="s">
        <v>8545</v>
      </c>
      <c r="P30" s="14" t="str">
        <f>HYPERLINK("https://dexscreener.com/solana/DueyXorV4VwtTF35PxUWBQXaZgm7ukyRcFMp6135pump", "View")</f>
        <v>View</v>
      </c>
    </row>
    <row r="31" spans="1:16" x14ac:dyDescent="0.25">
      <c r="A31" s="16" t="s">
        <v>312</v>
      </c>
      <c r="B31" s="17">
        <v>12466952</v>
      </c>
      <c r="C31" s="17">
        <v>10494641</v>
      </c>
      <c r="D31" s="17" t="s">
        <v>14764</v>
      </c>
      <c r="E31" s="17" t="s">
        <v>14732</v>
      </c>
      <c r="F31" s="17" t="s">
        <v>14765</v>
      </c>
      <c r="G31" s="21" t="s">
        <v>14766</v>
      </c>
      <c r="H31" s="21" t="s">
        <v>14767</v>
      </c>
      <c r="I31" s="17" t="s">
        <v>88</v>
      </c>
      <c r="J31" s="17">
        <v>1</v>
      </c>
      <c r="K31" s="17">
        <v>5</v>
      </c>
      <c r="L31" s="17" t="s">
        <v>14768</v>
      </c>
      <c r="M31" s="17" t="s">
        <v>179</v>
      </c>
      <c r="N31" s="17" t="s">
        <v>14769</v>
      </c>
      <c r="O31" s="17" t="s">
        <v>319</v>
      </c>
      <c r="P31" s="17" t="str">
        <f>HYPERLINK("https://photon-sol.tinyastro.io/en/lp/GPF3b1vrWJfpaNNAXqTDLLnSRHTMG6auWonK3LAWpump?handle=676050794bc1b1657a56b", "View")</f>
        <v>View</v>
      </c>
    </row>
    <row r="32" spans="1:16" x14ac:dyDescent="0.25">
      <c r="A32" s="13" t="s">
        <v>320</v>
      </c>
      <c r="B32" s="14">
        <v>13033099</v>
      </c>
      <c r="C32" s="14">
        <v>0</v>
      </c>
      <c r="D32" s="14" t="s">
        <v>14711</v>
      </c>
      <c r="E32" s="14" t="s">
        <v>6581</v>
      </c>
      <c r="F32" s="14" t="s">
        <v>96</v>
      </c>
      <c r="G32" s="18" t="s">
        <v>14770</v>
      </c>
      <c r="H32" s="18" t="s">
        <v>98</v>
      </c>
      <c r="I32" s="14" t="s">
        <v>14771</v>
      </c>
      <c r="J32" s="14">
        <v>1</v>
      </c>
      <c r="K32" s="14">
        <v>0</v>
      </c>
      <c r="L32" s="14" t="s">
        <v>14772</v>
      </c>
      <c r="M32" s="19" t="s">
        <v>101</v>
      </c>
      <c r="N32" s="14" t="s">
        <v>223</v>
      </c>
      <c r="O32" s="14" t="s">
        <v>324</v>
      </c>
      <c r="P32" s="14" t="str">
        <f>HYPERLINK("https://dexscreener.com/solana/iByRAnwB6oHjphgaixPkKqno41ida9yqKwwmrsKpump", "View")</f>
        <v>View</v>
      </c>
    </row>
    <row r="33" spans="1:16" x14ac:dyDescent="0.25">
      <c r="A33" s="16" t="s">
        <v>8527</v>
      </c>
      <c r="B33" s="17">
        <v>8465143</v>
      </c>
      <c r="C33" s="17">
        <v>0</v>
      </c>
      <c r="D33" s="17" t="s">
        <v>14711</v>
      </c>
      <c r="E33" s="17" t="s">
        <v>14732</v>
      </c>
      <c r="F33" s="17" t="s">
        <v>96</v>
      </c>
      <c r="G33" s="18" t="s">
        <v>14773</v>
      </c>
      <c r="H33" s="18" t="s">
        <v>98</v>
      </c>
      <c r="I33" s="17" t="s">
        <v>14774</v>
      </c>
      <c r="J33" s="17">
        <v>1</v>
      </c>
      <c r="K33" s="17">
        <v>0</v>
      </c>
      <c r="L33" s="17" t="s">
        <v>14775</v>
      </c>
      <c r="M33" s="19" t="s">
        <v>101</v>
      </c>
      <c r="N33" s="17" t="s">
        <v>14776</v>
      </c>
      <c r="O33" s="17" t="s">
        <v>8532</v>
      </c>
      <c r="P33" s="17" t="str">
        <f>HYPERLINK("https://photon-sol.tinyastro.io/en/lp/7vFMckYWw31EhjrK9CSf7FtLm3wKwyuBNQodHHdMpump?handle=676050794bc1b1657a56b", "View")</f>
        <v>View</v>
      </c>
    </row>
    <row r="34" spans="1:16" x14ac:dyDescent="0.25">
      <c r="A34" s="13" t="s">
        <v>8527</v>
      </c>
      <c r="B34" s="14">
        <v>5045756</v>
      </c>
      <c r="C34" s="14">
        <v>0</v>
      </c>
      <c r="D34" s="14" t="s">
        <v>14711</v>
      </c>
      <c r="E34" s="14" t="s">
        <v>14732</v>
      </c>
      <c r="F34" s="14" t="s">
        <v>96</v>
      </c>
      <c r="G34" s="18" t="s">
        <v>14773</v>
      </c>
      <c r="H34" s="18" t="s">
        <v>98</v>
      </c>
      <c r="I34" s="14" t="s">
        <v>14777</v>
      </c>
      <c r="J34" s="14">
        <v>1</v>
      </c>
      <c r="K34" s="14">
        <v>0</v>
      </c>
      <c r="L34" s="14" t="s">
        <v>14778</v>
      </c>
      <c r="M34" s="19" t="s">
        <v>101</v>
      </c>
      <c r="N34" s="14" t="s">
        <v>10259</v>
      </c>
      <c r="O34" s="14" t="s">
        <v>8537</v>
      </c>
      <c r="P34" s="14" t="str">
        <f>HYPERLINK("https://photon-sol.tinyastro.io/en/lp/4Ks9LNspmDEibfdfc5aaGbdAbaGFdzJRnTXFXPc1pump?handle=676050794bc1b1657a56b", "View")</f>
        <v>View</v>
      </c>
    </row>
    <row r="35" spans="1:16" x14ac:dyDescent="0.25">
      <c r="A35" s="16" t="s">
        <v>5030</v>
      </c>
      <c r="B35" s="17">
        <v>604962</v>
      </c>
      <c r="C35" s="17">
        <v>604962</v>
      </c>
      <c r="D35" s="17" t="s">
        <v>14726</v>
      </c>
      <c r="E35" s="17" t="s">
        <v>6467</v>
      </c>
      <c r="F35" s="17" t="s">
        <v>14779</v>
      </c>
      <c r="G35" s="21" t="s">
        <v>14780</v>
      </c>
      <c r="H35" s="21" t="s">
        <v>14781</v>
      </c>
      <c r="I35" s="17" t="s">
        <v>88</v>
      </c>
      <c r="J35" s="17">
        <v>2</v>
      </c>
      <c r="K35" s="17">
        <v>1</v>
      </c>
      <c r="L35" s="17" t="s">
        <v>14782</v>
      </c>
      <c r="M35" s="17" t="s">
        <v>1957</v>
      </c>
      <c r="N35" s="17" t="s">
        <v>14783</v>
      </c>
      <c r="O35" s="17" t="s">
        <v>6498</v>
      </c>
      <c r="P35" s="17" t="str">
        <f>HYPERLINK("https://dexscreener.com/solana/4J5HoZWoKcbo2JQxEEVCKRBfUQtEroY1QdRrKtZFpump", "View")</f>
        <v>View</v>
      </c>
    </row>
    <row r="36" spans="1:16" x14ac:dyDescent="0.25">
      <c r="A36" s="13" t="s">
        <v>5040</v>
      </c>
      <c r="B36" s="14">
        <v>7882964</v>
      </c>
      <c r="C36" s="14">
        <v>7882964</v>
      </c>
      <c r="D36" s="14" t="s">
        <v>14716</v>
      </c>
      <c r="E36" s="14" t="s">
        <v>14732</v>
      </c>
      <c r="F36" s="14" t="s">
        <v>552</v>
      </c>
      <c r="G36" s="20" t="s">
        <v>3368</v>
      </c>
      <c r="H36" s="20" t="s">
        <v>14784</v>
      </c>
      <c r="I36" s="14" t="s">
        <v>88</v>
      </c>
      <c r="J36" s="14">
        <v>1</v>
      </c>
      <c r="K36" s="14">
        <v>1</v>
      </c>
      <c r="L36" s="14" t="s">
        <v>14785</v>
      </c>
      <c r="M36" s="14" t="s">
        <v>1986</v>
      </c>
      <c r="N36" s="14" t="s">
        <v>968</v>
      </c>
      <c r="O36" s="14" t="s">
        <v>5044</v>
      </c>
      <c r="P36" s="14" t="str">
        <f>HYPERLINK("https://photon-sol.tinyastro.io/en/lp/7ZFmpe9zrBiNtjeU4C3U22hTTDTsndS9Lm1xu724pump?handle=676050794bc1b1657a56b", "View")</f>
        <v>View</v>
      </c>
    </row>
    <row r="37" spans="1:16" x14ac:dyDescent="0.25">
      <c r="A37" s="16" t="s">
        <v>297</v>
      </c>
      <c r="B37" s="17">
        <v>1318951</v>
      </c>
      <c r="C37" s="17">
        <v>1318951</v>
      </c>
      <c r="D37" s="17" t="s">
        <v>14716</v>
      </c>
      <c r="E37" s="17" t="s">
        <v>1804</v>
      </c>
      <c r="F37" s="17" t="s">
        <v>14786</v>
      </c>
      <c r="G37" s="20" t="s">
        <v>14787</v>
      </c>
      <c r="H37" s="20" t="s">
        <v>14788</v>
      </c>
      <c r="I37" s="17" t="s">
        <v>88</v>
      </c>
      <c r="J37" s="17">
        <v>1</v>
      </c>
      <c r="K37" s="17">
        <v>1</v>
      </c>
      <c r="L37" s="17" t="s">
        <v>14789</v>
      </c>
      <c r="M37" s="17" t="s">
        <v>2789</v>
      </c>
      <c r="N37" s="17" t="s">
        <v>14790</v>
      </c>
      <c r="O37" s="17" t="s">
        <v>333</v>
      </c>
      <c r="P37" s="17" t="str">
        <f>HYPERLINK("https://dexscreener.com/solana/GqfGQEhQXpKEnsc33fJo8RLjeQBkYvFzgLPDdBwZpump", "View")</f>
        <v>View</v>
      </c>
    </row>
    <row r="38" spans="1:16" x14ac:dyDescent="0.25">
      <c r="A38" s="13" t="s">
        <v>8573</v>
      </c>
      <c r="B38" s="14">
        <v>6234639</v>
      </c>
      <c r="C38" s="14">
        <v>6234639</v>
      </c>
      <c r="D38" s="14" t="s">
        <v>14791</v>
      </c>
      <c r="E38" s="14" t="s">
        <v>14792</v>
      </c>
      <c r="F38" s="14" t="s">
        <v>14793</v>
      </c>
      <c r="G38" s="15" t="s">
        <v>2179</v>
      </c>
      <c r="H38" s="15" t="s">
        <v>14794</v>
      </c>
      <c r="I38" s="14" t="s">
        <v>88</v>
      </c>
      <c r="J38" s="14">
        <v>1</v>
      </c>
      <c r="K38" s="14">
        <v>1</v>
      </c>
      <c r="L38" s="14" t="s">
        <v>14795</v>
      </c>
      <c r="M38" s="19" t="s">
        <v>2923</v>
      </c>
      <c r="N38" s="14" t="s">
        <v>14796</v>
      </c>
      <c r="O38" s="14" t="s">
        <v>8580</v>
      </c>
      <c r="P38" s="14" t="str">
        <f>HYPERLINK("https://photon-sol.tinyastro.io/en/lp/DxMUBUbs1EofR6pkkpoN9qSxS6euUgC9o8jNQSSpump?handle=676050794bc1b1657a56b", "View")</f>
        <v>View</v>
      </c>
    </row>
    <row r="39" spans="1:16" x14ac:dyDescent="0.25">
      <c r="A39" s="16" t="s">
        <v>8581</v>
      </c>
      <c r="B39" s="17">
        <v>4025538</v>
      </c>
      <c r="C39" s="17">
        <v>4025538</v>
      </c>
      <c r="D39" s="17" t="s">
        <v>14791</v>
      </c>
      <c r="E39" s="17" t="s">
        <v>14792</v>
      </c>
      <c r="F39" s="17" t="s">
        <v>14797</v>
      </c>
      <c r="G39" s="22" t="s">
        <v>4680</v>
      </c>
      <c r="H39" s="22" t="s">
        <v>14798</v>
      </c>
      <c r="I39" s="17" t="s">
        <v>88</v>
      </c>
      <c r="J39" s="17">
        <v>1</v>
      </c>
      <c r="K39" s="17">
        <v>1</v>
      </c>
      <c r="L39" s="17" t="s">
        <v>14799</v>
      </c>
      <c r="M39" s="17" t="s">
        <v>3180</v>
      </c>
      <c r="N39" s="17" t="s">
        <v>14800</v>
      </c>
      <c r="O39" s="17" t="s">
        <v>8586</v>
      </c>
      <c r="P39" s="17" t="str">
        <f>HYPERLINK("https://photon-sol.tinyastro.io/en/lp/GJmxFKMcQVVLmMuzUUaAC2izAQVjoW3McbjJu3V3pump?handle=676050794bc1b1657a56b", "View")</f>
        <v>View</v>
      </c>
    </row>
    <row r="40" spans="1:16" x14ac:dyDescent="0.25">
      <c r="A40" s="13" t="s">
        <v>14801</v>
      </c>
      <c r="B40" s="14">
        <v>16631167</v>
      </c>
      <c r="C40" s="14">
        <v>0</v>
      </c>
      <c r="D40" s="14" t="s">
        <v>4401</v>
      </c>
      <c r="E40" s="14" t="s">
        <v>14792</v>
      </c>
      <c r="F40" s="14" t="s">
        <v>96</v>
      </c>
      <c r="G40" s="18" t="s">
        <v>14802</v>
      </c>
      <c r="H40" s="18" t="s">
        <v>98</v>
      </c>
      <c r="I40" s="14" t="s">
        <v>14803</v>
      </c>
      <c r="J40" s="14">
        <v>1</v>
      </c>
      <c r="K40" s="14">
        <v>0</v>
      </c>
      <c r="L40" s="14" t="s">
        <v>14804</v>
      </c>
      <c r="M40" s="19" t="s">
        <v>101</v>
      </c>
      <c r="N40" s="14" t="s">
        <v>1316</v>
      </c>
      <c r="O40" s="14" t="s">
        <v>14805</v>
      </c>
      <c r="P40" s="14" t="str">
        <f>HYPERLINK("https://photon-sol.tinyastro.io/en/lp/EsCxNhyUtkweTDWYqQt6St9shQcFu5v7tyFHB2eKpump?handle=676050794bc1b1657a56b", "View")</f>
        <v>View</v>
      </c>
    </row>
    <row r="41" spans="1:16" x14ac:dyDescent="0.25">
      <c r="A41" s="16" t="s">
        <v>831</v>
      </c>
      <c r="B41" s="17">
        <v>8170403</v>
      </c>
      <c r="C41" s="17">
        <v>8170403</v>
      </c>
      <c r="D41" s="17" t="s">
        <v>14806</v>
      </c>
      <c r="E41" s="17" t="s">
        <v>7040</v>
      </c>
      <c r="F41" s="17" t="s">
        <v>14807</v>
      </c>
      <c r="G41" s="22" t="s">
        <v>14808</v>
      </c>
      <c r="H41" s="22" t="s">
        <v>14809</v>
      </c>
      <c r="I41" s="17" t="s">
        <v>88</v>
      </c>
      <c r="J41" s="17">
        <v>3</v>
      </c>
      <c r="K41" s="17">
        <v>2</v>
      </c>
      <c r="L41" s="17" t="s">
        <v>14810</v>
      </c>
      <c r="M41" s="17" t="s">
        <v>479</v>
      </c>
      <c r="N41" s="17" t="s">
        <v>14811</v>
      </c>
      <c r="O41" s="17" t="s">
        <v>838</v>
      </c>
      <c r="P41" s="17" t="str">
        <f>HYPERLINK("https://dexscreener.com/solana/4qNX615pV1oufdodNoiBzUsrUE3ww57DYg6LsUtupump", "View")</f>
        <v>View</v>
      </c>
    </row>
    <row r="42" spans="1:16" x14ac:dyDescent="0.25">
      <c r="A42" s="13" t="s">
        <v>14812</v>
      </c>
      <c r="B42" s="14">
        <v>15453207</v>
      </c>
      <c r="C42" s="14">
        <v>0</v>
      </c>
      <c r="D42" s="14" t="s">
        <v>14711</v>
      </c>
      <c r="E42" s="14" t="s">
        <v>14813</v>
      </c>
      <c r="F42" s="14" t="s">
        <v>96</v>
      </c>
      <c r="G42" s="18" t="s">
        <v>14814</v>
      </c>
      <c r="H42" s="18" t="s">
        <v>98</v>
      </c>
      <c r="I42" s="14" t="s">
        <v>14815</v>
      </c>
      <c r="J42" s="14">
        <v>1</v>
      </c>
      <c r="K42" s="14">
        <v>0</v>
      </c>
      <c r="L42" s="14" t="s">
        <v>14816</v>
      </c>
      <c r="M42" s="19" t="s">
        <v>101</v>
      </c>
      <c r="N42" s="14" t="s">
        <v>1011</v>
      </c>
      <c r="O42" s="14" t="s">
        <v>14817</v>
      </c>
      <c r="P42" s="14" t="str">
        <f>HYPERLINK("https://photon-sol.tinyastro.io/en/lp/2barUZ13V5uVwJYyz3DBtn1197nBPNeRgwdAFgF98EM2?handle=676050794bc1b1657a56b", "View")</f>
        <v>View</v>
      </c>
    </row>
    <row r="43" spans="1:16" x14ac:dyDescent="0.25">
      <c r="A43" s="16" t="s">
        <v>14818</v>
      </c>
      <c r="B43" s="17">
        <v>5357481</v>
      </c>
      <c r="C43" s="17">
        <v>0</v>
      </c>
      <c r="D43" s="17" t="s">
        <v>14819</v>
      </c>
      <c r="E43" s="17" t="s">
        <v>14820</v>
      </c>
      <c r="F43" s="17" t="s">
        <v>96</v>
      </c>
      <c r="G43" s="18" t="s">
        <v>14821</v>
      </c>
      <c r="H43" s="18" t="s">
        <v>98</v>
      </c>
      <c r="I43" s="17" t="s">
        <v>14822</v>
      </c>
      <c r="J43" s="17">
        <v>2</v>
      </c>
      <c r="K43" s="17">
        <v>0</v>
      </c>
      <c r="L43" s="17" t="s">
        <v>14823</v>
      </c>
      <c r="M43" s="19" t="s">
        <v>1688</v>
      </c>
      <c r="N43" s="17" t="s">
        <v>14824</v>
      </c>
      <c r="O43" s="17" t="s">
        <v>14825</v>
      </c>
      <c r="P43" s="17" t="str">
        <f>HYPERLINK("https://dexscreener.com/solana/54rRHktmCL8jKyMJxnBSSZ4zR8mxasR1CUx5qJuCHPze", "View")</f>
        <v>View</v>
      </c>
    </row>
    <row r="44" spans="1:16" x14ac:dyDescent="0.25">
      <c r="A44" s="13" t="s">
        <v>14826</v>
      </c>
      <c r="B44" s="14">
        <v>29671556</v>
      </c>
      <c r="C44" s="14">
        <v>7417889</v>
      </c>
      <c r="D44" s="14" t="s">
        <v>14726</v>
      </c>
      <c r="E44" s="14" t="s">
        <v>14827</v>
      </c>
      <c r="F44" s="14" t="s">
        <v>14828</v>
      </c>
      <c r="G44" s="21" t="s">
        <v>14829</v>
      </c>
      <c r="H44" s="21" t="s">
        <v>14830</v>
      </c>
      <c r="I44" s="14" t="s">
        <v>88</v>
      </c>
      <c r="J44" s="14">
        <v>2</v>
      </c>
      <c r="K44" s="14">
        <v>1</v>
      </c>
      <c r="L44" s="14" t="s">
        <v>14831</v>
      </c>
      <c r="M44" s="14" t="s">
        <v>4985</v>
      </c>
      <c r="N44" s="14" t="s">
        <v>14832</v>
      </c>
      <c r="O44" s="14" t="s">
        <v>14833</v>
      </c>
      <c r="P44" s="14" t="str">
        <f>HYPERLINK("https://photon-sol.tinyastro.io/en/lp/Bc2hjM8oYRkkedGLeHcpCUHWBSiG6hoB1JnLjt7iJi5n?handle=676050794bc1b1657a56b", "View")</f>
        <v>View</v>
      </c>
    </row>
    <row r="45" spans="1:16" x14ac:dyDescent="0.25">
      <c r="A45" s="16" t="s">
        <v>14834</v>
      </c>
      <c r="B45" s="17">
        <v>10345266</v>
      </c>
      <c r="C45" s="17">
        <v>10345266</v>
      </c>
      <c r="D45" s="17" t="s">
        <v>14835</v>
      </c>
      <c r="E45" s="17" t="s">
        <v>6403</v>
      </c>
      <c r="F45" s="17" t="s">
        <v>14836</v>
      </c>
      <c r="G45" s="22" t="s">
        <v>14837</v>
      </c>
      <c r="H45" s="22" t="s">
        <v>14838</v>
      </c>
      <c r="I45" s="17" t="s">
        <v>88</v>
      </c>
      <c r="J45" s="17">
        <v>1</v>
      </c>
      <c r="K45" s="17">
        <v>1</v>
      </c>
      <c r="L45" s="17" t="s">
        <v>14839</v>
      </c>
      <c r="M45" s="17" t="s">
        <v>1434</v>
      </c>
      <c r="N45" s="17" t="s">
        <v>14840</v>
      </c>
      <c r="O45" s="17" t="s">
        <v>14841</v>
      </c>
      <c r="P45" s="17" t="str">
        <f>HYPERLINK("https://dexscreener.com/solana/B5QiCod1SDx8Z8WtKNP5gK2Y1x96ah6kbCqxLNoSpump", "View")</f>
        <v>View</v>
      </c>
    </row>
    <row r="46" spans="1:16" x14ac:dyDescent="0.25">
      <c r="A46" s="13" t="s">
        <v>14842</v>
      </c>
      <c r="B46" s="14">
        <v>4677367</v>
      </c>
      <c r="C46" s="14">
        <v>0</v>
      </c>
      <c r="D46" s="14" t="s">
        <v>4401</v>
      </c>
      <c r="E46" s="14" t="s">
        <v>6403</v>
      </c>
      <c r="F46" s="14" t="s">
        <v>96</v>
      </c>
      <c r="G46" s="18" t="s">
        <v>14843</v>
      </c>
      <c r="H46" s="18" t="s">
        <v>98</v>
      </c>
      <c r="I46" s="14" t="s">
        <v>14844</v>
      </c>
      <c r="J46" s="14">
        <v>1</v>
      </c>
      <c r="K46" s="14">
        <v>0</v>
      </c>
      <c r="L46" s="14" t="s">
        <v>14845</v>
      </c>
      <c r="M46" s="19" t="s">
        <v>101</v>
      </c>
      <c r="N46" s="14" t="s">
        <v>14846</v>
      </c>
      <c r="O46" s="14" t="s">
        <v>14847</v>
      </c>
      <c r="P46" s="14" t="str">
        <f>HYPERLINK("https://dexscreener.com/solana/DryBz59g6orQFr9PZgEhbuJaXesmq1361fipSp4Fpump", "View")</f>
        <v>View</v>
      </c>
    </row>
    <row r="47" spans="1:16" x14ac:dyDescent="0.25">
      <c r="A47" s="16" t="s">
        <v>14848</v>
      </c>
      <c r="B47" s="17">
        <v>5966869</v>
      </c>
      <c r="C47" s="17">
        <v>4475151</v>
      </c>
      <c r="D47" s="17" t="s">
        <v>14849</v>
      </c>
      <c r="E47" s="17" t="s">
        <v>6403</v>
      </c>
      <c r="F47" s="17" t="s">
        <v>14850</v>
      </c>
      <c r="G47" s="21" t="s">
        <v>14851</v>
      </c>
      <c r="H47" s="21" t="s">
        <v>14852</v>
      </c>
      <c r="I47" s="17" t="s">
        <v>88</v>
      </c>
      <c r="J47" s="17">
        <v>1</v>
      </c>
      <c r="K47" s="17">
        <v>2</v>
      </c>
      <c r="L47" s="17" t="s">
        <v>14853</v>
      </c>
      <c r="M47" s="17" t="s">
        <v>364</v>
      </c>
      <c r="N47" s="17" t="s">
        <v>14854</v>
      </c>
      <c r="O47" s="17" t="s">
        <v>14855</v>
      </c>
      <c r="P47" s="17" t="str">
        <f>HYPERLINK("https://dexscreener.com/solana/7rRfJ5tdUjFPCWZRyYM7UNnfrpK1dqwzfpMYDknspump", "View")</f>
        <v>View</v>
      </c>
    </row>
    <row r="48" spans="1:16" x14ac:dyDescent="0.25">
      <c r="A48" s="13" t="s">
        <v>5256</v>
      </c>
      <c r="B48" s="14">
        <v>4602829</v>
      </c>
      <c r="C48" s="14">
        <v>0</v>
      </c>
      <c r="D48" s="14" t="s">
        <v>14819</v>
      </c>
      <c r="E48" s="14" t="s">
        <v>6719</v>
      </c>
      <c r="F48" s="14" t="s">
        <v>96</v>
      </c>
      <c r="G48" s="18" t="s">
        <v>14856</v>
      </c>
      <c r="H48" s="18" t="s">
        <v>98</v>
      </c>
      <c r="I48" s="14" t="s">
        <v>14857</v>
      </c>
      <c r="J48" s="14">
        <v>2</v>
      </c>
      <c r="K48" s="14">
        <v>0</v>
      </c>
      <c r="L48" s="14" t="s">
        <v>14858</v>
      </c>
      <c r="M48" s="14" t="s">
        <v>3180</v>
      </c>
      <c r="N48" s="14" t="s">
        <v>14859</v>
      </c>
      <c r="O48" s="14" t="s">
        <v>5261</v>
      </c>
      <c r="P48" s="14" t="str">
        <f>HYPERLINK("https://dexscreener.com/solana/hf8aYwMK2cYv7t4uUhUAqpdwTS3sja2z9RJMQZ2pump", "View")</f>
        <v>View</v>
      </c>
    </row>
    <row r="49" spans="1:16" x14ac:dyDescent="0.25">
      <c r="A49" s="16" t="s">
        <v>1755</v>
      </c>
      <c r="B49" s="17">
        <v>6496525</v>
      </c>
      <c r="C49" s="17">
        <v>0</v>
      </c>
      <c r="D49" s="17" t="s">
        <v>14711</v>
      </c>
      <c r="E49" s="17" t="s">
        <v>6581</v>
      </c>
      <c r="F49" s="17" t="s">
        <v>96</v>
      </c>
      <c r="G49" s="18" t="s">
        <v>14770</v>
      </c>
      <c r="H49" s="18" t="s">
        <v>98</v>
      </c>
      <c r="I49" s="17" t="s">
        <v>14860</v>
      </c>
      <c r="J49" s="17">
        <v>1</v>
      </c>
      <c r="K49" s="17">
        <v>0</v>
      </c>
      <c r="L49" s="17" t="s">
        <v>14861</v>
      </c>
      <c r="M49" s="19" t="s">
        <v>101</v>
      </c>
      <c r="N49" s="17" t="s">
        <v>14862</v>
      </c>
      <c r="O49" s="17" t="s">
        <v>14863</v>
      </c>
      <c r="P49" s="17" t="str">
        <f>HYPERLINK("https://dexscreener.com/solana/GT7ksoBf5XpceDEitBNbay7U13zqwbh6HtDiMpU9pump", "View")</f>
        <v>View</v>
      </c>
    </row>
    <row r="50" spans="1:16" x14ac:dyDescent="0.25">
      <c r="A50" s="13" t="s">
        <v>14864</v>
      </c>
      <c r="B50" s="14">
        <v>10107658</v>
      </c>
      <c r="C50" s="14">
        <v>10107658</v>
      </c>
      <c r="D50" s="14" t="s">
        <v>14716</v>
      </c>
      <c r="E50" s="14" t="s">
        <v>14732</v>
      </c>
      <c r="F50" s="14" t="s">
        <v>14865</v>
      </c>
      <c r="G50" s="15" t="s">
        <v>14866</v>
      </c>
      <c r="H50" s="15" t="s">
        <v>14867</v>
      </c>
      <c r="I50" s="14" t="s">
        <v>88</v>
      </c>
      <c r="J50" s="14">
        <v>1</v>
      </c>
      <c r="K50" s="14">
        <v>1</v>
      </c>
      <c r="L50" s="14" t="s">
        <v>14868</v>
      </c>
      <c r="M50" s="19" t="s">
        <v>2826</v>
      </c>
      <c r="N50" s="14" t="s">
        <v>6756</v>
      </c>
      <c r="O50" s="14" t="s">
        <v>14869</v>
      </c>
      <c r="P50" s="14" t="str">
        <f>HYPERLINK("https://photon-sol.tinyastro.io/en/lp/EwPWqYTL3o8dYirmDiEQDD2k4p9DA38DoMgiHnBTJmRe?handle=676050794bc1b1657a56b", "View")</f>
        <v>View</v>
      </c>
    </row>
    <row r="51" spans="1:16" x14ac:dyDescent="0.25">
      <c r="A51" s="16" t="s">
        <v>6758</v>
      </c>
      <c r="B51" s="17">
        <v>2362129</v>
      </c>
      <c r="C51" s="17">
        <v>0</v>
      </c>
      <c r="D51" s="17" t="s">
        <v>4401</v>
      </c>
      <c r="E51" s="17" t="s">
        <v>6403</v>
      </c>
      <c r="F51" s="17" t="s">
        <v>96</v>
      </c>
      <c r="G51" s="18" t="s">
        <v>14843</v>
      </c>
      <c r="H51" s="18" t="s">
        <v>98</v>
      </c>
      <c r="I51" s="17" t="s">
        <v>14870</v>
      </c>
      <c r="J51" s="17">
        <v>1</v>
      </c>
      <c r="K51" s="17">
        <v>0</v>
      </c>
      <c r="L51" s="17" t="s">
        <v>14871</v>
      </c>
      <c r="M51" s="19" t="s">
        <v>101</v>
      </c>
      <c r="N51" s="17" t="s">
        <v>14872</v>
      </c>
      <c r="O51" s="17" t="s">
        <v>14873</v>
      </c>
      <c r="P51" s="17" t="str">
        <f>HYPERLINK("https://dexscreener.com/solana/7U7FZaLfJTt2pN9Canp1Njt3vbz6eiqHbxn2bpmEwtYB", "View")</f>
        <v>View</v>
      </c>
    </row>
    <row r="52" spans="1:16" x14ac:dyDescent="0.25">
      <c r="A52" s="13" t="s">
        <v>14874</v>
      </c>
      <c r="B52" s="14">
        <v>10042653</v>
      </c>
      <c r="C52" s="14">
        <v>10042653</v>
      </c>
      <c r="D52" s="14" t="s">
        <v>14759</v>
      </c>
      <c r="E52" s="14" t="s">
        <v>14732</v>
      </c>
      <c r="F52" s="14" t="s">
        <v>5821</v>
      </c>
      <c r="G52" s="15" t="s">
        <v>14875</v>
      </c>
      <c r="H52" s="15" t="s">
        <v>14876</v>
      </c>
      <c r="I52" s="14" t="s">
        <v>88</v>
      </c>
      <c r="J52" s="14">
        <v>1</v>
      </c>
      <c r="K52" s="14">
        <v>1</v>
      </c>
      <c r="L52" s="14" t="s">
        <v>14877</v>
      </c>
      <c r="M52" s="14" t="s">
        <v>937</v>
      </c>
      <c r="N52" s="14" t="s">
        <v>14878</v>
      </c>
      <c r="O52" s="14" t="s">
        <v>14879</v>
      </c>
      <c r="P52" s="14" t="str">
        <f>HYPERLINK("https://photon-sol.tinyastro.io/en/lp/FG9zf45YxwgQp3KLcGdYmgSrNviVeeNReb96SoUkmNuw?handle=676050794bc1b1657a56b", "View")</f>
        <v>View</v>
      </c>
    </row>
    <row r="53" spans="1:16" x14ac:dyDescent="0.25">
      <c r="A53" s="16" t="s">
        <v>14880</v>
      </c>
      <c r="B53" s="17">
        <v>16698775</v>
      </c>
      <c r="C53" s="17">
        <v>16698775</v>
      </c>
      <c r="D53" s="17" t="s">
        <v>14759</v>
      </c>
      <c r="E53" s="17" t="s">
        <v>6581</v>
      </c>
      <c r="F53" s="17" t="s">
        <v>14881</v>
      </c>
      <c r="G53" s="20" t="s">
        <v>14882</v>
      </c>
      <c r="H53" s="20" t="s">
        <v>14883</v>
      </c>
      <c r="I53" s="17" t="s">
        <v>88</v>
      </c>
      <c r="J53" s="17">
        <v>1</v>
      </c>
      <c r="K53" s="17">
        <v>1</v>
      </c>
      <c r="L53" s="17" t="s">
        <v>14884</v>
      </c>
      <c r="M53" s="17" t="s">
        <v>602</v>
      </c>
      <c r="N53" s="17" t="s">
        <v>14885</v>
      </c>
      <c r="O53" s="17" t="s">
        <v>14886</v>
      </c>
      <c r="P53" s="17" t="str">
        <f>HYPERLINK("https://dexscreener.com/solana/DXTZtyceHsMwScSymw9i4xcN5fEtypGQwGXVKSFJmHcG", "View")</f>
        <v>View</v>
      </c>
    </row>
    <row r="54" spans="1:16" x14ac:dyDescent="0.25">
      <c r="A54" s="13" t="s">
        <v>14887</v>
      </c>
      <c r="B54" s="14">
        <v>1878310</v>
      </c>
      <c r="C54" s="14">
        <v>1878310</v>
      </c>
      <c r="D54" s="14" t="s">
        <v>14791</v>
      </c>
      <c r="E54" s="14" t="s">
        <v>10388</v>
      </c>
      <c r="F54" s="14" t="s">
        <v>14888</v>
      </c>
      <c r="G54" s="21" t="s">
        <v>14889</v>
      </c>
      <c r="H54" s="21" t="s">
        <v>14890</v>
      </c>
      <c r="I54" s="14" t="s">
        <v>88</v>
      </c>
      <c r="J54" s="14">
        <v>1</v>
      </c>
      <c r="K54" s="14">
        <v>1</v>
      </c>
      <c r="L54" s="14" t="s">
        <v>14891</v>
      </c>
      <c r="M54" s="14" t="s">
        <v>2984</v>
      </c>
      <c r="N54" s="14" t="s">
        <v>14892</v>
      </c>
      <c r="O54" s="14" t="s">
        <v>14893</v>
      </c>
      <c r="P54" s="14" t="str">
        <f>HYPERLINK("https://dexscreener.com/solana/84nv9YXgemtDZyFWJ68d7RrGQ8wYfwgAGVFkpM48pump", "View")</f>
        <v>View</v>
      </c>
    </row>
    <row r="55" spans="1:16" x14ac:dyDescent="0.25">
      <c r="A55" s="16" t="s">
        <v>4498</v>
      </c>
      <c r="B55" s="17">
        <v>7027466</v>
      </c>
      <c r="C55" s="17">
        <v>7027466</v>
      </c>
      <c r="D55" s="17" t="s">
        <v>14791</v>
      </c>
      <c r="E55" s="17" t="s">
        <v>14792</v>
      </c>
      <c r="F55" s="17" t="s">
        <v>14894</v>
      </c>
      <c r="G55" s="15" t="s">
        <v>14895</v>
      </c>
      <c r="H55" s="15" t="s">
        <v>14896</v>
      </c>
      <c r="I55" s="17" t="s">
        <v>88</v>
      </c>
      <c r="J55" s="17">
        <v>1</v>
      </c>
      <c r="K55" s="17">
        <v>1</v>
      </c>
      <c r="L55" s="17" t="s">
        <v>14897</v>
      </c>
      <c r="M55" s="17" t="s">
        <v>3171</v>
      </c>
      <c r="N55" s="17" t="s">
        <v>14898</v>
      </c>
      <c r="O55" s="17" t="s">
        <v>14899</v>
      </c>
      <c r="P55" s="17" t="str">
        <f>HYPERLINK("https://photon-sol.tinyastro.io/en/lp/AMMLAAECxdugSJiLbfEXWjSARejYC68DJzA7juVTpump?handle=676050794bc1b1657a56b", "View")</f>
        <v>View</v>
      </c>
    </row>
    <row r="56" spans="1:16" x14ac:dyDescent="0.25">
      <c r="A56" s="13" t="s">
        <v>10067</v>
      </c>
      <c r="B56" s="14">
        <v>39603137</v>
      </c>
      <c r="C56" s="14">
        <v>19603137</v>
      </c>
      <c r="D56" s="14" t="s">
        <v>14900</v>
      </c>
      <c r="E56" s="14" t="s">
        <v>14732</v>
      </c>
      <c r="F56" s="14" t="s">
        <v>14901</v>
      </c>
      <c r="G56" s="21" t="s">
        <v>14902</v>
      </c>
      <c r="H56" s="21" t="s">
        <v>14903</v>
      </c>
      <c r="I56" s="14" t="s">
        <v>88</v>
      </c>
      <c r="J56" s="14">
        <v>1</v>
      </c>
      <c r="K56" s="14">
        <v>3</v>
      </c>
      <c r="L56" s="14" t="s">
        <v>14904</v>
      </c>
      <c r="M56" s="14" t="s">
        <v>132</v>
      </c>
      <c r="N56" s="14" t="s">
        <v>14905</v>
      </c>
      <c r="O56" s="14" t="s">
        <v>10071</v>
      </c>
      <c r="P56" s="14" t="str">
        <f>HYPERLINK("https://photon-sol.tinyastro.io/en/lp/6UaBXHo66aMBk82hR2xzB466sv4vNc9dnJdHtrBmpump?handle=676050794bc1b1657a56b", "View")</f>
        <v>View</v>
      </c>
    </row>
    <row r="57" spans="1:16" x14ac:dyDescent="0.25">
      <c r="A57" s="16" t="s">
        <v>1755</v>
      </c>
      <c r="B57" s="17">
        <v>3318807</v>
      </c>
      <c r="C57" s="17">
        <v>3318807</v>
      </c>
      <c r="D57" s="17" t="s">
        <v>14906</v>
      </c>
      <c r="E57" s="17" t="s">
        <v>6403</v>
      </c>
      <c r="F57" s="17" t="s">
        <v>14907</v>
      </c>
      <c r="G57" s="22" t="s">
        <v>14570</v>
      </c>
      <c r="H57" s="22" t="s">
        <v>14908</v>
      </c>
      <c r="I57" s="17" t="s">
        <v>88</v>
      </c>
      <c r="J57" s="17">
        <v>2</v>
      </c>
      <c r="K57" s="17">
        <v>2</v>
      </c>
      <c r="L57" s="17" t="s">
        <v>14909</v>
      </c>
      <c r="M57" s="17" t="s">
        <v>937</v>
      </c>
      <c r="N57" s="17" t="s">
        <v>14910</v>
      </c>
      <c r="O57" s="17" t="s">
        <v>14911</v>
      </c>
      <c r="P57" s="17" t="str">
        <f>HYPERLINK("https://dexscreener.com/solana/82SP62Q6VL8Tuy5akaNVicvfJVgwDtjL7JqyBhcKpump", "View")</f>
        <v>View</v>
      </c>
    </row>
    <row r="58" spans="1:16" x14ac:dyDescent="0.25">
      <c r="A58" s="13" t="s">
        <v>14912</v>
      </c>
      <c r="B58" s="14">
        <v>37160543</v>
      </c>
      <c r="C58" s="14">
        <v>37160543</v>
      </c>
      <c r="D58" s="14" t="s">
        <v>14759</v>
      </c>
      <c r="E58" s="14" t="s">
        <v>14732</v>
      </c>
      <c r="F58" s="14" t="s">
        <v>14913</v>
      </c>
      <c r="G58" s="20" t="s">
        <v>14914</v>
      </c>
      <c r="H58" s="20" t="s">
        <v>14915</v>
      </c>
      <c r="I58" s="14" t="s">
        <v>88</v>
      </c>
      <c r="J58" s="14">
        <v>1</v>
      </c>
      <c r="K58" s="14">
        <v>1</v>
      </c>
      <c r="L58" s="14" t="s">
        <v>14916</v>
      </c>
      <c r="M58" s="14" t="s">
        <v>1434</v>
      </c>
      <c r="N58" s="14" t="s">
        <v>1011</v>
      </c>
      <c r="O58" s="14" t="s">
        <v>14917</v>
      </c>
      <c r="P58" s="14" t="str">
        <f>HYPERLINK("https://photon-sol.tinyastro.io/en/lp/EPKVS9AVDVCBWGD6j2XXakUdbxkawNSMJepkvSNM5Tkx?handle=676050794bc1b1657a56b", "View")</f>
        <v>View</v>
      </c>
    </row>
    <row r="59" spans="1:16" x14ac:dyDescent="0.25">
      <c r="A59" s="16" t="s">
        <v>14918</v>
      </c>
      <c r="B59" s="17">
        <v>12177787</v>
      </c>
      <c r="C59" s="17">
        <v>12177787</v>
      </c>
      <c r="D59" s="17" t="s">
        <v>14919</v>
      </c>
      <c r="E59" s="17" t="s">
        <v>6425</v>
      </c>
      <c r="F59" s="17" t="s">
        <v>14920</v>
      </c>
      <c r="G59" s="22" t="s">
        <v>14921</v>
      </c>
      <c r="H59" s="22" t="s">
        <v>14922</v>
      </c>
      <c r="I59" s="17" t="s">
        <v>88</v>
      </c>
      <c r="J59" s="17">
        <v>2</v>
      </c>
      <c r="K59" s="17">
        <v>3</v>
      </c>
      <c r="L59" s="17" t="s">
        <v>14923</v>
      </c>
      <c r="M59" s="17" t="s">
        <v>132</v>
      </c>
      <c r="N59" s="17" t="s">
        <v>14924</v>
      </c>
      <c r="O59" s="17" t="s">
        <v>14925</v>
      </c>
      <c r="P59" s="17" t="str">
        <f>HYPERLINK("https://dexscreener.com/solana/D4N5vcpdxysThXZqT1VEJYcQzvp59Eff4fHQvbL9pump", "View")</f>
        <v>View</v>
      </c>
    </row>
    <row r="60" spans="1:16" x14ac:dyDescent="0.25">
      <c r="A60" s="13" t="s">
        <v>575</v>
      </c>
      <c r="B60" s="14">
        <v>4719371</v>
      </c>
      <c r="C60" s="14">
        <v>4719371</v>
      </c>
      <c r="D60" s="14" t="s">
        <v>14926</v>
      </c>
      <c r="E60" s="14" t="s">
        <v>14927</v>
      </c>
      <c r="F60" s="14" t="s">
        <v>14928</v>
      </c>
      <c r="G60" s="22" t="s">
        <v>14929</v>
      </c>
      <c r="H60" s="22" t="s">
        <v>14930</v>
      </c>
      <c r="I60" s="14" t="s">
        <v>88</v>
      </c>
      <c r="J60" s="14">
        <v>3</v>
      </c>
      <c r="K60" s="14">
        <v>2</v>
      </c>
      <c r="L60" s="14" t="s">
        <v>14931</v>
      </c>
      <c r="M60" s="14" t="s">
        <v>117</v>
      </c>
      <c r="N60" s="14" t="s">
        <v>14932</v>
      </c>
      <c r="O60" s="14" t="s">
        <v>583</v>
      </c>
      <c r="P60" s="14" t="str">
        <f>HYPERLINK("https://dexscreener.com/solana/9PR7nCP9DpcUotnDPVLUBUZKu5WAYkwrCUx9wDnSpump", "View")</f>
        <v>View</v>
      </c>
    </row>
    <row r="61" spans="1:16" x14ac:dyDescent="0.25">
      <c r="A61" s="16" t="s">
        <v>9912</v>
      </c>
      <c r="B61" s="17">
        <v>2532459</v>
      </c>
      <c r="C61" s="17">
        <v>2532459</v>
      </c>
      <c r="D61" s="17" t="s">
        <v>14791</v>
      </c>
      <c r="E61" s="17" t="s">
        <v>6589</v>
      </c>
      <c r="F61" s="17" t="s">
        <v>14933</v>
      </c>
      <c r="G61" s="20" t="s">
        <v>14934</v>
      </c>
      <c r="H61" s="20" t="s">
        <v>14935</v>
      </c>
      <c r="I61" s="17" t="s">
        <v>88</v>
      </c>
      <c r="J61" s="17">
        <v>1</v>
      </c>
      <c r="K61" s="17">
        <v>1</v>
      </c>
      <c r="L61" s="17" t="s">
        <v>14936</v>
      </c>
      <c r="M61" s="17" t="s">
        <v>1610</v>
      </c>
      <c r="N61" s="17" t="s">
        <v>14937</v>
      </c>
      <c r="O61" s="17" t="s">
        <v>9918</v>
      </c>
      <c r="P61" s="17" t="str">
        <f>HYPERLINK("https://dexscreener.com/solana/H84qihes12nVQarr8rzmw87hDXUbHtFKRm5joBcbpump", "View")</f>
        <v>View</v>
      </c>
    </row>
    <row r="62" spans="1:16" x14ac:dyDescent="0.25">
      <c r="A62" s="13" t="s">
        <v>5408</v>
      </c>
      <c r="B62" s="14">
        <v>8283925</v>
      </c>
      <c r="C62" s="14">
        <v>8283925</v>
      </c>
      <c r="D62" s="14" t="s">
        <v>14938</v>
      </c>
      <c r="E62" s="14" t="s">
        <v>6403</v>
      </c>
      <c r="F62" s="14" t="s">
        <v>14939</v>
      </c>
      <c r="G62" s="21" t="s">
        <v>14940</v>
      </c>
      <c r="H62" s="21" t="s">
        <v>14941</v>
      </c>
      <c r="I62" s="14" t="s">
        <v>88</v>
      </c>
      <c r="J62" s="14">
        <v>1</v>
      </c>
      <c r="K62" s="14">
        <v>4</v>
      </c>
      <c r="L62" s="14" t="s">
        <v>14942</v>
      </c>
      <c r="M62" s="14" t="s">
        <v>179</v>
      </c>
      <c r="N62" s="14" t="s">
        <v>14943</v>
      </c>
      <c r="O62" s="14" t="s">
        <v>5412</v>
      </c>
      <c r="P62" s="14" t="str">
        <f>HYPERLINK("https://dexscreener.com/solana/2TXwAQ3jCicGS4SdoS1huXT3hEk64ybREaqT1jtkpump", "View")</f>
        <v>View</v>
      </c>
    </row>
    <row r="63" spans="1:16" x14ac:dyDescent="0.25">
      <c r="A63" s="16" t="s">
        <v>14944</v>
      </c>
      <c r="B63" s="17">
        <v>27307728</v>
      </c>
      <c r="C63" s="17">
        <v>27298218</v>
      </c>
      <c r="D63" s="17" t="s">
        <v>14945</v>
      </c>
      <c r="E63" s="17" t="s">
        <v>14946</v>
      </c>
      <c r="F63" s="17" t="s">
        <v>14947</v>
      </c>
      <c r="G63" s="21" t="s">
        <v>14948</v>
      </c>
      <c r="H63" s="21" t="s">
        <v>14949</v>
      </c>
      <c r="I63" s="17" t="s">
        <v>88</v>
      </c>
      <c r="J63" s="17">
        <v>3</v>
      </c>
      <c r="K63" s="17">
        <v>8</v>
      </c>
      <c r="L63" s="17" t="s">
        <v>14950</v>
      </c>
      <c r="M63" s="17" t="s">
        <v>699</v>
      </c>
      <c r="N63" s="17" t="s">
        <v>14951</v>
      </c>
      <c r="O63" s="17" t="s">
        <v>14952</v>
      </c>
      <c r="P63" s="17" t="str">
        <f>HYPERLINK("https://dexscreener.com/solana/F9GqoJRPzQnGzvP7cQzLHB7C22DToHQYWfsPvhKwqrpC", "View")</f>
        <v>View</v>
      </c>
    </row>
    <row r="64" spans="1:16" x14ac:dyDescent="0.25">
      <c r="A64" s="13" t="s">
        <v>14953</v>
      </c>
      <c r="B64" s="14">
        <v>9642748</v>
      </c>
      <c r="C64" s="14">
        <v>0</v>
      </c>
      <c r="D64" s="14" t="s">
        <v>14954</v>
      </c>
      <c r="E64" s="14" t="s">
        <v>14955</v>
      </c>
      <c r="F64" s="14" t="s">
        <v>96</v>
      </c>
      <c r="G64" s="18" t="s">
        <v>14956</v>
      </c>
      <c r="H64" s="18" t="s">
        <v>98</v>
      </c>
      <c r="I64" s="14" t="s">
        <v>14957</v>
      </c>
      <c r="J64" s="14">
        <v>2</v>
      </c>
      <c r="K64" s="14">
        <v>0</v>
      </c>
      <c r="L64" s="14" t="s">
        <v>14958</v>
      </c>
      <c r="M64" s="14" t="s">
        <v>2047</v>
      </c>
      <c r="N64" s="14" t="s">
        <v>14959</v>
      </c>
      <c r="O64" s="14" t="s">
        <v>14960</v>
      </c>
      <c r="P64" s="14" t="str">
        <f>HYPERLINK("https://dexscreener.com/solana/3MNkGKDbwvGq8P9XBnQx4ECzifFPFU5Nf43e78EYpump", "View")</f>
        <v>View</v>
      </c>
    </row>
    <row r="65" spans="1:16" x14ac:dyDescent="0.25">
      <c r="A65" s="16" t="s">
        <v>14961</v>
      </c>
      <c r="B65" s="17">
        <v>31814973</v>
      </c>
      <c r="C65" s="17">
        <v>0</v>
      </c>
      <c r="D65" s="17" t="s">
        <v>14711</v>
      </c>
      <c r="E65" s="17" t="s">
        <v>13499</v>
      </c>
      <c r="F65" s="17" t="s">
        <v>96</v>
      </c>
      <c r="G65" s="18" t="s">
        <v>14712</v>
      </c>
      <c r="H65" s="18" t="s">
        <v>98</v>
      </c>
      <c r="I65" s="17" t="s">
        <v>14962</v>
      </c>
      <c r="J65" s="17">
        <v>1</v>
      </c>
      <c r="K65" s="17">
        <v>0</v>
      </c>
      <c r="L65" s="17" t="s">
        <v>14963</v>
      </c>
      <c r="M65" s="19" t="s">
        <v>101</v>
      </c>
      <c r="N65" s="17" t="s">
        <v>13007</v>
      </c>
      <c r="O65" s="17" t="s">
        <v>14964</v>
      </c>
      <c r="P65" s="17" t="str">
        <f>HYPERLINK("https://photon-sol.tinyastro.io/en/lp/Bb5bvukRQh5YVCUh49RfDkMM7WyCTqXwELYtZn1Lpump?handle=676050794bc1b1657a56b", "View")</f>
        <v>View</v>
      </c>
    </row>
    <row r="66" spans="1:16" x14ac:dyDescent="0.25">
      <c r="A66" s="13" t="s">
        <v>11387</v>
      </c>
      <c r="B66" s="14">
        <v>1003481</v>
      </c>
      <c r="C66" s="14">
        <v>1003481</v>
      </c>
      <c r="D66" s="14" t="s">
        <v>14716</v>
      </c>
      <c r="E66" s="14" t="s">
        <v>6589</v>
      </c>
      <c r="F66" s="14" t="s">
        <v>14965</v>
      </c>
      <c r="G66" s="22" t="s">
        <v>14966</v>
      </c>
      <c r="H66" s="22" t="s">
        <v>14967</v>
      </c>
      <c r="I66" s="14" t="s">
        <v>88</v>
      </c>
      <c r="J66" s="14">
        <v>1</v>
      </c>
      <c r="K66" s="14">
        <v>1</v>
      </c>
      <c r="L66" s="14" t="s">
        <v>14968</v>
      </c>
      <c r="M66" s="19" t="s">
        <v>2493</v>
      </c>
      <c r="N66" s="14" t="s">
        <v>14969</v>
      </c>
      <c r="O66" s="14" t="s">
        <v>11391</v>
      </c>
      <c r="P66" s="14" t="str">
        <f>HYPERLINK("https://dexscreener.com/solana/4B3NXEKgsT9hsadpCKNEwSXj6aDqwR7iqe5GzvgKpump", "View")</f>
        <v>View</v>
      </c>
    </row>
    <row r="67" spans="1:16" x14ac:dyDescent="0.25">
      <c r="A67" s="16" t="s">
        <v>10039</v>
      </c>
      <c r="B67" s="17">
        <v>13189363</v>
      </c>
      <c r="C67" s="17">
        <v>3297341</v>
      </c>
      <c r="D67" s="17" t="s">
        <v>14716</v>
      </c>
      <c r="E67" s="17" t="s">
        <v>14717</v>
      </c>
      <c r="F67" s="17" t="s">
        <v>14970</v>
      </c>
      <c r="G67" s="22" t="s">
        <v>3700</v>
      </c>
      <c r="H67" s="22" t="s">
        <v>14971</v>
      </c>
      <c r="I67" s="17" t="s">
        <v>88</v>
      </c>
      <c r="J67" s="17">
        <v>1</v>
      </c>
      <c r="K67" s="17">
        <v>1</v>
      </c>
      <c r="L67" s="17" t="s">
        <v>14972</v>
      </c>
      <c r="M67" s="17" t="s">
        <v>602</v>
      </c>
      <c r="N67" s="17" t="s">
        <v>14973</v>
      </c>
      <c r="O67" s="17" t="s">
        <v>14974</v>
      </c>
      <c r="P67" s="17" t="str">
        <f>HYPERLINK("https://photon-sol.tinyastro.io/en/lp/xCLhJpPhC4wLrvq7ramaW268xJXsnJC6wNWENR2pump?handle=676050794bc1b1657a56b", "View")</f>
        <v>View</v>
      </c>
    </row>
    <row r="68" spans="1:16" x14ac:dyDescent="0.25">
      <c r="A68" s="13" t="s">
        <v>14975</v>
      </c>
      <c r="B68" s="14">
        <v>13199858</v>
      </c>
      <c r="C68" s="14">
        <v>13199858</v>
      </c>
      <c r="D68" s="14" t="s">
        <v>14791</v>
      </c>
      <c r="E68" s="14" t="s">
        <v>14792</v>
      </c>
      <c r="F68" s="14" t="s">
        <v>5471</v>
      </c>
      <c r="G68" s="15" t="s">
        <v>14976</v>
      </c>
      <c r="H68" s="15" t="s">
        <v>14977</v>
      </c>
      <c r="I68" s="14" t="s">
        <v>88</v>
      </c>
      <c r="J68" s="14">
        <v>1</v>
      </c>
      <c r="K68" s="14">
        <v>1</v>
      </c>
      <c r="L68" s="14" t="s">
        <v>14978</v>
      </c>
      <c r="M68" s="14" t="s">
        <v>788</v>
      </c>
      <c r="N68" s="14" t="s">
        <v>14979</v>
      </c>
      <c r="O68" s="14" t="s">
        <v>14980</v>
      </c>
      <c r="P68" s="14" t="str">
        <f>HYPERLINK("https://photon-sol.tinyastro.io/en/lp/CrUiu8sLP1iMd22a5UJLYLGhMoQRfVDHFeX9rTGGpump?handle=676050794bc1b1657a56b", "View")</f>
        <v>View</v>
      </c>
    </row>
    <row r="69" spans="1:16" x14ac:dyDescent="0.25">
      <c r="A69" s="16" t="s">
        <v>14981</v>
      </c>
      <c r="B69" s="17">
        <v>2160</v>
      </c>
      <c r="C69" s="17">
        <v>2160</v>
      </c>
      <c r="D69" s="17" t="s">
        <v>14791</v>
      </c>
      <c r="E69" s="17" t="s">
        <v>6403</v>
      </c>
      <c r="F69" s="17" t="s">
        <v>14982</v>
      </c>
      <c r="G69" s="22" t="s">
        <v>14983</v>
      </c>
      <c r="H69" s="22" t="s">
        <v>14984</v>
      </c>
      <c r="I69" s="17" t="s">
        <v>88</v>
      </c>
      <c r="J69" s="17">
        <v>1</v>
      </c>
      <c r="K69" s="17">
        <v>1</v>
      </c>
      <c r="L69" s="17" t="s">
        <v>14985</v>
      </c>
      <c r="M69" s="17" t="s">
        <v>1642</v>
      </c>
      <c r="N69" s="17" t="s">
        <v>14986</v>
      </c>
      <c r="O69" s="17" t="s">
        <v>14987</v>
      </c>
      <c r="P69" s="17" t="str">
        <f>HYPERLINK("https://dexscreener.com/solana/oWe8AAAeXWjkitAEFo4GNDKXEiLYCeN1T82eLmoQm2U", "View")</f>
        <v>View</v>
      </c>
    </row>
    <row r="70" spans="1:16" x14ac:dyDescent="0.25">
      <c r="A70" s="13" t="s">
        <v>14988</v>
      </c>
      <c r="B70" s="14">
        <v>7415432</v>
      </c>
      <c r="C70" s="14">
        <v>0</v>
      </c>
      <c r="D70" s="14" t="s">
        <v>4401</v>
      </c>
      <c r="E70" s="14" t="s">
        <v>14989</v>
      </c>
      <c r="F70" s="14" t="s">
        <v>96</v>
      </c>
      <c r="G70" s="18" t="s">
        <v>14990</v>
      </c>
      <c r="H70" s="18" t="s">
        <v>98</v>
      </c>
      <c r="I70" s="14" t="s">
        <v>14991</v>
      </c>
      <c r="J70" s="14">
        <v>1</v>
      </c>
      <c r="K70" s="14">
        <v>0</v>
      </c>
      <c r="L70" s="14" t="s">
        <v>14992</v>
      </c>
      <c r="M70" s="19" t="s">
        <v>101</v>
      </c>
      <c r="N70" s="14" t="s">
        <v>1652</v>
      </c>
      <c r="O70" s="14" t="s">
        <v>14993</v>
      </c>
      <c r="P70" s="14" t="str">
        <f>HYPERLINK("https://photon-sol.tinyastro.io/en/lp/21qX1GwjQfGFCuZvQP8b2LwRQtACmJcrVf7b8ebWpump?handle=676050794bc1b1657a56b", "View")</f>
        <v>View</v>
      </c>
    </row>
    <row r="71" spans="1:16" x14ac:dyDescent="0.25">
      <c r="A71" s="16" t="s">
        <v>14994</v>
      </c>
      <c r="B71" s="17">
        <v>24420559</v>
      </c>
      <c r="C71" s="17">
        <v>0</v>
      </c>
      <c r="D71" s="17" t="s">
        <v>14711</v>
      </c>
      <c r="E71" s="17" t="s">
        <v>13499</v>
      </c>
      <c r="F71" s="17" t="s">
        <v>96</v>
      </c>
      <c r="G71" s="18" t="s">
        <v>14712</v>
      </c>
      <c r="H71" s="18" t="s">
        <v>98</v>
      </c>
      <c r="I71" s="17" t="s">
        <v>14995</v>
      </c>
      <c r="J71" s="17">
        <v>1</v>
      </c>
      <c r="K71" s="17">
        <v>0</v>
      </c>
      <c r="L71" s="17" t="s">
        <v>14996</v>
      </c>
      <c r="M71" s="19" t="s">
        <v>101</v>
      </c>
      <c r="N71" s="17" t="s">
        <v>507</v>
      </c>
      <c r="O71" s="17" t="s">
        <v>14997</v>
      </c>
      <c r="P71" s="17" t="str">
        <f>HYPERLINK("https://photon-sol.tinyastro.io/en/lp/4pAYwbchHYAYuWyqctqhPqz6qjPcqSE7U6hzt3Bvpump?handle=676050794bc1b1657a56b", "View")</f>
        <v>View</v>
      </c>
    </row>
    <row r="72" spans="1:16" x14ac:dyDescent="0.25">
      <c r="A72" s="13" t="s">
        <v>14998</v>
      </c>
      <c r="B72" s="14">
        <v>28937101</v>
      </c>
      <c r="C72" s="14">
        <v>28937101</v>
      </c>
      <c r="D72" s="14" t="s">
        <v>14759</v>
      </c>
      <c r="E72" s="14" t="s">
        <v>6581</v>
      </c>
      <c r="F72" s="14" t="s">
        <v>14999</v>
      </c>
      <c r="G72" s="22" t="s">
        <v>2531</v>
      </c>
      <c r="H72" s="22" t="s">
        <v>15000</v>
      </c>
      <c r="I72" s="14" t="s">
        <v>88</v>
      </c>
      <c r="J72" s="14">
        <v>1</v>
      </c>
      <c r="K72" s="14">
        <v>1</v>
      </c>
      <c r="L72" s="14" t="s">
        <v>15001</v>
      </c>
      <c r="M72" s="14" t="s">
        <v>980</v>
      </c>
      <c r="N72" s="14" t="s">
        <v>4184</v>
      </c>
      <c r="O72" s="14" t="s">
        <v>15002</v>
      </c>
      <c r="P72" s="14" t="str">
        <f>HYPERLINK("https://dexscreener.com/solana/BpkVi7nmtj9TWyAssU9p1dbhpANsrsF6ycp5JGmxpump", "View")</f>
        <v>View</v>
      </c>
    </row>
    <row r="73" spans="1:16" x14ac:dyDescent="0.25">
      <c r="A73" s="16" t="s">
        <v>15003</v>
      </c>
      <c r="B73" s="17">
        <v>19485446</v>
      </c>
      <c r="C73" s="17">
        <v>19485446</v>
      </c>
      <c r="D73" s="17" t="s">
        <v>14759</v>
      </c>
      <c r="E73" s="17" t="s">
        <v>14732</v>
      </c>
      <c r="F73" s="17" t="s">
        <v>15004</v>
      </c>
      <c r="G73" s="15" t="s">
        <v>15005</v>
      </c>
      <c r="H73" s="15" t="s">
        <v>6250</v>
      </c>
      <c r="I73" s="17" t="s">
        <v>88</v>
      </c>
      <c r="J73" s="17">
        <v>1</v>
      </c>
      <c r="K73" s="17">
        <v>1</v>
      </c>
      <c r="L73" s="17" t="s">
        <v>15006</v>
      </c>
      <c r="M73" s="17" t="s">
        <v>4922</v>
      </c>
      <c r="N73" s="17" t="s">
        <v>507</v>
      </c>
      <c r="O73" s="17" t="s">
        <v>15007</v>
      </c>
      <c r="P73" s="17" t="str">
        <f>HYPERLINK("https://photon-sol.tinyastro.io/en/lp/2ufDZvyq9YiXgePfRYo4LWue7qsB5VyY3Gk8Ddpupump?handle=676050794bc1b1657a56b", "View")</f>
        <v>View</v>
      </c>
    </row>
    <row r="74" spans="1:16" x14ac:dyDescent="0.25">
      <c r="A74" s="13" t="s">
        <v>15008</v>
      </c>
      <c r="B74" s="14">
        <v>42206585</v>
      </c>
      <c r="C74" s="14">
        <v>42206585</v>
      </c>
      <c r="D74" s="14" t="s">
        <v>14791</v>
      </c>
      <c r="E74" s="14" t="s">
        <v>14989</v>
      </c>
      <c r="F74" s="14" t="s">
        <v>15009</v>
      </c>
      <c r="G74" s="22" t="s">
        <v>2699</v>
      </c>
      <c r="H74" s="22" t="s">
        <v>15010</v>
      </c>
      <c r="I74" s="14" t="s">
        <v>88</v>
      </c>
      <c r="J74" s="14">
        <v>1</v>
      </c>
      <c r="K74" s="14">
        <v>1</v>
      </c>
      <c r="L74" s="14" t="s">
        <v>15011</v>
      </c>
      <c r="M74" s="14" t="s">
        <v>1705</v>
      </c>
      <c r="N74" s="14" t="s">
        <v>556</v>
      </c>
      <c r="O74" s="14" t="s">
        <v>15012</v>
      </c>
      <c r="P74" s="14" t="str">
        <f>HYPERLINK("https://photon-sol.tinyastro.io/en/lp/UW9EuXWDGHAiQhv66kApVAzeE1cxJDtsq6X7Hmopump?handle=676050794bc1b1657a56b", "View")</f>
        <v>View</v>
      </c>
    </row>
    <row r="75" spans="1:16" x14ac:dyDescent="0.25">
      <c r="A75" s="16" t="s">
        <v>8929</v>
      </c>
      <c r="B75" s="17">
        <v>6064627</v>
      </c>
      <c r="C75" s="17">
        <v>6064627</v>
      </c>
      <c r="D75" s="17" t="s">
        <v>14759</v>
      </c>
      <c r="E75" s="17" t="s">
        <v>14732</v>
      </c>
      <c r="F75" s="17" t="s">
        <v>1907</v>
      </c>
      <c r="G75" s="20" t="s">
        <v>11307</v>
      </c>
      <c r="H75" s="20" t="s">
        <v>14697</v>
      </c>
      <c r="I75" s="17" t="s">
        <v>88</v>
      </c>
      <c r="J75" s="17">
        <v>1</v>
      </c>
      <c r="K75" s="17">
        <v>1</v>
      </c>
      <c r="L75" s="17" t="s">
        <v>15013</v>
      </c>
      <c r="M75" s="17" t="s">
        <v>1448</v>
      </c>
      <c r="N75" s="17" t="s">
        <v>15014</v>
      </c>
      <c r="O75" s="17" t="s">
        <v>15015</v>
      </c>
      <c r="P75" s="17" t="str">
        <f>HYPERLINK("https://photon-sol.tinyastro.io/en/lp/GxzPuXSFBcqGXcYKoSgsW5wMRigDzQRz9CMjPgNtpump?handle=676050794bc1b1657a56b", "View")</f>
        <v>View</v>
      </c>
    </row>
    <row r="76" spans="1:16" x14ac:dyDescent="0.25">
      <c r="A76" s="13" t="s">
        <v>15016</v>
      </c>
      <c r="B76" s="14">
        <v>27602796</v>
      </c>
      <c r="C76" s="14">
        <v>27602796</v>
      </c>
      <c r="D76" s="14" t="s">
        <v>14759</v>
      </c>
      <c r="E76" s="14" t="s">
        <v>13499</v>
      </c>
      <c r="F76" s="14" t="s">
        <v>6857</v>
      </c>
      <c r="G76" s="22" t="s">
        <v>4982</v>
      </c>
      <c r="H76" s="22" t="s">
        <v>15017</v>
      </c>
      <c r="I76" s="14" t="s">
        <v>88</v>
      </c>
      <c r="J76" s="14">
        <v>1</v>
      </c>
      <c r="K76" s="14">
        <v>1</v>
      </c>
      <c r="L76" s="14" t="s">
        <v>15018</v>
      </c>
      <c r="M76" s="14" t="s">
        <v>602</v>
      </c>
      <c r="N76" s="14" t="s">
        <v>2316</v>
      </c>
      <c r="O76" s="14" t="s">
        <v>15019</v>
      </c>
      <c r="P76" s="14" t="str">
        <f>HYPERLINK("https://photon-sol.tinyastro.io/en/lp/4VYqw4taheRVmv2HqyQQiV99boYh6UbKx6zn4Afcpump?handle=676050794bc1b1657a56b", "View")</f>
        <v>View</v>
      </c>
    </row>
    <row r="77" spans="1:16" x14ac:dyDescent="0.25">
      <c r="A77" s="16" t="s">
        <v>15020</v>
      </c>
      <c r="B77" s="17">
        <v>1076047</v>
      </c>
      <c r="C77" s="17">
        <v>1076047</v>
      </c>
      <c r="D77" s="17" t="s">
        <v>14791</v>
      </c>
      <c r="E77" s="17" t="s">
        <v>1804</v>
      </c>
      <c r="F77" s="17" t="s">
        <v>15021</v>
      </c>
      <c r="G77" s="15" t="s">
        <v>15022</v>
      </c>
      <c r="H77" s="15" t="s">
        <v>15023</v>
      </c>
      <c r="I77" s="17" t="s">
        <v>88</v>
      </c>
      <c r="J77" s="17">
        <v>1</v>
      </c>
      <c r="K77" s="17">
        <v>1</v>
      </c>
      <c r="L77" s="17" t="s">
        <v>15024</v>
      </c>
      <c r="M77" s="17" t="s">
        <v>4922</v>
      </c>
      <c r="N77" s="17" t="s">
        <v>15025</v>
      </c>
      <c r="O77" s="17" t="s">
        <v>15026</v>
      </c>
      <c r="P77" s="17" t="str">
        <f>HYPERLINK("https://dexscreener.com/solana/CUYCQxYfMuTAbPBss9GTPTsVVvHssS5GXit52uwNpump", "View")</f>
        <v>View</v>
      </c>
    </row>
    <row r="78" spans="1:16" x14ac:dyDescent="0.25">
      <c r="A78" s="13" t="s">
        <v>10189</v>
      </c>
      <c r="B78" s="14">
        <v>1229565</v>
      </c>
      <c r="C78" s="14">
        <v>1229565</v>
      </c>
      <c r="D78" s="14" t="s">
        <v>14791</v>
      </c>
      <c r="E78" s="14" t="s">
        <v>6403</v>
      </c>
      <c r="F78" s="14" t="s">
        <v>15027</v>
      </c>
      <c r="G78" s="22" t="s">
        <v>8479</v>
      </c>
      <c r="H78" s="22" t="s">
        <v>15028</v>
      </c>
      <c r="I78" s="14" t="s">
        <v>88</v>
      </c>
      <c r="J78" s="14">
        <v>1</v>
      </c>
      <c r="K78" s="14">
        <v>1</v>
      </c>
      <c r="L78" s="14" t="s">
        <v>15029</v>
      </c>
      <c r="M78" s="14" t="s">
        <v>3171</v>
      </c>
      <c r="N78" s="14" t="s">
        <v>15030</v>
      </c>
      <c r="O78" s="14" t="s">
        <v>10195</v>
      </c>
      <c r="P78" s="14" t="str">
        <f>HYPERLINK("https://dexscreener.com/solana/3Ei8SaoL4JWZv1XsWePqiAjVtb7QtpJbV2TSuURmpump", "View")</f>
        <v>View</v>
      </c>
    </row>
    <row r="79" spans="1:16" x14ac:dyDescent="0.25">
      <c r="A79" s="16" t="s">
        <v>15031</v>
      </c>
      <c r="B79" s="17">
        <v>6538946</v>
      </c>
      <c r="C79" s="17">
        <v>0</v>
      </c>
      <c r="D79" s="17" t="s">
        <v>14711</v>
      </c>
      <c r="E79" s="17" t="s">
        <v>14732</v>
      </c>
      <c r="F79" s="17" t="s">
        <v>96</v>
      </c>
      <c r="G79" s="18" t="s">
        <v>14773</v>
      </c>
      <c r="H79" s="18" t="s">
        <v>98</v>
      </c>
      <c r="I79" s="17" t="s">
        <v>15032</v>
      </c>
      <c r="J79" s="17">
        <v>1</v>
      </c>
      <c r="K79" s="17">
        <v>0</v>
      </c>
      <c r="L79" s="17" t="s">
        <v>15033</v>
      </c>
      <c r="M79" s="19" t="s">
        <v>101</v>
      </c>
      <c r="N79" s="17" t="s">
        <v>5283</v>
      </c>
      <c r="O79" s="17" t="s">
        <v>15034</v>
      </c>
      <c r="P79" s="17" t="str">
        <f>HYPERLINK("https://photon-sol.tinyastro.io/en/lp/ETrCZCb29bx33HnXQ4aYtZZCCG8s1MESQJvNg73vpump?handle=676050794bc1b1657a56b", "View")</f>
        <v>View</v>
      </c>
    </row>
    <row r="80" spans="1:16" x14ac:dyDescent="0.25">
      <c r="A80" s="13" t="s">
        <v>15035</v>
      </c>
      <c r="B80" s="14">
        <v>6645763</v>
      </c>
      <c r="C80" s="14">
        <v>6645763</v>
      </c>
      <c r="D80" s="14" t="s">
        <v>15036</v>
      </c>
      <c r="E80" s="14" t="s">
        <v>14732</v>
      </c>
      <c r="F80" s="14" t="s">
        <v>15037</v>
      </c>
      <c r="G80" s="22" t="s">
        <v>15038</v>
      </c>
      <c r="H80" s="22" t="s">
        <v>15039</v>
      </c>
      <c r="I80" s="14" t="s">
        <v>88</v>
      </c>
      <c r="J80" s="14">
        <v>1</v>
      </c>
      <c r="K80" s="14">
        <v>2</v>
      </c>
      <c r="L80" s="14" t="s">
        <v>15040</v>
      </c>
      <c r="M80" s="14" t="s">
        <v>117</v>
      </c>
      <c r="N80" s="14" t="s">
        <v>15041</v>
      </c>
      <c r="O80" s="14" t="s">
        <v>15042</v>
      </c>
      <c r="P80" s="14" t="str">
        <f>HYPERLINK("https://photon-sol.tinyastro.io/en/lp/BAWZKc2PF2m2czZYH5V8KgRNbqqxmA7nCdABQKggpump?handle=676050794bc1b1657a56b", "View")</f>
        <v>View</v>
      </c>
    </row>
    <row r="81" spans="1:16" x14ac:dyDescent="0.25">
      <c r="A81" s="16" t="s">
        <v>15043</v>
      </c>
      <c r="B81" s="17">
        <v>21096976</v>
      </c>
      <c r="C81" s="17">
        <v>21096976</v>
      </c>
      <c r="D81" s="17" t="s">
        <v>15044</v>
      </c>
      <c r="E81" s="17" t="s">
        <v>14732</v>
      </c>
      <c r="F81" s="17" t="s">
        <v>15045</v>
      </c>
      <c r="G81" s="21" t="s">
        <v>15046</v>
      </c>
      <c r="H81" s="21" t="s">
        <v>15047</v>
      </c>
      <c r="I81" s="17" t="s">
        <v>88</v>
      </c>
      <c r="J81" s="17">
        <v>1</v>
      </c>
      <c r="K81" s="17">
        <v>2</v>
      </c>
      <c r="L81" s="17" t="s">
        <v>15048</v>
      </c>
      <c r="M81" s="17" t="s">
        <v>1434</v>
      </c>
      <c r="N81" s="17" t="s">
        <v>3816</v>
      </c>
      <c r="O81" s="17" t="s">
        <v>15049</v>
      </c>
      <c r="P81" s="17" t="str">
        <f>HYPERLINK("https://photon-sol.tinyastro.io/en/lp/5KmhTX9s7uXGmL2WjLpgtntMVYT9FZKQdj2eEXd8pump?handle=676050794bc1b1657a56b", "View")</f>
        <v>View</v>
      </c>
    </row>
    <row r="82" spans="1:16" x14ac:dyDescent="0.25">
      <c r="A82" s="13" t="s">
        <v>15050</v>
      </c>
      <c r="B82" s="14">
        <v>16230674</v>
      </c>
      <c r="C82" s="14">
        <v>16230674</v>
      </c>
      <c r="D82" s="14" t="s">
        <v>14849</v>
      </c>
      <c r="E82" s="14" t="s">
        <v>13499</v>
      </c>
      <c r="F82" s="14" t="s">
        <v>15051</v>
      </c>
      <c r="G82" s="22" t="s">
        <v>2941</v>
      </c>
      <c r="H82" s="22" t="s">
        <v>15052</v>
      </c>
      <c r="I82" s="14" t="s">
        <v>88</v>
      </c>
      <c r="J82" s="14">
        <v>1</v>
      </c>
      <c r="K82" s="14">
        <v>2</v>
      </c>
      <c r="L82" s="14" t="s">
        <v>15053</v>
      </c>
      <c r="M82" s="14" t="s">
        <v>1448</v>
      </c>
      <c r="N82" s="14" t="s">
        <v>507</v>
      </c>
      <c r="O82" s="14" t="s">
        <v>15054</v>
      </c>
      <c r="P82" s="14" t="str">
        <f>HYPERLINK("https://photon-sol.tinyastro.io/en/lp/ALxqNw3cws15S54DKEzMcRwWDnB9ZU8fj5ynmXAHpump?handle=676050794bc1b1657a56b", "View")</f>
        <v>View</v>
      </c>
    </row>
    <row r="83" spans="1:16" x14ac:dyDescent="0.25">
      <c r="A83" s="16" t="s">
        <v>15055</v>
      </c>
      <c r="B83" s="17">
        <v>9564553</v>
      </c>
      <c r="C83" s="17">
        <v>0</v>
      </c>
      <c r="D83" s="17" t="s">
        <v>14711</v>
      </c>
      <c r="E83" s="17" t="s">
        <v>14717</v>
      </c>
      <c r="F83" s="17" t="s">
        <v>96</v>
      </c>
      <c r="G83" s="18" t="s">
        <v>15056</v>
      </c>
      <c r="H83" s="18" t="s">
        <v>98</v>
      </c>
      <c r="I83" s="17" t="s">
        <v>15057</v>
      </c>
      <c r="J83" s="17">
        <v>1</v>
      </c>
      <c r="K83" s="17">
        <v>0</v>
      </c>
      <c r="L83" s="17" t="s">
        <v>15058</v>
      </c>
      <c r="M83" s="19" t="s">
        <v>101</v>
      </c>
      <c r="N83" s="17" t="s">
        <v>1004</v>
      </c>
      <c r="O83" s="17" t="s">
        <v>15059</v>
      </c>
      <c r="P83" s="17" t="str">
        <f>HYPERLINK("https://photon-sol.tinyastro.io/en/lp/EzGU8goEqZdpVQucDSboMqtWXE91Yvvqyc9dqWTWpump?handle=676050794bc1b1657a56b", "View")</f>
        <v>View</v>
      </c>
    </row>
    <row r="84" spans="1:16" x14ac:dyDescent="0.25">
      <c r="A84" s="13" t="s">
        <v>3998</v>
      </c>
      <c r="B84" s="14">
        <v>3083957</v>
      </c>
      <c r="C84" s="14">
        <v>0</v>
      </c>
      <c r="D84" s="14" t="s">
        <v>14819</v>
      </c>
      <c r="E84" s="14" t="s">
        <v>6650</v>
      </c>
      <c r="F84" s="14" t="s">
        <v>96</v>
      </c>
      <c r="G84" s="18" t="s">
        <v>15060</v>
      </c>
      <c r="H84" s="18" t="s">
        <v>98</v>
      </c>
      <c r="I84" s="14" t="s">
        <v>15061</v>
      </c>
      <c r="J84" s="14">
        <v>2</v>
      </c>
      <c r="K84" s="14">
        <v>0</v>
      </c>
      <c r="L84" s="14" t="s">
        <v>15062</v>
      </c>
      <c r="M84" s="14" t="s">
        <v>1566</v>
      </c>
      <c r="N84" s="14" t="s">
        <v>15063</v>
      </c>
      <c r="O84" s="14" t="s">
        <v>4004</v>
      </c>
      <c r="P84" s="14" t="str">
        <f>HYPERLINK("https://dexscreener.com/solana/mAhve2iAaV6XXixNXZdwRGDTTHBUp2sb8tD41rHpump", "View")</f>
        <v>View</v>
      </c>
    </row>
    <row r="85" spans="1:16" x14ac:dyDescent="0.25">
      <c r="A85" s="16" t="s">
        <v>15064</v>
      </c>
      <c r="B85" s="17">
        <v>4717155</v>
      </c>
      <c r="C85" s="17">
        <v>4717155</v>
      </c>
      <c r="D85" s="17" t="s">
        <v>14759</v>
      </c>
      <c r="E85" s="17" t="s">
        <v>6403</v>
      </c>
      <c r="F85" s="17" t="s">
        <v>15065</v>
      </c>
      <c r="G85" s="22" t="s">
        <v>15066</v>
      </c>
      <c r="H85" s="22" t="s">
        <v>15067</v>
      </c>
      <c r="I85" s="17" t="s">
        <v>88</v>
      </c>
      <c r="J85" s="17">
        <v>1</v>
      </c>
      <c r="K85" s="17">
        <v>1</v>
      </c>
      <c r="L85" s="17" t="s">
        <v>15068</v>
      </c>
      <c r="M85" s="17" t="s">
        <v>2695</v>
      </c>
      <c r="N85" s="17" t="s">
        <v>15069</v>
      </c>
      <c r="O85" s="17" t="s">
        <v>15070</v>
      </c>
      <c r="P85" s="17" t="str">
        <f>HYPERLINK("https://dexscreener.com/solana/2KgAN8nLAU74wjiyKi85m4ZT6Z9MtqrUTGfse8Xapump", "View")</f>
        <v>View</v>
      </c>
    </row>
    <row r="86" spans="1:16" x14ac:dyDescent="0.25">
      <c r="A86" s="13" t="s">
        <v>15071</v>
      </c>
      <c r="B86" s="14">
        <v>225418</v>
      </c>
      <c r="C86" s="14">
        <v>225418</v>
      </c>
      <c r="D86" s="14" t="s">
        <v>15072</v>
      </c>
      <c r="E86" s="14" t="s">
        <v>15073</v>
      </c>
      <c r="F86" s="14" t="s">
        <v>15074</v>
      </c>
      <c r="G86" s="22" t="s">
        <v>15075</v>
      </c>
      <c r="H86" s="22" t="s">
        <v>15076</v>
      </c>
      <c r="I86" s="14" t="s">
        <v>88</v>
      </c>
      <c r="J86" s="14">
        <v>2</v>
      </c>
      <c r="K86" s="14">
        <v>8</v>
      </c>
      <c r="L86" s="14" t="s">
        <v>15077</v>
      </c>
      <c r="M86" s="14" t="s">
        <v>2695</v>
      </c>
      <c r="N86" s="14" t="s">
        <v>15078</v>
      </c>
      <c r="O86" s="14" t="s">
        <v>15079</v>
      </c>
      <c r="P86" s="14" t="str">
        <f>HYPERLINK("https://dexscreener.com/solana/HeJUFDxfJSzYFUuHLxkMqCgytU31G6mjP4wKviwqpump", "View")</f>
        <v>View</v>
      </c>
    </row>
    <row r="87" spans="1:16" x14ac:dyDescent="0.25">
      <c r="A87" s="16" t="s">
        <v>15080</v>
      </c>
      <c r="B87" s="17">
        <v>522020</v>
      </c>
      <c r="C87" s="17">
        <v>522020</v>
      </c>
      <c r="D87" s="17" t="s">
        <v>14759</v>
      </c>
      <c r="E87" s="17" t="s">
        <v>6403</v>
      </c>
      <c r="F87" s="17" t="s">
        <v>15081</v>
      </c>
      <c r="G87" s="22" t="s">
        <v>11809</v>
      </c>
      <c r="H87" s="22" t="s">
        <v>15082</v>
      </c>
      <c r="I87" s="17" t="s">
        <v>88</v>
      </c>
      <c r="J87" s="17">
        <v>1</v>
      </c>
      <c r="K87" s="17">
        <v>1</v>
      </c>
      <c r="L87" s="17" t="s">
        <v>15083</v>
      </c>
      <c r="M87" s="17" t="s">
        <v>1448</v>
      </c>
      <c r="N87" s="17" t="s">
        <v>15084</v>
      </c>
      <c r="O87" s="17" t="s">
        <v>15085</v>
      </c>
      <c r="P87" s="17" t="str">
        <f>HYPERLINK("https://dexscreener.com/solana/2GPJhV9jNrj7TaLYMRgWkcy6sTKLcwntv7nZ7qDyMRGM", "View")</f>
        <v>View</v>
      </c>
    </row>
    <row r="88" spans="1:16" x14ac:dyDescent="0.25">
      <c r="A88" s="13" t="s">
        <v>15086</v>
      </c>
      <c r="B88" s="14">
        <v>6681339</v>
      </c>
      <c r="C88" s="14">
        <v>6681339</v>
      </c>
      <c r="D88" s="14" t="s">
        <v>15036</v>
      </c>
      <c r="E88" s="14" t="s">
        <v>14732</v>
      </c>
      <c r="F88" s="14" t="s">
        <v>12488</v>
      </c>
      <c r="G88" s="15" t="s">
        <v>15087</v>
      </c>
      <c r="H88" s="15" t="s">
        <v>15088</v>
      </c>
      <c r="I88" s="14" t="s">
        <v>88</v>
      </c>
      <c r="J88" s="14">
        <v>1</v>
      </c>
      <c r="K88" s="14">
        <v>2</v>
      </c>
      <c r="L88" s="14" t="s">
        <v>15089</v>
      </c>
      <c r="M88" s="14" t="s">
        <v>1434</v>
      </c>
      <c r="N88" s="14" t="s">
        <v>15090</v>
      </c>
      <c r="O88" s="14" t="s">
        <v>15091</v>
      </c>
      <c r="P88" s="14" t="str">
        <f>HYPERLINK("https://photon-sol.tinyastro.io/en/lp/2VaxuSKRZDu4pqn74Wg8xoxKc57pUCB5sAdEWovspump?handle=676050794bc1b1657a56b", "View")</f>
        <v>View</v>
      </c>
    </row>
    <row r="89" spans="1:16" x14ac:dyDescent="0.25">
      <c r="A89" s="16" t="s">
        <v>15092</v>
      </c>
      <c r="B89" s="17">
        <v>13880058</v>
      </c>
      <c r="C89" s="17">
        <v>0</v>
      </c>
      <c r="D89" s="17" t="s">
        <v>14711</v>
      </c>
      <c r="E89" s="17" t="s">
        <v>14732</v>
      </c>
      <c r="F89" s="17" t="s">
        <v>96</v>
      </c>
      <c r="G89" s="18" t="s">
        <v>14773</v>
      </c>
      <c r="H89" s="18" t="s">
        <v>98</v>
      </c>
      <c r="I89" s="17" t="s">
        <v>15093</v>
      </c>
      <c r="J89" s="17">
        <v>1</v>
      </c>
      <c r="K89" s="17">
        <v>0</v>
      </c>
      <c r="L89" s="17" t="s">
        <v>15094</v>
      </c>
      <c r="M89" s="19" t="s">
        <v>101</v>
      </c>
      <c r="N89" s="17" t="s">
        <v>1208</v>
      </c>
      <c r="O89" s="17" t="s">
        <v>15095</v>
      </c>
      <c r="P89" s="17" t="str">
        <f>HYPERLINK("https://photon-sol.tinyastro.io/en/lp/HBBStpwZTmQkJjimaTE4Doi8TZGBHCVAUXAneKJ44yQs?handle=676050794bc1b1657a56b", "View")</f>
        <v>View</v>
      </c>
    </row>
    <row r="90" spans="1:16" x14ac:dyDescent="0.25">
      <c r="A90" s="13" t="s">
        <v>8290</v>
      </c>
      <c r="B90" s="14">
        <v>5966634</v>
      </c>
      <c r="C90" s="14">
        <v>5966634</v>
      </c>
      <c r="D90" s="14" t="s">
        <v>15096</v>
      </c>
      <c r="E90" s="14" t="s">
        <v>6467</v>
      </c>
      <c r="F90" s="14" t="s">
        <v>15097</v>
      </c>
      <c r="G90" s="21" t="s">
        <v>15098</v>
      </c>
      <c r="H90" s="21" t="s">
        <v>15099</v>
      </c>
      <c r="I90" s="14" t="s">
        <v>88</v>
      </c>
      <c r="J90" s="14">
        <v>2</v>
      </c>
      <c r="K90" s="14">
        <v>2</v>
      </c>
      <c r="L90" s="14" t="s">
        <v>15100</v>
      </c>
      <c r="M90" s="14" t="s">
        <v>2617</v>
      </c>
      <c r="N90" s="14" t="s">
        <v>15101</v>
      </c>
      <c r="O90" s="14" t="s">
        <v>8297</v>
      </c>
      <c r="P90" s="14" t="str">
        <f>HYPERLINK("https://dexscreener.com/solana/2RxYYfGMgwGeF1Q6dMRXfmZzAV6j3cQvmjsBdsy9pump", "View")</f>
        <v>View</v>
      </c>
    </row>
    <row r="91" spans="1:16" x14ac:dyDescent="0.25">
      <c r="A91" s="16" t="s">
        <v>15102</v>
      </c>
      <c r="B91" s="17">
        <v>17041917</v>
      </c>
      <c r="C91" s="17">
        <v>17041917</v>
      </c>
      <c r="D91" s="17" t="s">
        <v>14759</v>
      </c>
      <c r="E91" s="17" t="s">
        <v>14732</v>
      </c>
      <c r="F91" s="17" t="s">
        <v>3610</v>
      </c>
      <c r="G91" s="15" t="s">
        <v>15103</v>
      </c>
      <c r="H91" s="15" t="s">
        <v>15104</v>
      </c>
      <c r="I91" s="17" t="s">
        <v>88</v>
      </c>
      <c r="J91" s="17">
        <v>1</v>
      </c>
      <c r="K91" s="17">
        <v>1</v>
      </c>
      <c r="L91" s="17" t="s">
        <v>15105</v>
      </c>
      <c r="M91" s="19" t="s">
        <v>2826</v>
      </c>
      <c r="N91" s="17" t="s">
        <v>15106</v>
      </c>
      <c r="O91" s="17" t="s">
        <v>15107</v>
      </c>
      <c r="P91" s="17" t="str">
        <f>HYPERLINK("https://photon-sol.tinyastro.io/en/lp/9PC72FLhXST2DQFKSJM6AH2UoVfuSUgPNpYskCkH132E?handle=676050794bc1b1657a56b", "View")</f>
        <v>View</v>
      </c>
    </row>
    <row r="92" spans="1:16" x14ac:dyDescent="0.25">
      <c r="A92" s="13" t="s">
        <v>15108</v>
      </c>
      <c r="B92" s="14">
        <v>5079636</v>
      </c>
      <c r="C92" s="14">
        <v>5079636</v>
      </c>
      <c r="D92" s="14" t="s">
        <v>14720</v>
      </c>
      <c r="E92" s="14" t="s">
        <v>14721</v>
      </c>
      <c r="F92" s="14" t="s">
        <v>15109</v>
      </c>
      <c r="G92" s="15" t="s">
        <v>15110</v>
      </c>
      <c r="H92" s="15" t="s">
        <v>15111</v>
      </c>
      <c r="I92" s="14" t="s">
        <v>88</v>
      </c>
      <c r="J92" s="14">
        <v>3</v>
      </c>
      <c r="K92" s="14">
        <v>1</v>
      </c>
      <c r="L92" s="14" t="s">
        <v>15112</v>
      </c>
      <c r="M92" s="14" t="s">
        <v>2047</v>
      </c>
      <c r="N92" s="14" t="s">
        <v>15113</v>
      </c>
      <c r="O92" s="14" t="s">
        <v>15114</v>
      </c>
      <c r="P92" s="14" t="str">
        <f>HYPERLINK("https://dexscreener.com/solana/BdhskhNymvECsP3QqpTcyMBNrLmQLGS41Dez5aj9pump", "View")</f>
        <v>View</v>
      </c>
    </row>
    <row r="93" spans="1:16" x14ac:dyDescent="0.25">
      <c r="A93" s="16" t="s">
        <v>10736</v>
      </c>
      <c r="B93" s="17">
        <v>2151719</v>
      </c>
      <c r="C93" s="17">
        <v>2151719</v>
      </c>
      <c r="D93" s="17" t="s">
        <v>15115</v>
      </c>
      <c r="E93" s="17" t="s">
        <v>6589</v>
      </c>
      <c r="F93" s="17" t="s">
        <v>15116</v>
      </c>
      <c r="G93" s="21" t="s">
        <v>15117</v>
      </c>
      <c r="H93" s="21" t="s">
        <v>15118</v>
      </c>
      <c r="I93" s="17" t="s">
        <v>88</v>
      </c>
      <c r="J93" s="17">
        <v>1</v>
      </c>
      <c r="K93" s="17">
        <v>8</v>
      </c>
      <c r="L93" s="17" t="s">
        <v>15119</v>
      </c>
      <c r="M93" s="17" t="s">
        <v>680</v>
      </c>
      <c r="N93" s="17" t="s">
        <v>15120</v>
      </c>
      <c r="O93" s="17" t="s">
        <v>10743</v>
      </c>
      <c r="P93" s="17" t="str">
        <f>HYPERLINK("https://dexscreener.com/solana/HuiVprCHCucHUb5bX6EXFJd7wuwvdASFzzge4ahXpump", "View")</f>
        <v>View</v>
      </c>
    </row>
    <row r="94" spans="1:16" x14ac:dyDescent="0.25">
      <c r="A94" s="13" t="s">
        <v>15121</v>
      </c>
      <c r="B94" s="14">
        <v>38818452</v>
      </c>
      <c r="C94" s="14">
        <v>38818452</v>
      </c>
      <c r="D94" s="14" t="s">
        <v>14716</v>
      </c>
      <c r="E94" s="14" t="s">
        <v>14732</v>
      </c>
      <c r="F94" s="14" t="s">
        <v>15122</v>
      </c>
      <c r="G94" s="21" t="s">
        <v>11149</v>
      </c>
      <c r="H94" s="21" t="s">
        <v>15123</v>
      </c>
      <c r="I94" s="14" t="s">
        <v>88</v>
      </c>
      <c r="J94" s="14">
        <v>1</v>
      </c>
      <c r="K94" s="14">
        <v>1</v>
      </c>
      <c r="L94" s="14" t="s">
        <v>15124</v>
      </c>
      <c r="M94" s="14" t="s">
        <v>1957</v>
      </c>
      <c r="N94" s="14" t="s">
        <v>507</v>
      </c>
      <c r="O94" s="14" t="s">
        <v>15125</v>
      </c>
      <c r="P94" s="14" t="str">
        <f>HYPERLINK("https://photon-sol.tinyastro.io/en/lp/5QpMDaFy5cNtWq8K44F2V1PJ18Xs6y1kFrhZEAJdpump?handle=676050794bc1b1657a56b", "View")</f>
        <v>View</v>
      </c>
    </row>
    <row r="95" spans="1:16" x14ac:dyDescent="0.25">
      <c r="A95" s="16" t="s">
        <v>11771</v>
      </c>
      <c r="B95" s="17">
        <v>11727781</v>
      </c>
      <c r="C95" s="17">
        <v>11727781</v>
      </c>
      <c r="D95" s="17" t="s">
        <v>15126</v>
      </c>
      <c r="E95" s="17" t="s">
        <v>14792</v>
      </c>
      <c r="F95" s="17" t="s">
        <v>15127</v>
      </c>
      <c r="G95" s="22" t="s">
        <v>2384</v>
      </c>
      <c r="H95" s="22" t="s">
        <v>15128</v>
      </c>
      <c r="I95" s="17" t="s">
        <v>88</v>
      </c>
      <c r="J95" s="17">
        <v>1</v>
      </c>
      <c r="K95" s="17">
        <v>2</v>
      </c>
      <c r="L95" s="17" t="s">
        <v>15129</v>
      </c>
      <c r="M95" s="17" t="s">
        <v>3180</v>
      </c>
      <c r="N95" s="17" t="s">
        <v>794</v>
      </c>
      <c r="O95" s="17" t="s">
        <v>15130</v>
      </c>
      <c r="P95" s="17" t="str">
        <f>HYPERLINK("https://photon-sol.tinyastro.io/en/lp/5JPq8Rqgq7WULpsbxg99jojYLha9Lqunc5chWUzCpump?handle=676050794bc1b1657a56b", "View")</f>
        <v>View</v>
      </c>
    </row>
    <row r="96" spans="1:16" x14ac:dyDescent="0.25">
      <c r="A96" s="13" t="s">
        <v>5658</v>
      </c>
      <c r="B96" s="14">
        <v>190565</v>
      </c>
      <c r="C96" s="14">
        <v>190565</v>
      </c>
      <c r="D96" s="14" t="s">
        <v>14759</v>
      </c>
      <c r="E96" s="14" t="s">
        <v>6589</v>
      </c>
      <c r="F96" s="14" t="s">
        <v>15131</v>
      </c>
      <c r="G96" s="22" t="s">
        <v>15132</v>
      </c>
      <c r="H96" s="22" t="s">
        <v>4946</v>
      </c>
      <c r="I96" s="14" t="s">
        <v>88</v>
      </c>
      <c r="J96" s="14">
        <v>1</v>
      </c>
      <c r="K96" s="14">
        <v>1</v>
      </c>
      <c r="L96" s="14" t="s">
        <v>15133</v>
      </c>
      <c r="M96" s="14" t="s">
        <v>1566</v>
      </c>
      <c r="N96" s="14" t="s">
        <v>15134</v>
      </c>
      <c r="O96" s="14" t="s">
        <v>15135</v>
      </c>
      <c r="P96" s="14" t="str">
        <f>HYPERLINK("https://dexscreener.com/solana/HUdqc5MR5h3FssESabPnQ1GTgTcPvnNudAuLj5J6a9sU", "View")</f>
        <v>View</v>
      </c>
    </row>
    <row r="97" spans="1:16" x14ac:dyDescent="0.25">
      <c r="A97" s="16" t="s">
        <v>15136</v>
      </c>
      <c r="B97" s="17">
        <v>29064183</v>
      </c>
      <c r="C97" s="17">
        <v>0</v>
      </c>
      <c r="D97" s="17" t="s">
        <v>15137</v>
      </c>
      <c r="E97" s="17" t="s">
        <v>15138</v>
      </c>
      <c r="F97" s="17" t="s">
        <v>96</v>
      </c>
      <c r="G97" s="18" t="s">
        <v>15139</v>
      </c>
      <c r="H97" s="18" t="s">
        <v>98</v>
      </c>
      <c r="I97" s="17" t="s">
        <v>15140</v>
      </c>
      <c r="J97" s="17">
        <v>3</v>
      </c>
      <c r="K97" s="17">
        <v>0</v>
      </c>
      <c r="L97" s="17" t="s">
        <v>15141</v>
      </c>
      <c r="M97" s="17" t="s">
        <v>823</v>
      </c>
      <c r="N97" s="17" t="s">
        <v>15142</v>
      </c>
      <c r="O97" s="17" t="s">
        <v>15143</v>
      </c>
      <c r="P97" s="17" t="str">
        <f>HYPERLINK("https://photon-sol.tinyastro.io/en/lp/tqkXUc79dusd5PiJmFttKc6kyn4kwzLjp9eiocspump?handle=676050794bc1b1657a56b", "View")</f>
        <v>View</v>
      </c>
    </row>
    <row r="98" spans="1:16" x14ac:dyDescent="0.25">
      <c r="A98" s="13" t="s">
        <v>15144</v>
      </c>
      <c r="B98" s="14">
        <v>39998865</v>
      </c>
      <c r="C98" s="14">
        <v>0</v>
      </c>
      <c r="D98" s="14" t="s">
        <v>14819</v>
      </c>
      <c r="E98" s="14" t="s">
        <v>6425</v>
      </c>
      <c r="F98" s="14" t="s">
        <v>96</v>
      </c>
      <c r="G98" s="18" t="s">
        <v>15145</v>
      </c>
      <c r="H98" s="18" t="s">
        <v>98</v>
      </c>
      <c r="I98" s="14" t="s">
        <v>15146</v>
      </c>
      <c r="J98" s="14">
        <v>2</v>
      </c>
      <c r="K98" s="14">
        <v>0</v>
      </c>
      <c r="L98" s="14" t="s">
        <v>15147</v>
      </c>
      <c r="M98" s="19" t="s">
        <v>3069</v>
      </c>
      <c r="N98" s="14" t="s">
        <v>15148</v>
      </c>
      <c r="O98" s="14" t="s">
        <v>15149</v>
      </c>
      <c r="P98" s="14" t="str">
        <f>HYPERLINK("https://dexscreener.com/solana/PaVDopXphyKZZcMQQBVxCuxaNF3QXXmrdcG2ypUpump", "View")</f>
        <v>View</v>
      </c>
    </row>
    <row r="99" spans="1:16" x14ac:dyDescent="0.25">
      <c r="A99" s="16" t="s">
        <v>15150</v>
      </c>
      <c r="B99" s="17">
        <v>8254364</v>
      </c>
      <c r="C99" s="17">
        <v>8254364</v>
      </c>
      <c r="D99" s="17" t="s">
        <v>14716</v>
      </c>
      <c r="E99" s="17" t="s">
        <v>14732</v>
      </c>
      <c r="F99" s="17" t="s">
        <v>3897</v>
      </c>
      <c r="G99" s="15" t="s">
        <v>15151</v>
      </c>
      <c r="H99" s="15" t="s">
        <v>15152</v>
      </c>
      <c r="I99" s="17" t="s">
        <v>88</v>
      </c>
      <c r="J99" s="17">
        <v>1</v>
      </c>
      <c r="K99" s="17">
        <v>1</v>
      </c>
      <c r="L99" s="17" t="s">
        <v>15153</v>
      </c>
      <c r="M99" s="17" t="s">
        <v>1434</v>
      </c>
      <c r="N99" s="17" t="s">
        <v>507</v>
      </c>
      <c r="O99" s="17" t="s">
        <v>15154</v>
      </c>
      <c r="P99" s="17" t="str">
        <f>HYPERLINK("https://photon-sol.tinyastro.io/en/lp/6VPgAwMTFAjHPQdxGFmLvwu15cr9FkxMSuYWaU3rpump?handle=676050794bc1b1657a56b", "View")</f>
        <v>View</v>
      </c>
    </row>
    <row r="100" spans="1:16" x14ac:dyDescent="0.25">
      <c r="A100" s="13" t="s">
        <v>7383</v>
      </c>
      <c r="B100" s="14">
        <v>4356293</v>
      </c>
      <c r="C100" s="14">
        <v>4356293</v>
      </c>
      <c r="D100" s="14" t="s">
        <v>15155</v>
      </c>
      <c r="E100" s="14" t="s">
        <v>15156</v>
      </c>
      <c r="F100" s="14" t="s">
        <v>15157</v>
      </c>
      <c r="G100" s="20" t="s">
        <v>15158</v>
      </c>
      <c r="H100" s="20" t="s">
        <v>2960</v>
      </c>
      <c r="I100" s="14" t="s">
        <v>88</v>
      </c>
      <c r="J100" s="14">
        <v>2</v>
      </c>
      <c r="K100" s="14">
        <v>2</v>
      </c>
      <c r="L100" s="14" t="s">
        <v>15159</v>
      </c>
      <c r="M100" s="14" t="s">
        <v>414</v>
      </c>
      <c r="N100" s="14" t="s">
        <v>15160</v>
      </c>
      <c r="O100" s="14" t="s">
        <v>7389</v>
      </c>
      <c r="P100" s="14" t="str">
        <f>HYPERLINK("https://dexscreener.com/solana/8iWsK2WH3AGviQwAnt43zvc8yLy6QMUSuv8PK2A7pump", "View")</f>
        <v>View</v>
      </c>
    </row>
    <row r="101" spans="1:16" x14ac:dyDescent="0.25">
      <c r="A101" s="16" t="s">
        <v>15161</v>
      </c>
      <c r="B101" s="17">
        <v>4130113</v>
      </c>
      <c r="C101" s="17">
        <v>0</v>
      </c>
      <c r="D101" s="17" t="s">
        <v>14711</v>
      </c>
      <c r="E101" s="17" t="s">
        <v>1989</v>
      </c>
      <c r="F101" s="17" t="s">
        <v>96</v>
      </c>
      <c r="G101" s="18" t="s">
        <v>15162</v>
      </c>
      <c r="H101" s="18" t="s">
        <v>98</v>
      </c>
      <c r="I101" s="17" t="s">
        <v>15163</v>
      </c>
      <c r="J101" s="17">
        <v>1</v>
      </c>
      <c r="K101" s="17">
        <v>0</v>
      </c>
      <c r="L101" s="17" t="s">
        <v>15164</v>
      </c>
      <c r="M101" s="19" t="s">
        <v>101</v>
      </c>
      <c r="N101" s="17" t="s">
        <v>4791</v>
      </c>
      <c r="O101" s="17" t="s">
        <v>15165</v>
      </c>
      <c r="P101" s="17" t="str">
        <f>HYPERLINK("https://dexscreener.com/solana/HxvyzyFVbq1KHyNhhvtjmWM69q3gR2WFW5F9622vpump", "View")</f>
        <v>View</v>
      </c>
    </row>
    <row r="102" spans="1:16" x14ac:dyDescent="0.25">
      <c r="A102" s="13" t="s">
        <v>4753</v>
      </c>
      <c r="B102" s="14">
        <v>2533528084</v>
      </c>
      <c r="C102" s="14">
        <v>2533528084</v>
      </c>
      <c r="D102" s="14" t="s">
        <v>14726</v>
      </c>
      <c r="E102" s="14" t="s">
        <v>6956</v>
      </c>
      <c r="F102" s="14" t="s">
        <v>15166</v>
      </c>
      <c r="G102" s="22" t="s">
        <v>15167</v>
      </c>
      <c r="H102" s="22" t="s">
        <v>15168</v>
      </c>
      <c r="I102" s="14" t="s">
        <v>88</v>
      </c>
      <c r="J102" s="14">
        <v>2</v>
      </c>
      <c r="K102" s="14">
        <v>1</v>
      </c>
      <c r="L102" s="14" t="s">
        <v>15169</v>
      </c>
      <c r="M102" s="14" t="s">
        <v>1434</v>
      </c>
      <c r="N102" s="14" t="s">
        <v>15170</v>
      </c>
      <c r="O102" s="14" t="s">
        <v>15171</v>
      </c>
      <c r="P102" s="14" t="str">
        <f>HYPERLINK("https://dexscreener.com/solana/69kdRLyP5DTRkpHraaSZAQbWmAwzF9guKjZfzMXzcbAs", "View")</f>
        <v>View</v>
      </c>
    </row>
    <row r="103" spans="1:16" x14ac:dyDescent="0.25">
      <c r="A103" s="16" t="s">
        <v>15172</v>
      </c>
      <c r="B103" s="17">
        <v>32601917</v>
      </c>
      <c r="C103" s="17">
        <v>32601917</v>
      </c>
      <c r="D103" s="17" t="s">
        <v>14716</v>
      </c>
      <c r="E103" s="17" t="s">
        <v>13499</v>
      </c>
      <c r="F103" s="17" t="s">
        <v>2659</v>
      </c>
      <c r="G103" s="20" t="s">
        <v>5231</v>
      </c>
      <c r="H103" s="20" t="s">
        <v>13877</v>
      </c>
      <c r="I103" s="17" t="s">
        <v>88</v>
      </c>
      <c r="J103" s="17">
        <v>1</v>
      </c>
      <c r="K103" s="17">
        <v>1</v>
      </c>
      <c r="L103" s="17" t="s">
        <v>15173</v>
      </c>
      <c r="M103" s="19" t="s">
        <v>1752</v>
      </c>
      <c r="N103" s="17" t="s">
        <v>507</v>
      </c>
      <c r="O103" s="17" t="s">
        <v>15174</v>
      </c>
      <c r="P103" s="17" t="str">
        <f>HYPERLINK("https://photon-sol.tinyastro.io/en/lp/8Ci8565dhYdeFTGUnQD7hv1oiJSZiTeyaLUYkDUpump?handle=676050794bc1b1657a56b", "View")</f>
        <v>View</v>
      </c>
    </row>
    <row r="104" spans="1:16" x14ac:dyDescent="0.25">
      <c r="A104" s="13" t="s">
        <v>15175</v>
      </c>
      <c r="B104" s="14">
        <v>108029522</v>
      </c>
      <c r="C104" s="14">
        <v>108029522</v>
      </c>
      <c r="D104" s="14" t="s">
        <v>15176</v>
      </c>
      <c r="E104" s="14" t="s">
        <v>15177</v>
      </c>
      <c r="F104" s="14" t="s">
        <v>15178</v>
      </c>
      <c r="G104" s="21" t="s">
        <v>15179</v>
      </c>
      <c r="H104" s="21" t="s">
        <v>15180</v>
      </c>
      <c r="I104" s="14" t="s">
        <v>88</v>
      </c>
      <c r="J104" s="14">
        <v>3</v>
      </c>
      <c r="K104" s="14">
        <v>2</v>
      </c>
      <c r="L104" s="14" t="s">
        <v>15181</v>
      </c>
      <c r="M104" s="14" t="s">
        <v>132</v>
      </c>
      <c r="N104" s="14" t="s">
        <v>15182</v>
      </c>
      <c r="O104" s="14" t="s">
        <v>15183</v>
      </c>
      <c r="P104" s="14" t="str">
        <f>HYPERLINK("https://photon-sol.tinyastro.io/en/lp/dr2Wg8Zy5o7q6rbbCs7wsAupuvYSd6eayJFnhxwpump?handle=676050794bc1b1657a56b", "View")</f>
        <v>View</v>
      </c>
    </row>
    <row r="105" spans="1:16" x14ac:dyDescent="0.25">
      <c r="A105" s="16" t="s">
        <v>15184</v>
      </c>
      <c r="B105" s="17">
        <v>7132466</v>
      </c>
      <c r="C105" s="17">
        <v>0</v>
      </c>
      <c r="D105" s="17" t="s">
        <v>14711</v>
      </c>
      <c r="E105" s="17" t="s">
        <v>14732</v>
      </c>
      <c r="F105" s="17" t="s">
        <v>96</v>
      </c>
      <c r="G105" s="18" t="s">
        <v>14773</v>
      </c>
      <c r="H105" s="18" t="s">
        <v>98</v>
      </c>
      <c r="I105" s="17" t="s">
        <v>15185</v>
      </c>
      <c r="J105" s="17">
        <v>1</v>
      </c>
      <c r="K105" s="17">
        <v>0</v>
      </c>
      <c r="L105" s="17" t="s">
        <v>15186</v>
      </c>
      <c r="M105" s="19" t="s">
        <v>101</v>
      </c>
      <c r="N105" s="17" t="s">
        <v>507</v>
      </c>
      <c r="O105" s="17" t="s">
        <v>15187</v>
      </c>
      <c r="P105" s="17" t="str">
        <f>HYPERLINK("https://photon-sol.tinyastro.io/en/lp/26QG19xEzQ4R59jqpm3gqVEpPGqiaHDUAzTghUszpump?handle=676050794bc1b1657a56b", "View")</f>
        <v>View</v>
      </c>
    </row>
    <row r="106" spans="1:16" x14ac:dyDescent="0.25">
      <c r="A106" s="13" t="s">
        <v>15188</v>
      </c>
      <c r="B106" s="14">
        <v>40202444</v>
      </c>
      <c r="C106" s="14">
        <v>40202444</v>
      </c>
      <c r="D106" s="14" t="s">
        <v>14759</v>
      </c>
      <c r="E106" s="14" t="s">
        <v>14732</v>
      </c>
      <c r="F106" s="14" t="s">
        <v>15189</v>
      </c>
      <c r="G106" s="20" t="s">
        <v>13467</v>
      </c>
      <c r="H106" s="20" t="s">
        <v>15190</v>
      </c>
      <c r="I106" s="14" t="s">
        <v>88</v>
      </c>
      <c r="J106" s="14">
        <v>1</v>
      </c>
      <c r="K106" s="14">
        <v>1</v>
      </c>
      <c r="L106" s="14" t="s">
        <v>15191</v>
      </c>
      <c r="M106" s="14" t="s">
        <v>1434</v>
      </c>
      <c r="N106" s="14" t="s">
        <v>507</v>
      </c>
      <c r="O106" s="14" t="s">
        <v>15192</v>
      </c>
      <c r="P106" s="14" t="str">
        <f>HYPERLINK("https://photon-sol.tinyastro.io/en/lp/hAYuXZeUFD1sb58E9aXee3pG5L7P2oNEpDRbX9kpump?handle=676050794bc1b1657a56b", "View")</f>
        <v>View</v>
      </c>
    </row>
    <row r="107" spans="1:16" x14ac:dyDescent="0.25">
      <c r="A107" s="16" t="s">
        <v>15193</v>
      </c>
      <c r="B107" s="17">
        <v>51934483</v>
      </c>
      <c r="C107" s="17">
        <v>51934483</v>
      </c>
      <c r="D107" s="17" t="s">
        <v>14738</v>
      </c>
      <c r="E107" s="17" t="s">
        <v>4409</v>
      </c>
      <c r="F107" s="17" t="s">
        <v>15194</v>
      </c>
      <c r="G107" s="20" t="s">
        <v>3453</v>
      </c>
      <c r="H107" s="20" t="s">
        <v>15195</v>
      </c>
      <c r="I107" s="17" t="s">
        <v>88</v>
      </c>
      <c r="J107" s="17">
        <v>2</v>
      </c>
      <c r="K107" s="17">
        <v>1</v>
      </c>
      <c r="L107" s="17" t="s">
        <v>15196</v>
      </c>
      <c r="M107" s="17" t="s">
        <v>1434</v>
      </c>
      <c r="N107" s="17" t="s">
        <v>507</v>
      </c>
      <c r="O107" s="17" t="s">
        <v>15197</v>
      </c>
      <c r="P107" s="17" t="str">
        <f>HYPERLINK("https://photon-sol.tinyastro.io/en/lp/AQJrsHD2m5Q6S329zynxe5MJkFUnWsTRg1qCkQyBpump?handle=676050794bc1b1657a56b", "View")</f>
        <v>View</v>
      </c>
    </row>
    <row r="108" spans="1:16" x14ac:dyDescent="0.25">
      <c r="A108" s="13" t="s">
        <v>15198</v>
      </c>
      <c r="B108" s="14">
        <v>9039891</v>
      </c>
      <c r="C108" s="14">
        <v>9039891</v>
      </c>
      <c r="D108" s="14" t="s">
        <v>14716</v>
      </c>
      <c r="E108" s="14" t="s">
        <v>14732</v>
      </c>
      <c r="F108" s="14" t="s">
        <v>7462</v>
      </c>
      <c r="G108" s="15" t="s">
        <v>15199</v>
      </c>
      <c r="H108" s="15" t="s">
        <v>15200</v>
      </c>
      <c r="I108" s="14" t="s">
        <v>88</v>
      </c>
      <c r="J108" s="14">
        <v>1</v>
      </c>
      <c r="K108" s="14">
        <v>1</v>
      </c>
      <c r="L108" s="14" t="s">
        <v>15201</v>
      </c>
      <c r="M108" s="14" t="s">
        <v>4922</v>
      </c>
      <c r="N108" s="14" t="s">
        <v>15202</v>
      </c>
      <c r="O108" s="14" t="s">
        <v>15203</v>
      </c>
      <c r="P108" s="14" t="str">
        <f>HYPERLINK("https://photon-sol.tinyastro.io/en/lp/F9FMKvjEhQr7v2TfevwGH9CwUBEVs9WZfuydiRkTRBzi?handle=676050794bc1b1657a56b", "View")</f>
        <v>View</v>
      </c>
    </row>
    <row r="109" spans="1:16" x14ac:dyDescent="0.25">
      <c r="A109" s="16" t="s">
        <v>15204</v>
      </c>
      <c r="B109" s="17">
        <v>25843941</v>
      </c>
      <c r="C109" s="17">
        <v>25843941</v>
      </c>
      <c r="D109" s="17" t="s">
        <v>14716</v>
      </c>
      <c r="E109" s="17" t="s">
        <v>14732</v>
      </c>
      <c r="F109" s="17" t="s">
        <v>15205</v>
      </c>
      <c r="G109" s="21" t="s">
        <v>15206</v>
      </c>
      <c r="H109" s="21" t="s">
        <v>15207</v>
      </c>
      <c r="I109" s="17" t="s">
        <v>88</v>
      </c>
      <c r="J109" s="17">
        <v>1</v>
      </c>
      <c r="K109" s="17">
        <v>1</v>
      </c>
      <c r="L109" s="17" t="s">
        <v>15208</v>
      </c>
      <c r="M109" s="19" t="s">
        <v>2517</v>
      </c>
      <c r="N109" s="17" t="s">
        <v>507</v>
      </c>
      <c r="O109" s="17" t="s">
        <v>15209</v>
      </c>
      <c r="P109" s="17" t="str">
        <f>HYPERLINK("https://photon-sol.tinyastro.io/en/lp/JANkHUZVRedTpAr6ZWJzmSH3FokGL4KiGrxRZKXnpump?handle=676050794bc1b1657a56b", "View")</f>
        <v>View</v>
      </c>
    </row>
    <row r="110" spans="1:16" x14ac:dyDescent="0.25">
      <c r="A110" s="13" t="s">
        <v>15210</v>
      </c>
      <c r="B110" s="14">
        <v>13549585</v>
      </c>
      <c r="C110" s="14">
        <v>6774792</v>
      </c>
      <c r="D110" s="14" t="s">
        <v>14759</v>
      </c>
      <c r="E110" s="14" t="s">
        <v>14732</v>
      </c>
      <c r="F110" s="14" t="s">
        <v>15211</v>
      </c>
      <c r="G110" s="21" t="s">
        <v>15212</v>
      </c>
      <c r="H110" s="21" t="s">
        <v>15213</v>
      </c>
      <c r="I110" s="14" t="s">
        <v>88</v>
      </c>
      <c r="J110" s="14">
        <v>1</v>
      </c>
      <c r="K110" s="14">
        <v>1</v>
      </c>
      <c r="L110" s="14" t="s">
        <v>15214</v>
      </c>
      <c r="M110" s="14" t="s">
        <v>1957</v>
      </c>
      <c r="N110" s="14" t="s">
        <v>15215</v>
      </c>
      <c r="O110" s="14" t="s">
        <v>15216</v>
      </c>
      <c r="P110" s="14" t="str">
        <f>HYPERLINK("https://photon-sol.tinyastro.io/en/lp/CDjN1ozPFuS2EwYd6ow84QCHLAsfhL2SGiwws4nspump?handle=676050794bc1b1657a56b", "View")</f>
        <v>View</v>
      </c>
    </row>
    <row r="111" spans="1:16" x14ac:dyDescent="0.25">
      <c r="A111" s="16" t="s">
        <v>15217</v>
      </c>
      <c r="B111" s="17">
        <v>35216917</v>
      </c>
      <c r="C111" s="17">
        <v>35216917</v>
      </c>
      <c r="D111" s="17" t="s">
        <v>14716</v>
      </c>
      <c r="E111" s="17" t="s">
        <v>14732</v>
      </c>
      <c r="F111" s="17" t="s">
        <v>15218</v>
      </c>
      <c r="G111" s="20" t="s">
        <v>15219</v>
      </c>
      <c r="H111" s="20" t="s">
        <v>15220</v>
      </c>
      <c r="I111" s="17" t="s">
        <v>88</v>
      </c>
      <c r="J111" s="17">
        <v>1</v>
      </c>
      <c r="K111" s="17">
        <v>1</v>
      </c>
      <c r="L111" s="17" t="s">
        <v>15221</v>
      </c>
      <c r="M111" s="17" t="s">
        <v>602</v>
      </c>
      <c r="N111" s="17" t="s">
        <v>507</v>
      </c>
      <c r="O111" s="17" t="s">
        <v>15222</v>
      </c>
      <c r="P111" s="17" t="str">
        <f>HYPERLINK("https://photon-sol.tinyastro.io/en/lp/Bj3zs6zWdC5oKw8xQfky9cSQcUuVrYRjZXPdAujxpump?handle=676050794bc1b1657a56b", "View")</f>
        <v>View</v>
      </c>
    </row>
    <row r="112" spans="1:16" x14ac:dyDescent="0.25">
      <c r="A112" s="13" t="s">
        <v>15223</v>
      </c>
      <c r="B112" s="14">
        <v>10177576</v>
      </c>
      <c r="C112" s="14">
        <v>10177576</v>
      </c>
      <c r="D112" s="14" t="s">
        <v>15224</v>
      </c>
      <c r="E112" s="14" t="s">
        <v>4409</v>
      </c>
      <c r="F112" s="14" t="s">
        <v>15225</v>
      </c>
      <c r="G112" s="20" t="s">
        <v>15226</v>
      </c>
      <c r="H112" s="20" t="s">
        <v>15227</v>
      </c>
      <c r="I112" s="14" t="s">
        <v>88</v>
      </c>
      <c r="J112" s="14">
        <v>2</v>
      </c>
      <c r="K112" s="14">
        <v>2</v>
      </c>
      <c r="L112" s="14" t="s">
        <v>15228</v>
      </c>
      <c r="M112" s="14" t="s">
        <v>1932</v>
      </c>
      <c r="N112" s="14" t="s">
        <v>15229</v>
      </c>
      <c r="O112" s="14" t="s">
        <v>15230</v>
      </c>
      <c r="P112" s="14" t="str">
        <f>HYPERLINK("https://photon-sol.tinyastro.io/en/lp/7sFkV9Naouhm8tws55AKg6uwuuysBSbRRFzWeZmJpump?handle=676050794bc1b1657a56b", "View")</f>
        <v>View</v>
      </c>
    </row>
    <row r="113" spans="1:16" x14ac:dyDescent="0.25">
      <c r="A113" s="16" t="s">
        <v>15231</v>
      </c>
      <c r="B113" s="17">
        <v>471509</v>
      </c>
      <c r="C113" s="17">
        <v>471509</v>
      </c>
      <c r="D113" s="17" t="s">
        <v>14759</v>
      </c>
      <c r="E113" s="17" t="s">
        <v>6589</v>
      </c>
      <c r="F113" s="17" t="s">
        <v>15232</v>
      </c>
      <c r="G113" s="22" t="s">
        <v>15233</v>
      </c>
      <c r="H113" s="22" t="s">
        <v>15234</v>
      </c>
      <c r="I113" s="17" t="s">
        <v>88</v>
      </c>
      <c r="J113" s="17">
        <v>1</v>
      </c>
      <c r="K113" s="17">
        <v>1</v>
      </c>
      <c r="L113" s="17" t="s">
        <v>15235</v>
      </c>
      <c r="M113" s="19" t="s">
        <v>2364</v>
      </c>
      <c r="N113" s="17" t="s">
        <v>15236</v>
      </c>
      <c r="O113" s="17" t="s">
        <v>15237</v>
      </c>
      <c r="P113" s="17" t="str">
        <f>HYPERLINK("https://dexscreener.com/solana/BEgBsVSKJSxreiCE1XmWWq8arnwit7xDqQXSWYgay9xP", "View")</f>
        <v>View</v>
      </c>
    </row>
    <row r="114" spans="1:16" x14ac:dyDescent="0.25">
      <c r="A114" s="13" t="s">
        <v>15238</v>
      </c>
      <c r="B114" s="14">
        <v>36559731</v>
      </c>
      <c r="C114" s="14">
        <v>36559731</v>
      </c>
      <c r="D114" s="14" t="s">
        <v>15239</v>
      </c>
      <c r="E114" s="14" t="s">
        <v>6425</v>
      </c>
      <c r="F114" s="14" t="s">
        <v>15240</v>
      </c>
      <c r="G114" s="21" t="s">
        <v>15241</v>
      </c>
      <c r="H114" s="21" t="s">
        <v>15242</v>
      </c>
      <c r="I114" s="14" t="s">
        <v>88</v>
      </c>
      <c r="J114" s="14">
        <v>2</v>
      </c>
      <c r="K114" s="14">
        <v>5</v>
      </c>
      <c r="L114" s="14" t="s">
        <v>15243</v>
      </c>
      <c r="M114" s="14" t="s">
        <v>7248</v>
      </c>
      <c r="N114" s="14" t="s">
        <v>15244</v>
      </c>
      <c r="O114" s="14" t="s">
        <v>15245</v>
      </c>
      <c r="P114" s="14" t="str">
        <f>HYPERLINK("https://dexscreener.com/solana/EytFLfSh31iCk7J2tabppifQuJebsemtH32tDnMapump", "View")</f>
        <v>View</v>
      </c>
    </row>
    <row r="115" spans="1:16" x14ac:dyDescent="0.25">
      <c r="A115" s="16" t="s">
        <v>15246</v>
      </c>
      <c r="B115" s="17">
        <v>6074238</v>
      </c>
      <c r="C115" s="17">
        <v>6074238</v>
      </c>
      <c r="D115" s="17" t="s">
        <v>14926</v>
      </c>
      <c r="E115" s="17" t="s">
        <v>15247</v>
      </c>
      <c r="F115" s="17" t="s">
        <v>15248</v>
      </c>
      <c r="G115" s="22" t="s">
        <v>14513</v>
      </c>
      <c r="H115" s="22" t="s">
        <v>15249</v>
      </c>
      <c r="I115" s="17" t="s">
        <v>88</v>
      </c>
      <c r="J115" s="17">
        <v>3</v>
      </c>
      <c r="K115" s="17">
        <v>2</v>
      </c>
      <c r="L115" s="17" t="s">
        <v>15250</v>
      </c>
      <c r="M115" s="17" t="s">
        <v>1159</v>
      </c>
      <c r="N115" s="17" t="s">
        <v>15251</v>
      </c>
      <c r="O115" s="17" t="s">
        <v>15252</v>
      </c>
      <c r="P115" s="17" t="str">
        <f>HYPERLINK("https://dexscreener.com/solana/8zrgJrFt6PW4QJSoHCFXn2uAMtWPNAGasSbGmNpXpump", "View")</f>
        <v>View</v>
      </c>
    </row>
    <row r="116" spans="1:16" x14ac:dyDescent="0.25">
      <c r="A116" s="13" t="s">
        <v>15253</v>
      </c>
      <c r="B116" s="14">
        <v>16554137</v>
      </c>
      <c r="C116" s="14">
        <v>16554137</v>
      </c>
      <c r="D116" s="14" t="s">
        <v>14759</v>
      </c>
      <c r="E116" s="14" t="s">
        <v>13499</v>
      </c>
      <c r="F116" s="14" t="s">
        <v>14189</v>
      </c>
      <c r="G116" s="20" t="s">
        <v>15254</v>
      </c>
      <c r="H116" s="20" t="s">
        <v>15255</v>
      </c>
      <c r="I116" s="14" t="s">
        <v>88</v>
      </c>
      <c r="J116" s="14">
        <v>1</v>
      </c>
      <c r="K116" s="14">
        <v>1</v>
      </c>
      <c r="L116" s="14" t="s">
        <v>15256</v>
      </c>
      <c r="M116" s="14" t="s">
        <v>1434</v>
      </c>
      <c r="N116" s="14" t="s">
        <v>507</v>
      </c>
      <c r="O116" s="14" t="s">
        <v>15257</v>
      </c>
      <c r="P116" s="14" t="str">
        <f>HYPERLINK("https://photon-sol.tinyastro.io/en/lp/HTxZxVPcAWHdDpui2oCziiyRFSMSSgMhE9Ucn2aXpump?handle=676050794bc1b1657a56b", "View")</f>
        <v>View</v>
      </c>
    </row>
    <row r="117" spans="1:16" x14ac:dyDescent="0.25">
      <c r="A117" s="16" t="s">
        <v>15258</v>
      </c>
      <c r="B117" s="17">
        <v>204385</v>
      </c>
      <c r="C117" s="17">
        <v>204385</v>
      </c>
      <c r="D117" s="17" t="s">
        <v>14759</v>
      </c>
      <c r="E117" s="17" t="s">
        <v>10388</v>
      </c>
      <c r="F117" s="17" t="s">
        <v>2919</v>
      </c>
      <c r="G117" s="20" t="s">
        <v>15259</v>
      </c>
      <c r="H117" s="20" t="s">
        <v>15260</v>
      </c>
      <c r="I117" s="17" t="s">
        <v>88</v>
      </c>
      <c r="J117" s="17">
        <v>1</v>
      </c>
      <c r="K117" s="17">
        <v>1</v>
      </c>
      <c r="L117" s="17" t="s">
        <v>15261</v>
      </c>
      <c r="M117" s="17" t="s">
        <v>1448</v>
      </c>
      <c r="N117" s="17" t="s">
        <v>15262</v>
      </c>
      <c r="O117" s="17" t="s">
        <v>15263</v>
      </c>
      <c r="P117" s="17" t="str">
        <f>HYPERLINK("https://dexscreener.com/solana/6kRF5N2GzKvGRWZa5JYbn6LcHunpm2d3phkwzmmepump", "View")</f>
        <v>View</v>
      </c>
    </row>
    <row r="118" spans="1:16" x14ac:dyDescent="0.25">
      <c r="A118" s="13" t="s">
        <v>15264</v>
      </c>
      <c r="B118" s="14">
        <v>1121744</v>
      </c>
      <c r="C118" s="14">
        <v>1121744</v>
      </c>
      <c r="D118" s="14" t="s">
        <v>14716</v>
      </c>
      <c r="E118" s="14" t="s">
        <v>6589</v>
      </c>
      <c r="F118" s="14" t="s">
        <v>15265</v>
      </c>
      <c r="G118" s="22" t="s">
        <v>15266</v>
      </c>
      <c r="H118" s="22" t="s">
        <v>15267</v>
      </c>
      <c r="I118" s="14" t="s">
        <v>88</v>
      </c>
      <c r="J118" s="14">
        <v>1</v>
      </c>
      <c r="K118" s="14">
        <v>1</v>
      </c>
      <c r="L118" s="14" t="s">
        <v>15268</v>
      </c>
      <c r="M118" s="14" t="s">
        <v>1434</v>
      </c>
      <c r="N118" s="14" t="s">
        <v>15269</v>
      </c>
      <c r="O118" s="14" t="s">
        <v>15270</v>
      </c>
      <c r="P118" s="14" t="str">
        <f>HYPERLINK("https://dexscreener.com/solana/7D7BRcBYepfi77vxySapmeqRNN1wsBBxnFPJGbH5pump", "View")</f>
        <v>View</v>
      </c>
    </row>
    <row r="119" spans="1:16" x14ac:dyDescent="0.25">
      <c r="A119" s="16" t="s">
        <v>15271</v>
      </c>
      <c r="B119" s="17">
        <v>7455534</v>
      </c>
      <c r="C119" s="17">
        <v>0</v>
      </c>
      <c r="D119" s="17" t="s">
        <v>15137</v>
      </c>
      <c r="E119" s="17" t="s">
        <v>6589</v>
      </c>
      <c r="F119" s="17" t="s">
        <v>96</v>
      </c>
      <c r="G119" s="18" t="s">
        <v>15272</v>
      </c>
      <c r="H119" s="18" t="s">
        <v>98</v>
      </c>
      <c r="I119" s="17" t="s">
        <v>15273</v>
      </c>
      <c r="J119" s="17">
        <v>3</v>
      </c>
      <c r="K119" s="17">
        <v>0</v>
      </c>
      <c r="L119" s="17" t="s">
        <v>15274</v>
      </c>
      <c r="M119" s="17" t="s">
        <v>2047</v>
      </c>
      <c r="N119" s="17" t="s">
        <v>15275</v>
      </c>
      <c r="O119" s="17" t="s">
        <v>15276</v>
      </c>
      <c r="P119" s="17" t="str">
        <f>HYPERLINK("https://dexscreener.com/solana/5oSdehrNUuhDbxUVpkDEXRAykhYQeD2L1D8S99SLpump", "View")</f>
        <v>View</v>
      </c>
    </row>
    <row r="120" spans="1:16" x14ac:dyDescent="0.25">
      <c r="A120" s="13" t="s">
        <v>15271</v>
      </c>
      <c r="B120" s="14">
        <v>6251929</v>
      </c>
      <c r="C120" s="14">
        <v>6251929</v>
      </c>
      <c r="D120" s="14" t="s">
        <v>15277</v>
      </c>
      <c r="E120" s="14" t="s">
        <v>14721</v>
      </c>
      <c r="F120" s="14" t="s">
        <v>15278</v>
      </c>
      <c r="G120" s="21" t="s">
        <v>15279</v>
      </c>
      <c r="H120" s="21" t="s">
        <v>15280</v>
      </c>
      <c r="I120" s="14" t="s">
        <v>88</v>
      </c>
      <c r="J120" s="14">
        <v>4</v>
      </c>
      <c r="K120" s="14">
        <v>13</v>
      </c>
      <c r="L120" s="14" t="s">
        <v>15281</v>
      </c>
      <c r="M120" s="14" t="s">
        <v>8522</v>
      </c>
      <c r="N120" s="14" t="s">
        <v>15282</v>
      </c>
      <c r="O120" s="14" t="s">
        <v>15283</v>
      </c>
      <c r="P120" s="14" t="str">
        <f>HYPERLINK("https://dexscreener.com/solana/6WNva7iLjTvxSfXPSmbjceW5Yc41LUH4SJNqKom5pump", "View")</f>
        <v>View</v>
      </c>
    </row>
    <row r="121" spans="1:16" x14ac:dyDescent="0.25">
      <c r="A121" s="16" t="s">
        <v>15271</v>
      </c>
      <c r="B121" s="17">
        <v>3804155</v>
      </c>
      <c r="C121" s="17">
        <v>0</v>
      </c>
      <c r="D121" s="17" t="s">
        <v>14711</v>
      </c>
      <c r="E121" s="17" t="s">
        <v>6403</v>
      </c>
      <c r="F121" s="17" t="s">
        <v>96</v>
      </c>
      <c r="G121" s="18" t="s">
        <v>15284</v>
      </c>
      <c r="H121" s="18" t="s">
        <v>98</v>
      </c>
      <c r="I121" s="17" t="s">
        <v>15285</v>
      </c>
      <c r="J121" s="17">
        <v>1</v>
      </c>
      <c r="K121" s="17">
        <v>0</v>
      </c>
      <c r="L121" s="17" t="s">
        <v>15286</v>
      </c>
      <c r="M121" s="19" t="s">
        <v>101</v>
      </c>
      <c r="N121" s="17" t="s">
        <v>15287</v>
      </c>
      <c r="O121" s="17" t="s">
        <v>15288</v>
      </c>
      <c r="P121" s="17" t="str">
        <f>HYPERLINK("https://dexscreener.com/solana/Eim561iHxTHSL6vU9YvrzweDykAqeN9iSYW84FEvpump", "View")</f>
        <v>View</v>
      </c>
    </row>
    <row r="122" spans="1:16" x14ac:dyDescent="0.25">
      <c r="A122" s="13" t="s">
        <v>15289</v>
      </c>
      <c r="B122" s="14">
        <v>4635638</v>
      </c>
      <c r="C122" s="14">
        <v>0</v>
      </c>
      <c r="D122" s="14" t="s">
        <v>14711</v>
      </c>
      <c r="E122" s="14" t="s">
        <v>6581</v>
      </c>
      <c r="F122" s="14" t="s">
        <v>96</v>
      </c>
      <c r="G122" s="18" t="s">
        <v>14770</v>
      </c>
      <c r="H122" s="18" t="s">
        <v>98</v>
      </c>
      <c r="I122" s="14" t="s">
        <v>15290</v>
      </c>
      <c r="J122" s="14">
        <v>1</v>
      </c>
      <c r="K122" s="14">
        <v>0</v>
      </c>
      <c r="L122" s="14" t="s">
        <v>15291</v>
      </c>
      <c r="M122" s="19" t="s">
        <v>101</v>
      </c>
      <c r="N122" s="14" t="s">
        <v>1306</v>
      </c>
      <c r="O122" s="14" t="s">
        <v>15292</v>
      </c>
      <c r="P122" s="14" t="str">
        <f>HYPERLINK("https://dexscreener.com/solana/E4wJPceLkz5YiRFVnmiqmR5PaNjYdCZAp4fsELAhpump", "View")</f>
        <v>View</v>
      </c>
    </row>
    <row r="123" spans="1:16" x14ac:dyDescent="0.25">
      <c r="A123" s="16" t="s">
        <v>15293</v>
      </c>
      <c r="B123" s="17">
        <v>19432717</v>
      </c>
      <c r="C123" s="17">
        <v>0</v>
      </c>
      <c r="D123" s="17" t="s">
        <v>14711</v>
      </c>
      <c r="E123" s="17" t="s">
        <v>6581</v>
      </c>
      <c r="F123" s="17" t="s">
        <v>96</v>
      </c>
      <c r="G123" s="18" t="s">
        <v>14770</v>
      </c>
      <c r="H123" s="18" t="s">
        <v>98</v>
      </c>
      <c r="I123" s="17" t="s">
        <v>15294</v>
      </c>
      <c r="J123" s="17">
        <v>1</v>
      </c>
      <c r="K123" s="17">
        <v>0</v>
      </c>
      <c r="L123" s="17" t="s">
        <v>15295</v>
      </c>
      <c r="M123" s="19" t="s">
        <v>101</v>
      </c>
      <c r="N123" s="17" t="s">
        <v>4104</v>
      </c>
      <c r="O123" s="17" t="s">
        <v>15296</v>
      </c>
      <c r="P123" s="17" t="str">
        <f>HYPERLINK("https://dexscreener.com/solana/CV5ou92FNLervBQmWrcRr52B6SMritudHdpk1MYRpump", "View")</f>
        <v>View</v>
      </c>
    </row>
    <row r="124" spans="1:16" x14ac:dyDescent="0.25">
      <c r="A124" s="13" t="s">
        <v>15293</v>
      </c>
      <c r="B124" s="14">
        <v>9658862</v>
      </c>
      <c r="C124" s="14">
        <v>0</v>
      </c>
      <c r="D124" s="14" t="s">
        <v>14819</v>
      </c>
      <c r="E124" s="14" t="s">
        <v>1804</v>
      </c>
      <c r="F124" s="14" t="s">
        <v>96</v>
      </c>
      <c r="G124" s="18" t="s">
        <v>15297</v>
      </c>
      <c r="H124" s="18" t="s">
        <v>98</v>
      </c>
      <c r="I124" s="14" t="s">
        <v>15298</v>
      </c>
      <c r="J124" s="14">
        <v>2</v>
      </c>
      <c r="K124" s="14">
        <v>0</v>
      </c>
      <c r="L124" s="14" t="s">
        <v>15299</v>
      </c>
      <c r="M124" s="19" t="s">
        <v>1940</v>
      </c>
      <c r="N124" s="14" t="s">
        <v>15300</v>
      </c>
      <c r="O124" s="14" t="s">
        <v>15301</v>
      </c>
      <c r="P124" s="14" t="str">
        <f>HYPERLINK("https://dexscreener.com/solana/6UJ8FLcUvdqfZTTGz6brp2eCrvkAf8ea1RzdV9oTpump", "View")</f>
        <v>View</v>
      </c>
    </row>
    <row r="125" spans="1:16" x14ac:dyDescent="0.25">
      <c r="A125" s="16" t="s">
        <v>15302</v>
      </c>
      <c r="B125" s="17">
        <v>7807594</v>
      </c>
      <c r="C125" s="17">
        <v>6160680</v>
      </c>
      <c r="D125" s="17" t="s">
        <v>15303</v>
      </c>
      <c r="E125" s="17" t="s">
        <v>15304</v>
      </c>
      <c r="F125" s="17" t="s">
        <v>15305</v>
      </c>
      <c r="G125" s="21" t="s">
        <v>15306</v>
      </c>
      <c r="H125" s="21" t="s">
        <v>15307</v>
      </c>
      <c r="I125" s="17" t="s">
        <v>88</v>
      </c>
      <c r="J125" s="17">
        <v>3</v>
      </c>
      <c r="K125" s="17">
        <v>4</v>
      </c>
      <c r="L125" s="17" t="s">
        <v>15308</v>
      </c>
      <c r="M125" s="17" t="s">
        <v>132</v>
      </c>
      <c r="N125" s="17" t="s">
        <v>15309</v>
      </c>
      <c r="O125" s="17" t="s">
        <v>15310</v>
      </c>
      <c r="P125" s="17" t="str">
        <f>HYPERLINK("https://photon-sol.tinyastro.io/en/lp/4sNbsEQuGQpFDVnyVNRrGaRMHPLpMqmuYsTLzTokpump?handle=676050794bc1b1657a56b", "View")</f>
        <v>View</v>
      </c>
    </row>
    <row r="126" spans="1:16" x14ac:dyDescent="0.25">
      <c r="A126" s="13" t="s">
        <v>15271</v>
      </c>
      <c r="B126" s="14">
        <v>7899284</v>
      </c>
      <c r="C126" s="14">
        <v>3949642</v>
      </c>
      <c r="D126" s="14" t="s">
        <v>14738</v>
      </c>
      <c r="E126" s="14" t="s">
        <v>14679</v>
      </c>
      <c r="F126" s="14" t="s">
        <v>15311</v>
      </c>
      <c r="G126" s="21" t="s">
        <v>15312</v>
      </c>
      <c r="H126" s="21" t="s">
        <v>15313</v>
      </c>
      <c r="I126" s="14" t="s">
        <v>88</v>
      </c>
      <c r="J126" s="14">
        <v>2</v>
      </c>
      <c r="K126" s="14">
        <v>1</v>
      </c>
      <c r="L126" s="14" t="s">
        <v>15314</v>
      </c>
      <c r="M126" s="14" t="s">
        <v>745</v>
      </c>
      <c r="N126" s="14" t="s">
        <v>15315</v>
      </c>
      <c r="O126" s="14" t="s">
        <v>15316</v>
      </c>
      <c r="P126" s="14" t="str">
        <f>HYPERLINK("https://dexscreener.com/solana/DNsALigYkWTQvowxMkJtfRhQSNsgGCHsFMQdAhSipump", "View")</f>
        <v>View</v>
      </c>
    </row>
    <row r="127" spans="1:16" x14ac:dyDescent="0.25">
      <c r="A127" s="16" t="s">
        <v>15271</v>
      </c>
      <c r="B127" s="17">
        <v>22326908</v>
      </c>
      <c r="C127" s="17">
        <v>0</v>
      </c>
      <c r="D127" s="17" t="s">
        <v>14819</v>
      </c>
      <c r="E127" s="17" t="s">
        <v>15317</v>
      </c>
      <c r="F127" s="17" t="s">
        <v>96</v>
      </c>
      <c r="G127" s="18" t="s">
        <v>15318</v>
      </c>
      <c r="H127" s="18" t="s">
        <v>98</v>
      </c>
      <c r="I127" s="17" t="s">
        <v>15319</v>
      </c>
      <c r="J127" s="17">
        <v>2</v>
      </c>
      <c r="K127" s="17">
        <v>0</v>
      </c>
      <c r="L127" s="17" t="s">
        <v>15320</v>
      </c>
      <c r="M127" s="19" t="s">
        <v>3069</v>
      </c>
      <c r="N127" s="17" t="s">
        <v>507</v>
      </c>
      <c r="O127" s="17" t="s">
        <v>15321</v>
      </c>
      <c r="P127" s="17" t="str">
        <f>HYPERLINK("https://photon-sol.tinyastro.io/en/lp/AMoKiBe2yGYqCPggmza4VbjSTzQC7KiA6DnoaRLQpump?handle=676050794bc1b1657a56b", "View")</f>
        <v>View</v>
      </c>
    </row>
    <row r="128" spans="1:16" x14ac:dyDescent="0.25">
      <c r="A128" s="13" t="s">
        <v>15322</v>
      </c>
      <c r="B128" s="14">
        <v>2844384</v>
      </c>
      <c r="C128" s="14">
        <v>0</v>
      </c>
      <c r="D128" s="14" t="s">
        <v>14819</v>
      </c>
      <c r="E128" s="14" t="s">
        <v>15317</v>
      </c>
      <c r="F128" s="14" t="s">
        <v>96</v>
      </c>
      <c r="G128" s="18" t="s">
        <v>15318</v>
      </c>
      <c r="H128" s="18" t="s">
        <v>98</v>
      </c>
      <c r="I128" s="14" t="s">
        <v>15323</v>
      </c>
      <c r="J128" s="14">
        <v>2</v>
      </c>
      <c r="K128" s="14">
        <v>0</v>
      </c>
      <c r="L128" s="14" t="s">
        <v>15324</v>
      </c>
      <c r="M128" s="19" t="s">
        <v>2993</v>
      </c>
      <c r="N128" s="14" t="s">
        <v>15325</v>
      </c>
      <c r="O128" s="14" t="s">
        <v>15326</v>
      </c>
      <c r="P128" s="14" t="str">
        <f>HYPERLINK("https://photon-sol.tinyastro.io/en/lp/3XHnmDDQy9DEGFrJ2gX9bMp58Jcq2dFdpsHFTvQWpump?handle=676050794bc1b1657a56b", "View")</f>
        <v>View</v>
      </c>
    </row>
    <row r="129" spans="1:16" x14ac:dyDescent="0.25">
      <c r="A129" s="16" t="s">
        <v>15327</v>
      </c>
      <c r="B129" s="17">
        <v>1698533</v>
      </c>
      <c r="C129" s="17">
        <v>1698533</v>
      </c>
      <c r="D129" s="17" t="s">
        <v>14759</v>
      </c>
      <c r="E129" s="17" t="s">
        <v>14813</v>
      </c>
      <c r="F129" s="17" t="s">
        <v>1639</v>
      </c>
      <c r="G129" s="15" t="s">
        <v>15328</v>
      </c>
      <c r="H129" s="15" t="s">
        <v>15329</v>
      </c>
      <c r="I129" s="17" t="s">
        <v>88</v>
      </c>
      <c r="J129" s="17">
        <v>1</v>
      </c>
      <c r="K129" s="17">
        <v>1</v>
      </c>
      <c r="L129" s="17" t="s">
        <v>15330</v>
      </c>
      <c r="M129" s="17" t="s">
        <v>117</v>
      </c>
      <c r="N129" s="17" t="s">
        <v>15331</v>
      </c>
      <c r="O129" s="17" t="s">
        <v>15332</v>
      </c>
      <c r="P129" s="17" t="str">
        <f>HYPERLINK("https://photon-sol.tinyastro.io/en/lp/735fTUoCKoPp47drmX5Dx6oYiUUry59bZaxCZk5Gpump?handle=676050794bc1b1657a56b", "View")</f>
        <v>View</v>
      </c>
    </row>
    <row r="130" spans="1:16" x14ac:dyDescent="0.25">
      <c r="A130" s="13" t="s">
        <v>15333</v>
      </c>
      <c r="B130" s="14">
        <v>8783019</v>
      </c>
      <c r="C130" s="14">
        <v>8783019</v>
      </c>
      <c r="D130" s="14" t="s">
        <v>14726</v>
      </c>
      <c r="E130" s="14" t="s">
        <v>4409</v>
      </c>
      <c r="F130" s="14" t="s">
        <v>15334</v>
      </c>
      <c r="G130" s="15" t="s">
        <v>15335</v>
      </c>
      <c r="H130" s="15" t="s">
        <v>15336</v>
      </c>
      <c r="I130" s="14" t="s">
        <v>88</v>
      </c>
      <c r="J130" s="14">
        <v>2</v>
      </c>
      <c r="K130" s="14">
        <v>1</v>
      </c>
      <c r="L130" s="14" t="s">
        <v>15337</v>
      </c>
      <c r="M130" s="14" t="s">
        <v>4454</v>
      </c>
      <c r="N130" s="14" t="s">
        <v>15338</v>
      </c>
      <c r="O130" s="14" t="s">
        <v>15339</v>
      </c>
      <c r="P130" s="14" t="str">
        <f>HYPERLINK("https://photon-sol.tinyastro.io/en/lp/8CsoKQE6wYvgmAXoxtbkdSeq3hDtx2pettwjvfNvpump?handle=676050794bc1b1657a56b", "View")</f>
        <v>View</v>
      </c>
    </row>
    <row r="131" spans="1:16" x14ac:dyDescent="0.25">
      <c r="A131" s="16" t="s">
        <v>15340</v>
      </c>
      <c r="B131" s="17">
        <v>12302416</v>
      </c>
      <c r="C131" s="17">
        <v>0</v>
      </c>
      <c r="D131" s="17" t="s">
        <v>14711</v>
      </c>
      <c r="E131" s="17" t="s">
        <v>13499</v>
      </c>
      <c r="F131" s="17" t="s">
        <v>96</v>
      </c>
      <c r="G131" s="18" t="s">
        <v>14712</v>
      </c>
      <c r="H131" s="18" t="s">
        <v>98</v>
      </c>
      <c r="I131" s="17" t="s">
        <v>15341</v>
      </c>
      <c r="J131" s="17">
        <v>1</v>
      </c>
      <c r="K131" s="17">
        <v>0</v>
      </c>
      <c r="L131" s="17" t="s">
        <v>15342</v>
      </c>
      <c r="M131" s="19" t="s">
        <v>101</v>
      </c>
      <c r="N131" s="17" t="s">
        <v>507</v>
      </c>
      <c r="O131" s="17" t="s">
        <v>15343</v>
      </c>
      <c r="P131" s="17" t="str">
        <f>HYPERLINK("https://photon-sol.tinyastro.io/en/lp/2LpMTtssXgGXHcJ4uTLhNsLu9XBbcDHKqNpS2Xphpump?handle=676050794bc1b1657a56b", "View")</f>
        <v>View</v>
      </c>
    </row>
    <row r="132" spans="1:16" x14ac:dyDescent="0.25">
      <c r="A132" s="13" t="s">
        <v>15344</v>
      </c>
      <c r="B132" s="14">
        <v>15004035</v>
      </c>
      <c r="C132" s="14">
        <v>15004035</v>
      </c>
      <c r="D132" s="14" t="s">
        <v>14716</v>
      </c>
      <c r="E132" s="14" t="s">
        <v>14813</v>
      </c>
      <c r="F132" s="14" t="s">
        <v>4072</v>
      </c>
      <c r="G132" s="20" t="s">
        <v>6297</v>
      </c>
      <c r="H132" s="20" t="s">
        <v>15345</v>
      </c>
      <c r="I132" s="14" t="s">
        <v>88</v>
      </c>
      <c r="J132" s="14">
        <v>1</v>
      </c>
      <c r="K132" s="14">
        <v>1</v>
      </c>
      <c r="L132" s="14" t="s">
        <v>15346</v>
      </c>
      <c r="M132" s="19" t="s">
        <v>1872</v>
      </c>
      <c r="N132" s="14" t="s">
        <v>507</v>
      </c>
      <c r="O132" s="14" t="s">
        <v>15347</v>
      </c>
      <c r="P132" s="14" t="str">
        <f>HYPERLINK("https://photon-sol.tinyastro.io/en/lp/Esaan5R6gV4PVkEtxKkFgd6kboY1xA3AbvyqoM46pump?handle=676050794bc1b1657a56b", "View")</f>
        <v>View</v>
      </c>
    </row>
    <row r="133" spans="1:16" x14ac:dyDescent="0.25">
      <c r="A133" s="16" t="s">
        <v>15348</v>
      </c>
      <c r="B133" s="17">
        <v>461705</v>
      </c>
      <c r="C133" s="17">
        <v>461705</v>
      </c>
      <c r="D133" s="17" t="s">
        <v>14716</v>
      </c>
      <c r="E133" s="17" t="s">
        <v>1804</v>
      </c>
      <c r="F133" s="17" t="s">
        <v>12914</v>
      </c>
      <c r="G133" s="22" t="s">
        <v>5345</v>
      </c>
      <c r="H133" s="22" t="s">
        <v>15349</v>
      </c>
      <c r="I133" s="17" t="s">
        <v>88</v>
      </c>
      <c r="J133" s="17">
        <v>1</v>
      </c>
      <c r="K133" s="17">
        <v>1</v>
      </c>
      <c r="L133" s="17" t="s">
        <v>15350</v>
      </c>
      <c r="M133" s="17" t="s">
        <v>1434</v>
      </c>
      <c r="N133" s="17" t="s">
        <v>15351</v>
      </c>
      <c r="O133" s="17" t="s">
        <v>15352</v>
      </c>
      <c r="P133" s="17" t="str">
        <f>HYPERLINK("https://dexscreener.com/solana/APoM2sXUzdRHTkUjXSsdUheX1wPPdP4HFLotmtRNMU8P", "View")</f>
        <v>View</v>
      </c>
    </row>
    <row r="134" spans="1:16" x14ac:dyDescent="0.25">
      <c r="A134" s="13" t="s">
        <v>15353</v>
      </c>
      <c r="B134" s="14">
        <v>26100133</v>
      </c>
      <c r="C134" s="14">
        <v>0</v>
      </c>
      <c r="D134" s="14" t="s">
        <v>14819</v>
      </c>
      <c r="E134" s="14" t="s">
        <v>6403</v>
      </c>
      <c r="F134" s="14" t="s">
        <v>96</v>
      </c>
      <c r="G134" s="18" t="s">
        <v>15354</v>
      </c>
      <c r="H134" s="18" t="s">
        <v>98</v>
      </c>
      <c r="I134" s="14" t="s">
        <v>15355</v>
      </c>
      <c r="J134" s="14">
        <v>2</v>
      </c>
      <c r="K134" s="14">
        <v>0</v>
      </c>
      <c r="L134" s="14" t="s">
        <v>15356</v>
      </c>
      <c r="M134" s="19" t="s">
        <v>2955</v>
      </c>
      <c r="N134" s="14" t="s">
        <v>15357</v>
      </c>
      <c r="O134" s="14" t="s">
        <v>15358</v>
      </c>
      <c r="P134" s="14" t="str">
        <f>HYPERLINK("https://dexscreener.com/solana/8J8xnvvBHNiYfmLrFbsFmthjeQ4qYG4R5Q9JMK4AUrm4", "View")</f>
        <v>View</v>
      </c>
    </row>
    <row r="135" spans="1:16" x14ac:dyDescent="0.25">
      <c r="A135" s="16" t="s">
        <v>15359</v>
      </c>
      <c r="B135" s="17">
        <v>16147189</v>
      </c>
      <c r="C135" s="17">
        <v>0</v>
      </c>
      <c r="D135" s="17" t="s">
        <v>14711</v>
      </c>
      <c r="E135" s="17" t="s">
        <v>10388</v>
      </c>
      <c r="F135" s="17" t="s">
        <v>96</v>
      </c>
      <c r="G135" s="18" t="s">
        <v>15360</v>
      </c>
      <c r="H135" s="18" t="s">
        <v>98</v>
      </c>
      <c r="I135" s="17" t="s">
        <v>15361</v>
      </c>
      <c r="J135" s="17">
        <v>1</v>
      </c>
      <c r="K135" s="17">
        <v>0</v>
      </c>
      <c r="L135" s="17" t="s">
        <v>15362</v>
      </c>
      <c r="M135" s="19" t="s">
        <v>101</v>
      </c>
      <c r="N135" s="17" t="s">
        <v>15363</v>
      </c>
      <c r="O135" s="17" t="s">
        <v>15364</v>
      </c>
      <c r="P135" s="17" t="str">
        <f>HYPERLINK("https://dexscreener.com/solana/9ykgzfLW4RCV3gZDx8TarcvsG4urgawJLg3inymXpump", "View")</f>
        <v>View</v>
      </c>
    </row>
    <row r="136" spans="1:16" x14ac:dyDescent="0.25">
      <c r="A136" s="13" t="s">
        <v>15365</v>
      </c>
      <c r="B136" s="14">
        <v>23650049</v>
      </c>
      <c r="C136" s="14">
        <v>23650049</v>
      </c>
      <c r="D136" s="14" t="s">
        <v>14716</v>
      </c>
      <c r="E136" s="14" t="s">
        <v>14732</v>
      </c>
      <c r="F136" s="14" t="s">
        <v>15366</v>
      </c>
      <c r="G136" s="22" t="s">
        <v>3890</v>
      </c>
      <c r="H136" s="22" t="s">
        <v>15367</v>
      </c>
      <c r="I136" s="14" t="s">
        <v>88</v>
      </c>
      <c r="J136" s="14">
        <v>1</v>
      </c>
      <c r="K136" s="14">
        <v>1</v>
      </c>
      <c r="L136" s="14" t="s">
        <v>15368</v>
      </c>
      <c r="M136" s="14" t="s">
        <v>1434</v>
      </c>
      <c r="N136" s="14" t="s">
        <v>507</v>
      </c>
      <c r="O136" s="14" t="s">
        <v>15369</v>
      </c>
      <c r="P136" s="14" t="str">
        <f>HYPERLINK("https://photon-sol.tinyastro.io/en/lp/2jRh7N2kqtaTzridGrma8dJCEXA8kcwXKS8fpupBy1HS?handle=676050794bc1b1657a56b", "View")</f>
        <v>View</v>
      </c>
    </row>
    <row r="137" spans="1:16" x14ac:dyDescent="0.25">
      <c r="A137" s="16" t="s">
        <v>15365</v>
      </c>
      <c r="B137" s="17">
        <v>39244109</v>
      </c>
      <c r="C137" s="17">
        <v>39244109</v>
      </c>
      <c r="D137" s="17" t="s">
        <v>14716</v>
      </c>
      <c r="E137" s="17" t="s">
        <v>14732</v>
      </c>
      <c r="F137" s="17" t="s">
        <v>15370</v>
      </c>
      <c r="G137" s="20" t="s">
        <v>4187</v>
      </c>
      <c r="H137" s="20" t="s">
        <v>15371</v>
      </c>
      <c r="I137" s="17" t="s">
        <v>88</v>
      </c>
      <c r="J137" s="17">
        <v>1</v>
      </c>
      <c r="K137" s="17">
        <v>1</v>
      </c>
      <c r="L137" s="17" t="s">
        <v>15372</v>
      </c>
      <c r="M137" s="19" t="s">
        <v>1827</v>
      </c>
      <c r="N137" s="17" t="s">
        <v>507</v>
      </c>
      <c r="O137" s="17" t="s">
        <v>15373</v>
      </c>
      <c r="P137" s="17" t="str">
        <f>HYPERLINK("https://photon-sol.tinyastro.io/en/lp/CHj4HSERi1gCXW6svzgVNz3BtRobJyLAjYPthufopump?handle=676050794bc1b1657a56b", "View")</f>
        <v>View</v>
      </c>
    </row>
    <row r="138" spans="1:16" x14ac:dyDescent="0.25">
      <c r="A138" s="13" t="s">
        <v>15374</v>
      </c>
      <c r="B138" s="14">
        <v>11561247</v>
      </c>
      <c r="C138" s="14">
        <v>11561247</v>
      </c>
      <c r="D138" s="14" t="s">
        <v>15375</v>
      </c>
      <c r="E138" s="14" t="s">
        <v>6403</v>
      </c>
      <c r="F138" s="14" t="s">
        <v>15376</v>
      </c>
      <c r="G138" s="21" t="s">
        <v>15377</v>
      </c>
      <c r="H138" s="21" t="s">
        <v>15378</v>
      </c>
      <c r="I138" s="14" t="s">
        <v>88</v>
      </c>
      <c r="J138" s="14">
        <v>1</v>
      </c>
      <c r="K138" s="14">
        <v>3</v>
      </c>
      <c r="L138" s="14" t="s">
        <v>15379</v>
      </c>
      <c r="M138" s="14" t="s">
        <v>179</v>
      </c>
      <c r="N138" s="14" t="s">
        <v>15380</v>
      </c>
      <c r="O138" s="14" t="s">
        <v>15381</v>
      </c>
      <c r="P138" s="14" t="str">
        <f>HYPERLINK("https://dexscreener.com/solana/BZxEQAMgHSf9bD8qFBUbVFjf7AfSkpPtTjTYU9pzpump", "View")</f>
        <v>View</v>
      </c>
    </row>
    <row r="139" spans="1:16" x14ac:dyDescent="0.25">
      <c r="A139" s="16" t="s">
        <v>15382</v>
      </c>
      <c r="B139" s="17">
        <v>4022695</v>
      </c>
      <c r="C139" s="17">
        <v>0</v>
      </c>
      <c r="D139" s="17" t="s">
        <v>15383</v>
      </c>
      <c r="E139" s="17" t="s">
        <v>1936</v>
      </c>
      <c r="F139" s="17" t="s">
        <v>96</v>
      </c>
      <c r="G139" s="18" t="s">
        <v>15384</v>
      </c>
      <c r="H139" s="18" t="s">
        <v>98</v>
      </c>
      <c r="I139" s="17" t="s">
        <v>15385</v>
      </c>
      <c r="J139" s="17">
        <v>5</v>
      </c>
      <c r="K139" s="17">
        <v>0</v>
      </c>
      <c r="L139" s="17" t="s">
        <v>15386</v>
      </c>
      <c r="M139" s="17" t="s">
        <v>1434</v>
      </c>
      <c r="N139" s="17" t="s">
        <v>507</v>
      </c>
      <c r="O139" s="17" t="s">
        <v>15387</v>
      </c>
      <c r="P139" s="17" t="str">
        <f>HYPERLINK("https://photon-sol.tinyastro.io/en/lp/K6sQLv2TAj3H47xbKmrw6L3Ui2AaFcLkaqHD48xpump?handle=676050794bc1b1657a56b", "View")</f>
        <v>View</v>
      </c>
    </row>
    <row r="140" spans="1:16" x14ac:dyDescent="0.25">
      <c r="A140" s="13" t="s">
        <v>15388</v>
      </c>
      <c r="B140" s="14">
        <v>6941898</v>
      </c>
      <c r="C140" s="14">
        <v>6941898</v>
      </c>
      <c r="D140" s="14" t="s">
        <v>14716</v>
      </c>
      <c r="E140" s="14" t="s">
        <v>1804</v>
      </c>
      <c r="F140" s="14" t="s">
        <v>15389</v>
      </c>
      <c r="G140" s="21" t="s">
        <v>8648</v>
      </c>
      <c r="H140" s="21" t="s">
        <v>15390</v>
      </c>
      <c r="I140" s="14" t="s">
        <v>88</v>
      </c>
      <c r="J140" s="14">
        <v>1</v>
      </c>
      <c r="K140" s="14">
        <v>1</v>
      </c>
      <c r="L140" s="14" t="s">
        <v>15391</v>
      </c>
      <c r="M140" s="14" t="s">
        <v>5729</v>
      </c>
      <c r="N140" s="14" t="s">
        <v>15392</v>
      </c>
      <c r="O140" s="14" t="s">
        <v>15393</v>
      </c>
      <c r="P140" s="14" t="str">
        <f>HYPERLINK("https://dexscreener.com/solana/EdQzU6F71wx1LhvVhu92JNLNpxyue9zDqt9CR9J5pump", "View")</f>
        <v>View</v>
      </c>
    </row>
    <row r="141" spans="1:16" x14ac:dyDescent="0.25">
      <c r="A141" s="16" t="s">
        <v>15394</v>
      </c>
      <c r="B141" s="17">
        <v>1146458</v>
      </c>
      <c r="C141" s="17">
        <v>0</v>
      </c>
      <c r="D141" s="17" t="s">
        <v>14711</v>
      </c>
      <c r="E141" s="17" t="s">
        <v>10388</v>
      </c>
      <c r="F141" s="17" t="s">
        <v>96</v>
      </c>
      <c r="G141" s="18" t="s">
        <v>15360</v>
      </c>
      <c r="H141" s="18" t="s">
        <v>98</v>
      </c>
      <c r="I141" s="17" t="s">
        <v>15395</v>
      </c>
      <c r="J141" s="17">
        <v>1</v>
      </c>
      <c r="K141" s="17">
        <v>0</v>
      </c>
      <c r="L141" s="17" t="s">
        <v>15396</v>
      </c>
      <c r="M141" s="19" t="s">
        <v>101</v>
      </c>
      <c r="N141" s="17" t="s">
        <v>15397</v>
      </c>
      <c r="O141" s="17" t="s">
        <v>15398</v>
      </c>
      <c r="P141" s="17" t="str">
        <f>HYPERLINK("https://dexscreener.com/solana/FmqVMWXBESyu4g6FT1uz1GABKdJ4j6wbuuLFwPJtqpmu", "View")</f>
        <v>View</v>
      </c>
    </row>
    <row r="142" spans="1:16" x14ac:dyDescent="0.25">
      <c r="A142" s="13" t="s">
        <v>15399</v>
      </c>
      <c r="B142" s="14">
        <v>2206505</v>
      </c>
      <c r="C142" s="14">
        <v>2206505</v>
      </c>
      <c r="D142" s="14" t="s">
        <v>14716</v>
      </c>
      <c r="E142" s="14" t="s">
        <v>10388</v>
      </c>
      <c r="F142" s="14" t="s">
        <v>4196</v>
      </c>
      <c r="G142" s="20" t="s">
        <v>4688</v>
      </c>
      <c r="H142" s="20" t="s">
        <v>15400</v>
      </c>
      <c r="I142" s="14" t="s">
        <v>88</v>
      </c>
      <c r="J142" s="14">
        <v>1</v>
      </c>
      <c r="K142" s="14">
        <v>1</v>
      </c>
      <c r="L142" s="14" t="s">
        <v>15401</v>
      </c>
      <c r="M142" s="14" t="s">
        <v>602</v>
      </c>
      <c r="N142" s="14" t="s">
        <v>15402</v>
      </c>
      <c r="O142" s="14" t="s">
        <v>15403</v>
      </c>
      <c r="P142" s="14" t="str">
        <f>HYPERLINK("https://dexscreener.com/solana/ApSyVXJLRm1mF4hEdcRvaHcKiZmBG2YhariaDcvtpump", "View")</f>
        <v>View</v>
      </c>
    </row>
    <row r="143" spans="1:16" x14ac:dyDescent="0.25">
      <c r="A143" s="16" t="s">
        <v>13705</v>
      </c>
      <c r="B143" s="17">
        <v>2419577</v>
      </c>
      <c r="C143" s="17">
        <v>0</v>
      </c>
      <c r="D143" s="17" t="s">
        <v>14819</v>
      </c>
      <c r="E143" s="17" t="s">
        <v>6425</v>
      </c>
      <c r="F143" s="17" t="s">
        <v>96</v>
      </c>
      <c r="G143" s="18" t="s">
        <v>15145</v>
      </c>
      <c r="H143" s="18" t="s">
        <v>98</v>
      </c>
      <c r="I143" s="17" t="s">
        <v>15404</v>
      </c>
      <c r="J143" s="17">
        <v>2</v>
      </c>
      <c r="K143" s="17">
        <v>0</v>
      </c>
      <c r="L143" s="17" t="s">
        <v>15405</v>
      </c>
      <c r="M143" s="17" t="s">
        <v>1610</v>
      </c>
      <c r="N143" s="17" t="s">
        <v>15406</v>
      </c>
      <c r="O143" s="17" t="s">
        <v>13710</v>
      </c>
      <c r="P143" s="17" t="str">
        <f>HYPERLINK("https://dexscreener.com/solana/EGxWoteoTqwyzgXFZSxagKBUkoVbqtyRmnDewQNEpump", "View")</f>
        <v>View</v>
      </c>
    </row>
    <row r="144" spans="1:16" x14ac:dyDescent="0.25">
      <c r="A144" s="13" t="s">
        <v>15407</v>
      </c>
      <c r="B144" s="14">
        <v>45571429</v>
      </c>
      <c r="C144" s="14">
        <v>45571429</v>
      </c>
      <c r="D144" s="14" t="s">
        <v>14716</v>
      </c>
      <c r="E144" s="14" t="s">
        <v>14732</v>
      </c>
      <c r="F144" s="14" t="s">
        <v>15408</v>
      </c>
      <c r="G144" s="20" t="s">
        <v>15409</v>
      </c>
      <c r="H144" s="20" t="s">
        <v>15410</v>
      </c>
      <c r="I144" s="14" t="s">
        <v>88</v>
      </c>
      <c r="J144" s="14">
        <v>1</v>
      </c>
      <c r="K144" s="14">
        <v>1</v>
      </c>
      <c r="L144" s="14" t="s">
        <v>15411</v>
      </c>
      <c r="M144" s="14" t="s">
        <v>788</v>
      </c>
      <c r="N144" s="14" t="s">
        <v>507</v>
      </c>
      <c r="O144" s="14" t="s">
        <v>15412</v>
      </c>
      <c r="P144" s="14" t="str">
        <f>HYPERLINK("https://photon-sol.tinyastro.io/en/lp/7EQr1t7WWji8rxxSwT7wPfKJJjCK1eAK94kNbASypump?handle=676050794bc1b1657a56b", "View")</f>
        <v>View</v>
      </c>
    </row>
    <row r="145" spans="1:16" x14ac:dyDescent="0.25">
      <c r="A145" s="16" t="s">
        <v>15413</v>
      </c>
      <c r="B145" s="17">
        <v>15180539</v>
      </c>
      <c r="C145" s="17">
        <v>0</v>
      </c>
      <c r="D145" s="17" t="s">
        <v>15137</v>
      </c>
      <c r="E145" s="17" t="s">
        <v>8715</v>
      </c>
      <c r="F145" s="17" t="s">
        <v>96</v>
      </c>
      <c r="G145" s="18" t="s">
        <v>15414</v>
      </c>
      <c r="H145" s="18" t="s">
        <v>98</v>
      </c>
      <c r="I145" s="17" t="s">
        <v>15415</v>
      </c>
      <c r="J145" s="17">
        <v>3</v>
      </c>
      <c r="K145" s="17">
        <v>0</v>
      </c>
      <c r="L145" s="17" t="s">
        <v>15416</v>
      </c>
      <c r="M145" s="17" t="s">
        <v>602</v>
      </c>
      <c r="N145" s="17" t="s">
        <v>15417</v>
      </c>
      <c r="O145" s="17" t="s">
        <v>15418</v>
      </c>
      <c r="P145" s="17" t="str">
        <f>HYPERLINK("https://photon-sol.tinyastro.io/en/lp/DSkMjtUbwQghGHcWThZ29p2rZ7VR1vGGVd7eniJhpump?handle=676050794bc1b1657a56b", "View")</f>
        <v>View</v>
      </c>
    </row>
    <row r="146" spans="1:16" x14ac:dyDescent="0.25">
      <c r="A146" s="13" t="s">
        <v>15419</v>
      </c>
      <c r="B146" s="14">
        <v>11563384</v>
      </c>
      <c r="C146" s="14">
        <v>11563384</v>
      </c>
      <c r="D146" s="14" t="s">
        <v>14716</v>
      </c>
      <c r="E146" s="14" t="s">
        <v>13499</v>
      </c>
      <c r="F146" s="14" t="s">
        <v>12183</v>
      </c>
      <c r="G146" s="15" t="s">
        <v>15420</v>
      </c>
      <c r="H146" s="15" t="s">
        <v>15421</v>
      </c>
      <c r="I146" s="14" t="s">
        <v>88</v>
      </c>
      <c r="J146" s="14">
        <v>1</v>
      </c>
      <c r="K146" s="14">
        <v>1</v>
      </c>
      <c r="L146" s="14" t="s">
        <v>15422</v>
      </c>
      <c r="M146" s="14" t="s">
        <v>1566</v>
      </c>
      <c r="N146" s="14" t="s">
        <v>507</v>
      </c>
      <c r="O146" s="14" t="s">
        <v>15423</v>
      </c>
      <c r="P146" s="14" t="str">
        <f>HYPERLINK("https://photon-sol.tinyastro.io/en/lp/3tG8855ZcLZxdQ9GREfeaTLhs2aVkEdbtq8qwkUmpump?handle=676050794bc1b1657a56b", "View")</f>
        <v>View</v>
      </c>
    </row>
    <row r="147" spans="1:16" x14ac:dyDescent="0.25">
      <c r="A147" s="16" t="s">
        <v>14834</v>
      </c>
      <c r="B147" s="17">
        <v>50130722</v>
      </c>
      <c r="C147" s="17">
        <v>50130722</v>
      </c>
      <c r="D147" s="17" t="s">
        <v>14716</v>
      </c>
      <c r="E147" s="17" t="s">
        <v>14732</v>
      </c>
      <c r="F147" s="17" t="s">
        <v>15424</v>
      </c>
      <c r="G147" s="20" t="s">
        <v>15425</v>
      </c>
      <c r="H147" s="20" t="s">
        <v>15426</v>
      </c>
      <c r="I147" s="17" t="s">
        <v>88</v>
      </c>
      <c r="J147" s="17">
        <v>1</v>
      </c>
      <c r="K147" s="17">
        <v>1</v>
      </c>
      <c r="L147" s="17" t="s">
        <v>15427</v>
      </c>
      <c r="M147" s="17" t="s">
        <v>117</v>
      </c>
      <c r="N147" s="17" t="s">
        <v>507</v>
      </c>
      <c r="O147" s="17" t="s">
        <v>15428</v>
      </c>
      <c r="P147" s="17" t="str">
        <f>HYPERLINK("https://photon-sol.tinyastro.io/en/lp/7pHBeAt1R4RigyQJ4C6MYjUV13N4HHfkdQfqbDQSpump?handle=676050794bc1b1657a56b", "View")</f>
        <v>View</v>
      </c>
    </row>
    <row r="148" spans="1:16" x14ac:dyDescent="0.25">
      <c r="A148" s="13" t="s">
        <v>11251</v>
      </c>
      <c r="B148" s="14">
        <v>5910174</v>
      </c>
      <c r="C148" s="14">
        <v>0</v>
      </c>
      <c r="D148" s="14" t="s">
        <v>14711</v>
      </c>
      <c r="E148" s="14" t="s">
        <v>1804</v>
      </c>
      <c r="F148" s="14" t="s">
        <v>96</v>
      </c>
      <c r="G148" s="18" t="s">
        <v>15429</v>
      </c>
      <c r="H148" s="18" t="s">
        <v>98</v>
      </c>
      <c r="I148" s="14" t="s">
        <v>15430</v>
      </c>
      <c r="J148" s="14">
        <v>1</v>
      </c>
      <c r="K148" s="14">
        <v>0</v>
      </c>
      <c r="L148" s="14" t="s">
        <v>15431</v>
      </c>
      <c r="M148" s="19" t="s">
        <v>101</v>
      </c>
      <c r="N148" s="14" t="s">
        <v>15432</v>
      </c>
      <c r="O148" s="14" t="s">
        <v>15433</v>
      </c>
      <c r="P148" s="14" t="str">
        <f>HYPERLINK("https://dexscreener.com/solana/4UX2gCkYp8j5ZqP3p4o7g4f9kYd2EY8FQh8RF97vpump", "View")</f>
        <v>View</v>
      </c>
    </row>
    <row r="149" spans="1:16" x14ac:dyDescent="0.25">
      <c r="A149" s="16" t="s">
        <v>11251</v>
      </c>
      <c r="B149" s="17">
        <v>22254830</v>
      </c>
      <c r="C149" s="17">
        <v>0</v>
      </c>
      <c r="D149" s="17" t="s">
        <v>14819</v>
      </c>
      <c r="E149" s="17" t="s">
        <v>1989</v>
      </c>
      <c r="F149" s="17" t="s">
        <v>96</v>
      </c>
      <c r="G149" s="18" t="s">
        <v>15434</v>
      </c>
      <c r="H149" s="18" t="s">
        <v>98</v>
      </c>
      <c r="I149" s="17" t="s">
        <v>15435</v>
      </c>
      <c r="J149" s="17">
        <v>2</v>
      </c>
      <c r="K149" s="17">
        <v>0</v>
      </c>
      <c r="L149" s="17" t="s">
        <v>15436</v>
      </c>
      <c r="M149" s="17" t="s">
        <v>132</v>
      </c>
      <c r="N149" s="17" t="s">
        <v>15437</v>
      </c>
      <c r="O149" s="17" t="s">
        <v>15438</v>
      </c>
      <c r="P149" s="17" t="str">
        <f>HYPERLINK("https://dexscreener.com/solana/AFj2woEvRdn2jt6uuCfjUbU8iukC99aUzmauGELcL3zR", "View")</f>
        <v>View</v>
      </c>
    </row>
    <row r="150" spans="1:16" x14ac:dyDescent="0.25">
      <c r="A150" s="13" t="s">
        <v>15439</v>
      </c>
      <c r="B150" s="14">
        <v>68246077</v>
      </c>
      <c r="C150" s="14">
        <v>68246077</v>
      </c>
      <c r="D150" s="14" t="s">
        <v>14720</v>
      </c>
      <c r="E150" s="14" t="s">
        <v>7454</v>
      </c>
      <c r="F150" s="14" t="s">
        <v>15440</v>
      </c>
      <c r="G150" s="15" t="s">
        <v>15441</v>
      </c>
      <c r="H150" s="15" t="s">
        <v>15442</v>
      </c>
      <c r="I150" s="14" t="s">
        <v>88</v>
      </c>
      <c r="J150" s="14">
        <v>3</v>
      </c>
      <c r="K150" s="14">
        <v>1</v>
      </c>
      <c r="L150" s="14" t="s">
        <v>15443</v>
      </c>
      <c r="M150" s="14" t="s">
        <v>1434</v>
      </c>
      <c r="N150" s="14" t="s">
        <v>15444</v>
      </c>
      <c r="O150" s="14" t="s">
        <v>15445</v>
      </c>
      <c r="P150" s="14" t="str">
        <f>HYPERLINK("https://dexscreener.com/solana/BQ2FgcCrXLmbcDv7Ko16Vd44KGkhK7cXKmF8vJpopump", "View")</f>
        <v>View</v>
      </c>
    </row>
    <row r="151" spans="1:16" x14ac:dyDescent="0.25">
      <c r="A151" s="16" t="s">
        <v>15446</v>
      </c>
      <c r="B151" s="17">
        <v>4275613</v>
      </c>
      <c r="C151" s="17">
        <v>4275613</v>
      </c>
      <c r="D151" s="17" t="s">
        <v>15447</v>
      </c>
      <c r="E151" s="17" t="s">
        <v>15448</v>
      </c>
      <c r="F151" s="17" t="s">
        <v>15449</v>
      </c>
      <c r="G151" s="20" t="s">
        <v>15450</v>
      </c>
      <c r="H151" s="20" t="s">
        <v>15451</v>
      </c>
      <c r="I151" s="17" t="s">
        <v>88</v>
      </c>
      <c r="J151" s="17">
        <v>3</v>
      </c>
      <c r="K151" s="17">
        <v>2</v>
      </c>
      <c r="L151" s="17" t="s">
        <v>15452</v>
      </c>
      <c r="M151" s="17" t="s">
        <v>4385</v>
      </c>
      <c r="N151" s="17" t="s">
        <v>15453</v>
      </c>
      <c r="O151" s="17" t="s">
        <v>15454</v>
      </c>
      <c r="P151" s="17" t="str">
        <f>HYPERLINK("https://dexscreener.com/solana/34a8ALsPmbWxp7D3bQ6erERrCLz1ahr6u6o66Udmpump", "View")</f>
        <v>View</v>
      </c>
    </row>
    <row r="152" spans="1:16" x14ac:dyDescent="0.25">
      <c r="A152" s="13" t="s">
        <v>15455</v>
      </c>
      <c r="B152" s="14">
        <v>21778</v>
      </c>
      <c r="C152" s="14">
        <v>0</v>
      </c>
      <c r="D152" s="14" t="s">
        <v>14711</v>
      </c>
      <c r="E152" s="14" t="s">
        <v>1804</v>
      </c>
      <c r="F152" s="14" t="s">
        <v>96</v>
      </c>
      <c r="G152" s="18" t="s">
        <v>15429</v>
      </c>
      <c r="H152" s="18" t="s">
        <v>98</v>
      </c>
      <c r="I152" s="14" t="s">
        <v>15456</v>
      </c>
      <c r="J152" s="14">
        <v>1</v>
      </c>
      <c r="K152" s="14">
        <v>0</v>
      </c>
      <c r="L152" s="14" t="s">
        <v>15457</v>
      </c>
      <c r="M152" s="19" t="s">
        <v>101</v>
      </c>
      <c r="N152" s="14" t="s">
        <v>507</v>
      </c>
      <c r="O152" s="14" t="s">
        <v>15458</v>
      </c>
      <c r="P152" s="14" t="str">
        <f>HYPERLINK("https://dexscreener.com/solana/2a4dqA4YGahA4a4BZzACL2adgxGgz3mTMsJKVwi5cE1v", "View")</f>
        <v>View</v>
      </c>
    </row>
    <row r="153" spans="1:16" x14ac:dyDescent="0.25">
      <c r="A153" s="16" t="s">
        <v>15459</v>
      </c>
      <c r="B153" s="17">
        <v>15600418</v>
      </c>
      <c r="C153" s="17">
        <v>15600418</v>
      </c>
      <c r="D153" s="17" t="s">
        <v>14716</v>
      </c>
      <c r="E153" s="17" t="s">
        <v>14732</v>
      </c>
      <c r="F153" s="17" t="s">
        <v>15460</v>
      </c>
      <c r="G153" s="15" t="s">
        <v>15461</v>
      </c>
      <c r="H153" s="15" t="s">
        <v>15462</v>
      </c>
      <c r="I153" s="17" t="s">
        <v>88</v>
      </c>
      <c r="J153" s="17">
        <v>1</v>
      </c>
      <c r="K153" s="17">
        <v>1</v>
      </c>
      <c r="L153" s="17" t="s">
        <v>15463</v>
      </c>
      <c r="M153" s="19" t="s">
        <v>2364</v>
      </c>
      <c r="N153" s="17" t="s">
        <v>507</v>
      </c>
      <c r="O153" s="17" t="s">
        <v>15464</v>
      </c>
      <c r="P153" s="17" t="str">
        <f>HYPERLINK("https://photon-sol.tinyastro.io/en/lp/B8hoi8oGSj43Mnu3comFEpGcL7k9GNhFs9BrGQ5UBsS3?handle=676050794bc1b1657a56b", "View")</f>
        <v>View</v>
      </c>
    </row>
    <row r="154" spans="1:16" x14ac:dyDescent="0.25">
      <c r="A154" s="13" t="s">
        <v>15465</v>
      </c>
      <c r="B154" s="14">
        <v>8182250</v>
      </c>
      <c r="C154" s="14">
        <v>6341244</v>
      </c>
      <c r="D154" s="14" t="s">
        <v>15466</v>
      </c>
      <c r="E154" s="14" t="s">
        <v>6589</v>
      </c>
      <c r="F154" s="14" t="s">
        <v>15467</v>
      </c>
      <c r="G154" s="21" t="s">
        <v>15468</v>
      </c>
      <c r="H154" s="21" t="s">
        <v>15469</v>
      </c>
      <c r="I154" s="14" t="s">
        <v>88</v>
      </c>
      <c r="J154" s="14">
        <v>1</v>
      </c>
      <c r="K154" s="14">
        <v>4</v>
      </c>
      <c r="L154" s="14" t="s">
        <v>15470</v>
      </c>
      <c r="M154" s="14" t="s">
        <v>1957</v>
      </c>
      <c r="N154" s="14" t="s">
        <v>15471</v>
      </c>
      <c r="O154" s="14" t="s">
        <v>15472</v>
      </c>
      <c r="P154" s="14" t="str">
        <f>HYPERLINK("https://dexscreener.com/solana/2zGQGkLnQgWLvfSiWTXnnxdMA7fiP4ah6hyJPQQe3Eoe", "View")</f>
        <v>View</v>
      </c>
    </row>
    <row r="155" spans="1:16" x14ac:dyDescent="0.25">
      <c r="A155" s="16" t="s">
        <v>15473</v>
      </c>
      <c r="B155" s="17">
        <v>27731771</v>
      </c>
      <c r="C155" s="17">
        <v>27731771</v>
      </c>
      <c r="D155" s="17" t="s">
        <v>15044</v>
      </c>
      <c r="E155" s="17" t="s">
        <v>14732</v>
      </c>
      <c r="F155" s="17" t="s">
        <v>15474</v>
      </c>
      <c r="G155" s="20" t="s">
        <v>14277</v>
      </c>
      <c r="H155" s="20" t="s">
        <v>13779</v>
      </c>
      <c r="I155" s="17" t="s">
        <v>88</v>
      </c>
      <c r="J155" s="17">
        <v>1</v>
      </c>
      <c r="K155" s="17">
        <v>2</v>
      </c>
      <c r="L155" s="17" t="s">
        <v>15475</v>
      </c>
      <c r="M155" s="17" t="s">
        <v>1434</v>
      </c>
      <c r="N155" s="17" t="s">
        <v>507</v>
      </c>
      <c r="O155" s="17" t="s">
        <v>15476</v>
      </c>
      <c r="P155" s="17" t="str">
        <f>HYPERLINK("https://photon-sol.tinyastro.io/en/lp/13ffKEtz2fRAvUH9ws9ZSvSK3dskntPQTGx12wZ38N4W?handle=676050794bc1b1657a56b", "View")</f>
        <v>View</v>
      </c>
    </row>
    <row r="156" spans="1:16" x14ac:dyDescent="0.25">
      <c r="A156" s="13" t="s">
        <v>15477</v>
      </c>
      <c r="B156" s="14">
        <v>30077432</v>
      </c>
      <c r="C156" s="14">
        <v>30077432</v>
      </c>
      <c r="D156" s="14" t="s">
        <v>14716</v>
      </c>
      <c r="E156" s="14" t="s">
        <v>1804</v>
      </c>
      <c r="F156" s="14" t="s">
        <v>15478</v>
      </c>
      <c r="G156" s="22" t="s">
        <v>15479</v>
      </c>
      <c r="H156" s="22" t="s">
        <v>15480</v>
      </c>
      <c r="I156" s="14" t="s">
        <v>88</v>
      </c>
      <c r="J156" s="14">
        <v>1</v>
      </c>
      <c r="K156" s="14">
        <v>1</v>
      </c>
      <c r="L156" s="14" t="s">
        <v>15481</v>
      </c>
      <c r="M156" s="14" t="s">
        <v>2403</v>
      </c>
      <c r="N156" s="14" t="s">
        <v>15482</v>
      </c>
      <c r="O156" s="14" t="s">
        <v>15483</v>
      </c>
      <c r="P156" s="14" t="str">
        <f>HYPERLINK("https://dexscreener.com/solana/8vsW2YaS2eHdKNTrqVn3uJxGmvNdgoG37bFb2qsvpump", "View")</f>
        <v>View</v>
      </c>
    </row>
    <row r="157" spans="1:16" x14ac:dyDescent="0.25">
      <c r="A157" s="16" t="s">
        <v>15484</v>
      </c>
      <c r="B157" s="17">
        <v>9137384</v>
      </c>
      <c r="C157" s="17">
        <v>9137384</v>
      </c>
      <c r="D157" s="17" t="s">
        <v>14716</v>
      </c>
      <c r="E157" s="17" t="s">
        <v>6581</v>
      </c>
      <c r="F157" s="17" t="s">
        <v>13494</v>
      </c>
      <c r="G157" s="20" t="s">
        <v>4925</v>
      </c>
      <c r="H157" s="20" t="s">
        <v>15485</v>
      </c>
      <c r="I157" s="17" t="s">
        <v>88</v>
      </c>
      <c r="J157" s="17">
        <v>1</v>
      </c>
      <c r="K157" s="17">
        <v>1</v>
      </c>
      <c r="L157" s="17" t="s">
        <v>15486</v>
      </c>
      <c r="M157" s="17" t="s">
        <v>1932</v>
      </c>
      <c r="N157" s="17" t="s">
        <v>1327</v>
      </c>
      <c r="O157" s="17" t="s">
        <v>15487</v>
      </c>
      <c r="P157" s="17" t="str">
        <f>HYPERLINK("https://dexscreener.com/solana/7Bx7pq9E1X2r96L57iokroavFnVoyyJ91x4L6ne1pump", "View")</f>
        <v>View</v>
      </c>
    </row>
    <row r="158" spans="1:16" x14ac:dyDescent="0.25">
      <c r="A158" s="13" t="s">
        <v>15488</v>
      </c>
      <c r="B158" s="14">
        <v>54776141</v>
      </c>
      <c r="C158" s="14">
        <v>54776141</v>
      </c>
      <c r="D158" s="14" t="s">
        <v>14716</v>
      </c>
      <c r="E158" s="14" t="s">
        <v>14717</v>
      </c>
      <c r="F158" s="14" t="s">
        <v>15489</v>
      </c>
      <c r="G158" s="22" t="s">
        <v>15490</v>
      </c>
      <c r="H158" s="22" t="s">
        <v>15491</v>
      </c>
      <c r="I158" s="14" t="s">
        <v>88</v>
      </c>
      <c r="J158" s="14">
        <v>1</v>
      </c>
      <c r="K158" s="14">
        <v>1</v>
      </c>
      <c r="L158" s="14" t="s">
        <v>15492</v>
      </c>
      <c r="M158" s="14" t="s">
        <v>3180</v>
      </c>
      <c r="N158" s="14" t="s">
        <v>507</v>
      </c>
      <c r="O158" s="14" t="s">
        <v>15493</v>
      </c>
      <c r="P158" s="14" t="str">
        <f>HYPERLINK("https://photon-sol.tinyastro.io/en/lp/4YAMVJD1EBDQ3oU9L4R4mPuf6xGYt9M3391Upn63pump?handle=676050794bc1b1657a56b", "View")</f>
        <v>View</v>
      </c>
    </row>
    <row r="159" spans="1:16" x14ac:dyDescent="0.25">
      <c r="A159" s="16" t="s">
        <v>15494</v>
      </c>
      <c r="B159" s="17">
        <v>2672147</v>
      </c>
      <c r="C159" s="17">
        <v>2672147</v>
      </c>
      <c r="D159" s="17" t="s">
        <v>15495</v>
      </c>
      <c r="E159" s="17" t="s">
        <v>15156</v>
      </c>
      <c r="F159" s="17" t="s">
        <v>15496</v>
      </c>
      <c r="G159" s="15" t="s">
        <v>15497</v>
      </c>
      <c r="H159" s="15" t="s">
        <v>15498</v>
      </c>
      <c r="I159" s="17" t="s">
        <v>88</v>
      </c>
      <c r="J159" s="17">
        <v>5</v>
      </c>
      <c r="K159" s="17">
        <v>1</v>
      </c>
      <c r="L159" s="17" t="s">
        <v>15499</v>
      </c>
      <c r="M159" s="17" t="s">
        <v>6257</v>
      </c>
      <c r="N159" s="17" t="s">
        <v>15500</v>
      </c>
      <c r="O159" s="17" t="s">
        <v>15501</v>
      </c>
      <c r="P159" s="17" t="str">
        <f>HYPERLINK("https://dexscreener.com/solana/4BRummYdfvoEGQwYzTSmn5F6RyAFdrHUTFkeagobpump", "View")</f>
        <v>View</v>
      </c>
    </row>
    <row r="160" spans="1:16" x14ac:dyDescent="0.25">
      <c r="A160" s="13" t="s">
        <v>15502</v>
      </c>
      <c r="B160" s="14">
        <v>79810903</v>
      </c>
      <c r="C160" s="14">
        <v>79810903</v>
      </c>
      <c r="D160" s="14" t="s">
        <v>14720</v>
      </c>
      <c r="E160" s="14" t="s">
        <v>15177</v>
      </c>
      <c r="F160" s="14" t="s">
        <v>15503</v>
      </c>
      <c r="G160" s="20" t="s">
        <v>15504</v>
      </c>
      <c r="H160" s="20" t="s">
        <v>15505</v>
      </c>
      <c r="I160" s="14" t="s">
        <v>88</v>
      </c>
      <c r="J160" s="14">
        <v>3</v>
      </c>
      <c r="K160" s="14">
        <v>1</v>
      </c>
      <c r="L160" s="14" t="s">
        <v>15506</v>
      </c>
      <c r="M160" s="14" t="s">
        <v>602</v>
      </c>
      <c r="N160" s="14" t="s">
        <v>507</v>
      </c>
      <c r="O160" s="14" t="s">
        <v>15507</v>
      </c>
      <c r="P160" s="14" t="str">
        <f>HYPERLINK("https://photon-sol.tinyastro.io/en/lp/6sMv7awAP8JqpZoByL2pE9PkBogP6npTeZV2U9nRpump?handle=676050794bc1b1657a56b", "View")</f>
        <v>View</v>
      </c>
    </row>
    <row r="161" spans="1:16" x14ac:dyDescent="0.25">
      <c r="A161" s="16" t="s">
        <v>312</v>
      </c>
      <c r="B161" s="17">
        <v>17275716</v>
      </c>
      <c r="C161" s="17">
        <v>17275716</v>
      </c>
      <c r="D161" s="17" t="s">
        <v>15508</v>
      </c>
      <c r="E161" s="17" t="s">
        <v>15509</v>
      </c>
      <c r="F161" s="17" t="s">
        <v>15510</v>
      </c>
      <c r="G161" s="21" t="s">
        <v>15511</v>
      </c>
      <c r="H161" s="21" t="s">
        <v>15512</v>
      </c>
      <c r="I161" s="17" t="s">
        <v>88</v>
      </c>
      <c r="J161" s="17">
        <v>4</v>
      </c>
      <c r="K161" s="17">
        <v>4</v>
      </c>
      <c r="L161" s="17" t="s">
        <v>15513</v>
      </c>
      <c r="M161" s="17" t="s">
        <v>5501</v>
      </c>
      <c r="N161" s="17" t="s">
        <v>15514</v>
      </c>
      <c r="O161" s="17" t="s">
        <v>15515</v>
      </c>
      <c r="P161" s="17" t="str">
        <f>HYPERLINK("https://photon-sol.tinyastro.io/en/lp/AGPyh2ggcbvfNXE1snYiW2NYnmyH4i9zn8KXMAxHpump?handle=676050794bc1b1657a56b", "View")</f>
        <v>View</v>
      </c>
    </row>
    <row r="162" spans="1:16" x14ac:dyDescent="0.25">
      <c r="A162" s="13" t="s">
        <v>15516</v>
      </c>
      <c r="B162" s="14">
        <v>49034908</v>
      </c>
      <c r="C162" s="14">
        <v>49034908</v>
      </c>
      <c r="D162" s="14" t="s">
        <v>15517</v>
      </c>
      <c r="E162" s="14" t="s">
        <v>15177</v>
      </c>
      <c r="F162" s="14" t="s">
        <v>15518</v>
      </c>
      <c r="G162" s="21" t="s">
        <v>15519</v>
      </c>
      <c r="H162" s="21" t="s">
        <v>15520</v>
      </c>
      <c r="I162" s="14" t="s">
        <v>88</v>
      </c>
      <c r="J162" s="14">
        <v>3</v>
      </c>
      <c r="K162" s="14">
        <v>5</v>
      </c>
      <c r="L162" s="14" t="s">
        <v>15521</v>
      </c>
      <c r="M162" s="14" t="s">
        <v>5445</v>
      </c>
      <c r="N162" s="14" t="s">
        <v>14328</v>
      </c>
      <c r="O162" s="14" t="s">
        <v>15522</v>
      </c>
      <c r="P162" s="14" t="str">
        <f>HYPERLINK("https://photon-sol.tinyastro.io/en/lp/ARXYJ2bKQgCViLVGL9PPVNrZAu7uTDWVizk5fiB2pump?handle=676050794bc1b1657a56b", "View")</f>
        <v>View</v>
      </c>
    </row>
    <row r="163" spans="1:16" x14ac:dyDescent="0.25">
      <c r="A163" s="16" t="s">
        <v>8819</v>
      </c>
      <c r="B163" s="17">
        <v>32697021</v>
      </c>
      <c r="C163" s="17">
        <v>32697021</v>
      </c>
      <c r="D163" s="17" t="s">
        <v>15523</v>
      </c>
      <c r="E163" s="17" t="s">
        <v>14732</v>
      </c>
      <c r="F163" s="17" t="s">
        <v>15524</v>
      </c>
      <c r="G163" s="21" t="s">
        <v>15525</v>
      </c>
      <c r="H163" s="21" t="s">
        <v>15526</v>
      </c>
      <c r="I163" s="17" t="s">
        <v>88</v>
      </c>
      <c r="J163" s="17">
        <v>1</v>
      </c>
      <c r="K163" s="17">
        <v>6</v>
      </c>
      <c r="L163" s="17" t="s">
        <v>15527</v>
      </c>
      <c r="M163" s="17" t="s">
        <v>6235</v>
      </c>
      <c r="N163" s="17" t="s">
        <v>15528</v>
      </c>
      <c r="O163" s="17" t="s">
        <v>15529</v>
      </c>
      <c r="P163" s="17" t="str">
        <f>HYPERLINK("https://photon-sol.tinyastro.io/en/lp/6Q8FQobojbbv1nsAsmHfTNur8KC22vQyUNsGGR6dpump?handle=676050794bc1b1657a56b", "View")</f>
        <v>View</v>
      </c>
    </row>
    <row r="164" spans="1:16" x14ac:dyDescent="0.25">
      <c r="A164" s="13" t="s">
        <v>15333</v>
      </c>
      <c r="B164" s="14">
        <v>20472825</v>
      </c>
      <c r="C164" s="14">
        <v>20472825</v>
      </c>
      <c r="D164" s="14" t="s">
        <v>14716</v>
      </c>
      <c r="E164" s="14" t="s">
        <v>14732</v>
      </c>
      <c r="F164" s="14" t="s">
        <v>3911</v>
      </c>
      <c r="G164" s="15" t="s">
        <v>15530</v>
      </c>
      <c r="H164" s="15" t="s">
        <v>15531</v>
      </c>
      <c r="I164" s="14" t="s">
        <v>88</v>
      </c>
      <c r="J164" s="14">
        <v>1</v>
      </c>
      <c r="K164" s="14">
        <v>1</v>
      </c>
      <c r="L164" s="14" t="s">
        <v>15532</v>
      </c>
      <c r="M164" s="14" t="s">
        <v>1434</v>
      </c>
      <c r="N164" s="14" t="s">
        <v>507</v>
      </c>
      <c r="O164" s="14" t="s">
        <v>15533</v>
      </c>
      <c r="P164" s="14" t="str">
        <f>HYPERLINK("https://photon-sol.tinyastro.io/en/lp/DCoFE6xxQC8MkPUtNgyrCHDetg7NNpBeiDTc7ZdtReEv?handle=676050794bc1b1657a56b", "View")</f>
        <v>View</v>
      </c>
    </row>
    <row r="165" spans="1:16" x14ac:dyDescent="0.25">
      <c r="A165" s="16" t="s">
        <v>15534</v>
      </c>
      <c r="B165" s="17">
        <v>4388498</v>
      </c>
      <c r="C165" s="17">
        <v>2194249</v>
      </c>
      <c r="D165" s="17" t="s">
        <v>14716</v>
      </c>
      <c r="E165" s="17" t="s">
        <v>14732</v>
      </c>
      <c r="F165" s="17" t="s">
        <v>15535</v>
      </c>
      <c r="G165" s="22" t="s">
        <v>11226</v>
      </c>
      <c r="H165" s="22" t="s">
        <v>15536</v>
      </c>
      <c r="I165" s="17" t="s">
        <v>88</v>
      </c>
      <c r="J165" s="17">
        <v>1</v>
      </c>
      <c r="K165" s="17">
        <v>1</v>
      </c>
      <c r="L165" s="17" t="s">
        <v>15537</v>
      </c>
      <c r="M165" s="17" t="s">
        <v>1957</v>
      </c>
      <c r="N165" s="17" t="s">
        <v>15538</v>
      </c>
      <c r="O165" s="17" t="s">
        <v>15539</v>
      </c>
      <c r="P165" s="17" t="str">
        <f>HYPERLINK("https://photon-sol.tinyastro.io/en/lp/5AqkuXacvjx8L6dTfKGAWW5vh7b8Kg2VPYYtRqoppump?handle=676050794bc1b1657a56b", "View")</f>
        <v>View</v>
      </c>
    </row>
    <row r="166" spans="1:16" x14ac:dyDescent="0.25">
      <c r="A166" s="13" t="s">
        <v>15540</v>
      </c>
      <c r="B166" s="14">
        <v>38356545</v>
      </c>
      <c r="C166" s="14">
        <v>38356545</v>
      </c>
      <c r="D166" s="14" t="s">
        <v>15044</v>
      </c>
      <c r="E166" s="14" t="s">
        <v>14732</v>
      </c>
      <c r="F166" s="14" t="s">
        <v>15541</v>
      </c>
      <c r="G166" s="22" t="s">
        <v>5720</v>
      </c>
      <c r="H166" s="22" t="s">
        <v>15542</v>
      </c>
      <c r="I166" s="14" t="s">
        <v>88</v>
      </c>
      <c r="J166" s="14">
        <v>1</v>
      </c>
      <c r="K166" s="14">
        <v>2</v>
      </c>
      <c r="L166" s="14" t="s">
        <v>15543</v>
      </c>
      <c r="M166" s="14" t="s">
        <v>1566</v>
      </c>
      <c r="N166" s="14" t="s">
        <v>507</v>
      </c>
      <c r="O166" s="14" t="s">
        <v>15544</v>
      </c>
      <c r="P166" s="14" t="str">
        <f>HYPERLINK("https://photon-sol.tinyastro.io/en/lp/C1ZHv4EDvwV3XTyJT9SQTMtS9pF6YjBT4Cvvdg4HFwg9?handle=676050794bc1b1657a56b", "View")</f>
        <v>View</v>
      </c>
    </row>
    <row r="167" spans="1:16" x14ac:dyDescent="0.25">
      <c r="A167" s="16" t="s">
        <v>15545</v>
      </c>
      <c r="B167" s="17">
        <v>9712</v>
      </c>
      <c r="C167" s="17">
        <v>9712</v>
      </c>
      <c r="D167" s="17" t="s">
        <v>14716</v>
      </c>
      <c r="E167" s="17" t="s">
        <v>9395</v>
      </c>
      <c r="F167" s="17" t="s">
        <v>15546</v>
      </c>
      <c r="G167" s="20" t="s">
        <v>14444</v>
      </c>
      <c r="H167" s="20" t="s">
        <v>15547</v>
      </c>
      <c r="I167" s="17" t="s">
        <v>88</v>
      </c>
      <c r="J167" s="17">
        <v>1</v>
      </c>
      <c r="K167" s="17">
        <v>1</v>
      </c>
      <c r="L167" s="17" t="s">
        <v>15548</v>
      </c>
      <c r="M167" s="17" t="s">
        <v>231</v>
      </c>
      <c r="N167" s="17" t="s">
        <v>507</v>
      </c>
      <c r="O167" s="17" t="s">
        <v>15549</v>
      </c>
      <c r="P167" s="17" t="str">
        <f>HYPERLINK("https://dexscreener.com/solana/2XxjPZGaVRi3D1QSvaVnHU2sW6WyMBfqcyJuc8R3omLM", "View")</f>
        <v>View</v>
      </c>
    </row>
    <row r="168" spans="1:16" x14ac:dyDescent="0.25">
      <c r="A168" s="13" t="s">
        <v>15550</v>
      </c>
      <c r="B168" s="14">
        <v>41607066</v>
      </c>
      <c r="C168" s="14">
        <v>41607066</v>
      </c>
      <c r="D168" s="14" t="s">
        <v>14716</v>
      </c>
      <c r="E168" s="14" t="s">
        <v>14732</v>
      </c>
      <c r="F168" s="14" t="s">
        <v>15551</v>
      </c>
      <c r="G168" s="20" t="s">
        <v>10198</v>
      </c>
      <c r="H168" s="20" t="s">
        <v>15552</v>
      </c>
      <c r="I168" s="14" t="s">
        <v>88</v>
      </c>
      <c r="J168" s="14">
        <v>1</v>
      </c>
      <c r="K168" s="14">
        <v>1</v>
      </c>
      <c r="L168" s="14" t="s">
        <v>15553</v>
      </c>
      <c r="M168" s="14" t="s">
        <v>1448</v>
      </c>
      <c r="N168" s="14" t="s">
        <v>507</v>
      </c>
      <c r="O168" s="14" t="s">
        <v>15554</v>
      </c>
      <c r="P168" s="14" t="str">
        <f>HYPERLINK("https://photon-sol.tinyastro.io/en/lp/FBFzhh28NkrrnXWUZEdP6pZR6VrDoxb4XzrE1gMxpump?handle=676050794bc1b1657a56b", "View")</f>
        <v>View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D447-F9FF-483D-8832-194C1410568D}">
  <dimension ref="A1:P32"/>
  <sheetViews>
    <sheetView workbookViewId="0"/>
  </sheetViews>
  <sheetFormatPr defaultRowHeight="15" x14ac:dyDescent="0.25"/>
  <cols>
    <col min="1" max="1" width="46" style="2" customWidth="1"/>
    <col min="2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HYPERLINK("https://gmgn.ai/sol/address/FejWrUC22uPy3zM5KFAhWYPTbDCkH7SRh6Di3hv9hx1d", "GMGN")</f>
        <v>GMGN</v>
      </c>
    </row>
    <row r="2" spans="1:14" x14ac:dyDescent="0.25">
      <c r="A2" s="3" t="s">
        <v>15555</v>
      </c>
      <c r="B2" s="3" t="s">
        <v>15556</v>
      </c>
      <c r="C2" s="3" t="s">
        <v>1770</v>
      </c>
      <c r="D2" s="3" t="s">
        <v>15557</v>
      </c>
      <c r="E2" s="3" t="s">
        <v>15558</v>
      </c>
      <c r="F2" s="3" t="s">
        <v>18</v>
      </c>
      <c r="G2" s="3" t="s">
        <v>18</v>
      </c>
      <c r="H2" s="3">
        <v>13</v>
      </c>
      <c r="I2" s="3">
        <v>0</v>
      </c>
      <c r="J2" s="3" t="s">
        <v>479</v>
      </c>
      <c r="K2" s="3" t="s">
        <v>1932</v>
      </c>
      <c r="L2" s="3">
        <v>11</v>
      </c>
      <c r="M2" s="3">
        <v>11</v>
      </c>
      <c r="N2" s="3" t="str">
        <f>HYPERLINK("https://solscan.io/account/FejWrUC22uPy3zM5KFAhWYPTbDCkH7SRh6Di3hv9hx1d", "Solscan")</f>
        <v>Solscan</v>
      </c>
    </row>
    <row r="3" spans="1:14" x14ac:dyDescent="0.25">
      <c r="A3" s="1" t="s">
        <v>21</v>
      </c>
      <c r="B3" s="23" t="s">
        <v>15559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HYPERLINK("https://birdeye.so/profile/FejWrUC22uPy3zM5KFAhWYPTbDCkH7SRh6Di3hv9hx1d", "Birdeye")</f>
        <v>Birdeye</v>
      </c>
    </row>
    <row r="4" spans="1:14" x14ac:dyDescent="0.25">
      <c r="A4" s="1" t="s">
        <v>25</v>
      </c>
      <c r="B4" s="3" t="s">
        <v>15560</v>
      </c>
      <c r="C4" s="3"/>
      <c r="D4" s="3" t="s">
        <v>2004</v>
      </c>
      <c r="E4" s="3" t="s">
        <v>15561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12318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0</v>
      </c>
      <c r="E10" s="1">
        <v>5</v>
      </c>
      <c r="F10" s="1">
        <v>2</v>
      </c>
      <c r="G10" s="1">
        <v>3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1784</v>
      </c>
      <c r="C11" s="1" t="s">
        <v>1781</v>
      </c>
      <c r="D11" s="1" t="s">
        <v>1779</v>
      </c>
      <c r="E11" s="1" t="s">
        <v>15562</v>
      </c>
      <c r="F11" s="1" t="s">
        <v>1781</v>
      </c>
      <c r="G11" s="1" t="s">
        <v>15563</v>
      </c>
      <c r="H11" s="3"/>
      <c r="I11" s="3" t="s">
        <v>50</v>
      </c>
      <c r="J11" s="3" t="s">
        <v>15564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15565</v>
      </c>
      <c r="C12" s="1" t="s">
        <v>15566</v>
      </c>
      <c r="D12" s="1" t="s">
        <v>1786</v>
      </c>
      <c r="E12" s="1" t="s">
        <v>15567</v>
      </c>
      <c r="F12" s="1" t="s">
        <v>4279</v>
      </c>
      <c r="G12" s="1" t="s">
        <v>15568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15569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15570</v>
      </c>
      <c r="B20" s="14">
        <v>4061365</v>
      </c>
      <c r="C20" s="14">
        <v>4061365</v>
      </c>
      <c r="D20" s="14" t="s">
        <v>4805</v>
      </c>
      <c r="E20" s="14" t="s">
        <v>1936</v>
      </c>
      <c r="F20" s="14" t="s">
        <v>9670</v>
      </c>
      <c r="G20" s="20" t="s">
        <v>8279</v>
      </c>
      <c r="H20" s="20" t="s">
        <v>15571</v>
      </c>
      <c r="I20" s="14" t="s">
        <v>88</v>
      </c>
      <c r="J20" s="14">
        <v>1</v>
      </c>
      <c r="K20" s="14">
        <v>1</v>
      </c>
      <c r="L20" s="14" t="s">
        <v>15572</v>
      </c>
      <c r="M20" s="14" t="s">
        <v>304</v>
      </c>
      <c r="N20" s="14" t="s">
        <v>768</v>
      </c>
      <c r="O20" s="14" t="s">
        <v>15573</v>
      </c>
      <c r="P20" s="14" t="str">
        <f>HYPERLINK("https://photon-sol.tinyastro.io/en/lp/2B1tzFdiQzoHRdkC53bhU2t36hrNywd93y6F8RaJpump?handle=676050794bc1b1657a56b", "View")</f>
        <v>View</v>
      </c>
    </row>
    <row r="21" spans="1:16" x14ac:dyDescent="0.25">
      <c r="A21" s="16" t="s">
        <v>15574</v>
      </c>
      <c r="B21" s="17">
        <v>23975590</v>
      </c>
      <c r="C21" s="17">
        <v>23975590</v>
      </c>
      <c r="D21" s="17" t="s">
        <v>15575</v>
      </c>
      <c r="E21" s="17" t="s">
        <v>15576</v>
      </c>
      <c r="F21" s="17" t="s">
        <v>15577</v>
      </c>
      <c r="G21" s="22" t="s">
        <v>5018</v>
      </c>
      <c r="H21" s="22" t="s">
        <v>15578</v>
      </c>
      <c r="I21" s="17" t="s">
        <v>88</v>
      </c>
      <c r="J21" s="17">
        <v>1</v>
      </c>
      <c r="K21" s="17">
        <v>1</v>
      </c>
      <c r="L21" s="17" t="s">
        <v>15579</v>
      </c>
      <c r="M21" s="17" t="s">
        <v>2984</v>
      </c>
      <c r="N21" s="17" t="s">
        <v>2308</v>
      </c>
      <c r="O21" s="17" t="s">
        <v>15580</v>
      </c>
      <c r="P21" s="17" t="str">
        <f>HYPERLINK("https://photon-sol.tinyastro.io/en/lp/4LJZHQcbWDrFQojP6HWnEB6p9WK6iRnXu1ippwBhpump?handle=676050794bc1b1657a56b", "View")</f>
        <v>View</v>
      </c>
    </row>
    <row r="22" spans="1:16" x14ac:dyDescent="0.25">
      <c r="A22" s="13" t="s">
        <v>15581</v>
      </c>
      <c r="B22" s="14">
        <v>2394</v>
      </c>
      <c r="C22" s="14">
        <v>0</v>
      </c>
      <c r="D22" s="14" t="s">
        <v>13664</v>
      </c>
      <c r="E22" s="14" t="s">
        <v>15582</v>
      </c>
      <c r="F22" s="14" t="s">
        <v>96</v>
      </c>
      <c r="G22" s="18" t="s">
        <v>15583</v>
      </c>
      <c r="H22" s="18" t="s">
        <v>98</v>
      </c>
      <c r="I22" s="14" t="s">
        <v>15584</v>
      </c>
      <c r="J22" s="14">
        <v>2</v>
      </c>
      <c r="K22" s="14">
        <v>0</v>
      </c>
      <c r="L22" s="14" t="s">
        <v>15585</v>
      </c>
      <c r="M22" s="14" t="s">
        <v>3136</v>
      </c>
      <c r="N22" s="14" t="s">
        <v>15586</v>
      </c>
      <c r="O22" s="14" t="s">
        <v>15587</v>
      </c>
      <c r="P22" s="14" t="str">
        <f>HYPERLINK("https://dexscreener.com/solana/ArmSFTKdESiuKFjVQPX7rBKRZqj89716arGKPe4bQxUX", "View")</f>
        <v>View</v>
      </c>
    </row>
    <row r="23" spans="1:16" x14ac:dyDescent="0.25">
      <c r="A23" s="16" t="s">
        <v>15588</v>
      </c>
      <c r="B23" s="17">
        <v>15013483</v>
      </c>
      <c r="C23" s="17">
        <v>15013483</v>
      </c>
      <c r="D23" s="17" t="s">
        <v>13664</v>
      </c>
      <c r="E23" s="17" t="s">
        <v>15589</v>
      </c>
      <c r="F23" s="17" t="s">
        <v>13593</v>
      </c>
      <c r="G23" s="22" t="s">
        <v>5821</v>
      </c>
      <c r="H23" s="22" t="s">
        <v>15590</v>
      </c>
      <c r="I23" s="17" t="s">
        <v>88</v>
      </c>
      <c r="J23" s="17">
        <v>1</v>
      </c>
      <c r="K23" s="17">
        <v>2</v>
      </c>
      <c r="L23" s="17" t="s">
        <v>15591</v>
      </c>
      <c r="M23" s="17" t="s">
        <v>980</v>
      </c>
      <c r="N23" s="17" t="s">
        <v>15592</v>
      </c>
      <c r="O23" s="17" t="s">
        <v>15593</v>
      </c>
      <c r="P23" s="17" t="str">
        <f>HYPERLINK("https://photon-sol.tinyastro.io/en/lp/DvZDG5tWkJZWyR8nx6SqUk93PPNswxLDykFz7TU2pump?handle=676050794bc1b1657a56b", "View")</f>
        <v>View</v>
      </c>
    </row>
    <row r="24" spans="1:16" x14ac:dyDescent="0.25">
      <c r="A24" s="13" t="s">
        <v>11237</v>
      </c>
      <c r="B24" s="14">
        <v>86016066419</v>
      </c>
      <c r="C24" s="14">
        <v>86016066419</v>
      </c>
      <c r="D24" s="14" t="s">
        <v>7514</v>
      </c>
      <c r="E24" s="14" t="s">
        <v>1007</v>
      </c>
      <c r="F24" s="14" t="s">
        <v>12673</v>
      </c>
      <c r="G24" s="21" t="s">
        <v>3154</v>
      </c>
      <c r="H24" s="21" t="s">
        <v>15594</v>
      </c>
      <c r="I24" s="14" t="s">
        <v>88</v>
      </c>
      <c r="J24" s="14">
        <v>1</v>
      </c>
      <c r="K24" s="14">
        <v>3</v>
      </c>
      <c r="L24" s="14" t="s">
        <v>15595</v>
      </c>
      <c r="M24" s="14" t="s">
        <v>4922</v>
      </c>
      <c r="N24" s="14" t="s">
        <v>507</v>
      </c>
      <c r="O24" s="14" t="s">
        <v>15596</v>
      </c>
      <c r="P24" s="14" t="str">
        <f>HYPERLINK("https://dexscreener.com/solana/DTRCR9xBgcLj3cD9cBSxpajtYZLe9BfvU3zJHujFaYpn", "View")</f>
        <v>View</v>
      </c>
    </row>
    <row r="25" spans="1:16" x14ac:dyDescent="0.25">
      <c r="A25" s="16" t="s">
        <v>15597</v>
      </c>
      <c r="B25" s="17">
        <v>30482955</v>
      </c>
      <c r="C25" s="17">
        <v>30482955</v>
      </c>
      <c r="D25" s="17" t="s">
        <v>15598</v>
      </c>
      <c r="E25" s="17" t="s">
        <v>15599</v>
      </c>
      <c r="F25" s="17" t="s">
        <v>15600</v>
      </c>
      <c r="G25" s="22" t="s">
        <v>1816</v>
      </c>
      <c r="H25" s="22" t="s">
        <v>15559</v>
      </c>
      <c r="I25" s="17" t="s">
        <v>88</v>
      </c>
      <c r="J25" s="17">
        <v>1</v>
      </c>
      <c r="K25" s="17">
        <v>1</v>
      </c>
      <c r="L25" s="17" t="s">
        <v>15601</v>
      </c>
      <c r="M25" s="17" t="s">
        <v>1448</v>
      </c>
      <c r="N25" s="17" t="s">
        <v>2223</v>
      </c>
      <c r="O25" s="17" t="s">
        <v>15602</v>
      </c>
      <c r="P25" s="17" t="str">
        <f>HYPERLINK("https://photon-sol.tinyastro.io/en/lp/FUkdKWHJ15pwTCmK6gZWenQ4gxUxbZ5w9Aqjv6xXpump?handle=676050794bc1b1657a56b", "View")</f>
        <v>View</v>
      </c>
    </row>
    <row r="26" spans="1:16" x14ac:dyDescent="0.25">
      <c r="A26" s="13" t="s">
        <v>15603</v>
      </c>
      <c r="B26" s="14">
        <v>30727065</v>
      </c>
      <c r="C26" s="14">
        <v>30727065</v>
      </c>
      <c r="D26" s="14" t="s">
        <v>15604</v>
      </c>
      <c r="E26" s="14" t="s">
        <v>15599</v>
      </c>
      <c r="F26" s="14" t="s">
        <v>15317</v>
      </c>
      <c r="G26" s="22" t="s">
        <v>15605</v>
      </c>
      <c r="H26" s="22" t="s">
        <v>15606</v>
      </c>
      <c r="I26" s="14" t="s">
        <v>88</v>
      </c>
      <c r="J26" s="14">
        <v>1</v>
      </c>
      <c r="K26" s="14">
        <v>1</v>
      </c>
      <c r="L26" s="14" t="s">
        <v>15607</v>
      </c>
      <c r="M26" s="14" t="s">
        <v>8295</v>
      </c>
      <c r="N26" s="14" t="s">
        <v>15608</v>
      </c>
      <c r="O26" s="14" t="s">
        <v>15609</v>
      </c>
      <c r="P26" s="14" t="str">
        <f>HYPERLINK("https://photon-sol.tinyastro.io/en/lp/7UPm1BB3niF7GnWJP45AcyHvN2hWdGfuSu1kT8PRpump?handle=676050794bc1b1657a56b", "View")</f>
        <v>View</v>
      </c>
    </row>
    <row r="27" spans="1:16" x14ac:dyDescent="0.25">
      <c r="A27" s="16" t="s">
        <v>15610</v>
      </c>
      <c r="B27" s="17">
        <v>17369972</v>
      </c>
      <c r="C27" s="17">
        <v>17369972</v>
      </c>
      <c r="D27" s="17" t="s">
        <v>15611</v>
      </c>
      <c r="E27" s="17" t="s">
        <v>15612</v>
      </c>
      <c r="F27" s="17" t="s">
        <v>3438</v>
      </c>
      <c r="G27" s="15" t="s">
        <v>15613</v>
      </c>
      <c r="H27" s="15" t="s">
        <v>15614</v>
      </c>
      <c r="I27" s="17" t="s">
        <v>88</v>
      </c>
      <c r="J27" s="17">
        <v>2</v>
      </c>
      <c r="K27" s="17">
        <v>1</v>
      </c>
      <c r="L27" s="17" t="s">
        <v>15615</v>
      </c>
      <c r="M27" s="17" t="s">
        <v>2047</v>
      </c>
      <c r="N27" s="17" t="s">
        <v>8091</v>
      </c>
      <c r="O27" s="17" t="s">
        <v>15616</v>
      </c>
      <c r="P27" s="17" t="str">
        <f>HYPERLINK("https://photon-sol.tinyastro.io/en/lp/E6urR7A3p4FgqCWwtShpkd7JMLVWG6rMmYdhvHszpump?handle=676050794bc1b1657a56b", "View")</f>
        <v>View</v>
      </c>
    </row>
    <row r="28" spans="1:16" x14ac:dyDescent="0.25">
      <c r="A28" s="13" t="s">
        <v>15617</v>
      </c>
      <c r="B28" s="14">
        <v>26839932</v>
      </c>
      <c r="C28" s="14">
        <v>26839932</v>
      </c>
      <c r="D28" s="14" t="s">
        <v>15618</v>
      </c>
      <c r="E28" s="14" t="s">
        <v>11328</v>
      </c>
      <c r="F28" s="14" t="s">
        <v>15619</v>
      </c>
      <c r="G28" s="21" t="s">
        <v>15620</v>
      </c>
      <c r="H28" s="21" t="s">
        <v>15621</v>
      </c>
      <c r="I28" s="14" t="s">
        <v>88</v>
      </c>
      <c r="J28" s="14">
        <v>1</v>
      </c>
      <c r="K28" s="14">
        <v>1</v>
      </c>
      <c r="L28" s="14" t="s">
        <v>15622</v>
      </c>
      <c r="M28" s="14" t="s">
        <v>1705</v>
      </c>
      <c r="N28" s="14" t="s">
        <v>15623</v>
      </c>
      <c r="O28" s="14" t="s">
        <v>15624</v>
      </c>
      <c r="P28" s="14" t="str">
        <f>HYPERLINK("https://photon-sol.tinyastro.io/en/lp/EYEVPxKrtnTqaWhMKTRYhrKRLFDthLLdMWZzuezbpump?handle=676050794bc1b1657a56b", "View")</f>
        <v>View</v>
      </c>
    </row>
    <row r="29" spans="1:16" x14ac:dyDescent="0.25">
      <c r="A29" s="16" t="s">
        <v>135</v>
      </c>
      <c r="B29" s="17">
        <v>32662073</v>
      </c>
      <c r="C29" s="17">
        <v>32662073</v>
      </c>
      <c r="D29" s="17" t="s">
        <v>8478</v>
      </c>
      <c r="E29" s="17" t="s">
        <v>15599</v>
      </c>
      <c r="F29" s="17" t="s">
        <v>15625</v>
      </c>
      <c r="G29" s="21" t="s">
        <v>15626</v>
      </c>
      <c r="H29" s="21" t="s">
        <v>15627</v>
      </c>
      <c r="I29" s="17" t="s">
        <v>88</v>
      </c>
      <c r="J29" s="17">
        <v>1</v>
      </c>
      <c r="K29" s="17">
        <v>3</v>
      </c>
      <c r="L29" s="17" t="s">
        <v>15628</v>
      </c>
      <c r="M29" s="17" t="s">
        <v>3171</v>
      </c>
      <c r="N29" s="17" t="s">
        <v>15629</v>
      </c>
      <c r="O29" s="17" t="s">
        <v>143</v>
      </c>
      <c r="P29" s="17" t="str">
        <f>HYPERLINK("https://photon-sol.tinyastro.io/en/lp/DDxS3mzbFiwPgmpK7j573MDvD7EQj5stPHZ8K8Wppump?handle=676050794bc1b1657a56b", "View")</f>
        <v>View</v>
      </c>
    </row>
    <row r="30" spans="1:16" x14ac:dyDescent="0.25">
      <c r="A30" s="13" t="s">
        <v>15630</v>
      </c>
      <c r="B30" s="14">
        <v>7431447</v>
      </c>
      <c r="C30" s="14">
        <v>7431447</v>
      </c>
      <c r="D30" s="14" t="s">
        <v>8478</v>
      </c>
      <c r="E30" s="14" t="s">
        <v>8095</v>
      </c>
      <c r="F30" s="14" t="s">
        <v>3451</v>
      </c>
      <c r="G30" s="20" t="s">
        <v>2959</v>
      </c>
      <c r="H30" s="20" t="s">
        <v>15631</v>
      </c>
      <c r="I30" s="14" t="s">
        <v>88</v>
      </c>
      <c r="J30" s="14">
        <v>3</v>
      </c>
      <c r="K30" s="14">
        <v>1</v>
      </c>
      <c r="L30" s="14" t="s">
        <v>15632</v>
      </c>
      <c r="M30" s="14" t="s">
        <v>179</v>
      </c>
      <c r="N30" s="14" t="s">
        <v>3499</v>
      </c>
      <c r="O30" s="14" t="s">
        <v>15633</v>
      </c>
      <c r="P30" s="14" t="str">
        <f>HYPERLINK("https://photon-sol.tinyastro.io/en/lp/6Uqn9WSDZSoTi2KJeyM5ZGc2inYkQjG77s9SNCKqpump?handle=676050794bc1b1657a56b", "View")</f>
        <v>View</v>
      </c>
    </row>
    <row r="31" spans="1:16" x14ac:dyDescent="0.25">
      <c r="A31" s="16" t="s">
        <v>5270</v>
      </c>
      <c r="B31" s="17">
        <v>22755301</v>
      </c>
      <c r="C31" s="17">
        <v>22755301</v>
      </c>
      <c r="D31" s="17" t="s">
        <v>9662</v>
      </c>
      <c r="E31" s="17" t="s">
        <v>15634</v>
      </c>
      <c r="F31" s="17" t="s">
        <v>15635</v>
      </c>
      <c r="G31" s="22" t="s">
        <v>11809</v>
      </c>
      <c r="H31" s="22" t="s">
        <v>15636</v>
      </c>
      <c r="I31" s="17" t="s">
        <v>88</v>
      </c>
      <c r="J31" s="17">
        <v>1</v>
      </c>
      <c r="K31" s="17">
        <v>1</v>
      </c>
      <c r="L31" s="17" t="s">
        <v>15637</v>
      </c>
      <c r="M31" s="17" t="s">
        <v>788</v>
      </c>
      <c r="N31" s="17" t="s">
        <v>507</v>
      </c>
      <c r="O31" s="17" t="s">
        <v>15638</v>
      </c>
      <c r="P31" s="17" t="str">
        <f>HYPERLINK("https://photon-sol.tinyastro.io/en/lp/9DYB62tCHoLHiLjCQEsNDwerUSV5hBJmUYtTTDvepump?handle=676050794bc1b1657a56b", "View")</f>
        <v>View</v>
      </c>
    </row>
    <row r="32" spans="1:16" x14ac:dyDescent="0.25">
      <c r="A32" s="13" t="s">
        <v>15639</v>
      </c>
      <c r="B32" s="14">
        <v>9828884</v>
      </c>
      <c r="C32" s="14">
        <v>9828884</v>
      </c>
      <c r="D32" s="14" t="s">
        <v>9662</v>
      </c>
      <c r="E32" s="14" t="s">
        <v>15640</v>
      </c>
      <c r="F32" s="14" t="s">
        <v>15641</v>
      </c>
      <c r="G32" s="15" t="s">
        <v>15642</v>
      </c>
      <c r="H32" s="15" t="s">
        <v>7614</v>
      </c>
      <c r="I32" s="14" t="s">
        <v>88</v>
      </c>
      <c r="J32" s="14">
        <v>1</v>
      </c>
      <c r="K32" s="14">
        <v>1</v>
      </c>
      <c r="L32" s="14" t="s">
        <v>15643</v>
      </c>
      <c r="M32" s="14" t="s">
        <v>602</v>
      </c>
      <c r="N32" s="14" t="s">
        <v>5857</v>
      </c>
      <c r="O32" s="14" t="s">
        <v>15644</v>
      </c>
      <c r="P32" s="14" t="str">
        <f>HYPERLINK("https://photon-sol.tinyastro.io/en/lp/65JhnQk4LtuyRJmMjd9EAz913Nh4AyPWnuyWmyY9pump?handle=676050794bc1b1657a56b", "View")</f>
        <v>View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E7F6-5488-4C3A-B672-B2D7723AE2E7}">
  <dimension ref="A1:P130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HYPERLINK("https://gmgn.ai/sol/address/5Z5nDhreqqkKNHeAA7gsYHyi35J2dEcxB4YZsKoghWHS", "GMGN")</f>
        <v>GMGN</v>
      </c>
    </row>
    <row r="2" spans="1:14" x14ac:dyDescent="0.25">
      <c r="A2" s="3" t="s">
        <v>15645</v>
      </c>
      <c r="B2" s="3" t="s">
        <v>15646</v>
      </c>
      <c r="C2" s="3" t="s">
        <v>15647</v>
      </c>
      <c r="D2" s="3" t="s">
        <v>15648</v>
      </c>
      <c r="E2" s="3" t="s">
        <v>15649</v>
      </c>
      <c r="F2" s="3" t="s">
        <v>15650</v>
      </c>
      <c r="G2" s="3" t="s">
        <v>18</v>
      </c>
      <c r="H2" s="3">
        <v>111</v>
      </c>
      <c r="I2" s="3">
        <v>31</v>
      </c>
      <c r="J2" s="3" t="s">
        <v>538</v>
      </c>
      <c r="K2" s="3" t="s">
        <v>15651</v>
      </c>
      <c r="L2" s="3">
        <v>14</v>
      </c>
      <c r="M2" s="3">
        <v>277</v>
      </c>
      <c r="N2" s="3" t="str">
        <f>HYPERLINK("https://solscan.io/account/5Z5nDhreqqkKNHeAA7gsYHyi35J2dEcxB4YZsKoghWHS",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HYPERLINK("https://birdeye.so/profile/5Z5nDhreqqkKNHeAA7gsYHyi35J2dEcxB4YZsKoghWHS", "Birdeye")</f>
        <v>Birdeye</v>
      </c>
    </row>
    <row r="4" spans="1:14" x14ac:dyDescent="0.25">
      <c r="A4" s="1" t="s">
        <v>25</v>
      </c>
      <c r="B4" s="3" t="s">
        <v>12314</v>
      </c>
      <c r="C4" s="3"/>
      <c r="D4" s="3" t="s">
        <v>15652</v>
      </c>
      <c r="E4" s="3" t="s">
        <v>13982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8467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4</v>
      </c>
      <c r="D10" s="1">
        <v>3</v>
      </c>
      <c r="E10" s="1">
        <v>10</v>
      </c>
      <c r="F10" s="1">
        <v>13</v>
      </c>
      <c r="G10" s="1">
        <v>78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2008</v>
      </c>
      <c r="C11" s="1" t="s">
        <v>15653</v>
      </c>
      <c r="D11" s="1" t="s">
        <v>2008</v>
      </c>
      <c r="E11" s="1" t="s">
        <v>15654</v>
      </c>
      <c r="F11" s="1" t="s">
        <v>15655</v>
      </c>
      <c r="G11" s="1" t="s">
        <v>15656</v>
      </c>
      <c r="H11" s="3"/>
      <c r="I11" s="3" t="s">
        <v>50</v>
      </c>
      <c r="J11" s="3" t="s">
        <v>8467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15657</v>
      </c>
      <c r="C12" s="1" t="s">
        <v>1778</v>
      </c>
      <c r="D12" s="1" t="s">
        <v>15658</v>
      </c>
      <c r="E12" s="1" t="s">
        <v>15658</v>
      </c>
      <c r="F12" s="1" t="s">
        <v>15659</v>
      </c>
      <c r="G12" s="1" t="s">
        <v>15660</v>
      </c>
      <c r="H12" s="3"/>
      <c r="I12" s="3" t="s">
        <v>59</v>
      </c>
      <c r="J12" s="3" t="s">
        <v>15661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15662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15663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15664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82</v>
      </c>
      <c r="B20" s="14">
        <v>15057</v>
      </c>
      <c r="C20" s="14">
        <v>4576</v>
      </c>
      <c r="D20" s="14" t="s">
        <v>15665</v>
      </c>
      <c r="E20" s="14" t="s">
        <v>5345</v>
      </c>
      <c r="F20" s="14" t="s">
        <v>6179</v>
      </c>
      <c r="G20" s="22" t="s">
        <v>2554</v>
      </c>
      <c r="H20" s="22" t="s">
        <v>15666</v>
      </c>
      <c r="I20" s="14" t="s">
        <v>88</v>
      </c>
      <c r="J20" s="14">
        <v>1</v>
      </c>
      <c r="K20" s="14">
        <v>2</v>
      </c>
      <c r="L20" s="14" t="s">
        <v>15667</v>
      </c>
      <c r="M20" s="14" t="s">
        <v>3269</v>
      </c>
      <c r="N20" s="14" t="s">
        <v>91</v>
      </c>
      <c r="O20" s="14" t="s">
        <v>92</v>
      </c>
      <c r="P20" s="14" t="str">
        <f>HYPERLINK("https://dexscreener.com/solana/Db7ZUaWTThwZy7bVhjn5Dda8D3fbbAhihcxPV4m9pump", "View")</f>
        <v>View</v>
      </c>
    </row>
    <row r="21" spans="1:16" x14ac:dyDescent="0.25">
      <c r="A21" s="16" t="s">
        <v>93</v>
      </c>
      <c r="B21" s="17">
        <v>29306</v>
      </c>
      <c r="C21" s="17">
        <v>0</v>
      </c>
      <c r="D21" s="17" t="s">
        <v>15668</v>
      </c>
      <c r="E21" s="17" t="s">
        <v>5345</v>
      </c>
      <c r="F21" s="17" t="s">
        <v>96</v>
      </c>
      <c r="G21" s="18" t="s">
        <v>2959</v>
      </c>
      <c r="H21" s="18" t="s">
        <v>98</v>
      </c>
      <c r="I21" s="17" t="s">
        <v>15669</v>
      </c>
      <c r="J21" s="17">
        <v>1</v>
      </c>
      <c r="K21" s="17">
        <v>0</v>
      </c>
      <c r="L21" s="17" t="s">
        <v>15670</v>
      </c>
      <c r="M21" s="19" t="s">
        <v>101</v>
      </c>
      <c r="N21" s="17" t="s">
        <v>15671</v>
      </c>
      <c r="O21" s="17" t="s">
        <v>103</v>
      </c>
      <c r="P21" s="17" t="str">
        <f>HYPERLINK("https://dexscreener.com/solana/BbQbAoML7FJTyk45N9hXdp883NzB8WvHFCesEeAppump", "View")</f>
        <v>View</v>
      </c>
    </row>
    <row r="22" spans="1:16" x14ac:dyDescent="0.25">
      <c r="A22" s="13" t="s">
        <v>104</v>
      </c>
      <c r="B22" s="14">
        <v>86416</v>
      </c>
      <c r="C22" s="14">
        <v>0</v>
      </c>
      <c r="D22" s="14" t="s">
        <v>1281</v>
      </c>
      <c r="E22" s="14" t="s">
        <v>5345</v>
      </c>
      <c r="F22" s="14" t="s">
        <v>96</v>
      </c>
      <c r="G22" s="18" t="s">
        <v>5370</v>
      </c>
      <c r="H22" s="18" t="s">
        <v>98</v>
      </c>
      <c r="I22" s="14" t="s">
        <v>15672</v>
      </c>
      <c r="J22" s="14">
        <v>1</v>
      </c>
      <c r="K22" s="14">
        <v>0</v>
      </c>
      <c r="L22" s="14" t="s">
        <v>15673</v>
      </c>
      <c r="M22" s="19" t="s">
        <v>101</v>
      </c>
      <c r="N22" s="14" t="s">
        <v>15674</v>
      </c>
      <c r="O22" s="14" t="s">
        <v>110</v>
      </c>
      <c r="P22" s="14" t="str">
        <f>HYPERLINK("https://dexscreener.com/solana/8zuLGDdCMELwGjD9b3gtyqfCKwj5hbNUnCCw66eBpump", "View")</f>
        <v>View</v>
      </c>
    </row>
    <row r="23" spans="1:16" x14ac:dyDescent="0.25">
      <c r="A23" s="16" t="s">
        <v>5336</v>
      </c>
      <c r="B23" s="17">
        <v>310080</v>
      </c>
      <c r="C23" s="17">
        <v>310080</v>
      </c>
      <c r="D23" s="17" t="s">
        <v>532</v>
      </c>
      <c r="E23" s="17" t="s">
        <v>1884</v>
      </c>
      <c r="F23" s="17" t="s">
        <v>5248</v>
      </c>
      <c r="G23" s="15" t="s">
        <v>4066</v>
      </c>
      <c r="H23" s="15" t="s">
        <v>15675</v>
      </c>
      <c r="I23" s="17" t="s">
        <v>88</v>
      </c>
      <c r="J23" s="17">
        <v>1</v>
      </c>
      <c r="K23" s="17">
        <v>1</v>
      </c>
      <c r="L23" s="17" t="s">
        <v>15676</v>
      </c>
      <c r="M23" s="17" t="s">
        <v>356</v>
      </c>
      <c r="N23" s="17" t="s">
        <v>15677</v>
      </c>
      <c r="O23" s="17" t="s">
        <v>5339</v>
      </c>
      <c r="P23" s="17" t="str">
        <f>HYPERLINK("https://photon-sol.tinyastro.io/en/lp/4XudNQkZ6TkE6qwT1z9pZUfUCMw9xPrZZVDWmfntpump?handle=676050794bc1b1657a56b", "View")</f>
        <v>View</v>
      </c>
    </row>
    <row r="24" spans="1:16" x14ac:dyDescent="0.25">
      <c r="A24" s="13" t="s">
        <v>15678</v>
      </c>
      <c r="B24" s="14">
        <v>803994</v>
      </c>
      <c r="C24" s="14">
        <v>803994</v>
      </c>
      <c r="D24" s="14" t="s">
        <v>7886</v>
      </c>
      <c r="E24" s="14" t="s">
        <v>5837</v>
      </c>
      <c r="F24" s="14" t="s">
        <v>2347</v>
      </c>
      <c r="G24" s="20" t="s">
        <v>6009</v>
      </c>
      <c r="H24" s="20" t="s">
        <v>15679</v>
      </c>
      <c r="I24" s="14" t="s">
        <v>88</v>
      </c>
      <c r="J24" s="14">
        <v>1</v>
      </c>
      <c r="K24" s="14">
        <v>1</v>
      </c>
      <c r="L24" s="14" t="s">
        <v>15680</v>
      </c>
      <c r="M24" s="14" t="s">
        <v>132</v>
      </c>
      <c r="N24" s="14" t="s">
        <v>15681</v>
      </c>
      <c r="O24" s="14" t="s">
        <v>15682</v>
      </c>
      <c r="P24" s="14" t="str">
        <f>HYPERLINK("https://photon-sol.tinyastro.io/en/lp/9XYNA4Tety1RjytSsqNz7YCM1NZgtYRptnUcAPsQpump?handle=676050794bc1b1657a56b", "View")</f>
        <v>View</v>
      </c>
    </row>
    <row r="25" spans="1:16" x14ac:dyDescent="0.25">
      <c r="A25" s="16" t="s">
        <v>111</v>
      </c>
      <c r="B25" s="17">
        <v>104266</v>
      </c>
      <c r="C25" s="17">
        <v>25304</v>
      </c>
      <c r="D25" s="17" t="s">
        <v>15683</v>
      </c>
      <c r="E25" s="17" t="s">
        <v>9553</v>
      </c>
      <c r="F25" s="17" t="s">
        <v>4458</v>
      </c>
      <c r="G25" s="20" t="s">
        <v>4397</v>
      </c>
      <c r="H25" s="20" t="s">
        <v>15684</v>
      </c>
      <c r="I25" s="17" t="s">
        <v>88</v>
      </c>
      <c r="J25" s="17">
        <v>2</v>
      </c>
      <c r="K25" s="17">
        <v>8</v>
      </c>
      <c r="L25" s="17" t="s">
        <v>15685</v>
      </c>
      <c r="M25" s="17" t="s">
        <v>117</v>
      </c>
      <c r="N25" s="17" t="s">
        <v>15686</v>
      </c>
      <c r="O25" s="17" t="s">
        <v>119</v>
      </c>
      <c r="P25" s="17" t="str">
        <f>HYPERLINK("https://dexscreener.com/solana/D5S1nXXaMnJui8rCnMbP1GZQnL9TxzbF92hXvgkVpump", "View")</f>
        <v>View</v>
      </c>
    </row>
    <row r="26" spans="1:16" x14ac:dyDescent="0.25">
      <c r="A26" s="13" t="s">
        <v>120</v>
      </c>
      <c r="B26" s="14">
        <v>79943</v>
      </c>
      <c r="C26" s="14">
        <v>0</v>
      </c>
      <c r="D26" s="14" t="s">
        <v>8191</v>
      </c>
      <c r="E26" s="14" t="s">
        <v>5345</v>
      </c>
      <c r="F26" s="14" t="s">
        <v>96</v>
      </c>
      <c r="G26" s="18" t="s">
        <v>5370</v>
      </c>
      <c r="H26" s="18" t="s">
        <v>98</v>
      </c>
      <c r="I26" s="14" t="s">
        <v>15687</v>
      </c>
      <c r="J26" s="14">
        <v>1</v>
      </c>
      <c r="K26" s="14">
        <v>0</v>
      </c>
      <c r="L26" s="14" t="s">
        <v>15688</v>
      </c>
      <c r="M26" s="19" t="s">
        <v>101</v>
      </c>
      <c r="N26" s="14" t="s">
        <v>15689</v>
      </c>
      <c r="O26" s="14" t="s">
        <v>124</v>
      </c>
      <c r="P26" s="14" t="str">
        <f>HYPERLINK("https://dexscreener.com/solana/5ZrVb3GpZ6c9ukqLYgLxFdg8zgy7ttY4mZy6ngx9pump", "View")</f>
        <v>View</v>
      </c>
    </row>
    <row r="27" spans="1:16" x14ac:dyDescent="0.25">
      <c r="A27" s="16" t="s">
        <v>125</v>
      </c>
      <c r="B27" s="17">
        <v>18234</v>
      </c>
      <c r="C27" s="17">
        <v>15263</v>
      </c>
      <c r="D27" s="17" t="s">
        <v>15690</v>
      </c>
      <c r="E27" s="17" t="s">
        <v>4396</v>
      </c>
      <c r="F27" s="17" t="s">
        <v>15691</v>
      </c>
      <c r="G27" s="21" t="s">
        <v>15692</v>
      </c>
      <c r="H27" s="21" t="s">
        <v>15693</v>
      </c>
      <c r="I27" s="17" t="s">
        <v>88</v>
      </c>
      <c r="J27" s="17">
        <v>1</v>
      </c>
      <c r="K27" s="17">
        <v>19</v>
      </c>
      <c r="L27" s="17" t="s">
        <v>15694</v>
      </c>
      <c r="M27" s="17" t="s">
        <v>132</v>
      </c>
      <c r="N27" s="17" t="s">
        <v>15695</v>
      </c>
      <c r="O27" s="17" t="s">
        <v>134</v>
      </c>
      <c r="P27" s="17" t="str">
        <f>HYPERLINK("https://dexscreener.com/solana/CBdCxKo9QavR9hfShgpEBG3zekorAeD7W1jfq2o3pump", "View")</f>
        <v>View</v>
      </c>
    </row>
    <row r="28" spans="1:16" x14ac:dyDescent="0.25">
      <c r="A28" s="13" t="s">
        <v>266</v>
      </c>
      <c r="B28" s="14">
        <v>256596</v>
      </c>
      <c r="C28" s="14">
        <v>141051</v>
      </c>
      <c r="D28" s="14" t="s">
        <v>15665</v>
      </c>
      <c r="E28" s="14" t="s">
        <v>5573</v>
      </c>
      <c r="F28" s="14" t="s">
        <v>15696</v>
      </c>
      <c r="G28" s="21" t="s">
        <v>3610</v>
      </c>
      <c r="H28" s="21" t="s">
        <v>15697</v>
      </c>
      <c r="I28" s="14" t="s">
        <v>88</v>
      </c>
      <c r="J28" s="14">
        <v>3</v>
      </c>
      <c r="K28" s="14">
        <v>10</v>
      </c>
      <c r="L28" s="14" t="s">
        <v>15698</v>
      </c>
      <c r="M28" s="14" t="s">
        <v>414</v>
      </c>
      <c r="N28" s="14" t="s">
        <v>15699</v>
      </c>
      <c r="O28" s="14" t="s">
        <v>270</v>
      </c>
      <c r="P28" s="14" t="str">
        <f>HYPERLINK("https://dexscreener.com/solana/E1vpyG4Yy7FV4Y1aGvGkRV5PH38JrEZv2QUm8PEdpump", "View")</f>
        <v>View</v>
      </c>
    </row>
    <row r="29" spans="1:16" x14ac:dyDescent="0.25">
      <c r="A29" s="16" t="s">
        <v>135</v>
      </c>
      <c r="B29" s="17">
        <v>48199</v>
      </c>
      <c r="C29" s="17">
        <v>27389</v>
      </c>
      <c r="D29" s="17" t="s">
        <v>15700</v>
      </c>
      <c r="E29" s="17" t="s">
        <v>9553</v>
      </c>
      <c r="F29" s="17" t="s">
        <v>11448</v>
      </c>
      <c r="G29" s="22" t="s">
        <v>2236</v>
      </c>
      <c r="H29" s="22" t="s">
        <v>15701</v>
      </c>
      <c r="I29" s="17" t="s">
        <v>88</v>
      </c>
      <c r="J29" s="17">
        <v>2</v>
      </c>
      <c r="K29" s="17">
        <v>5</v>
      </c>
      <c r="L29" s="17" t="s">
        <v>15702</v>
      </c>
      <c r="M29" s="17" t="s">
        <v>141</v>
      </c>
      <c r="N29" s="17" t="s">
        <v>15703</v>
      </c>
      <c r="O29" s="17" t="s">
        <v>143</v>
      </c>
      <c r="P29" s="17" t="str">
        <f>HYPERLINK("https://dexscreener.com/solana/DDxS3mzbFiwPgmpK7j573MDvD7EQj5stPHZ8K8Wppump", "View")</f>
        <v>View</v>
      </c>
    </row>
    <row r="30" spans="1:16" x14ac:dyDescent="0.25">
      <c r="A30" s="13" t="s">
        <v>144</v>
      </c>
      <c r="B30" s="14">
        <v>7975</v>
      </c>
      <c r="C30" s="14">
        <v>5776</v>
      </c>
      <c r="D30" s="14" t="s">
        <v>15704</v>
      </c>
      <c r="E30" s="14" t="s">
        <v>5919</v>
      </c>
      <c r="F30" s="14" t="s">
        <v>10121</v>
      </c>
      <c r="G30" s="21" t="s">
        <v>11161</v>
      </c>
      <c r="H30" s="21" t="s">
        <v>15705</v>
      </c>
      <c r="I30" s="14" t="s">
        <v>88</v>
      </c>
      <c r="J30" s="14">
        <v>1</v>
      </c>
      <c r="K30" s="14">
        <v>8</v>
      </c>
      <c r="L30" s="14" t="s">
        <v>15706</v>
      </c>
      <c r="M30" s="14" t="s">
        <v>150</v>
      </c>
      <c r="N30" s="14" t="s">
        <v>15707</v>
      </c>
      <c r="O30" s="14" t="s">
        <v>152</v>
      </c>
      <c r="P30" s="14" t="str">
        <f>HYPERLINK("https://dexscreener.com/solana/66gsTs88mXJ5L4AtJnWqFW6H2L5YQDRy4W41y6zbpump", "View")</f>
        <v>View</v>
      </c>
    </row>
    <row r="31" spans="1:16" x14ac:dyDescent="0.25">
      <c r="A31" s="16" t="s">
        <v>153</v>
      </c>
      <c r="B31" s="17">
        <v>79018</v>
      </c>
      <c r="C31" s="17">
        <v>47746</v>
      </c>
      <c r="D31" s="17" t="s">
        <v>15708</v>
      </c>
      <c r="E31" s="17" t="s">
        <v>8306</v>
      </c>
      <c r="F31" s="17" t="s">
        <v>15709</v>
      </c>
      <c r="G31" s="22" t="s">
        <v>7291</v>
      </c>
      <c r="H31" s="22" t="s">
        <v>15710</v>
      </c>
      <c r="I31" s="17" t="s">
        <v>88</v>
      </c>
      <c r="J31" s="17">
        <v>1</v>
      </c>
      <c r="K31" s="17">
        <v>7</v>
      </c>
      <c r="L31" s="17" t="s">
        <v>15711</v>
      </c>
      <c r="M31" s="17" t="s">
        <v>160</v>
      </c>
      <c r="N31" s="17" t="s">
        <v>15712</v>
      </c>
      <c r="O31" s="17" t="s">
        <v>162</v>
      </c>
      <c r="P31" s="17" t="str">
        <f>HYPERLINK("https://dexscreener.com/solana/4sAPg3M6bEHrNinqfvfdSTAzCvmaG5Ao799bAt3Bpump", "View")</f>
        <v>View</v>
      </c>
    </row>
    <row r="32" spans="1:16" x14ac:dyDescent="0.25">
      <c r="A32" s="13" t="s">
        <v>163</v>
      </c>
      <c r="B32" s="14">
        <v>134428</v>
      </c>
      <c r="C32" s="14">
        <v>111901</v>
      </c>
      <c r="D32" s="14" t="s">
        <v>15713</v>
      </c>
      <c r="E32" s="14" t="s">
        <v>4396</v>
      </c>
      <c r="F32" s="14" t="s">
        <v>12488</v>
      </c>
      <c r="G32" s="21" t="s">
        <v>2720</v>
      </c>
      <c r="H32" s="21" t="s">
        <v>15714</v>
      </c>
      <c r="I32" s="14" t="s">
        <v>88</v>
      </c>
      <c r="J32" s="14">
        <v>1</v>
      </c>
      <c r="K32" s="14">
        <v>13</v>
      </c>
      <c r="L32" s="14" t="s">
        <v>15715</v>
      </c>
      <c r="M32" s="14" t="s">
        <v>132</v>
      </c>
      <c r="N32" s="14" t="s">
        <v>15716</v>
      </c>
      <c r="O32" s="14" t="s">
        <v>171</v>
      </c>
      <c r="P32" s="14" t="str">
        <f>HYPERLINK("https://dexscreener.com/solana/EswvJvhPy8A8rWPdLJ5ATYW6cY5x483oS4QWWroZpump", "View")</f>
        <v>View</v>
      </c>
    </row>
    <row r="33" spans="1:16" x14ac:dyDescent="0.25">
      <c r="A33" s="16" t="s">
        <v>172</v>
      </c>
      <c r="B33" s="17">
        <v>50822</v>
      </c>
      <c r="C33" s="17">
        <v>13606</v>
      </c>
      <c r="D33" s="17" t="s">
        <v>15717</v>
      </c>
      <c r="E33" s="17" t="s">
        <v>8306</v>
      </c>
      <c r="F33" s="17" t="s">
        <v>11934</v>
      </c>
      <c r="G33" s="22" t="s">
        <v>2429</v>
      </c>
      <c r="H33" s="22" t="s">
        <v>3156</v>
      </c>
      <c r="I33" s="17" t="s">
        <v>88</v>
      </c>
      <c r="J33" s="17">
        <v>1</v>
      </c>
      <c r="K33" s="17">
        <v>4</v>
      </c>
      <c r="L33" s="17" t="s">
        <v>15718</v>
      </c>
      <c r="M33" s="17" t="s">
        <v>179</v>
      </c>
      <c r="N33" s="17" t="s">
        <v>15719</v>
      </c>
      <c r="O33" s="17" t="s">
        <v>181</v>
      </c>
      <c r="P33" s="17" t="str">
        <f>HYPERLINK("https://dexscreener.com/solana/5pQSTDfeUppb6tV415RWygL8n3ctyakBTV7QzBn5pump", "View")</f>
        <v>View</v>
      </c>
    </row>
    <row r="34" spans="1:16" x14ac:dyDescent="0.25">
      <c r="A34" s="13" t="s">
        <v>182</v>
      </c>
      <c r="B34" s="14">
        <v>64424</v>
      </c>
      <c r="C34" s="14">
        <v>0</v>
      </c>
      <c r="D34" s="14" t="s">
        <v>8191</v>
      </c>
      <c r="E34" s="14" t="s">
        <v>8306</v>
      </c>
      <c r="F34" s="14" t="s">
        <v>96</v>
      </c>
      <c r="G34" s="18" t="s">
        <v>4397</v>
      </c>
      <c r="H34" s="18" t="s">
        <v>98</v>
      </c>
      <c r="I34" s="14" t="s">
        <v>15720</v>
      </c>
      <c r="J34" s="14">
        <v>1</v>
      </c>
      <c r="K34" s="14">
        <v>0</v>
      </c>
      <c r="L34" s="14" t="s">
        <v>15721</v>
      </c>
      <c r="M34" s="19" t="s">
        <v>101</v>
      </c>
      <c r="N34" s="14" t="s">
        <v>15722</v>
      </c>
      <c r="O34" s="14" t="s">
        <v>188</v>
      </c>
      <c r="P34" s="14" t="str">
        <f>HYPERLINK("https://dexscreener.com/solana/FofgVUkAzbffK3mw8ZEwMof8Lbpx59KkXRV4exhkpump", "View")</f>
        <v>View</v>
      </c>
    </row>
    <row r="35" spans="1:16" x14ac:dyDescent="0.25">
      <c r="A35" s="16" t="s">
        <v>15723</v>
      </c>
      <c r="B35" s="17">
        <v>433369</v>
      </c>
      <c r="C35" s="17">
        <v>0</v>
      </c>
      <c r="D35" s="17" t="s">
        <v>1281</v>
      </c>
      <c r="E35" s="17" t="s">
        <v>4396</v>
      </c>
      <c r="F35" s="17" t="s">
        <v>96</v>
      </c>
      <c r="G35" s="18" t="s">
        <v>4739</v>
      </c>
      <c r="H35" s="18" t="s">
        <v>98</v>
      </c>
      <c r="I35" s="17" t="s">
        <v>15724</v>
      </c>
      <c r="J35" s="17">
        <v>1</v>
      </c>
      <c r="K35" s="17">
        <v>0</v>
      </c>
      <c r="L35" s="17" t="s">
        <v>15725</v>
      </c>
      <c r="M35" s="19" t="s">
        <v>101</v>
      </c>
      <c r="N35" s="17" t="s">
        <v>11942</v>
      </c>
      <c r="O35" s="17" t="s">
        <v>15726</v>
      </c>
      <c r="P35" s="17" t="str">
        <f>HYPERLINK("https://dexscreener.com/solana/BBZMvvm3sHJcdnYWppJJcmnSa7mGhq6cJvy4mJ2wpump", "View")</f>
        <v>View</v>
      </c>
    </row>
    <row r="36" spans="1:16" x14ac:dyDescent="0.25">
      <c r="A36" s="13" t="s">
        <v>189</v>
      </c>
      <c r="B36" s="14">
        <v>104953</v>
      </c>
      <c r="C36" s="14">
        <v>0</v>
      </c>
      <c r="D36" s="14" t="s">
        <v>8191</v>
      </c>
      <c r="E36" s="14" t="s">
        <v>8306</v>
      </c>
      <c r="F36" s="14" t="s">
        <v>96</v>
      </c>
      <c r="G36" s="18" t="s">
        <v>4397</v>
      </c>
      <c r="H36" s="18" t="s">
        <v>98</v>
      </c>
      <c r="I36" s="14" t="s">
        <v>15727</v>
      </c>
      <c r="J36" s="14">
        <v>1</v>
      </c>
      <c r="K36" s="14">
        <v>0</v>
      </c>
      <c r="L36" s="14" t="s">
        <v>15728</v>
      </c>
      <c r="M36" s="19" t="s">
        <v>101</v>
      </c>
      <c r="N36" s="14" t="s">
        <v>15729</v>
      </c>
      <c r="O36" s="14" t="s">
        <v>193</v>
      </c>
      <c r="P36" s="14" t="str">
        <f>HYPERLINK("https://dexscreener.com/solana/HnYqXefRFM2U5aUpSWEdxRG6DsPFM6gGZUUWFXgSpump", "View")</f>
        <v>View</v>
      </c>
    </row>
    <row r="37" spans="1:16" x14ac:dyDescent="0.25">
      <c r="A37" s="16" t="s">
        <v>194</v>
      </c>
      <c r="B37" s="17">
        <v>81255</v>
      </c>
      <c r="C37" s="17">
        <v>0</v>
      </c>
      <c r="D37" s="17" t="s">
        <v>8191</v>
      </c>
      <c r="E37" s="17" t="s">
        <v>8306</v>
      </c>
      <c r="F37" s="17" t="s">
        <v>96</v>
      </c>
      <c r="G37" s="18" t="s">
        <v>4397</v>
      </c>
      <c r="H37" s="18" t="s">
        <v>98</v>
      </c>
      <c r="I37" s="17" t="s">
        <v>15730</v>
      </c>
      <c r="J37" s="17">
        <v>1</v>
      </c>
      <c r="K37" s="17">
        <v>0</v>
      </c>
      <c r="L37" s="17" t="s">
        <v>15731</v>
      </c>
      <c r="M37" s="19" t="s">
        <v>101</v>
      </c>
      <c r="N37" s="17" t="s">
        <v>15732</v>
      </c>
      <c r="O37" s="17" t="s">
        <v>198</v>
      </c>
      <c r="P37" s="17" t="str">
        <f>HYPERLINK("https://dexscreener.com/solana/5ooyX53Dpoo6RMenMVS7TGb6JdgAqJjxJV1TFhpxpump", "View")</f>
        <v>View</v>
      </c>
    </row>
    <row r="38" spans="1:16" x14ac:dyDescent="0.25">
      <c r="A38" s="13" t="s">
        <v>199</v>
      </c>
      <c r="B38" s="14">
        <v>36715</v>
      </c>
      <c r="C38" s="14">
        <v>0</v>
      </c>
      <c r="D38" s="14" t="s">
        <v>8191</v>
      </c>
      <c r="E38" s="14" t="s">
        <v>8306</v>
      </c>
      <c r="F38" s="14" t="s">
        <v>96</v>
      </c>
      <c r="G38" s="18" t="s">
        <v>4397</v>
      </c>
      <c r="H38" s="18" t="s">
        <v>98</v>
      </c>
      <c r="I38" s="14" t="s">
        <v>15733</v>
      </c>
      <c r="J38" s="14">
        <v>1</v>
      </c>
      <c r="K38" s="14">
        <v>0</v>
      </c>
      <c r="L38" s="14" t="s">
        <v>15734</v>
      </c>
      <c r="M38" s="19" t="s">
        <v>101</v>
      </c>
      <c r="N38" s="14" t="s">
        <v>15735</v>
      </c>
      <c r="O38" s="14" t="s">
        <v>204</v>
      </c>
      <c r="P38" s="14" t="str">
        <f>HYPERLINK("https://dexscreener.com/solana/FLayaUPfFxmC1Vz3i4ebKT9uwEVv4ribyCqENnQ9pump", "View")</f>
        <v>View</v>
      </c>
    </row>
    <row r="39" spans="1:16" x14ac:dyDescent="0.25">
      <c r="A39" s="16" t="s">
        <v>205</v>
      </c>
      <c r="B39" s="17">
        <v>132231</v>
      </c>
      <c r="C39" s="17">
        <v>0</v>
      </c>
      <c r="D39" s="17" t="s">
        <v>8191</v>
      </c>
      <c r="E39" s="17" t="s">
        <v>8306</v>
      </c>
      <c r="F39" s="17" t="s">
        <v>96</v>
      </c>
      <c r="G39" s="18" t="s">
        <v>4397</v>
      </c>
      <c r="H39" s="18" t="s">
        <v>98</v>
      </c>
      <c r="I39" s="17" t="s">
        <v>15736</v>
      </c>
      <c r="J39" s="17">
        <v>1</v>
      </c>
      <c r="K39" s="17">
        <v>0</v>
      </c>
      <c r="L39" s="17" t="s">
        <v>15737</v>
      </c>
      <c r="M39" s="19" t="s">
        <v>101</v>
      </c>
      <c r="N39" s="17" t="s">
        <v>15738</v>
      </c>
      <c r="O39" s="17" t="s">
        <v>210</v>
      </c>
      <c r="P39" s="17" t="str">
        <f>HYPERLINK("https://dexscreener.com/solana/ARty2wsKJ4QgFzTcCh4GJFaxLQycB5RSJEcbsU1ypump", "View")</f>
        <v>View</v>
      </c>
    </row>
    <row r="40" spans="1:16" x14ac:dyDescent="0.25">
      <c r="A40" s="13" t="s">
        <v>15739</v>
      </c>
      <c r="B40" s="14">
        <v>1670</v>
      </c>
      <c r="C40" s="14">
        <v>1670</v>
      </c>
      <c r="D40" s="14" t="s">
        <v>532</v>
      </c>
      <c r="E40" s="14" t="s">
        <v>5346</v>
      </c>
      <c r="F40" s="14" t="s">
        <v>11559</v>
      </c>
      <c r="G40" s="21" t="s">
        <v>5359</v>
      </c>
      <c r="H40" s="21" t="s">
        <v>15740</v>
      </c>
      <c r="I40" s="14" t="s">
        <v>88</v>
      </c>
      <c r="J40" s="14">
        <v>1</v>
      </c>
      <c r="K40" s="14">
        <v>1</v>
      </c>
      <c r="L40" s="14" t="s">
        <v>15741</v>
      </c>
      <c r="M40" s="14" t="s">
        <v>356</v>
      </c>
      <c r="N40" s="14" t="s">
        <v>15742</v>
      </c>
      <c r="O40" s="14" t="s">
        <v>15743</v>
      </c>
      <c r="P40" s="14" t="str">
        <f>HYPERLINK("https://dexscreener.com/solana/6cvrZWgEUkr82yKAmxp5cQu7wgYYBPULf16EUBp4pump", "View")</f>
        <v>View</v>
      </c>
    </row>
    <row r="41" spans="1:16" x14ac:dyDescent="0.25">
      <c r="A41" s="16" t="s">
        <v>211</v>
      </c>
      <c r="B41" s="17">
        <v>72316</v>
      </c>
      <c r="C41" s="17">
        <v>0</v>
      </c>
      <c r="D41" s="17" t="s">
        <v>8191</v>
      </c>
      <c r="E41" s="17" t="s">
        <v>8306</v>
      </c>
      <c r="F41" s="17" t="s">
        <v>96</v>
      </c>
      <c r="G41" s="18" t="s">
        <v>4397</v>
      </c>
      <c r="H41" s="18" t="s">
        <v>98</v>
      </c>
      <c r="I41" s="17" t="s">
        <v>15744</v>
      </c>
      <c r="J41" s="17">
        <v>1</v>
      </c>
      <c r="K41" s="17">
        <v>0</v>
      </c>
      <c r="L41" s="17" t="s">
        <v>15745</v>
      </c>
      <c r="M41" s="19" t="s">
        <v>101</v>
      </c>
      <c r="N41" s="17" t="s">
        <v>15746</v>
      </c>
      <c r="O41" s="17" t="s">
        <v>217</v>
      </c>
      <c r="P41" s="17" t="str">
        <f>HYPERLINK("https://dexscreener.com/solana/36FN7NGmULKqSy4PoSRUBFQ7XBVxNMmWLhXohKmypump", "View")</f>
        <v>View</v>
      </c>
    </row>
    <row r="42" spans="1:16" x14ac:dyDescent="0.25">
      <c r="A42" s="13" t="s">
        <v>218</v>
      </c>
      <c r="B42" s="14">
        <v>448584</v>
      </c>
      <c r="C42" s="14">
        <v>0</v>
      </c>
      <c r="D42" s="14" t="s">
        <v>8191</v>
      </c>
      <c r="E42" s="14" t="s">
        <v>8306</v>
      </c>
      <c r="F42" s="14" t="s">
        <v>96</v>
      </c>
      <c r="G42" s="18" t="s">
        <v>4397</v>
      </c>
      <c r="H42" s="18" t="s">
        <v>98</v>
      </c>
      <c r="I42" s="14" t="s">
        <v>15747</v>
      </c>
      <c r="J42" s="14">
        <v>1</v>
      </c>
      <c r="K42" s="14">
        <v>0</v>
      </c>
      <c r="L42" s="14" t="s">
        <v>15748</v>
      </c>
      <c r="M42" s="19" t="s">
        <v>101</v>
      </c>
      <c r="N42" s="14" t="s">
        <v>15749</v>
      </c>
      <c r="O42" s="14" t="s">
        <v>224</v>
      </c>
      <c r="P42" s="14" t="str">
        <f>HYPERLINK("https://dexscreener.com/solana/3vabXAGCdWWcudUKK7JM8TfVg6q5hRh6LcD8mN8Xpump", "View")</f>
        <v>View</v>
      </c>
    </row>
    <row r="43" spans="1:16" x14ac:dyDescent="0.25">
      <c r="A43" s="16" t="s">
        <v>225</v>
      </c>
      <c r="B43" s="17">
        <v>59754</v>
      </c>
      <c r="C43" s="17">
        <v>8957</v>
      </c>
      <c r="D43" s="17" t="s">
        <v>532</v>
      </c>
      <c r="E43" s="17" t="s">
        <v>4396</v>
      </c>
      <c r="F43" s="17" t="s">
        <v>5018</v>
      </c>
      <c r="G43" s="20" t="s">
        <v>3885</v>
      </c>
      <c r="H43" s="20" t="s">
        <v>7911</v>
      </c>
      <c r="I43" s="17" t="s">
        <v>88</v>
      </c>
      <c r="J43" s="17">
        <v>1</v>
      </c>
      <c r="K43" s="17">
        <v>1</v>
      </c>
      <c r="L43" s="17" t="s">
        <v>15750</v>
      </c>
      <c r="M43" s="17" t="s">
        <v>231</v>
      </c>
      <c r="N43" s="17" t="s">
        <v>15751</v>
      </c>
      <c r="O43" s="17" t="s">
        <v>233</v>
      </c>
      <c r="P43" s="17" t="str">
        <f>HYPERLINK("https://dexscreener.com/solana/2odHeumkiJx46YyNHeZvDjMwsoNhpAgFQuipT96npump", "View")</f>
        <v>View</v>
      </c>
    </row>
    <row r="44" spans="1:16" x14ac:dyDescent="0.25">
      <c r="A44" s="13" t="s">
        <v>243</v>
      </c>
      <c r="B44" s="14">
        <v>49579</v>
      </c>
      <c r="C44" s="14">
        <v>0</v>
      </c>
      <c r="D44" s="14" t="s">
        <v>15752</v>
      </c>
      <c r="E44" s="14" t="s">
        <v>8306</v>
      </c>
      <c r="F44" s="14" t="s">
        <v>96</v>
      </c>
      <c r="G44" s="18" t="s">
        <v>2630</v>
      </c>
      <c r="H44" s="18" t="s">
        <v>98</v>
      </c>
      <c r="I44" s="14" t="s">
        <v>15753</v>
      </c>
      <c r="J44" s="14">
        <v>1</v>
      </c>
      <c r="K44" s="14">
        <v>0</v>
      </c>
      <c r="L44" s="14" t="s">
        <v>15754</v>
      </c>
      <c r="M44" s="19" t="s">
        <v>101</v>
      </c>
      <c r="N44" s="14" t="s">
        <v>15755</v>
      </c>
      <c r="O44" s="14" t="s">
        <v>247</v>
      </c>
      <c r="P44" s="14" t="str">
        <f>HYPERLINK("https://dexscreener.com/solana/Ca8AnVoDbwv31gddMHVyNLpHWYkGRRQFoXCcfe4gpump", "View")</f>
        <v>View</v>
      </c>
    </row>
    <row r="45" spans="1:16" x14ac:dyDescent="0.25">
      <c r="A45" s="16" t="s">
        <v>248</v>
      </c>
      <c r="B45" s="17">
        <v>57268</v>
      </c>
      <c r="C45" s="17">
        <v>8584</v>
      </c>
      <c r="D45" s="17" t="s">
        <v>532</v>
      </c>
      <c r="E45" s="17" t="s">
        <v>4396</v>
      </c>
      <c r="F45" s="17" t="s">
        <v>4147</v>
      </c>
      <c r="G45" s="15" t="s">
        <v>2590</v>
      </c>
      <c r="H45" s="15" t="s">
        <v>15756</v>
      </c>
      <c r="I45" s="17" t="s">
        <v>88</v>
      </c>
      <c r="J45" s="17">
        <v>1</v>
      </c>
      <c r="K45" s="17">
        <v>1</v>
      </c>
      <c r="L45" s="17" t="s">
        <v>15757</v>
      </c>
      <c r="M45" s="17" t="s">
        <v>253</v>
      </c>
      <c r="N45" s="17" t="s">
        <v>15758</v>
      </c>
      <c r="O45" s="17" t="s">
        <v>255</v>
      </c>
      <c r="P45" s="17" t="str">
        <f>HYPERLINK("https://dexscreener.com/solana/9HjsPutyGGPpxnRn4ibH1hTfPvitAY5EPvtAwGFkpump", "View")</f>
        <v>View</v>
      </c>
    </row>
    <row r="46" spans="1:16" x14ac:dyDescent="0.25">
      <c r="A46" s="13" t="s">
        <v>256</v>
      </c>
      <c r="B46" s="14">
        <v>202570</v>
      </c>
      <c r="C46" s="14">
        <v>0</v>
      </c>
      <c r="D46" s="14" t="s">
        <v>15752</v>
      </c>
      <c r="E46" s="14" t="s">
        <v>8306</v>
      </c>
      <c r="F46" s="14" t="s">
        <v>96</v>
      </c>
      <c r="G46" s="18" t="s">
        <v>2630</v>
      </c>
      <c r="H46" s="18" t="s">
        <v>98</v>
      </c>
      <c r="I46" s="14" t="s">
        <v>15759</v>
      </c>
      <c r="J46" s="14">
        <v>1</v>
      </c>
      <c r="K46" s="14">
        <v>0</v>
      </c>
      <c r="L46" s="14" t="s">
        <v>15760</v>
      </c>
      <c r="M46" s="19" t="s">
        <v>101</v>
      </c>
      <c r="N46" s="14" t="s">
        <v>15761</v>
      </c>
      <c r="O46" s="14" t="s">
        <v>260</v>
      </c>
      <c r="P46" s="14" t="str">
        <f>HYPERLINK("https://dexscreener.com/solana/F8btFvgEKbsBvgornHg7Yb4QUgtceiyFeEaMZVQopump", "View")</f>
        <v>View</v>
      </c>
    </row>
    <row r="47" spans="1:16" x14ac:dyDescent="0.25">
      <c r="A47" s="16" t="s">
        <v>261</v>
      </c>
      <c r="B47" s="17">
        <v>305205</v>
      </c>
      <c r="C47" s="17">
        <v>0</v>
      </c>
      <c r="D47" s="17" t="s">
        <v>15752</v>
      </c>
      <c r="E47" s="17" t="s">
        <v>4396</v>
      </c>
      <c r="F47" s="17" t="s">
        <v>96</v>
      </c>
      <c r="G47" s="18" t="s">
        <v>2135</v>
      </c>
      <c r="H47" s="18" t="s">
        <v>98</v>
      </c>
      <c r="I47" s="17" t="s">
        <v>15762</v>
      </c>
      <c r="J47" s="17">
        <v>1</v>
      </c>
      <c r="K47" s="17">
        <v>0</v>
      </c>
      <c r="L47" s="17" t="s">
        <v>15763</v>
      </c>
      <c r="M47" s="19" t="s">
        <v>101</v>
      </c>
      <c r="N47" s="17" t="s">
        <v>15764</v>
      </c>
      <c r="O47" s="17" t="s">
        <v>265</v>
      </c>
      <c r="P47" s="17" t="str">
        <f>HYPERLINK("https://dexscreener.com/solana/EyDSYZM8RYQUc7ux41dNmR7BRk7tMzYnWmYeiKzCpump", "View")</f>
        <v>View</v>
      </c>
    </row>
    <row r="48" spans="1:16" x14ac:dyDescent="0.25">
      <c r="A48" s="13" t="s">
        <v>271</v>
      </c>
      <c r="B48" s="14">
        <v>28776</v>
      </c>
      <c r="C48" s="14">
        <v>15767</v>
      </c>
      <c r="D48" s="14" t="s">
        <v>8685</v>
      </c>
      <c r="E48" s="14" t="s">
        <v>4396</v>
      </c>
      <c r="F48" s="14" t="s">
        <v>7598</v>
      </c>
      <c r="G48" s="21" t="s">
        <v>5837</v>
      </c>
      <c r="H48" s="21" t="s">
        <v>15765</v>
      </c>
      <c r="I48" s="14" t="s">
        <v>88</v>
      </c>
      <c r="J48" s="14">
        <v>1</v>
      </c>
      <c r="K48" s="14">
        <v>7</v>
      </c>
      <c r="L48" s="14" t="s">
        <v>276</v>
      </c>
      <c r="M48" s="14" t="s">
        <v>277</v>
      </c>
      <c r="N48" s="14" t="s">
        <v>15766</v>
      </c>
      <c r="O48" s="14" t="s">
        <v>279</v>
      </c>
      <c r="P48" s="14" t="str">
        <f>HYPERLINK("https://dexscreener.com/solana/8x5VqbHA8D7NkD52uNuS5nnt3PwA8pLD34ymskeSo2Wn", "View")</f>
        <v>View</v>
      </c>
    </row>
    <row r="49" spans="1:16" x14ac:dyDescent="0.25">
      <c r="A49" s="16" t="s">
        <v>280</v>
      </c>
      <c r="B49" s="17">
        <v>30791</v>
      </c>
      <c r="C49" s="17">
        <v>14620</v>
      </c>
      <c r="D49" s="17" t="s">
        <v>8934</v>
      </c>
      <c r="E49" s="17" t="s">
        <v>4665</v>
      </c>
      <c r="F49" s="17" t="s">
        <v>2653</v>
      </c>
      <c r="G49" s="20" t="s">
        <v>5681</v>
      </c>
      <c r="H49" s="20" t="s">
        <v>15767</v>
      </c>
      <c r="I49" s="17" t="s">
        <v>88</v>
      </c>
      <c r="J49" s="17">
        <v>2</v>
      </c>
      <c r="K49" s="17">
        <v>7</v>
      </c>
      <c r="L49" s="17" t="s">
        <v>15768</v>
      </c>
      <c r="M49" s="17" t="s">
        <v>287</v>
      </c>
      <c r="N49" s="17" t="s">
        <v>15769</v>
      </c>
      <c r="O49" s="17" t="s">
        <v>289</v>
      </c>
      <c r="P49" s="17" t="str">
        <f>HYPERLINK("https://dexscreener.com/solana/7wUwkXo8Qjt3cYM8BaHHHeyfDY7ZSn7qvod92pNupump", "View")</f>
        <v>View</v>
      </c>
    </row>
    <row r="50" spans="1:16" x14ac:dyDescent="0.25">
      <c r="A50" s="13" t="s">
        <v>297</v>
      </c>
      <c r="B50" s="14">
        <v>5387</v>
      </c>
      <c r="C50" s="14">
        <v>2283</v>
      </c>
      <c r="D50" s="14" t="s">
        <v>15770</v>
      </c>
      <c r="E50" s="14" t="s">
        <v>4396</v>
      </c>
      <c r="F50" s="14" t="s">
        <v>4459</v>
      </c>
      <c r="G50" s="20" t="s">
        <v>9563</v>
      </c>
      <c r="H50" s="20" t="s">
        <v>15771</v>
      </c>
      <c r="I50" s="14" t="s">
        <v>88</v>
      </c>
      <c r="J50" s="14">
        <v>1</v>
      </c>
      <c r="K50" s="14">
        <v>3</v>
      </c>
      <c r="L50" s="14" t="s">
        <v>15772</v>
      </c>
      <c r="M50" s="14" t="s">
        <v>304</v>
      </c>
      <c r="N50" s="14" t="s">
        <v>15773</v>
      </c>
      <c r="O50" s="14" t="s">
        <v>306</v>
      </c>
      <c r="P50" s="14" t="str">
        <f>HYPERLINK("https://dexscreener.com/solana/yG6bXPEFaUnGAEHHqH9H7t1VSfaK7YrggCqHy35pump", "View")</f>
        <v>View</v>
      </c>
    </row>
    <row r="51" spans="1:16" x14ac:dyDescent="0.25">
      <c r="A51" s="16" t="s">
        <v>307</v>
      </c>
      <c r="B51" s="17">
        <v>104615</v>
      </c>
      <c r="C51" s="17">
        <v>0</v>
      </c>
      <c r="D51" s="17" t="s">
        <v>15752</v>
      </c>
      <c r="E51" s="17" t="s">
        <v>4396</v>
      </c>
      <c r="F51" s="17" t="s">
        <v>96</v>
      </c>
      <c r="G51" s="18" t="s">
        <v>2135</v>
      </c>
      <c r="H51" s="18" t="s">
        <v>98</v>
      </c>
      <c r="I51" s="17" t="s">
        <v>15774</v>
      </c>
      <c r="J51" s="17">
        <v>1</v>
      </c>
      <c r="K51" s="17">
        <v>0</v>
      </c>
      <c r="L51" s="17" t="s">
        <v>15775</v>
      </c>
      <c r="M51" s="19" t="s">
        <v>101</v>
      </c>
      <c r="N51" s="17" t="s">
        <v>15776</v>
      </c>
      <c r="O51" s="17" t="s">
        <v>311</v>
      </c>
      <c r="P51" s="17" t="str">
        <f>HYPERLINK("https://dexscreener.com/solana/4zAW4Bp1rJgnZcqJA7sfD39k41sikg8WqXPUsYMDpump", "View")</f>
        <v>View</v>
      </c>
    </row>
    <row r="52" spans="1:16" x14ac:dyDescent="0.25">
      <c r="A52" s="13" t="s">
        <v>312</v>
      </c>
      <c r="B52" s="14">
        <v>46614</v>
      </c>
      <c r="C52" s="14">
        <v>2326</v>
      </c>
      <c r="D52" s="14" t="s">
        <v>532</v>
      </c>
      <c r="E52" s="14" t="s">
        <v>4396</v>
      </c>
      <c r="F52" s="14" t="s">
        <v>3765</v>
      </c>
      <c r="G52" s="15" t="s">
        <v>2289</v>
      </c>
      <c r="H52" s="15" t="s">
        <v>15777</v>
      </c>
      <c r="I52" s="14" t="s">
        <v>88</v>
      </c>
      <c r="J52" s="14">
        <v>1</v>
      </c>
      <c r="K52" s="14">
        <v>1</v>
      </c>
      <c r="L52" s="14" t="s">
        <v>15778</v>
      </c>
      <c r="M52" s="14" t="s">
        <v>317</v>
      </c>
      <c r="N52" s="14" t="s">
        <v>15779</v>
      </c>
      <c r="O52" s="14" t="s">
        <v>319</v>
      </c>
      <c r="P52" s="14" t="str">
        <f>HYPERLINK("https://dexscreener.com/solana/GPF3b1vrWJfpaNNAXqTDLLnSRHTMG6auWonK3LAWpump", "View")</f>
        <v>View</v>
      </c>
    </row>
    <row r="53" spans="1:16" x14ac:dyDescent="0.25">
      <c r="A53" s="16" t="s">
        <v>320</v>
      </c>
      <c r="B53" s="17">
        <v>69876</v>
      </c>
      <c r="C53" s="17">
        <v>0</v>
      </c>
      <c r="D53" s="17" t="s">
        <v>8191</v>
      </c>
      <c r="E53" s="17" t="s">
        <v>4396</v>
      </c>
      <c r="F53" s="17" t="s">
        <v>96</v>
      </c>
      <c r="G53" s="18" t="s">
        <v>4739</v>
      </c>
      <c r="H53" s="18" t="s">
        <v>98</v>
      </c>
      <c r="I53" s="17" t="s">
        <v>15780</v>
      </c>
      <c r="J53" s="17">
        <v>1</v>
      </c>
      <c r="K53" s="17">
        <v>0</v>
      </c>
      <c r="L53" s="17" t="s">
        <v>15781</v>
      </c>
      <c r="M53" s="19" t="s">
        <v>101</v>
      </c>
      <c r="N53" s="17" t="s">
        <v>15782</v>
      </c>
      <c r="O53" s="17" t="s">
        <v>324</v>
      </c>
      <c r="P53" s="17" t="str">
        <f>HYPERLINK("https://dexscreener.com/solana/iByRAnwB6oHjphgaixPkKqno41ida9yqKwwmrsKpump", "View")</f>
        <v>View</v>
      </c>
    </row>
    <row r="54" spans="1:16" x14ac:dyDescent="0.25">
      <c r="A54" s="13" t="s">
        <v>6440</v>
      </c>
      <c r="B54" s="14">
        <v>240309</v>
      </c>
      <c r="C54" s="14">
        <v>0</v>
      </c>
      <c r="D54" s="14" t="s">
        <v>1281</v>
      </c>
      <c r="E54" s="14" t="s">
        <v>4396</v>
      </c>
      <c r="F54" s="14" t="s">
        <v>96</v>
      </c>
      <c r="G54" s="18" t="s">
        <v>4739</v>
      </c>
      <c r="H54" s="18" t="s">
        <v>98</v>
      </c>
      <c r="I54" s="14" t="s">
        <v>15783</v>
      </c>
      <c r="J54" s="14">
        <v>1</v>
      </c>
      <c r="K54" s="14">
        <v>0</v>
      </c>
      <c r="L54" s="14" t="s">
        <v>15784</v>
      </c>
      <c r="M54" s="19" t="s">
        <v>101</v>
      </c>
      <c r="N54" s="14" t="s">
        <v>15785</v>
      </c>
      <c r="O54" s="14" t="s">
        <v>15786</v>
      </c>
      <c r="P54" s="14" t="str">
        <f>HYPERLINK("https://dexscreener.com/solana/7dDpUJTtxjeAQaQeoJqnL9wcLp2pQ2w9aXCYjaSApump", "View")</f>
        <v>View</v>
      </c>
    </row>
    <row r="55" spans="1:16" x14ac:dyDescent="0.25">
      <c r="A55" s="16" t="s">
        <v>325</v>
      </c>
      <c r="B55" s="17">
        <v>210638</v>
      </c>
      <c r="C55" s="17">
        <v>0</v>
      </c>
      <c r="D55" s="17" t="s">
        <v>15752</v>
      </c>
      <c r="E55" s="17" t="s">
        <v>4396</v>
      </c>
      <c r="F55" s="17" t="s">
        <v>96</v>
      </c>
      <c r="G55" s="18" t="s">
        <v>2135</v>
      </c>
      <c r="H55" s="18" t="s">
        <v>98</v>
      </c>
      <c r="I55" s="17" t="s">
        <v>15787</v>
      </c>
      <c r="J55" s="17">
        <v>1</v>
      </c>
      <c r="K55" s="17">
        <v>0</v>
      </c>
      <c r="L55" s="17" t="s">
        <v>15788</v>
      </c>
      <c r="M55" s="19" t="s">
        <v>101</v>
      </c>
      <c r="N55" s="17" t="s">
        <v>15789</v>
      </c>
      <c r="O55" s="17" t="s">
        <v>329</v>
      </c>
      <c r="P55" s="17" t="str">
        <f>HYPERLINK("https://dexscreener.com/solana/AuNhsb7EhBeQCBqiEVSH5GcLipw9rDiqoj3YgVQbQZcP", "View")</f>
        <v>View</v>
      </c>
    </row>
    <row r="56" spans="1:16" x14ac:dyDescent="0.25">
      <c r="A56" s="13" t="s">
        <v>297</v>
      </c>
      <c r="B56" s="14">
        <v>16764</v>
      </c>
      <c r="C56" s="14">
        <v>0</v>
      </c>
      <c r="D56" s="14" t="s">
        <v>8191</v>
      </c>
      <c r="E56" s="14" t="s">
        <v>4396</v>
      </c>
      <c r="F56" s="14" t="s">
        <v>96</v>
      </c>
      <c r="G56" s="18" t="s">
        <v>4739</v>
      </c>
      <c r="H56" s="18" t="s">
        <v>98</v>
      </c>
      <c r="I56" s="14" t="s">
        <v>15790</v>
      </c>
      <c r="J56" s="14">
        <v>1</v>
      </c>
      <c r="K56" s="14">
        <v>0</v>
      </c>
      <c r="L56" s="14" t="s">
        <v>15791</v>
      </c>
      <c r="M56" s="19" t="s">
        <v>101</v>
      </c>
      <c r="N56" s="14" t="s">
        <v>332</v>
      </c>
      <c r="O56" s="14" t="s">
        <v>333</v>
      </c>
      <c r="P56" s="14" t="str">
        <f>HYPERLINK("https://dexscreener.com/solana/GqfGQEhQXpKEnsc33fJo8RLjeQBkYvFzgLPDdBwZpump", "View")</f>
        <v>View</v>
      </c>
    </row>
    <row r="57" spans="1:16" x14ac:dyDescent="0.25">
      <c r="A57" s="16" t="s">
        <v>334</v>
      </c>
      <c r="B57" s="17">
        <v>16718</v>
      </c>
      <c r="C57" s="17">
        <v>0</v>
      </c>
      <c r="D57" s="17" t="s">
        <v>8191</v>
      </c>
      <c r="E57" s="17" t="s">
        <v>4396</v>
      </c>
      <c r="F57" s="17" t="s">
        <v>96</v>
      </c>
      <c r="G57" s="18" t="s">
        <v>4739</v>
      </c>
      <c r="H57" s="18" t="s">
        <v>98</v>
      </c>
      <c r="I57" s="17" t="s">
        <v>15792</v>
      </c>
      <c r="J57" s="17">
        <v>1</v>
      </c>
      <c r="K57" s="17">
        <v>0</v>
      </c>
      <c r="L57" s="17" t="s">
        <v>15793</v>
      </c>
      <c r="M57" s="19" t="s">
        <v>101</v>
      </c>
      <c r="N57" s="17" t="s">
        <v>385</v>
      </c>
      <c r="O57" s="17" t="s">
        <v>338</v>
      </c>
      <c r="P57" s="17" t="str">
        <f>HYPERLINK("https://dexscreener.com/solana/4yyB8a6vmTZ5RL6UkPx4eSy57cLqWk2f8LuKnED5pump", "View")</f>
        <v>View</v>
      </c>
    </row>
    <row r="58" spans="1:16" x14ac:dyDescent="0.25">
      <c r="A58" s="13" t="s">
        <v>339</v>
      </c>
      <c r="B58" s="14">
        <v>217150</v>
      </c>
      <c r="C58" s="14">
        <v>0</v>
      </c>
      <c r="D58" s="14" t="s">
        <v>8191</v>
      </c>
      <c r="E58" s="14" t="s">
        <v>4396</v>
      </c>
      <c r="F58" s="14" t="s">
        <v>96</v>
      </c>
      <c r="G58" s="18" t="s">
        <v>4739</v>
      </c>
      <c r="H58" s="18" t="s">
        <v>98</v>
      </c>
      <c r="I58" s="14" t="s">
        <v>15794</v>
      </c>
      <c r="J58" s="14">
        <v>1</v>
      </c>
      <c r="K58" s="14">
        <v>0</v>
      </c>
      <c r="L58" s="14" t="s">
        <v>15795</v>
      </c>
      <c r="M58" s="19" t="s">
        <v>101</v>
      </c>
      <c r="N58" s="14" t="s">
        <v>9566</v>
      </c>
      <c r="O58" s="14" t="s">
        <v>345</v>
      </c>
      <c r="P58" s="14" t="str">
        <f>HYPERLINK("https://dexscreener.com/solana/BdLo5N3ndcuEj78MYquEy5LrMu138qE2BzjehwJ8pump", "View")</f>
        <v>View</v>
      </c>
    </row>
    <row r="59" spans="1:16" x14ac:dyDescent="0.25">
      <c r="A59" s="16" t="s">
        <v>392</v>
      </c>
      <c r="B59" s="17">
        <v>67110</v>
      </c>
      <c r="C59" s="17">
        <v>41849</v>
      </c>
      <c r="D59" s="17" t="s">
        <v>15796</v>
      </c>
      <c r="E59" s="17" t="s">
        <v>5220</v>
      </c>
      <c r="F59" s="17" t="s">
        <v>2881</v>
      </c>
      <c r="G59" s="21" t="s">
        <v>15797</v>
      </c>
      <c r="H59" s="21" t="s">
        <v>15798</v>
      </c>
      <c r="I59" s="17" t="s">
        <v>88</v>
      </c>
      <c r="J59" s="17">
        <v>2</v>
      </c>
      <c r="K59" s="17">
        <v>18</v>
      </c>
      <c r="L59" s="17" t="s">
        <v>15799</v>
      </c>
      <c r="M59" s="17" t="s">
        <v>5061</v>
      </c>
      <c r="N59" s="17" t="s">
        <v>15800</v>
      </c>
      <c r="O59" s="17" t="s">
        <v>400</v>
      </c>
      <c r="P59" s="17" t="str">
        <f>HYPERLINK("https://dexscreener.com/solana/BTdGTUjHz5FUSf91Ufo9L9r4LFMTRhE1qDtvUUfypump", "View")</f>
        <v>View</v>
      </c>
    </row>
    <row r="60" spans="1:16" x14ac:dyDescent="0.25">
      <c r="A60" s="13" t="s">
        <v>359</v>
      </c>
      <c r="B60" s="14">
        <v>46851</v>
      </c>
      <c r="C60" s="14">
        <v>4680</v>
      </c>
      <c r="D60" s="14" t="s">
        <v>7886</v>
      </c>
      <c r="E60" s="14" t="s">
        <v>4396</v>
      </c>
      <c r="F60" s="14" t="s">
        <v>6137</v>
      </c>
      <c r="G60" s="15" t="s">
        <v>3549</v>
      </c>
      <c r="H60" s="15" t="s">
        <v>15801</v>
      </c>
      <c r="I60" s="14" t="s">
        <v>88</v>
      </c>
      <c r="J60" s="14">
        <v>1</v>
      </c>
      <c r="K60" s="14">
        <v>1</v>
      </c>
      <c r="L60" s="14" t="s">
        <v>15802</v>
      </c>
      <c r="M60" s="14" t="s">
        <v>364</v>
      </c>
      <c r="N60" s="14" t="s">
        <v>15803</v>
      </c>
      <c r="O60" s="14" t="s">
        <v>366</v>
      </c>
      <c r="P60" s="14" t="str">
        <f>HYPERLINK("https://dexscreener.com/solana/FFUqMLqYuSjKr19r6NDpYSoHu5Qzg51cUmgwnSyipump", "View")</f>
        <v>View</v>
      </c>
    </row>
    <row r="61" spans="1:16" x14ac:dyDescent="0.25">
      <c r="A61" s="16" t="s">
        <v>15804</v>
      </c>
      <c r="B61" s="17">
        <v>4506</v>
      </c>
      <c r="C61" s="17">
        <v>0</v>
      </c>
      <c r="D61" s="17" t="s">
        <v>15752</v>
      </c>
      <c r="E61" s="17" t="s">
        <v>5346</v>
      </c>
      <c r="F61" s="17" t="s">
        <v>96</v>
      </c>
      <c r="G61" s="18" t="s">
        <v>5614</v>
      </c>
      <c r="H61" s="18" t="s">
        <v>98</v>
      </c>
      <c r="I61" s="17" t="s">
        <v>15805</v>
      </c>
      <c r="J61" s="17">
        <v>1</v>
      </c>
      <c r="K61" s="17">
        <v>0</v>
      </c>
      <c r="L61" s="17" t="s">
        <v>15806</v>
      </c>
      <c r="M61" s="19" t="s">
        <v>101</v>
      </c>
      <c r="N61" s="17" t="s">
        <v>15807</v>
      </c>
      <c r="O61" s="17" t="s">
        <v>15808</v>
      </c>
      <c r="P61" s="17" t="str">
        <f>HYPERLINK("https://dexscreener.com/solana/3HYx6a9whu5a4dnzE62WNXg46MrEmu9LFxutR2YBpump", "View")</f>
        <v>View</v>
      </c>
    </row>
    <row r="62" spans="1:16" x14ac:dyDescent="0.25">
      <c r="A62" s="13" t="s">
        <v>367</v>
      </c>
      <c r="B62" s="14">
        <v>60800</v>
      </c>
      <c r="C62" s="14">
        <v>0</v>
      </c>
      <c r="D62" s="14" t="s">
        <v>532</v>
      </c>
      <c r="E62" s="14" t="s">
        <v>4665</v>
      </c>
      <c r="F62" s="14" t="s">
        <v>96</v>
      </c>
      <c r="G62" s="18" t="s">
        <v>4707</v>
      </c>
      <c r="H62" s="18" t="s">
        <v>98</v>
      </c>
      <c r="I62" s="14" t="s">
        <v>15809</v>
      </c>
      <c r="J62" s="14">
        <v>2</v>
      </c>
      <c r="K62" s="14">
        <v>0</v>
      </c>
      <c r="L62" s="14" t="s">
        <v>15810</v>
      </c>
      <c r="M62" s="19" t="s">
        <v>1752</v>
      </c>
      <c r="N62" s="14" t="s">
        <v>15811</v>
      </c>
      <c r="O62" s="14" t="s">
        <v>372</v>
      </c>
      <c r="P62" s="14" t="str">
        <f>HYPERLINK("https://dexscreener.com/solana/Z5qTBYTgbK9nezJPSLxuJEpEhDimcJKLq9xN6MF2sh1", "View")</f>
        <v>View</v>
      </c>
    </row>
    <row r="63" spans="1:16" x14ac:dyDescent="0.25">
      <c r="A63" s="16" t="s">
        <v>373</v>
      </c>
      <c r="B63" s="17">
        <v>138956</v>
      </c>
      <c r="C63" s="17">
        <v>12075</v>
      </c>
      <c r="D63" s="17" t="s">
        <v>13664</v>
      </c>
      <c r="E63" s="17" t="s">
        <v>5345</v>
      </c>
      <c r="F63" s="17" t="s">
        <v>4459</v>
      </c>
      <c r="G63" s="20" t="s">
        <v>5849</v>
      </c>
      <c r="H63" s="20" t="s">
        <v>15812</v>
      </c>
      <c r="I63" s="17" t="s">
        <v>88</v>
      </c>
      <c r="J63" s="17">
        <v>2</v>
      </c>
      <c r="K63" s="17">
        <v>4</v>
      </c>
      <c r="L63" s="17" t="s">
        <v>15813</v>
      </c>
      <c r="M63" s="17" t="s">
        <v>379</v>
      </c>
      <c r="N63" s="17" t="s">
        <v>15814</v>
      </c>
      <c r="O63" s="17" t="s">
        <v>381</v>
      </c>
      <c r="P63" s="17" t="str">
        <f>HYPERLINK("https://dexscreener.com/solana/Em6JwNZN8U6ixHPAbrquXaMVSHHbYkfhcqVezoEGpump", "View")</f>
        <v>View</v>
      </c>
    </row>
    <row r="64" spans="1:16" x14ac:dyDescent="0.25">
      <c r="A64" s="13" t="s">
        <v>382</v>
      </c>
      <c r="B64" s="14">
        <v>12205</v>
      </c>
      <c r="C64" s="14">
        <v>0</v>
      </c>
      <c r="D64" s="14" t="s">
        <v>8191</v>
      </c>
      <c r="E64" s="14" t="s">
        <v>4396</v>
      </c>
      <c r="F64" s="14" t="s">
        <v>96</v>
      </c>
      <c r="G64" s="18" t="s">
        <v>4739</v>
      </c>
      <c r="H64" s="18" t="s">
        <v>98</v>
      </c>
      <c r="I64" s="14" t="s">
        <v>15815</v>
      </c>
      <c r="J64" s="14">
        <v>1</v>
      </c>
      <c r="K64" s="14">
        <v>0</v>
      </c>
      <c r="L64" s="14" t="s">
        <v>15816</v>
      </c>
      <c r="M64" s="19" t="s">
        <v>101</v>
      </c>
      <c r="N64" s="14" t="s">
        <v>385</v>
      </c>
      <c r="O64" s="14" t="s">
        <v>386</v>
      </c>
      <c r="P64" s="14" t="str">
        <f>HYPERLINK("https://dexscreener.com/solana/3T557L68ZgBvjvuSuNQXcxH9JkJZieSEggdtWDf2pump", "View")</f>
        <v>View</v>
      </c>
    </row>
    <row r="65" spans="1:16" x14ac:dyDescent="0.25">
      <c r="A65" s="16" t="s">
        <v>387</v>
      </c>
      <c r="B65" s="17">
        <v>74640</v>
      </c>
      <c r="C65" s="17">
        <v>0</v>
      </c>
      <c r="D65" s="17" t="s">
        <v>8191</v>
      </c>
      <c r="E65" s="17" t="s">
        <v>4396</v>
      </c>
      <c r="F65" s="17" t="s">
        <v>96</v>
      </c>
      <c r="G65" s="18" t="s">
        <v>4739</v>
      </c>
      <c r="H65" s="18" t="s">
        <v>98</v>
      </c>
      <c r="I65" s="17" t="s">
        <v>15817</v>
      </c>
      <c r="J65" s="17">
        <v>1</v>
      </c>
      <c r="K65" s="17">
        <v>0</v>
      </c>
      <c r="L65" s="17" t="s">
        <v>15818</v>
      </c>
      <c r="M65" s="19" t="s">
        <v>101</v>
      </c>
      <c r="N65" s="17" t="s">
        <v>15819</v>
      </c>
      <c r="O65" s="17" t="s">
        <v>391</v>
      </c>
      <c r="P65" s="17" t="str">
        <f>HYPERLINK("https://dexscreener.com/solana/78ao5qrL3WPJ1u6i6cjQMi4iCzq43YECPyNMT2cpump", "View")</f>
        <v>View</v>
      </c>
    </row>
    <row r="66" spans="1:16" x14ac:dyDescent="0.25">
      <c r="A66" s="13" t="s">
        <v>12486</v>
      </c>
      <c r="B66" s="14">
        <v>61800</v>
      </c>
      <c r="C66" s="14">
        <v>0</v>
      </c>
      <c r="D66" s="14" t="s">
        <v>1281</v>
      </c>
      <c r="E66" s="14" t="s">
        <v>4396</v>
      </c>
      <c r="F66" s="14" t="s">
        <v>96</v>
      </c>
      <c r="G66" s="18" t="s">
        <v>4739</v>
      </c>
      <c r="H66" s="18" t="s">
        <v>98</v>
      </c>
      <c r="I66" s="14" t="s">
        <v>15820</v>
      </c>
      <c r="J66" s="14">
        <v>1</v>
      </c>
      <c r="K66" s="14">
        <v>0</v>
      </c>
      <c r="L66" s="14" t="s">
        <v>15821</v>
      </c>
      <c r="M66" s="19" t="s">
        <v>101</v>
      </c>
      <c r="N66" s="14" t="s">
        <v>15822</v>
      </c>
      <c r="O66" s="14" t="s">
        <v>12490</v>
      </c>
      <c r="P66" s="14" t="str">
        <f>HYPERLINK("https://dexscreener.com/solana/CMbaYsNcMftko87CMuTNGezNMz3iwpYijGYLuSdLpump", "View")</f>
        <v>View</v>
      </c>
    </row>
    <row r="67" spans="1:16" x14ac:dyDescent="0.25">
      <c r="A67" s="16" t="s">
        <v>15823</v>
      </c>
      <c r="B67" s="17">
        <v>289635</v>
      </c>
      <c r="C67" s="17">
        <v>0</v>
      </c>
      <c r="D67" s="17" t="s">
        <v>1281</v>
      </c>
      <c r="E67" s="17" t="s">
        <v>5058</v>
      </c>
      <c r="F67" s="17" t="s">
        <v>96</v>
      </c>
      <c r="G67" s="18" t="s">
        <v>1445</v>
      </c>
      <c r="H67" s="18" t="s">
        <v>98</v>
      </c>
      <c r="I67" s="17" t="s">
        <v>15824</v>
      </c>
      <c r="J67" s="17">
        <v>1</v>
      </c>
      <c r="K67" s="17">
        <v>0</v>
      </c>
      <c r="L67" s="17" t="s">
        <v>15825</v>
      </c>
      <c r="M67" s="19" t="s">
        <v>101</v>
      </c>
      <c r="N67" s="17" t="s">
        <v>15826</v>
      </c>
      <c r="O67" s="17" t="s">
        <v>15827</v>
      </c>
      <c r="P67" s="17" t="str">
        <f>HYPERLINK("https://dexscreener.com/solana/BT9Uimd7a6F7ezdBRVv9VveCCRrRCEpAYdPnAdZQngg2", "View")</f>
        <v>View</v>
      </c>
    </row>
    <row r="68" spans="1:16" x14ac:dyDescent="0.25">
      <c r="A68" s="13" t="s">
        <v>15828</v>
      </c>
      <c r="B68" s="14">
        <v>582677</v>
      </c>
      <c r="C68" s="14">
        <v>58209</v>
      </c>
      <c r="D68" s="14" t="s">
        <v>1890</v>
      </c>
      <c r="E68" s="14" t="s">
        <v>4396</v>
      </c>
      <c r="F68" s="14" t="s">
        <v>5675</v>
      </c>
      <c r="G68" s="22" t="s">
        <v>1970</v>
      </c>
      <c r="H68" s="22" t="s">
        <v>7739</v>
      </c>
      <c r="I68" s="14" t="s">
        <v>88</v>
      </c>
      <c r="J68" s="14">
        <v>1</v>
      </c>
      <c r="K68" s="14">
        <v>1</v>
      </c>
      <c r="L68" s="14" t="s">
        <v>15829</v>
      </c>
      <c r="M68" s="14" t="s">
        <v>2617</v>
      </c>
      <c r="N68" s="14" t="s">
        <v>15830</v>
      </c>
      <c r="O68" s="14" t="s">
        <v>15831</v>
      </c>
      <c r="P68" s="14" t="str">
        <f>HYPERLINK("https://dexscreener.com/solana/CLLNTfuCHWAfRzo7utGPcZ6qjcwkDrSVyPVywCUSpump", "View")</f>
        <v>View</v>
      </c>
    </row>
    <row r="69" spans="1:16" x14ac:dyDescent="0.25">
      <c r="A69" s="16" t="s">
        <v>417</v>
      </c>
      <c r="B69" s="17">
        <v>88874</v>
      </c>
      <c r="C69" s="17">
        <v>0</v>
      </c>
      <c r="D69" s="17" t="s">
        <v>15752</v>
      </c>
      <c r="E69" s="17" t="s">
        <v>4396</v>
      </c>
      <c r="F69" s="17" t="s">
        <v>96</v>
      </c>
      <c r="G69" s="18" t="s">
        <v>2135</v>
      </c>
      <c r="H69" s="18" t="s">
        <v>98</v>
      </c>
      <c r="I69" s="17" t="s">
        <v>15832</v>
      </c>
      <c r="J69" s="17">
        <v>1</v>
      </c>
      <c r="K69" s="17">
        <v>0</v>
      </c>
      <c r="L69" s="17" t="s">
        <v>15833</v>
      </c>
      <c r="M69" s="19" t="s">
        <v>101</v>
      </c>
      <c r="N69" s="17" t="s">
        <v>15834</v>
      </c>
      <c r="O69" s="17" t="s">
        <v>421</v>
      </c>
      <c r="P69" s="17" t="str">
        <f>HYPERLINK("https://dexscreener.com/solana/9xd4wMjJfYswbAKTe8HoQBSepD3XaeyShVjjh6C9pump", "View")</f>
        <v>View</v>
      </c>
    </row>
    <row r="70" spans="1:16" x14ac:dyDescent="0.25">
      <c r="A70" s="13" t="s">
        <v>422</v>
      </c>
      <c r="B70" s="14">
        <v>99504</v>
      </c>
      <c r="C70" s="14">
        <v>0</v>
      </c>
      <c r="D70" s="14" t="s">
        <v>8191</v>
      </c>
      <c r="E70" s="14" t="s">
        <v>5919</v>
      </c>
      <c r="F70" s="14" t="s">
        <v>96</v>
      </c>
      <c r="G70" s="18" t="s">
        <v>3885</v>
      </c>
      <c r="H70" s="18" t="s">
        <v>98</v>
      </c>
      <c r="I70" s="14" t="s">
        <v>15835</v>
      </c>
      <c r="J70" s="14">
        <v>1</v>
      </c>
      <c r="K70" s="14">
        <v>0</v>
      </c>
      <c r="L70" s="14" t="s">
        <v>15836</v>
      </c>
      <c r="M70" s="19" t="s">
        <v>101</v>
      </c>
      <c r="N70" s="14" t="s">
        <v>6240</v>
      </c>
      <c r="O70" s="14" t="s">
        <v>426</v>
      </c>
      <c r="P70" s="14" t="str">
        <f>HYPERLINK("https://dexscreener.com/solana/GrzonDhpbD1Sr2qfmAbxcBPhwPMEkNRsDmXxkL9rpump", "View")</f>
        <v>View</v>
      </c>
    </row>
    <row r="71" spans="1:16" x14ac:dyDescent="0.25">
      <c r="A71" s="16" t="s">
        <v>427</v>
      </c>
      <c r="B71" s="17">
        <v>183219</v>
      </c>
      <c r="C71" s="17">
        <v>0</v>
      </c>
      <c r="D71" s="17" t="s">
        <v>8191</v>
      </c>
      <c r="E71" s="17" t="s">
        <v>3309</v>
      </c>
      <c r="F71" s="17" t="s">
        <v>96</v>
      </c>
      <c r="G71" s="18" t="s">
        <v>4681</v>
      </c>
      <c r="H71" s="18" t="s">
        <v>98</v>
      </c>
      <c r="I71" s="17" t="s">
        <v>15837</v>
      </c>
      <c r="J71" s="17">
        <v>1</v>
      </c>
      <c r="K71" s="17">
        <v>0</v>
      </c>
      <c r="L71" s="17" t="s">
        <v>15838</v>
      </c>
      <c r="M71" s="19" t="s">
        <v>101</v>
      </c>
      <c r="N71" s="17" t="s">
        <v>5105</v>
      </c>
      <c r="O71" s="17" t="s">
        <v>433</v>
      </c>
      <c r="P71" s="17" t="str">
        <f>HYPERLINK("https://photon-sol.tinyastro.io/en/lp/CB2mBo5sK2vBUWRRF9WCjxaGpB44AYn4Eeeb82Nbpump?handle=676050794bc1b1657a56b", "View")</f>
        <v>View</v>
      </c>
    </row>
    <row r="72" spans="1:16" x14ac:dyDescent="0.25">
      <c r="A72" s="13" t="s">
        <v>434</v>
      </c>
      <c r="B72" s="14">
        <v>76877</v>
      </c>
      <c r="C72" s="14">
        <v>0</v>
      </c>
      <c r="D72" s="14" t="s">
        <v>8191</v>
      </c>
      <c r="E72" s="14" t="s">
        <v>5919</v>
      </c>
      <c r="F72" s="14" t="s">
        <v>96</v>
      </c>
      <c r="G72" s="18" t="s">
        <v>3885</v>
      </c>
      <c r="H72" s="18" t="s">
        <v>98</v>
      </c>
      <c r="I72" s="14" t="s">
        <v>15839</v>
      </c>
      <c r="J72" s="14">
        <v>1</v>
      </c>
      <c r="K72" s="14">
        <v>0</v>
      </c>
      <c r="L72" s="14" t="s">
        <v>15840</v>
      </c>
      <c r="M72" s="19" t="s">
        <v>101</v>
      </c>
      <c r="N72" s="14" t="s">
        <v>15841</v>
      </c>
      <c r="O72" s="14" t="s">
        <v>438</v>
      </c>
      <c r="P72" s="14" t="str">
        <f>HYPERLINK("https://dexscreener.com/solana/AjXCV2HfwXEg7VprYysVGFCmJh7DACEzZXDPjjM2pump", "View")</f>
        <v>View</v>
      </c>
    </row>
    <row r="73" spans="1:16" x14ac:dyDescent="0.25">
      <c r="A73" s="16" t="s">
        <v>439</v>
      </c>
      <c r="B73" s="17">
        <v>45024</v>
      </c>
      <c r="C73" s="17">
        <v>0</v>
      </c>
      <c r="D73" s="17" t="s">
        <v>8191</v>
      </c>
      <c r="E73" s="17" t="s">
        <v>5919</v>
      </c>
      <c r="F73" s="17" t="s">
        <v>96</v>
      </c>
      <c r="G73" s="18" t="s">
        <v>3885</v>
      </c>
      <c r="H73" s="18" t="s">
        <v>98</v>
      </c>
      <c r="I73" s="17" t="s">
        <v>15842</v>
      </c>
      <c r="J73" s="17">
        <v>1</v>
      </c>
      <c r="K73" s="17">
        <v>0</v>
      </c>
      <c r="L73" s="17" t="s">
        <v>15843</v>
      </c>
      <c r="M73" s="19" t="s">
        <v>101</v>
      </c>
      <c r="N73" s="17" t="s">
        <v>15844</v>
      </c>
      <c r="O73" s="17" t="s">
        <v>443</v>
      </c>
      <c r="P73" s="17" t="str">
        <f>HYPERLINK("https://dexscreener.com/solana/AaPGxxVzExCq8bDQSuVFLAjDPxNqdu1ntx1Sxfqnpump", "View")</f>
        <v>View</v>
      </c>
    </row>
    <row r="74" spans="1:16" x14ac:dyDescent="0.25">
      <c r="A74" s="13" t="s">
        <v>444</v>
      </c>
      <c r="B74" s="14">
        <v>25458</v>
      </c>
      <c r="C74" s="14">
        <v>23473</v>
      </c>
      <c r="D74" s="14" t="s">
        <v>15845</v>
      </c>
      <c r="E74" s="14" t="s">
        <v>1884</v>
      </c>
      <c r="F74" s="14" t="s">
        <v>11448</v>
      </c>
      <c r="G74" s="21" t="s">
        <v>11161</v>
      </c>
      <c r="H74" s="21" t="s">
        <v>15846</v>
      </c>
      <c r="I74" s="14" t="s">
        <v>88</v>
      </c>
      <c r="J74" s="14">
        <v>2</v>
      </c>
      <c r="K74" s="14">
        <v>27</v>
      </c>
      <c r="L74" s="14" t="s">
        <v>15847</v>
      </c>
      <c r="M74" s="14" t="s">
        <v>150</v>
      </c>
      <c r="N74" s="14" t="s">
        <v>15848</v>
      </c>
      <c r="O74" s="14" t="s">
        <v>452</v>
      </c>
      <c r="P74" s="14" t="str">
        <f>HYPERLINK("https://dexscreener.com/solana/BfdVHnbt9LSNAFCZU9kvTjbrH3jX78sv2siLKGQ7pump", "View")</f>
        <v>View</v>
      </c>
    </row>
    <row r="75" spans="1:16" x14ac:dyDescent="0.25">
      <c r="A75" s="16" t="s">
        <v>453</v>
      </c>
      <c r="B75" s="17">
        <v>42101</v>
      </c>
      <c r="C75" s="17">
        <v>4206</v>
      </c>
      <c r="D75" s="17" t="s">
        <v>7886</v>
      </c>
      <c r="E75" s="17" t="s">
        <v>5919</v>
      </c>
      <c r="F75" s="17" t="s">
        <v>4667</v>
      </c>
      <c r="G75" s="15" t="s">
        <v>9389</v>
      </c>
      <c r="H75" s="15" t="s">
        <v>15849</v>
      </c>
      <c r="I75" s="17" t="s">
        <v>88</v>
      </c>
      <c r="J75" s="17">
        <v>1</v>
      </c>
      <c r="K75" s="17">
        <v>1</v>
      </c>
      <c r="L75" s="17" t="s">
        <v>15850</v>
      </c>
      <c r="M75" s="17" t="s">
        <v>117</v>
      </c>
      <c r="N75" s="17" t="s">
        <v>15851</v>
      </c>
      <c r="O75" s="17" t="s">
        <v>459</v>
      </c>
      <c r="P75" s="17" t="str">
        <f>HYPERLINK("https://dexscreener.com/solana/CEcpiwnZNAyoP8nDS3pAEijtBEjC1RLa5xe3dZDEpump", "View")</f>
        <v>View</v>
      </c>
    </row>
    <row r="76" spans="1:16" x14ac:dyDescent="0.25">
      <c r="A76" s="13" t="s">
        <v>460</v>
      </c>
      <c r="B76" s="14">
        <v>19089</v>
      </c>
      <c r="C76" s="14">
        <v>9827</v>
      </c>
      <c r="D76" s="14" t="s">
        <v>15770</v>
      </c>
      <c r="E76" s="14" t="s">
        <v>4396</v>
      </c>
      <c r="F76" s="14" t="s">
        <v>5018</v>
      </c>
      <c r="G76" s="20" t="s">
        <v>3885</v>
      </c>
      <c r="H76" s="20" t="s">
        <v>15852</v>
      </c>
      <c r="I76" s="14" t="s">
        <v>88</v>
      </c>
      <c r="J76" s="14">
        <v>2</v>
      </c>
      <c r="K76" s="14">
        <v>2</v>
      </c>
      <c r="L76" s="14" t="s">
        <v>15853</v>
      </c>
      <c r="M76" s="14" t="s">
        <v>179</v>
      </c>
      <c r="N76" s="14" t="s">
        <v>15854</v>
      </c>
      <c r="O76" s="14" t="s">
        <v>467</v>
      </c>
      <c r="P76" s="14" t="str">
        <f>HYPERLINK("https://dexscreener.com/solana/p2niQeJVj2vnevYnheBWujVyfzzGURpBTjap3gipump", "View")</f>
        <v>View</v>
      </c>
    </row>
    <row r="77" spans="1:16" x14ac:dyDescent="0.25">
      <c r="A77" s="16" t="s">
        <v>482</v>
      </c>
      <c r="B77" s="17">
        <v>129210</v>
      </c>
      <c r="C77" s="17">
        <v>24527</v>
      </c>
      <c r="D77" s="17" t="s">
        <v>15855</v>
      </c>
      <c r="E77" s="17" t="s">
        <v>5919</v>
      </c>
      <c r="F77" s="17" t="s">
        <v>4989</v>
      </c>
      <c r="G77" s="22" t="s">
        <v>3765</v>
      </c>
      <c r="H77" s="22" t="s">
        <v>15856</v>
      </c>
      <c r="I77" s="17" t="s">
        <v>88</v>
      </c>
      <c r="J77" s="17">
        <v>1</v>
      </c>
      <c r="K77" s="17">
        <v>2</v>
      </c>
      <c r="L77" s="17" t="s">
        <v>15857</v>
      </c>
      <c r="M77" s="17" t="s">
        <v>160</v>
      </c>
      <c r="N77" s="17" t="s">
        <v>15858</v>
      </c>
      <c r="O77" s="17" t="s">
        <v>490</v>
      </c>
      <c r="P77" s="17" t="str">
        <f>HYPERLINK("https://dexscreener.com/solana/69G8CpUVZAxbPMiEBrfCCCH445NwFxH6PzVL693Xpump", "View")</f>
        <v>View</v>
      </c>
    </row>
    <row r="78" spans="1:16" x14ac:dyDescent="0.25">
      <c r="A78" s="13" t="s">
        <v>491</v>
      </c>
      <c r="B78" s="14">
        <v>12662</v>
      </c>
      <c r="C78" s="14">
        <v>0</v>
      </c>
      <c r="D78" s="14" t="s">
        <v>8191</v>
      </c>
      <c r="E78" s="14" t="s">
        <v>5919</v>
      </c>
      <c r="F78" s="14" t="s">
        <v>96</v>
      </c>
      <c r="G78" s="18" t="s">
        <v>3885</v>
      </c>
      <c r="H78" s="18" t="s">
        <v>98</v>
      </c>
      <c r="I78" s="14" t="s">
        <v>15859</v>
      </c>
      <c r="J78" s="14">
        <v>1</v>
      </c>
      <c r="K78" s="14">
        <v>0</v>
      </c>
      <c r="L78" s="14" t="s">
        <v>15860</v>
      </c>
      <c r="M78" s="19" t="s">
        <v>101</v>
      </c>
      <c r="N78" s="14" t="s">
        <v>15861</v>
      </c>
      <c r="O78" s="14" t="s">
        <v>496</v>
      </c>
      <c r="P78" s="14" t="str">
        <f>HYPERLINK("https://dexscreener.com/solana/E9cw2Xx3j23JnnmBZNFinTkmnFC7ch1xB4zJ8QPapump", "View")</f>
        <v>View</v>
      </c>
    </row>
    <row r="79" spans="1:16" x14ac:dyDescent="0.25">
      <c r="A79" s="16" t="s">
        <v>497</v>
      </c>
      <c r="B79" s="17">
        <v>21406</v>
      </c>
      <c r="C79" s="17">
        <v>0</v>
      </c>
      <c r="D79" s="17" t="s">
        <v>8191</v>
      </c>
      <c r="E79" s="17" t="s">
        <v>5919</v>
      </c>
      <c r="F79" s="17" t="s">
        <v>96</v>
      </c>
      <c r="G79" s="18" t="s">
        <v>3885</v>
      </c>
      <c r="H79" s="18" t="s">
        <v>98</v>
      </c>
      <c r="I79" s="17" t="s">
        <v>15862</v>
      </c>
      <c r="J79" s="17">
        <v>1</v>
      </c>
      <c r="K79" s="17">
        <v>0</v>
      </c>
      <c r="L79" s="17" t="s">
        <v>15863</v>
      </c>
      <c r="M79" s="19" t="s">
        <v>101</v>
      </c>
      <c r="N79" s="17" t="s">
        <v>15864</v>
      </c>
      <c r="O79" s="17" t="s">
        <v>501</v>
      </c>
      <c r="P79" s="17" t="str">
        <f>HYPERLINK("https://dexscreener.com/solana/7xn2T1x7xw5quHmzy2YvFWyFUNwp75fsw5bxiXGRpump", "View")</f>
        <v>View</v>
      </c>
    </row>
    <row r="80" spans="1:16" x14ac:dyDescent="0.25">
      <c r="A80" s="13" t="s">
        <v>509</v>
      </c>
      <c r="B80" s="14">
        <v>31807</v>
      </c>
      <c r="C80" s="14">
        <v>0</v>
      </c>
      <c r="D80" s="14" t="s">
        <v>8191</v>
      </c>
      <c r="E80" s="14" t="s">
        <v>5919</v>
      </c>
      <c r="F80" s="14" t="s">
        <v>96</v>
      </c>
      <c r="G80" s="18" t="s">
        <v>3885</v>
      </c>
      <c r="H80" s="18" t="s">
        <v>98</v>
      </c>
      <c r="I80" s="14" t="s">
        <v>15865</v>
      </c>
      <c r="J80" s="14">
        <v>1</v>
      </c>
      <c r="K80" s="14">
        <v>0</v>
      </c>
      <c r="L80" s="14" t="s">
        <v>15866</v>
      </c>
      <c r="M80" s="19" t="s">
        <v>101</v>
      </c>
      <c r="N80" s="14" t="s">
        <v>15867</v>
      </c>
      <c r="O80" s="14" t="s">
        <v>513</v>
      </c>
      <c r="P80" s="14" t="str">
        <f>HYPERLINK("https://dexscreener.com/solana/3AYy1ZyfUbxhpAX5DRT6ss2u68TMSE8vqmAFXSPnpump", "View")</f>
        <v>View</v>
      </c>
    </row>
    <row r="81" spans="1:16" x14ac:dyDescent="0.25">
      <c r="A81" s="16" t="s">
        <v>14393</v>
      </c>
      <c r="B81" s="17">
        <v>59705</v>
      </c>
      <c r="C81" s="17">
        <v>0</v>
      </c>
      <c r="D81" s="17" t="s">
        <v>10517</v>
      </c>
      <c r="E81" s="17" t="s">
        <v>4396</v>
      </c>
      <c r="F81" s="17" t="s">
        <v>96</v>
      </c>
      <c r="G81" s="18" t="s">
        <v>15868</v>
      </c>
      <c r="H81" s="18" t="s">
        <v>98</v>
      </c>
      <c r="I81" s="17" t="s">
        <v>15869</v>
      </c>
      <c r="J81" s="17">
        <v>1</v>
      </c>
      <c r="K81" s="17">
        <v>0</v>
      </c>
      <c r="L81" s="17" t="s">
        <v>15870</v>
      </c>
      <c r="M81" s="19" t="s">
        <v>101</v>
      </c>
      <c r="N81" s="17" t="s">
        <v>15871</v>
      </c>
      <c r="O81" s="17" t="s">
        <v>14398</v>
      </c>
      <c r="P81" s="17" t="str">
        <f>HYPERLINK("https://dexscreener.com/solana/9J7WDmBYY7ikgLi1mo6utpEPo5WEhkQsCxTvDPfnpump", "View")</f>
        <v>View</v>
      </c>
    </row>
    <row r="82" spans="1:16" x14ac:dyDescent="0.25">
      <c r="A82" s="13" t="s">
        <v>15872</v>
      </c>
      <c r="B82" s="14">
        <v>390950</v>
      </c>
      <c r="C82" s="14">
        <v>0</v>
      </c>
      <c r="D82" s="14" t="s">
        <v>1281</v>
      </c>
      <c r="E82" s="14" t="s">
        <v>4396</v>
      </c>
      <c r="F82" s="14" t="s">
        <v>96</v>
      </c>
      <c r="G82" s="18" t="s">
        <v>4739</v>
      </c>
      <c r="H82" s="18" t="s">
        <v>98</v>
      </c>
      <c r="I82" s="14" t="s">
        <v>15873</v>
      </c>
      <c r="J82" s="14">
        <v>1</v>
      </c>
      <c r="K82" s="14">
        <v>0</v>
      </c>
      <c r="L82" s="14" t="s">
        <v>15874</v>
      </c>
      <c r="M82" s="19" t="s">
        <v>101</v>
      </c>
      <c r="N82" s="14" t="s">
        <v>15875</v>
      </c>
      <c r="O82" s="14" t="s">
        <v>15876</v>
      </c>
      <c r="P82" s="14" t="str">
        <f>HYPERLINK("https://dexscreener.com/solana/H1zYEdUuLfDxCw5pnUdp7UhmquFWNAeNiToNiTirpump", "View")</f>
        <v>View</v>
      </c>
    </row>
    <row r="83" spans="1:16" x14ac:dyDescent="0.25">
      <c r="A83" s="16" t="s">
        <v>6711</v>
      </c>
      <c r="B83" s="17">
        <v>9330</v>
      </c>
      <c r="C83" s="17">
        <v>4665</v>
      </c>
      <c r="D83" s="17" t="s">
        <v>15877</v>
      </c>
      <c r="E83" s="17" t="s">
        <v>4396</v>
      </c>
      <c r="F83" s="17" t="s">
        <v>5140</v>
      </c>
      <c r="G83" s="20" t="s">
        <v>3652</v>
      </c>
      <c r="H83" s="20" t="s">
        <v>15878</v>
      </c>
      <c r="I83" s="17" t="s">
        <v>88</v>
      </c>
      <c r="J83" s="17">
        <v>1</v>
      </c>
      <c r="K83" s="17">
        <v>1</v>
      </c>
      <c r="L83" s="17" t="s">
        <v>15879</v>
      </c>
      <c r="M83" s="17" t="s">
        <v>602</v>
      </c>
      <c r="N83" s="17" t="s">
        <v>15880</v>
      </c>
      <c r="O83" s="17" t="s">
        <v>6717</v>
      </c>
      <c r="P83" s="17" t="str">
        <f>HYPERLINK("https://dexscreener.com/solana/321tt4d8ZCGAdUB9PdB2cMtEL3uaJV4MaCzY2pTQpump", "View")</f>
        <v>View</v>
      </c>
    </row>
    <row r="84" spans="1:16" x14ac:dyDescent="0.25">
      <c r="A84" s="13" t="s">
        <v>15881</v>
      </c>
      <c r="B84" s="14">
        <v>196620</v>
      </c>
      <c r="C84" s="14">
        <v>196620</v>
      </c>
      <c r="D84" s="14" t="s">
        <v>7975</v>
      </c>
      <c r="E84" s="14" t="s">
        <v>4396</v>
      </c>
      <c r="F84" s="14" t="s">
        <v>12237</v>
      </c>
      <c r="G84" s="15" t="s">
        <v>3496</v>
      </c>
      <c r="H84" s="15" t="s">
        <v>15882</v>
      </c>
      <c r="I84" s="14" t="s">
        <v>88</v>
      </c>
      <c r="J84" s="14">
        <v>1</v>
      </c>
      <c r="K84" s="14">
        <v>1</v>
      </c>
      <c r="L84" s="14" t="s">
        <v>15883</v>
      </c>
      <c r="M84" s="14" t="s">
        <v>179</v>
      </c>
      <c r="N84" s="14" t="s">
        <v>15884</v>
      </c>
      <c r="O84" s="14" t="s">
        <v>15885</v>
      </c>
      <c r="P84" s="14" t="str">
        <f>HYPERLINK("https://dexscreener.com/solana/5v5LQ5yUwq7fCemBthZsSWEanPFV1u7gnvSfHndxpump", "View")</f>
        <v>View</v>
      </c>
    </row>
    <row r="85" spans="1:16" x14ac:dyDescent="0.25">
      <c r="A85" s="16" t="s">
        <v>9575</v>
      </c>
      <c r="B85" s="17">
        <v>5107</v>
      </c>
      <c r="C85" s="17">
        <v>3039</v>
      </c>
      <c r="D85" s="17" t="s">
        <v>15886</v>
      </c>
      <c r="E85" s="17" t="s">
        <v>5346</v>
      </c>
      <c r="F85" s="17" t="s">
        <v>3320</v>
      </c>
      <c r="G85" s="21" t="s">
        <v>3531</v>
      </c>
      <c r="H85" s="21" t="s">
        <v>15887</v>
      </c>
      <c r="I85" s="17" t="s">
        <v>88</v>
      </c>
      <c r="J85" s="17">
        <v>1</v>
      </c>
      <c r="K85" s="17">
        <v>3</v>
      </c>
      <c r="L85" s="17" t="s">
        <v>15888</v>
      </c>
      <c r="M85" s="17" t="s">
        <v>179</v>
      </c>
      <c r="N85" s="17" t="s">
        <v>15889</v>
      </c>
      <c r="O85" s="17" t="s">
        <v>9582</v>
      </c>
      <c r="P85" s="17" t="str">
        <f>HYPERLINK("https://dexscreener.com/solana/6MAWnfagDCzqmHQh88FVt9F1zzLqXpwGJpaL7zUTpump", "View")</f>
        <v>View</v>
      </c>
    </row>
    <row r="86" spans="1:16" x14ac:dyDescent="0.25">
      <c r="A86" s="13" t="s">
        <v>9583</v>
      </c>
      <c r="B86" s="14">
        <v>4193</v>
      </c>
      <c r="C86" s="14">
        <v>4193</v>
      </c>
      <c r="D86" s="14" t="s">
        <v>8762</v>
      </c>
      <c r="E86" s="14" t="s">
        <v>5346</v>
      </c>
      <c r="F86" s="14" t="s">
        <v>2443</v>
      </c>
      <c r="G86" s="21" t="s">
        <v>15890</v>
      </c>
      <c r="H86" s="21" t="s">
        <v>15891</v>
      </c>
      <c r="I86" s="14" t="s">
        <v>88</v>
      </c>
      <c r="J86" s="14">
        <v>1</v>
      </c>
      <c r="K86" s="14">
        <v>3</v>
      </c>
      <c r="L86" s="14" t="s">
        <v>15892</v>
      </c>
      <c r="M86" s="14" t="s">
        <v>132</v>
      </c>
      <c r="N86" s="14" t="s">
        <v>305</v>
      </c>
      <c r="O86" s="14" t="s">
        <v>9588</v>
      </c>
      <c r="P86" s="14" t="str">
        <f>HYPERLINK("https://dexscreener.com/solana/Gu3LDkn7Vx3bmCzLafYNKcDxv2mH7YN44NJZFXnypump", "View")</f>
        <v>View</v>
      </c>
    </row>
    <row r="87" spans="1:16" x14ac:dyDescent="0.25">
      <c r="A87" s="16" t="s">
        <v>15893</v>
      </c>
      <c r="B87" s="17">
        <v>41305</v>
      </c>
      <c r="C87" s="17">
        <v>0</v>
      </c>
      <c r="D87" s="17" t="s">
        <v>10517</v>
      </c>
      <c r="E87" s="17" t="s">
        <v>5346</v>
      </c>
      <c r="F87" s="17" t="s">
        <v>96</v>
      </c>
      <c r="G87" s="18" t="s">
        <v>11304</v>
      </c>
      <c r="H87" s="18" t="s">
        <v>98</v>
      </c>
      <c r="I87" s="17" t="s">
        <v>15894</v>
      </c>
      <c r="J87" s="17">
        <v>1</v>
      </c>
      <c r="K87" s="17">
        <v>0</v>
      </c>
      <c r="L87" s="17" t="s">
        <v>15895</v>
      </c>
      <c r="M87" s="19" t="s">
        <v>101</v>
      </c>
      <c r="N87" s="17" t="s">
        <v>15896</v>
      </c>
      <c r="O87" s="17" t="s">
        <v>15897</v>
      </c>
      <c r="P87" s="17" t="str">
        <f>HYPERLINK("https://dexscreener.com/solana/9rLGTvxXEhhdyZtJA34pFV21oZhsi3MRho9hv54vpump", "View")</f>
        <v>View</v>
      </c>
    </row>
    <row r="88" spans="1:16" x14ac:dyDescent="0.25">
      <c r="A88" s="13" t="s">
        <v>584</v>
      </c>
      <c r="B88" s="14">
        <v>44935</v>
      </c>
      <c r="C88" s="14">
        <v>0</v>
      </c>
      <c r="D88" s="14" t="s">
        <v>1281</v>
      </c>
      <c r="E88" s="14" t="s">
        <v>5346</v>
      </c>
      <c r="F88" s="14" t="s">
        <v>96</v>
      </c>
      <c r="G88" s="18" t="s">
        <v>3800</v>
      </c>
      <c r="H88" s="18" t="s">
        <v>98</v>
      </c>
      <c r="I88" s="14" t="s">
        <v>15898</v>
      </c>
      <c r="J88" s="14">
        <v>1</v>
      </c>
      <c r="K88" s="14">
        <v>0</v>
      </c>
      <c r="L88" s="14" t="s">
        <v>15899</v>
      </c>
      <c r="M88" s="19" t="s">
        <v>101</v>
      </c>
      <c r="N88" s="14" t="s">
        <v>15900</v>
      </c>
      <c r="O88" s="14" t="s">
        <v>587</v>
      </c>
      <c r="P88" s="14" t="str">
        <f>HYPERLINK("https://dexscreener.com/solana/GTmgCLDPWFyDCAKnxMFqgVSzNk7XV7Q1uZr8xHSSpump", "View")</f>
        <v>View</v>
      </c>
    </row>
    <row r="89" spans="1:16" x14ac:dyDescent="0.25">
      <c r="A89" s="16" t="s">
        <v>624</v>
      </c>
      <c r="B89" s="17">
        <v>48484</v>
      </c>
      <c r="C89" s="17">
        <v>9203</v>
      </c>
      <c r="D89" s="17" t="s">
        <v>4754</v>
      </c>
      <c r="E89" s="17" t="s">
        <v>5346</v>
      </c>
      <c r="F89" s="17" t="s">
        <v>15901</v>
      </c>
      <c r="G89" s="20" t="s">
        <v>3623</v>
      </c>
      <c r="H89" s="20" t="s">
        <v>15902</v>
      </c>
      <c r="I89" s="17" t="s">
        <v>88</v>
      </c>
      <c r="J89" s="17">
        <v>1</v>
      </c>
      <c r="K89" s="17">
        <v>2</v>
      </c>
      <c r="L89" s="17" t="s">
        <v>15903</v>
      </c>
      <c r="M89" s="17" t="s">
        <v>179</v>
      </c>
      <c r="N89" s="17" t="s">
        <v>15904</v>
      </c>
      <c r="O89" s="17" t="s">
        <v>630</v>
      </c>
      <c r="P89" s="17" t="str">
        <f>HYPERLINK("https://dexscreener.com/solana/BJowxCMNHdXzchdKJaVWHUrQAZekpWMqUUgMMHqopump", "View")</f>
        <v>View</v>
      </c>
    </row>
    <row r="90" spans="1:16" x14ac:dyDescent="0.25">
      <c r="A90" s="13" t="s">
        <v>12005</v>
      </c>
      <c r="B90" s="14">
        <v>73133</v>
      </c>
      <c r="C90" s="14">
        <v>0</v>
      </c>
      <c r="D90" s="14" t="s">
        <v>10517</v>
      </c>
      <c r="E90" s="14" t="s">
        <v>5346</v>
      </c>
      <c r="F90" s="14" t="s">
        <v>96</v>
      </c>
      <c r="G90" s="18" t="s">
        <v>11304</v>
      </c>
      <c r="H90" s="18" t="s">
        <v>98</v>
      </c>
      <c r="I90" s="14" t="s">
        <v>15905</v>
      </c>
      <c r="J90" s="14">
        <v>1</v>
      </c>
      <c r="K90" s="14">
        <v>0</v>
      </c>
      <c r="L90" s="14" t="s">
        <v>15906</v>
      </c>
      <c r="M90" s="19" t="s">
        <v>101</v>
      </c>
      <c r="N90" s="14" t="s">
        <v>15776</v>
      </c>
      <c r="O90" s="14" t="s">
        <v>15907</v>
      </c>
      <c r="P90" s="14" t="str">
        <f>HYPERLINK("https://dexscreener.com/solana/CGQXaDugWMhqdF9hFa1wyTPh5imtr9XSjMq31h8jpump", "View")</f>
        <v>View</v>
      </c>
    </row>
    <row r="91" spans="1:16" x14ac:dyDescent="0.25">
      <c r="A91" s="16" t="s">
        <v>651</v>
      </c>
      <c r="B91" s="17">
        <v>3491</v>
      </c>
      <c r="C91" s="17">
        <v>0</v>
      </c>
      <c r="D91" s="17" t="s">
        <v>15752</v>
      </c>
      <c r="E91" s="17" t="s">
        <v>5919</v>
      </c>
      <c r="F91" s="17" t="s">
        <v>96</v>
      </c>
      <c r="G91" s="18" t="s">
        <v>4610</v>
      </c>
      <c r="H91" s="18" t="s">
        <v>98</v>
      </c>
      <c r="I91" s="17" t="s">
        <v>15908</v>
      </c>
      <c r="J91" s="17">
        <v>1</v>
      </c>
      <c r="K91" s="17">
        <v>0</v>
      </c>
      <c r="L91" s="17" t="s">
        <v>15909</v>
      </c>
      <c r="M91" s="19" t="s">
        <v>101</v>
      </c>
      <c r="N91" s="17" t="s">
        <v>15910</v>
      </c>
      <c r="O91" s="17" t="s">
        <v>658</v>
      </c>
      <c r="P91" s="17" t="str">
        <f>HYPERLINK("https://dexscreener.com/solana/4ytpZgVoNB66bFs6NRCUaAVsLdtYk2fHq4U92Jnjpump", "View")</f>
        <v>View</v>
      </c>
    </row>
    <row r="92" spans="1:16" x14ac:dyDescent="0.25">
      <c r="A92" s="13" t="s">
        <v>675</v>
      </c>
      <c r="B92" s="14">
        <v>58257</v>
      </c>
      <c r="C92" s="14">
        <v>58257</v>
      </c>
      <c r="D92" s="14" t="s">
        <v>7886</v>
      </c>
      <c r="E92" s="14" t="s">
        <v>5919</v>
      </c>
      <c r="F92" s="14" t="s">
        <v>6398</v>
      </c>
      <c r="G92" s="20" t="s">
        <v>2863</v>
      </c>
      <c r="H92" s="20" t="s">
        <v>8430</v>
      </c>
      <c r="I92" s="14" t="s">
        <v>88</v>
      </c>
      <c r="J92" s="14">
        <v>1</v>
      </c>
      <c r="K92" s="14">
        <v>1</v>
      </c>
      <c r="L92" s="14" t="s">
        <v>15911</v>
      </c>
      <c r="M92" s="14" t="s">
        <v>680</v>
      </c>
      <c r="N92" s="14" t="s">
        <v>15912</v>
      </c>
      <c r="O92" s="14" t="s">
        <v>682</v>
      </c>
      <c r="P92" s="14" t="str">
        <f>HYPERLINK("https://dexscreener.com/solana/7HiSM2hkmqzhZMLuKtGMWkhvDi2LpMBepWRFYjXXpump", "View")</f>
        <v>View</v>
      </c>
    </row>
    <row r="93" spans="1:16" x14ac:dyDescent="0.25">
      <c r="A93" s="16" t="s">
        <v>709</v>
      </c>
      <c r="B93" s="17">
        <v>7438</v>
      </c>
      <c r="C93" s="17">
        <v>7438</v>
      </c>
      <c r="D93" s="17" t="s">
        <v>7886</v>
      </c>
      <c r="E93" s="17" t="s">
        <v>5919</v>
      </c>
      <c r="F93" s="17" t="s">
        <v>2661</v>
      </c>
      <c r="G93" s="15" t="s">
        <v>4026</v>
      </c>
      <c r="H93" s="15" t="s">
        <v>15913</v>
      </c>
      <c r="I93" s="17" t="s">
        <v>88</v>
      </c>
      <c r="J93" s="17">
        <v>1</v>
      </c>
      <c r="K93" s="17">
        <v>1</v>
      </c>
      <c r="L93" s="17" t="s">
        <v>713</v>
      </c>
      <c r="M93" s="17" t="s">
        <v>117</v>
      </c>
      <c r="N93" s="17" t="s">
        <v>15914</v>
      </c>
      <c r="O93" s="17" t="s">
        <v>715</v>
      </c>
      <c r="P93" s="17" t="str">
        <f>HYPERLINK("https://dexscreener.com/solana/HFw81sUUPBkNF5tKDanV8VCYTfVY4XbrEEPiwzyypump", "View")</f>
        <v>View</v>
      </c>
    </row>
    <row r="94" spans="1:16" x14ac:dyDescent="0.25">
      <c r="A94" s="13" t="s">
        <v>740</v>
      </c>
      <c r="B94" s="14">
        <v>95253</v>
      </c>
      <c r="C94" s="14">
        <v>52376</v>
      </c>
      <c r="D94" s="14" t="s">
        <v>13929</v>
      </c>
      <c r="E94" s="14" t="s">
        <v>5919</v>
      </c>
      <c r="F94" s="14" t="s">
        <v>6111</v>
      </c>
      <c r="G94" s="22" t="s">
        <v>5024</v>
      </c>
      <c r="H94" s="22" t="s">
        <v>3222</v>
      </c>
      <c r="I94" s="14" t="s">
        <v>88</v>
      </c>
      <c r="J94" s="14">
        <v>1</v>
      </c>
      <c r="K94" s="14">
        <v>2</v>
      </c>
      <c r="L94" s="14" t="s">
        <v>15915</v>
      </c>
      <c r="M94" s="14" t="s">
        <v>745</v>
      </c>
      <c r="N94" s="14" t="s">
        <v>15916</v>
      </c>
      <c r="O94" s="14" t="s">
        <v>747</v>
      </c>
      <c r="P94" s="14" t="str">
        <f>HYPERLINK("https://dexscreener.com/solana/BZW215nxTGpbw87TUQJJpABGTBXeXqfjxjDYyrjCpump", "View")</f>
        <v>View</v>
      </c>
    </row>
    <row r="95" spans="1:16" x14ac:dyDescent="0.25">
      <c r="A95" s="16" t="s">
        <v>748</v>
      </c>
      <c r="B95" s="17">
        <v>16686</v>
      </c>
      <c r="C95" s="17">
        <v>16686</v>
      </c>
      <c r="D95" s="17" t="s">
        <v>7886</v>
      </c>
      <c r="E95" s="17" t="s">
        <v>5919</v>
      </c>
      <c r="F95" s="17" t="s">
        <v>5687</v>
      </c>
      <c r="G95" s="20" t="s">
        <v>4032</v>
      </c>
      <c r="H95" s="20" t="s">
        <v>15917</v>
      </c>
      <c r="I95" s="17" t="s">
        <v>88</v>
      </c>
      <c r="J95" s="17">
        <v>1</v>
      </c>
      <c r="K95" s="17">
        <v>1</v>
      </c>
      <c r="L95" s="17" t="s">
        <v>15918</v>
      </c>
      <c r="M95" s="17" t="s">
        <v>680</v>
      </c>
      <c r="N95" s="17" t="s">
        <v>15919</v>
      </c>
      <c r="O95" s="17" t="s">
        <v>754</v>
      </c>
      <c r="P95" s="17" t="str">
        <f>HYPERLINK("https://dexscreener.com/solana/5qmL9rCSfZ7pBYAsaoeG8SP76ZELeRCK8XtMmYZvpump", "View")</f>
        <v>View</v>
      </c>
    </row>
    <row r="96" spans="1:16" x14ac:dyDescent="0.25">
      <c r="A96" s="13" t="s">
        <v>755</v>
      </c>
      <c r="B96" s="14">
        <v>10265</v>
      </c>
      <c r="C96" s="14">
        <v>0</v>
      </c>
      <c r="D96" s="14" t="s">
        <v>15752</v>
      </c>
      <c r="E96" s="14" t="s">
        <v>5919</v>
      </c>
      <c r="F96" s="14" t="s">
        <v>96</v>
      </c>
      <c r="G96" s="18" t="s">
        <v>4610</v>
      </c>
      <c r="H96" s="18" t="s">
        <v>98</v>
      </c>
      <c r="I96" s="14" t="s">
        <v>15920</v>
      </c>
      <c r="J96" s="14">
        <v>1</v>
      </c>
      <c r="K96" s="14">
        <v>0</v>
      </c>
      <c r="L96" s="14" t="s">
        <v>15921</v>
      </c>
      <c r="M96" s="19" t="s">
        <v>101</v>
      </c>
      <c r="N96" s="14" t="s">
        <v>15922</v>
      </c>
      <c r="O96" s="14" t="s">
        <v>759</v>
      </c>
      <c r="P96" s="14" t="str">
        <f>HYPERLINK("https://dexscreener.com/solana/Fmc9g6bL1Y8Szhn3pFqRnoEhaopbJNXHMdcxqHsUpump", "View")</f>
        <v>View</v>
      </c>
    </row>
    <row r="97" spans="1:16" x14ac:dyDescent="0.25">
      <c r="A97" s="16" t="s">
        <v>760</v>
      </c>
      <c r="B97" s="17">
        <v>29937</v>
      </c>
      <c r="C97" s="17">
        <v>0</v>
      </c>
      <c r="D97" s="17" t="s">
        <v>15752</v>
      </c>
      <c r="E97" s="17" t="s">
        <v>5919</v>
      </c>
      <c r="F97" s="17" t="s">
        <v>96</v>
      </c>
      <c r="G97" s="18" t="s">
        <v>4610</v>
      </c>
      <c r="H97" s="18" t="s">
        <v>98</v>
      </c>
      <c r="I97" s="17" t="s">
        <v>15923</v>
      </c>
      <c r="J97" s="17">
        <v>1</v>
      </c>
      <c r="K97" s="17">
        <v>0</v>
      </c>
      <c r="L97" s="17" t="s">
        <v>15924</v>
      </c>
      <c r="M97" s="19" t="s">
        <v>101</v>
      </c>
      <c r="N97" s="17" t="s">
        <v>15925</v>
      </c>
      <c r="O97" s="17" t="s">
        <v>764</v>
      </c>
      <c r="P97" s="17" t="str">
        <f>HYPERLINK("https://dexscreener.com/solana/GZBwGGgmj3PGSkb8qgsLYkJAQexRVrxNKVZG8xYUpump", "View")</f>
        <v>View</v>
      </c>
    </row>
    <row r="98" spans="1:16" x14ac:dyDescent="0.25">
      <c r="A98" s="13" t="s">
        <v>15926</v>
      </c>
      <c r="B98" s="14">
        <v>94921</v>
      </c>
      <c r="C98" s="14">
        <v>0</v>
      </c>
      <c r="D98" s="14" t="s">
        <v>1281</v>
      </c>
      <c r="E98" s="14" t="s">
        <v>5346</v>
      </c>
      <c r="F98" s="14" t="s">
        <v>96</v>
      </c>
      <c r="G98" s="18" t="s">
        <v>3800</v>
      </c>
      <c r="H98" s="18" t="s">
        <v>98</v>
      </c>
      <c r="I98" s="14" t="s">
        <v>15927</v>
      </c>
      <c r="J98" s="14">
        <v>1</v>
      </c>
      <c r="K98" s="14">
        <v>0</v>
      </c>
      <c r="L98" s="14" t="s">
        <v>15928</v>
      </c>
      <c r="M98" s="19" t="s">
        <v>101</v>
      </c>
      <c r="N98" s="14" t="s">
        <v>15929</v>
      </c>
      <c r="O98" s="14" t="s">
        <v>15930</v>
      </c>
      <c r="P98" s="14" t="str">
        <f>HYPERLINK("https://dexscreener.com/solana/4h4mKWJDruzj3EwccJbNcwsnwRAmKqph6uVRmVqqpump", "View")</f>
        <v>View</v>
      </c>
    </row>
    <row r="99" spans="1:16" x14ac:dyDescent="0.25">
      <c r="A99" s="16" t="s">
        <v>777</v>
      </c>
      <c r="B99" s="17">
        <v>23717</v>
      </c>
      <c r="C99" s="17">
        <v>0</v>
      </c>
      <c r="D99" s="17" t="s">
        <v>8191</v>
      </c>
      <c r="E99" s="17" t="s">
        <v>5919</v>
      </c>
      <c r="F99" s="17" t="s">
        <v>96</v>
      </c>
      <c r="G99" s="18" t="s">
        <v>3885</v>
      </c>
      <c r="H99" s="18" t="s">
        <v>98</v>
      </c>
      <c r="I99" s="17" t="s">
        <v>15931</v>
      </c>
      <c r="J99" s="17">
        <v>1</v>
      </c>
      <c r="K99" s="17">
        <v>0</v>
      </c>
      <c r="L99" s="17" t="s">
        <v>15932</v>
      </c>
      <c r="M99" s="19" t="s">
        <v>101</v>
      </c>
      <c r="N99" s="17" t="s">
        <v>15933</v>
      </c>
      <c r="O99" s="17" t="s">
        <v>783</v>
      </c>
      <c r="P99" s="17" t="str">
        <f>HYPERLINK("https://dexscreener.com/solana/ChxbSs4KuqSXMeAb7pa1eLxMgQ9wWybGoS3RLUt6pump", "View")</f>
        <v>View</v>
      </c>
    </row>
    <row r="100" spans="1:16" x14ac:dyDescent="0.25">
      <c r="A100" s="13" t="s">
        <v>777</v>
      </c>
      <c r="B100" s="14">
        <v>60731</v>
      </c>
      <c r="C100" s="14">
        <v>21364</v>
      </c>
      <c r="D100" s="14" t="s">
        <v>15934</v>
      </c>
      <c r="E100" s="14" t="s">
        <v>5919</v>
      </c>
      <c r="F100" s="14" t="s">
        <v>3309</v>
      </c>
      <c r="G100" s="22" t="s">
        <v>1970</v>
      </c>
      <c r="H100" s="22" t="s">
        <v>15935</v>
      </c>
      <c r="I100" s="14" t="s">
        <v>88</v>
      </c>
      <c r="J100" s="14">
        <v>1</v>
      </c>
      <c r="K100" s="14">
        <v>3</v>
      </c>
      <c r="L100" s="14" t="s">
        <v>15936</v>
      </c>
      <c r="M100" s="14" t="s">
        <v>788</v>
      </c>
      <c r="N100" s="14" t="s">
        <v>15937</v>
      </c>
      <c r="O100" s="14" t="s">
        <v>790</v>
      </c>
      <c r="P100" s="14" t="str">
        <f>HYPERLINK("https://dexscreener.com/solana/5Nvo3o9h3WQy1LnLUfPTMuNCSTssi1WaW6ZJ8kuapump", "View")</f>
        <v>View</v>
      </c>
    </row>
    <row r="101" spans="1:16" x14ac:dyDescent="0.25">
      <c r="A101" s="16" t="s">
        <v>796</v>
      </c>
      <c r="B101" s="17">
        <v>181910</v>
      </c>
      <c r="C101" s="17">
        <v>0</v>
      </c>
      <c r="D101" s="17" t="s">
        <v>15752</v>
      </c>
      <c r="E101" s="17" t="s">
        <v>5919</v>
      </c>
      <c r="F101" s="17" t="s">
        <v>96</v>
      </c>
      <c r="G101" s="18" t="s">
        <v>4610</v>
      </c>
      <c r="H101" s="18" t="s">
        <v>98</v>
      </c>
      <c r="I101" s="17" t="s">
        <v>15938</v>
      </c>
      <c r="J101" s="17">
        <v>1</v>
      </c>
      <c r="K101" s="17">
        <v>0</v>
      </c>
      <c r="L101" s="17" t="s">
        <v>15939</v>
      </c>
      <c r="M101" s="19" t="s">
        <v>101</v>
      </c>
      <c r="N101" s="17" t="s">
        <v>15940</v>
      </c>
      <c r="O101" s="17" t="s">
        <v>800</v>
      </c>
      <c r="P101" s="17" t="str">
        <f>HYPERLINK("https://dexscreener.com/solana/J7BVM6GnwFRkbXv9auM6yiKMKCZEqfZJNowEhY3Hpump", "View")</f>
        <v>View</v>
      </c>
    </row>
    <row r="102" spans="1:16" x14ac:dyDescent="0.25">
      <c r="A102" s="13" t="s">
        <v>10189</v>
      </c>
      <c r="B102" s="14">
        <v>20925</v>
      </c>
      <c r="C102" s="14">
        <v>20925</v>
      </c>
      <c r="D102" s="14" t="s">
        <v>15941</v>
      </c>
      <c r="E102" s="14" t="s">
        <v>3060</v>
      </c>
      <c r="F102" s="14" t="s">
        <v>10691</v>
      </c>
      <c r="G102" s="20" t="s">
        <v>15942</v>
      </c>
      <c r="H102" s="20" t="s">
        <v>15943</v>
      </c>
      <c r="I102" s="14" t="s">
        <v>88</v>
      </c>
      <c r="J102" s="14">
        <v>7</v>
      </c>
      <c r="K102" s="14">
        <v>1</v>
      </c>
      <c r="L102" s="14" t="s">
        <v>15944</v>
      </c>
      <c r="M102" s="14" t="s">
        <v>699</v>
      </c>
      <c r="N102" s="14" t="s">
        <v>15945</v>
      </c>
      <c r="O102" s="14" t="s">
        <v>10195</v>
      </c>
      <c r="P102" s="14" t="str">
        <f>HYPERLINK("https://dexscreener.com/solana/3Ei8SaoL4JWZv1XsWePqiAjVtb7QtpJbV2TSuURmpump", "View")</f>
        <v>View</v>
      </c>
    </row>
    <row r="103" spans="1:16" x14ac:dyDescent="0.25">
      <c r="A103" s="16" t="s">
        <v>15946</v>
      </c>
      <c r="B103" s="17">
        <v>17393</v>
      </c>
      <c r="C103" s="17">
        <v>17393</v>
      </c>
      <c r="D103" s="17" t="s">
        <v>532</v>
      </c>
      <c r="E103" s="17" t="s">
        <v>5346</v>
      </c>
      <c r="F103" s="17" t="s">
        <v>5843</v>
      </c>
      <c r="G103" s="15" t="s">
        <v>4904</v>
      </c>
      <c r="H103" s="15" t="s">
        <v>9967</v>
      </c>
      <c r="I103" s="17" t="s">
        <v>88</v>
      </c>
      <c r="J103" s="17">
        <v>1</v>
      </c>
      <c r="K103" s="17">
        <v>1</v>
      </c>
      <c r="L103" s="17" t="s">
        <v>15947</v>
      </c>
      <c r="M103" s="17" t="s">
        <v>160</v>
      </c>
      <c r="N103" s="17" t="s">
        <v>15948</v>
      </c>
      <c r="O103" s="17" t="s">
        <v>15949</v>
      </c>
      <c r="P103" s="17" t="str">
        <f>HYPERLINK("https://dexscreener.com/solana/GWRUv7ptKpsj42PmnZeUoLBLfyx1TzPTx6oAZ6uKpump", "View")</f>
        <v>View</v>
      </c>
    </row>
    <row r="104" spans="1:16" x14ac:dyDescent="0.25">
      <c r="A104" s="13" t="s">
        <v>1514</v>
      </c>
      <c r="B104" s="14">
        <v>35270</v>
      </c>
      <c r="C104" s="14">
        <v>0</v>
      </c>
      <c r="D104" s="14" t="s">
        <v>532</v>
      </c>
      <c r="E104" s="14" t="s">
        <v>15950</v>
      </c>
      <c r="F104" s="14" t="s">
        <v>96</v>
      </c>
      <c r="G104" s="18" t="s">
        <v>11560</v>
      </c>
      <c r="H104" s="18" t="s">
        <v>98</v>
      </c>
      <c r="I104" s="14" t="s">
        <v>15951</v>
      </c>
      <c r="J104" s="14">
        <v>2</v>
      </c>
      <c r="K104" s="14">
        <v>0</v>
      </c>
      <c r="L104" s="14" t="s">
        <v>15952</v>
      </c>
      <c r="M104" s="14" t="s">
        <v>680</v>
      </c>
      <c r="N104" s="14" t="s">
        <v>15953</v>
      </c>
      <c r="O104" s="14" t="s">
        <v>1520</v>
      </c>
      <c r="P104" s="14" t="str">
        <f>HYPERLINK("https://dexscreener.com/solana/VaxZxmFXV8tmsd72hUn22ex6GFzZ5uq9DVJ5wA5pump", "View")</f>
        <v>View</v>
      </c>
    </row>
    <row r="105" spans="1:16" x14ac:dyDescent="0.25">
      <c r="A105" s="16" t="s">
        <v>3669</v>
      </c>
      <c r="B105" s="17">
        <v>256457</v>
      </c>
      <c r="C105" s="17">
        <v>0</v>
      </c>
      <c r="D105" s="17" t="s">
        <v>15752</v>
      </c>
      <c r="E105" s="17" t="s">
        <v>5346</v>
      </c>
      <c r="F105" s="17" t="s">
        <v>96</v>
      </c>
      <c r="G105" s="18" t="s">
        <v>5614</v>
      </c>
      <c r="H105" s="18" t="s">
        <v>98</v>
      </c>
      <c r="I105" s="17" t="s">
        <v>15954</v>
      </c>
      <c r="J105" s="17">
        <v>1</v>
      </c>
      <c r="K105" s="17">
        <v>0</v>
      </c>
      <c r="L105" s="17" t="s">
        <v>15955</v>
      </c>
      <c r="M105" s="19" t="s">
        <v>101</v>
      </c>
      <c r="N105" s="17" t="s">
        <v>15956</v>
      </c>
      <c r="O105" s="17" t="s">
        <v>15957</v>
      </c>
      <c r="P105" s="17" t="str">
        <f>HYPERLINK("https://dexscreener.com/solana/Dx7ov1L9fbALFLdLkuvw9e4f98vSuMMMfPUhXxE6pump", "View")</f>
        <v>View</v>
      </c>
    </row>
    <row r="106" spans="1:16" x14ac:dyDescent="0.25">
      <c r="A106" s="13" t="s">
        <v>15958</v>
      </c>
      <c r="B106" s="14">
        <v>0</v>
      </c>
      <c r="C106" s="14">
        <v>0</v>
      </c>
      <c r="D106" s="14" t="s">
        <v>8191</v>
      </c>
      <c r="E106" s="14" t="s">
        <v>96</v>
      </c>
      <c r="F106" s="14" t="s">
        <v>96</v>
      </c>
      <c r="G106" s="18" t="s">
        <v>4939</v>
      </c>
      <c r="H106" s="18" t="s">
        <v>98</v>
      </c>
      <c r="I106" s="14" t="s">
        <v>43</v>
      </c>
      <c r="J106" s="14">
        <v>1</v>
      </c>
      <c r="K106" s="14">
        <v>0</v>
      </c>
      <c r="L106" s="14" t="s">
        <v>5575</v>
      </c>
      <c r="M106" s="19" t="s">
        <v>101</v>
      </c>
      <c r="N106" s="14" t="s">
        <v>15959</v>
      </c>
      <c r="O106" s="14" t="s">
        <v>15960</v>
      </c>
      <c r="P106" s="14" t="str">
        <f>HYPERLINK("https://dexscreener.com/solana/4NJg5b3YSyj1rapAmyqmJoT3eamQFL1AZFiH4Wfrpump", "View")</f>
        <v>View</v>
      </c>
    </row>
    <row r="107" spans="1:16" x14ac:dyDescent="0.25">
      <c r="A107" s="16" t="s">
        <v>15961</v>
      </c>
      <c r="B107" s="17">
        <v>0</v>
      </c>
      <c r="C107" s="17">
        <v>0</v>
      </c>
      <c r="D107" s="17" t="s">
        <v>15962</v>
      </c>
      <c r="E107" s="17" t="s">
        <v>96</v>
      </c>
      <c r="F107" s="17" t="s">
        <v>96</v>
      </c>
      <c r="G107" s="18" t="s">
        <v>14444</v>
      </c>
      <c r="H107" s="18" t="s">
        <v>15963</v>
      </c>
      <c r="I107" s="17" t="s">
        <v>43</v>
      </c>
      <c r="J107" s="17">
        <v>1</v>
      </c>
      <c r="K107" s="17">
        <v>1</v>
      </c>
      <c r="L107" s="17" t="s">
        <v>15964</v>
      </c>
      <c r="M107" s="17" t="s">
        <v>5061</v>
      </c>
      <c r="N107" s="17" t="s">
        <v>15965</v>
      </c>
      <c r="O107" s="17" t="s">
        <v>15966</v>
      </c>
      <c r="P107" s="17" t="str">
        <f>HYPERLINK("https://dexscreener.com/solana/9MnKTgwFyXJgnZumHGT9NdHuzm98ACjkNwpLniLhpump", "View")</f>
        <v>View</v>
      </c>
    </row>
    <row r="108" spans="1:16" x14ac:dyDescent="0.25">
      <c r="A108" s="13" t="s">
        <v>7988</v>
      </c>
      <c r="B108" s="14">
        <v>29932</v>
      </c>
      <c r="C108" s="14">
        <v>0</v>
      </c>
      <c r="D108" s="14" t="s">
        <v>8469</v>
      </c>
      <c r="E108" s="14" t="s">
        <v>6398</v>
      </c>
      <c r="F108" s="14" t="s">
        <v>96</v>
      </c>
      <c r="G108" s="18" t="s">
        <v>3446</v>
      </c>
      <c r="H108" s="18" t="s">
        <v>98</v>
      </c>
      <c r="I108" s="14" t="s">
        <v>15967</v>
      </c>
      <c r="J108" s="14">
        <v>1</v>
      </c>
      <c r="K108" s="14">
        <v>0</v>
      </c>
      <c r="L108" s="14" t="s">
        <v>15968</v>
      </c>
      <c r="M108" s="19" t="s">
        <v>101</v>
      </c>
      <c r="N108" s="14" t="s">
        <v>15969</v>
      </c>
      <c r="O108" s="14" t="s">
        <v>7994</v>
      </c>
      <c r="P108" s="14" t="str">
        <f>HYPERLINK("https://dexscreener.com/solana/GpLF6vGzZvn2ZPdVxP7m1LTuAndbiKrpAbnFNVSEpump", "View")</f>
        <v>View</v>
      </c>
    </row>
    <row r="109" spans="1:16" x14ac:dyDescent="0.25">
      <c r="A109" s="16" t="s">
        <v>3798</v>
      </c>
      <c r="B109" s="17">
        <v>404025</v>
      </c>
      <c r="C109" s="17">
        <v>404025</v>
      </c>
      <c r="D109" s="17" t="s">
        <v>13323</v>
      </c>
      <c r="E109" s="17" t="s">
        <v>5140</v>
      </c>
      <c r="F109" s="17" t="s">
        <v>5024</v>
      </c>
      <c r="G109" s="15" t="s">
        <v>15970</v>
      </c>
      <c r="H109" s="15" t="s">
        <v>15971</v>
      </c>
      <c r="I109" s="17" t="s">
        <v>88</v>
      </c>
      <c r="J109" s="17">
        <v>1</v>
      </c>
      <c r="K109" s="17">
        <v>1</v>
      </c>
      <c r="L109" s="17" t="s">
        <v>15972</v>
      </c>
      <c r="M109" s="19" t="s">
        <v>2122</v>
      </c>
      <c r="N109" s="17" t="s">
        <v>14600</v>
      </c>
      <c r="O109" s="17" t="s">
        <v>3803</v>
      </c>
      <c r="P109" s="17" t="str">
        <f>HYPERLINK("https://photon-sol.tinyastro.io/en/lp/F87rzEJA3926VhhJ6iQiHqNUJiUoYRbcY9kSvjE3pump?handle=676050794bc1b1657a56b", "View")</f>
        <v>View</v>
      </c>
    </row>
    <row r="110" spans="1:16" x14ac:dyDescent="0.25">
      <c r="A110" s="13" t="s">
        <v>15973</v>
      </c>
      <c r="B110" s="14">
        <v>167062</v>
      </c>
      <c r="C110" s="14">
        <v>167062</v>
      </c>
      <c r="D110" s="14" t="s">
        <v>13323</v>
      </c>
      <c r="E110" s="14" t="s">
        <v>6248</v>
      </c>
      <c r="F110" s="14" t="s">
        <v>15974</v>
      </c>
      <c r="G110" s="15" t="s">
        <v>4373</v>
      </c>
      <c r="H110" s="15" t="s">
        <v>15975</v>
      </c>
      <c r="I110" s="14" t="s">
        <v>88</v>
      </c>
      <c r="J110" s="14">
        <v>1</v>
      </c>
      <c r="K110" s="14">
        <v>1</v>
      </c>
      <c r="L110" s="14" t="s">
        <v>15976</v>
      </c>
      <c r="M110" s="14" t="s">
        <v>602</v>
      </c>
      <c r="N110" s="14" t="s">
        <v>15977</v>
      </c>
      <c r="O110" s="14" t="s">
        <v>15978</v>
      </c>
      <c r="P110" s="14" t="str">
        <f>HYPERLINK("https://photon-sol.tinyastro.io/en/lp/FpMmo9VWStbF6zSHbJowY8LQ1Hfsg71EeZABx7gPpump?handle=676050794bc1b1657a56b", "View")</f>
        <v>View</v>
      </c>
    </row>
    <row r="111" spans="1:16" x14ac:dyDescent="0.25">
      <c r="A111" s="16" t="s">
        <v>15979</v>
      </c>
      <c r="B111" s="17">
        <v>157057</v>
      </c>
      <c r="C111" s="17">
        <v>0</v>
      </c>
      <c r="D111" s="17" t="s">
        <v>8469</v>
      </c>
      <c r="E111" s="17" t="s">
        <v>5680</v>
      </c>
      <c r="F111" s="17" t="s">
        <v>96</v>
      </c>
      <c r="G111" s="18" t="s">
        <v>11304</v>
      </c>
      <c r="H111" s="18" t="s">
        <v>98</v>
      </c>
      <c r="I111" s="17" t="s">
        <v>15980</v>
      </c>
      <c r="J111" s="17">
        <v>1</v>
      </c>
      <c r="K111" s="17">
        <v>0</v>
      </c>
      <c r="L111" s="17" t="s">
        <v>15981</v>
      </c>
      <c r="M111" s="19" t="s">
        <v>101</v>
      </c>
      <c r="N111" s="17" t="s">
        <v>15982</v>
      </c>
      <c r="O111" s="17" t="s">
        <v>15983</v>
      </c>
      <c r="P111" s="17" t="str">
        <f>HYPERLINK("https://photon-sol.tinyastro.io/en/lp/gEYeViaxCmj48fF7rjSRotsRio4rH9fNxvsMtRgpump?handle=676050794bc1b1657a56b", "View")</f>
        <v>View</v>
      </c>
    </row>
    <row r="112" spans="1:16" x14ac:dyDescent="0.25">
      <c r="A112" s="13" t="s">
        <v>15984</v>
      </c>
      <c r="B112" s="14">
        <v>638021</v>
      </c>
      <c r="C112" s="14">
        <v>0</v>
      </c>
      <c r="D112" s="14" t="s">
        <v>8469</v>
      </c>
      <c r="E112" s="14" t="s">
        <v>6180</v>
      </c>
      <c r="F112" s="14" t="s">
        <v>96</v>
      </c>
      <c r="G112" s="18" t="s">
        <v>3023</v>
      </c>
      <c r="H112" s="18" t="s">
        <v>98</v>
      </c>
      <c r="I112" s="14" t="s">
        <v>15985</v>
      </c>
      <c r="J112" s="14">
        <v>1</v>
      </c>
      <c r="K112" s="14">
        <v>0</v>
      </c>
      <c r="L112" s="14" t="s">
        <v>15986</v>
      </c>
      <c r="M112" s="19" t="s">
        <v>101</v>
      </c>
      <c r="N112" s="14" t="s">
        <v>2763</v>
      </c>
      <c r="O112" s="14" t="s">
        <v>15987</v>
      </c>
      <c r="P112" s="14" t="str">
        <f>HYPERLINK("https://photon-sol.tinyastro.io/en/lp/9aYoJv9G3qoyxdfENskwbcRpo6V7Hg9JtG7WKu9Fpump?handle=676050794bc1b1657a56b", "View")</f>
        <v>View</v>
      </c>
    </row>
    <row r="113" spans="1:16" x14ac:dyDescent="0.25">
      <c r="A113" s="16" t="s">
        <v>15988</v>
      </c>
      <c r="B113" s="17">
        <v>58675</v>
      </c>
      <c r="C113" s="17">
        <v>58675</v>
      </c>
      <c r="D113" s="17" t="s">
        <v>13323</v>
      </c>
      <c r="E113" s="17" t="s">
        <v>6398</v>
      </c>
      <c r="F113" s="17" t="s">
        <v>12237</v>
      </c>
      <c r="G113" s="15" t="s">
        <v>5764</v>
      </c>
      <c r="H113" s="15" t="s">
        <v>15989</v>
      </c>
      <c r="I113" s="17" t="s">
        <v>88</v>
      </c>
      <c r="J113" s="17">
        <v>1</v>
      </c>
      <c r="K113" s="17">
        <v>1</v>
      </c>
      <c r="L113" s="17" t="s">
        <v>15990</v>
      </c>
      <c r="M113" s="17" t="s">
        <v>1434</v>
      </c>
      <c r="N113" s="17" t="s">
        <v>15991</v>
      </c>
      <c r="O113" s="17" t="s">
        <v>15992</v>
      </c>
      <c r="P113" s="17" t="str">
        <f>HYPERLINK("https://dexscreener.com/solana/DVvaDPo7TsbrMkK9ndXxzwymfEKP3v7XLtduD8rzpump", "View")</f>
        <v>View</v>
      </c>
    </row>
    <row r="114" spans="1:16" x14ac:dyDescent="0.25">
      <c r="A114" s="13" t="s">
        <v>15071</v>
      </c>
      <c r="B114" s="14">
        <v>183</v>
      </c>
      <c r="C114" s="14">
        <v>0</v>
      </c>
      <c r="D114" s="14" t="s">
        <v>15877</v>
      </c>
      <c r="E114" s="14" t="s">
        <v>6212</v>
      </c>
      <c r="F114" s="14" t="s">
        <v>96</v>
      </c>
      <c r="G114" s="18" t="s">
        <v>13140</v>
      </c>
      <c r="H114" s="18" t="s">
        <v>98</v>
      </c>
      <c r="I114" s="14" t="s">
        <v>15993</v>
      </c>
      <c r="J114" s="14">
        <v>2</v>
      </c>
      <c r="K114" s="14">
        <v>0</v>
      </c>
      <c r="L114" s="14" t="s">
        <v>15994</v>
      </c>
      <c r="M114" s="14" t="s">
        <v>5061</v>
      </c>
      <c r="N114" s="14" t="s">
        <v>15995</v>
      </c>
      <c r="O114" s="14" t="s">
        <v>15079</v>
      </c>
      <c r="P114" s="14" t="str">
        <f>HYPERLINK("https://dexscreener.com/solana/HeJUFDxfJSzYFUuHLxkMqCgytU31G6mjP4wKviwqpump", "View")</f>
        <v>View</v>
      </c>
    </row>
    <row r="115" spans="1:16" x14ac:dyDescent="0.25">
      <c r="A115" s="16" t="s">
        <v>15996</v>
      </c>
      <c r="B115" s="17">
        <v>1100584</v>
      </c>
      <c r="C115" s="17">
        <v>0</v>
      </c>
      <c r="D115" s="17" t="s">
        <v>8469</v>
      </c>
      <c r="E115" s="17" t="s">
        <v>5746</v>
      </c>
      <c r="F115" s="17" t="s">
        <v>96</v>
      </c>
      <c r="G115" s="18" t="s">
        <v>3433</v>
      </c>
      <c r="H115" s="18" t="s">
        <v>98</v>
      </c>
      <c r="I115" s="17" t="s">
        <v>15997</v>
      </c>
      <c r="J115" s="17">
        <v>1</v>
      </c>
      <c r="K115" s="17">
        <v>0</v>
      </c>
      <c r="L115" s="17" t="s">
        <v>15998</v>
      </c>
      <c r="M115" s="19" t="s">
        <v>101</v>
      </c>
      <c r="N115" s="17" t="s">
        <v>507</v>
      </c>
      <c r="O115" s="17" t="s">
        <v>15999</v>
      </c>
      <c r="P115" s="17" t="str">
        <f>HYPERLINK("https://photon-sol.tinyastro.io/en/lp/6Md4uTZEZvrwuCHhiwi4fqeiMvGPVcN8UqoGwcijpump?handle=676050794bc1b1657a56b", "View")</f>
        <v>View</v>
      </c>
    </row>
    <row r="116" spans="1:16" x14ac:dyDescent="0.25">
      <c r="A116" s="13" t="s">
        <v>2875</v>
      </c>
      <c r="B116" s="14">
        <v>19845</v>
      </c>
      <c r="C116" s="14">
        <v>0</v>
      </c>
      <c r="D116" s="14" t="s">
        <v>8469</v>
      </c>
      <c r="E116" s="14" t="s">
        <v>6398</v>
      </c>
      <c r="F116" s="14" t="s">
        <v>96</v>
      </c>
      <c r="G116" s="18" t="s">
        <v>3446</v>
      </c>
      <c r="H116" s="18" t="s">
        <v>98</v>
      </c>
      <c r="I116" s="14" t="s">
        <v>16000</v>
      </c>
      <c r="J116" s="14">
        <v>1</v>
      </c>
      <c r="K116" s="14">
        <v>0</v>
      </c>
      <c r="L116" s="14" t="s">
        <v>16001</v>
      </c>
      <c r="M116" s="19" t="s">
        <v>101</v>
      </c>
      <c r="N116" s="14" t="s">
        <v>16002</v>
      </c>
      <c r="O116" s="14" t="s">
        <v>16003</v>
      </c>
      <c r="P116" s="14" t="str">
        <f>HYPERLINK("https://dexscreener.com/solana/6MrSvzcHtfDhCjaQGdwGNkh5zuyox5CSLizBjPowpump", "View")</f>
        <v>View</v>
      </c>
    </row>
    <row r="117" spans="1:16" x14ac:dyDescent="0.25">
      <c r="A117" s="16" t="s">
        <v>16004</v>
      </c>
      <c r="B117" s="17">
        <v>41009</v>
      </c>
      <c r="C117" s="17">
        <v>0</v>
      </c>
      <c r="D117" s="17" t="s">
        <v>10517</v>
      </c>
      <c r="E117" s="17" t="s">
        <v>6398</v>
      </c>
      <c r="F117" s="17" t="s">
        <v>96</v>
      </c>
      <c r="G117" s="18" t="s">
        <v>5231</v>
      </c>
      <c r="H117" s="18" t="s">
        <v>98</v>
      </c>
      <c r="I117" s="17" t="s">
        <v>16005</v>
      </c>
      <c r="J117" s="17">
        <v>1</v>
      </c>
      <c r="K117" s="17">
        <v>0</v>
      </c>
      <c r="L117" s="17" t="s">
        <v>16006</v>
      </c>
      <c r="M117" s="19" t="s">
        <v>101</v>
      </c>
      <c r="N117" s="17" t="s">
        <v>16007</v>
      </c>
      <c r="O117" s="17" t="s">
        <v>16008</v>
      </c>
      <c r="P117" s="17" t="str">
        <f>HYPERLINK("https://dexscreener.com/solana/G1MYmjtKUPevNj9FFwfgHHKZGGyqNpJZwayDtSDApump", "View")</f>
        <v>View</v>
      </c>
    </row>
    <row r="118" spans="1:16" x14ac:dyDescent="0.25">
      <c r="A118" s="13" t="s">
        <v>7914</v>
      </c>
      <c r="B118" s="14">
        <v>35631</v>
      </c>
      <c r="C118" s="14">
        <v>0</v>
      </c>
      <c r="D118" s="14" t="s">
        <v>15752</v>
      </c>
      <c r="E118" s="14" t="s">
        <v>6398</v>
      </c>
      <c r="F118" s="14" t="s">
        <v>96</v>
      </c>
      <c r="G118" s="18" t="s">
        <v>3446</v>
      </c>
      <c r="H118" s="18" t="s">
        <v>98</v>
      </c>
      <c r="I118" s="14" t="s">
        <v>16009</v>
      </c>
      <c r="J118" s="14">
        <v>1</v>
      </c>
      <c r="K118" s="14">
        <v>0</v>
      </c>
      <c r="L118" s="14" t="s">
        <v>16010</v>
      </c>
      <c r="M118" s="19" t="s">
        <v>101</v>
      </c>
      <c r="N118" s="14" t="s">
        <v>16011</v>
      </c>
      <c r="O118" s="14" t="s">
        <v>7921</v>
      </c>
      <c r="P118" s="14" t="str">
        <f>HYPERLINK("https://dexscreener.com/solana/FnQMnE5aC59t3obZK1qfDKHVYKtU2tCPHN63ovuypump", "View")</f>
        <v>View</v>
      </c>
    </row>
    <row r="119" spans="1:16" x14ac:dyDescent="0.25">
      <c r="A119" s="16" t="s">
        <v>16012</v>
      </c>
      <c r="B119" s="17">
        <v>993753</v>
      </c>
      <c r="C119" s="17">
        <v>0</v>
      </c>
      <c r="D119" s="17" t="s">
        <v>864</v>
      </c>
      <c r="E119" s="17" t="s">
        <v>6248</v>
      </c>
      <c r="F119" s="17" t="s">
        <v>96</v>
      </c>
      <c r="G119" s="18" t="s">
        <v>3905</v>
      </c>
      <c r="H119" s="18" t="s">
        <v>98</v>
      </c>
      <c r="I119" s="17" t="s">
        <v>16013</v>
      </c>
      <c r="J119" s="17">
        <v>1</v>
      </c>
      <c r="K119" s="17">
        <v>0</v>
      </c>
      <c r="L119" s="17" t="s">
        <v>16014</v>
      </c>
      <c r="M119" s="19" t="s">
        <v>101</v>
      </c>
      <c r="N119" s="17" t="s">
        <v>1011</v>
      </c>
      <c r="O119" s="17" t="s">
        <v>16015</v>
      </c>
      <c r="P119" s="17" t="str">
        <f>HYPERLINK("https://photon-sol.tinyastro.io/en/lp/8ynibJvTd3xevQegCpZfUwTfY8m9vSMKofZfvPBCpump?handle=676050794bc1b1657a56b", "View")</f>
        <v>View</v>
      </c>
    </row>
    <row r="120" spans="1:16" x14ac:dyDescent="0.25">
      <c r="A120" s="13" t="s">
        <v>16016</v>
      </c>
      <c r="B120" s="14">
        <v>125336</v>
      </c>
      <c r="C120" s="14">
        <v>125336</v>
      </c>
      <c r="D120" s="14" t="s">
        <v>13546</v>
      </c>
      <c r="E120" s="14" t="s">
        <v>6398</v>
      </c>
      <c r="F120" s="14" t="s">
        <v>5024</v>
      </c>
      <c r="G120" s="15" t="s">
        <v>14277</v>
      </c>
      <c r="H120" s="15" t="s">
        <v>16017</v>
      </c>
      <c r="I120" s="14" t="s">
        <v>88</v>
      </c>
      <c r="J120" s="14">
        <v>1</v>
      </c>
      <c r="K120" s="14">
        <v>1</v>
      </c>
      <c r="L120" s="14" t="s">
        <v>16018</v>
      </c>
      <c r="M120" s="19" t="s">
        <v>2826</v>
      </c>
      <c r="N120" s="14" t="s">
        <v>16019</v>
      </c>
      <c r="O120" s="14" t="s">
        <v>16020</v>
      </c>
      <c r="P120" s="14" t="str">
        <f>HYPERLINK("https://dexscreener.com/solana/65qBqd6Y2zxh7yxer4rGyvZtTstoEKBFzzB4DiShpump", "View")</f>
        <v>View</v>
      </c>
    </row>
    <row r="121" spans="1:16" x14ac:dyDescent="0.25">
      <c r="A121" s="16" t="s">
        <v>16021</v>
      </c>
      <c r="B121" s="17">
        <v>111299</v>
      </c>
      <c r="C121" s="17">
        <v>111299</v>
      </c>
      <c r="D121" s="17" t="s">
        <v>9905</v>
      </c>
      <c r="E121" s="17" t="s">
        <v>6398</v>
      </c>
      <c r="F121" s="17" t="s">
        <v>5552</v>
      </c>
      <c r="G121" s="15" t="s">
        <v>9563</v>
      </c>
      <c r="H121" s="15" t="s">
        <v>16022</v>
      </c>
      <c r="I121" s="17" t="s">
        <v>88</v>
      </c>
      <c r="J121" s="17">
        <v>1</v>
      </c>
      <c r="K121" s="17">
        <v>1</v>
      </c>
      <c r="L121" s="17" t="s">
        <v>16023</v>
      </c>
      <c r="M121" s="19" t="s">
        <v>1856</v>
      </c>
      <c r="N121" s="17" t="s">
        <v>16024</v>
      </c>
      <c r="O121" s="17" t="s">
        <v>16025</v>
      </c>
      <c r="P121" s="17" t="str">
        <f>HYPERLINK("https://dexscreener.com/solana/ESvMjF5EHH5w6sMFfQL2uxryjYy23nM1eq1QixiHpump", "View")</f>
        <v>View</v>
      </c>
    </row>
    <row r="122" spans="1:16" x14ac:dyDescent="0.25">
      <c r="A122" s="13" t="s">
        <v>16026</v>
      </c>
      <c r="B122" s="14">
        <v>1117376</v>
      </c>
      <c r="C122" s="14">
        <v>0</v>
      </c>
      <c r="D122" s="14" t="s">
        <v>864</v>
      </c>
      <c r="E122" s="14" t="s">
        <v>10011</v>
      </c>
      <c r="F122" s="14" t="s">
        <v>96</v>
      </c>
      <c r="G122" s="18" t="s">
        <v>3453</v>
      </c>
      <c r="H122" s="18" t="s">
        <v>98</v>
      </c>
      <c r="I122" s="14" t="s">
        <v>16027</v>
      </c>
      <c r="J122" s="14">
        <v>1</v>
      </c>
      <c r="K122" s="14">
        <v>0</v>
      </c>
      <c r="L122" s="14" t="s">
        <v>16028</v>
      </c>
      <c r="M122" s="19" t="s">
        <v>101</v>
      </c>
      <c r="N122" s="14" t="s">
        <v>5302</v>
      </c>
      <c r="O122" s="14" t="s">
        <v>16029</v>
      </c>
      <c r="P122" s="14" t="str">
        <f>HYPERLINK("https://photon-sol.tinyastro.io/en/lp/2fT5AxEe71pfd1E9ZbnD57z7FmHp47Et27tWoMw3pump?handle=676050794bc1b1657a56b", "View")</f>
        <v>View</v>
      </c>
    </row>
    <row r="123" spans="1:16" x14ac:dyDescent="0.25">
      <c r="A123" s="16" t="s">
        <v>16030</v>
      </c>
      <c r="B123" s="17">
        <v>107201</v>
      </c>
      <c r="C123" s="17">
        <v>107201</v>
      </c>
      <c r="D123" s="17" t="s">
        <v>8469</v>
      </c>
      <c r="E123" s="17" t="s">
        <v>12272</v>
      </c>
      <c r="F123" s="17" t="s">
        <v>2809</v>
      </c>
      <c r="G123" s="15" t="s">
        <v>15970</v>
      </c>
      <c r="H123" s="15" t="s">
        <v>16031</v>
      </c>
      <c r="I123" s="17" t="s">
        <v>88</v>
      </c>
      <c r="J123" s="17">
        <v>1</v>
      </c>
      <c r="K123" s="17">
        <v>1</v>
      </c>
      <c r="L123" s="17" t="s">
        <v>16032</v>
      </c>
      <c r="M123" s="19" t="s">
        <v>7834</v>
      </c>
      <c r="N123" s="17" t="s">
        <v>507</v>
      </c>
      <c r="O123" s="17" t="s">
        <v>16033</v>
      </c>
      <c r="P123" s="17" t="str">
        <f>HYPERLINK("https://photon-sol.tinyastro.io/en/lp/CM5Y2mwfgM1V3WTSBjLHvDdP1sg6veKRcXHTKvUgeXS2?handle=676050794bc1b1657a56b", "View")</f>
        <v>View</v>
      </c>
    </row>
    <row r="124" spans="1:16" x14ac:dyDescent="0.25">
      <c r="A124" s="13" t="s">
        <v>16034</v>
      </c>
      <c r="B124" s="14">
        <v>475870</v>
      </c>
      <c r="C124" s="14">
        <v>475870</v>
      </c>
      <c r="D124" s="14" t="s">
        <v>8469</v>
      </c>
      <c r="E124" s="14" t="s">
        <v>5359</v>
      </c>
      <c r="F124" s="14" t="s">
        <v>3979</v>
      </c>
      <c r="G124" s="22" t="s">
        <v>3047</v>
      </c>
      <c r="H124" s="22" t="s">
        <v>12339</v>
      </c>
      <c r="I124" s="14" t="s">
        <v>88</v>
      </c>
      <c r="J124" s="14">
        <v>1</v>
      </c>
      <c r="K124" s="14">
        <v>1</v>
      </c>
      <c r="L124" s="14" t="s">
        <v>16035</v>
      </c>
      <c r="M124" s="19" t="s">
        <v>1940</v>
      </c>
      <c r="N124" s="14" t="s">
        <v>16036</v>
      </c>
      <c r="O124" s="14" t="s">
        <v>16037</v>
      </c>
      <c r="P124" s="14" t="str">
        <f>HYPERLINK("https://photon-sol.tinyastro.io/en/lp/5p5yfD3Vsbj1Azyu6wm4FeungfreoYHtKnSJEkfNpump?handle=676050794bc1b1657a56b", "View")</f>
        <v>View</v>
      </c>
    </row>
    <row r="125" spans="1:16" x14ac:dyDescent="0.25">
      <c r="A125" s="16" t="s">
        <v>16038</v>
      </c>
      <c r="B125" s="17">
        <v>512587</v>
      </c>
      <c r="C125" s="17">
        <v>512587</v>
      </c>
      <c r="D125" s="17" t="s">
        <v>9905</v>
      </c>
      <c r="E125" s="17" t="s">
        <v>3309</v>
      </c>
      <c r="F125" s="17" t="s">
        <v>4147</v>
      </c>
      <c r="G125" s="15" t="s">
        <v>13016</v>
      </c>
      <c r="H125" s="15" t="s">
        <v>16039</v>
      </c>
      <c r="I125" s="17" t="s">
        <v>88</v>
      </c>
      <c r="J125" s="17">
        <v>1</v>
      </c>
      <c r="K125" s="17">
        <v>1</v>
      </c>
      <c r="L125" s="17" t="s">
        <v>16040</v>
      </c>
      <c r="M125" s="17" t="s">
        <v>1448</v>
      </c>
      <c r="N125" s="17" t="s">
        <v>16041</v>
      </c>
      <c r="O125" s="17" t="s">
        <v>16042</v>
      </c>
      <c r="P125" s="17" t="str">
        <f>HYPERLINK("https://photon-sol.tinyastro.io/en/lp/4uGNQRS1bptMqQTwGQfgkbRGQdCpa9uQEbd9pjNbpump?handle=676050794bc1b1657a56b", "View")</f>
        <v>View</v>
      </c>
    </row>
    <row r="126" spans="1:16" x14ac:dyDescent="0.25">
      <c r="A126" s="13" t="s">
        <v>16043</v>
      </c>
      <c r="B126" s="14">
        <v>562319</v>
      </c>
      <c r="C126" s="14">
        <v>562319</v>
      </c>
      <c r="D126" s="14" t="s">
        <v>8478</v>
      </c>
      <c r="E126" s="14" t="s">
        <v>6156</v>
      </c>
      <c r="F126" s="14" t="s">
        <v>5687</v>
      </c>
      <c r="G126" s="20" t="s">
        <v>4880</v>
      </c>
      <c r="H126" s="20" t="s">
        <v>16044</v>
      </c>
      <c r="I126" s="14" t="s">
        <v>88</v>
      </c>
      <c r="J126" s="14">
        <v>1</v>
      </c>
      <c r="K126" s="14">
        <v>2</v>
      </c>
      <c r="L126" s="14" t="s">
        <v>16045</v>
      </c>
      <c r="M126" s="14" t="s">
        <v>1448</v>
      </c>
      <c r="N126" s="14" t="s">
        <v>2608</v>
      </c>
      <c r="O126" s="14" t="s">
        <v>16046</v>
      </c>
      <c r="P126" s="14" t="str">
        <f>HYPERLINK("https://photon-sol.tinyastro.io/en/lp/5odfq4evsiYS1mibgYAaqXADgw6BwKd7hjuw88Yfpump?handle=676050794bc1b1657a56b", "View")</f>
        <v>View</v>
      </c>
    </row>
    <row r="127" spans="1:16" x14ac:dyDescent="0.25">
      <c r="A127" s="16" t="s">
        <v>16047</v>
      </c>
      <c r="B127" s="17">
        <v>141193</v>
      </c>
      <c r="C127" s="17">
        <v>141193</v>
      </c>
      <c r="D127" s="17" t="s">
        <v>16048</v>
      </c>
      <c r="E127" s="17" t="s">
        <v>6398</v>
      </c>
      <c r="F127" s="17" t="s">
        <v>6180</v>
      </c>
      <c r="G127" s="22" t="s">
        <v>5036</v>
      </c>
      <c r="H127" s="22" t="s">
        <v>16049</v>
      </c>
      <c r="I127" s="17" t="s">
        <v>88</v>
      </c>
      <c r="J127" s="17">
        <v>1</v>
      </c>
      <c r="K127" s="17">
        <v>6</v>
      </c>
      <c r="L127" s="17" t="s">
        <v>16050</v>
      </c>
      <c r="M127" s="17" t="s">
        <v>2984</v>
      </c>
      <c r="N127" s="17" t="s">
        <v>16051</v>
      </c>
      <c r="O127" s="17" t="s">
        <v>16052</v>
      </c>
      <c r="P127" s="17" t="str">
        <f>HYPERLINK("https://dexscreener.com/solana/AAjQg4nMtj2SLRp76LAmGhorppAiRoRbfDwJe4E9pump", "View")</f>
        <v>View</v>
      </c>
    </row>
    <row r="128" spans="1:16" x14ac:dyDescent="0.25">
      <c r="A128" s="13" t="s">
        <v>16053</v>
      </c>
      <c r="B128" s="14">
        <v>62682</v>
      </c>
      <c r="C128" s="14">
        <v>62682</v>
      </c>
      <c r="D128" s="14" t="s">
        <v>16054</v>
      </c>
      <c r="E128" s="14" t="s">
        <v>6398</v>
      </c>
      <c r="F128" s="14" t="s">
        <v>5012</v>
      </c>
      <c r="G128" s="15" t="s">
        <v>4695</v>
      </c>
      <c r="H128" s="15" t="s">
        <v>16055</v>
      </c>
      <c r="I128" s="14" t="s">
        <v>88</v>
      </c>
      <c r="J128" s="14">
        <v>1</v>
      </c>
      <c r="K128" s="14">
        <v>1</v>
      </c>
      <c r="L128" s="14" t="s">
        <v>16056</v>
      </c>
      <c r="M128" s="19" t="s">
        <v>2350</v>
      </c>
      <c r="N128" s="14" t="s">
        <v>16057</v>
      </c>
      <c r="O128" s="14" t="s">
        <v>16058</v>
      </c>
      <c r="P128" s="14" t="str">
        <f>HYPERLINK("https://dexscreener.com/solana/4aevY6cXVMEAnA69QMTD87FMdSvTnG2EuvxGEJwopump", "View")</f>
        <v>View</v>
      </c>
    </row>
    <row r="129" spans="1:16" x14ac:dyDescent="0.25">
      <c r="A129" s="16" t="s">
        <v>16059</v>
      </c>
      <c r="B129" s="17">
        <v>261775</v>
      </c>
      <c r="C129" s="17">
        <v>0</v>
      </c>
      <c r="D129" s="17" t="s">
        <v>15752</v>
      </c>
      <c r="E129" s="17" t="s">
        <v>6398</v>
      </c>
      <c r="F129" s="17" t="s">
        <v>96</v>
      </c>
      <c r="G129" s="18" t="s">
        <v>3446</v>
      </c>
      <c r="H129" s="18" t="s">
        <v>98</v>
      </c>
      <c r="I129" s="17" t="s">
        <v>16060</v>
      </c>
      <c r="J129" s="17">
        <v>1</v>
      </c>
      <c r="K129" s="17">
        <v>0</v>
      </c>
      <c r="L129" s="17" t="s">
        <v>16061</v>
      </c>
      <c r="M129" s="19" t="s">
        <v>101</v>
      </c>
      <c r="N129" s="17" t="s">
        <v>16062</v>
      </c>
      <c r="O129" s="17" t="s">
        <v>16063</v>
      </c>
      <c r="P129" s="17" t="str">
        <f>HYPERLINK("https://dexscreener.com/solana/5gjsz1SyUV3PrzuQ2CK6V9qFeZGqduCnogwQb1bNNMfQ", "View")</f>
        <v>View</v>
      </c>
    </row>
    <row r="130" spans="1:16" x14ac:dyDescent="0.25">
      <c r="A130" s="13" t="s">
        <v>16064</v>
      </c>
      <c r="B130" s="14">
        <v>41072</v>
      </c>
      <c r="C130" s="14">
        <v>0</v>
      </c>
      <c r="D130" s="14" t="s">
        <v>864</v>
      </c>
      <c r="E130" s="14" t="s">
        <v>6398</v>
      </c>
      <c r="F130" s="14" t="s">
        <v>96</v>
      </c>
      <c r="G130" s="18" t="s">
        <v>7875</v>
      </c>
      <c r="H130" s="18" t="s">
        <v>98</v>
      </c>
      <c r="I130" s="14" t="s">
        <v>16065</v>
      </c>
      <c r="J130" s="14">
        <v>1</v>
      </c>
      <c r="K130" s="14">
        <v>0</v>
      </c>
      <c r="L130" s="14" t="s">
        <v>16066</v>
      </c>
      <c r="M130" s="19" t="s">
        <v>101</v>
      </c>
      <c r="N130" s="14" t="s">
        <v>16067</v>
      </c>
      <c r="O130" s="14" t="s">
        <v>16068</v>
      </c>
      <c r="P130" s="14" t="str">
        <f>HYPERLINK("https://dexscreener.com/solana/4wk18LmWAz3eoieqjchMDkcmDNfTrwip4NUrMaTcpump", "View")</f>
        <v>View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0B4C-FD62-48C3-A59E-F7173889737A}">
  <dimension ref="A1:P11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HYPERLINK("https://gmgn.ai/sol/address/8Bcagz4nrPv3j6iNzPfGL3vvGWRpACgyx3FXv137ZBeE", "GMGN")</f>
        <v>GMGN</v>
      </c>
    </row>
    <row r="2" spans="1:14" x14ac:dyDescent="0.25">
      <c r="A2" s="3" t="s">
        <v>16069</v>
      </c>
      <c r="B2" s="3" t="s">
        <v>16070</v>
      </c>
      <c r="C2" s="3" t="s">
        <v>13981</v>
      </c>
      <c r="D2" s="3" t="s">
        <v>8594</v>
      </c>
      <c r="E2" s="3" t="s">
        <v>16071</v>
      </c>
      <c r="F2" s="3" t="s">
        <v>16072</v>
      </c>
      <c r="G2" s="3" t="s">
        <v>18</v>
      </c>
      <c r="H2" s="3">
        <v>93</v>
      </c>
      <c r="I2" s="3">
        <v>15</v>
      </c>
      <c r="J2" s="3" t="s">
        <v>16073</v>
      </c>
      <c r="K2" s="3" t="s">
        <v>20</v>
      </c>
      <c r="L2" s="3">
        <v>54</v>
      </c>
      <c r="M2" s="3">
        <v>86</v>
      </c>
      <c r="N2" s="3" t="str">
        <f>HYPERLINK("https://solscan.io/account/8Bcagz4nrPv3j6iNzPfGL3vvGWRpACgyx3FXv137ZBeE",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HYPERLINK("https://birdeye.so/profile/8Bcagz4nrPv3j6iNzPfGL3vvGWRpACgyx3FXv137ZBeE", "Birdeye")</f>
        <v>Birdeye</v>
      </c>
    </row>
    <row r="4" spans="1:14" x14ac:dyDescent="0.25">
      <c r="A4" s="1" t="s">
        <v>25</v>
      </c>
      <c r="B4" s="3" t="s">
        <v>8324</v>
      </c>
      <c r="C4" s="3"/>
      <c r="D4" s="3" t="s">
        <v>16074</v>
      </c>
      <c r="E4" s="3" t="s">
        <v>16075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16076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16077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4</v>
      </c>
      <c r="D10" s="1">
        <v>6</v>
      </c>
      <c r="E10" s="1">
        <v>3</v>
      </c>
      <c r="F10" s="1">
        <v>7</v>
      </c>
      <c r="G10" s="1">
        <v>72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16078</v>
      </c>
      <c r="C11" s="1" t="s">
        <v>46</v>
      </c>
      <c r="D11" s="1" t="s">
        <v>16079</v>
      </c>
      <c r="E11" s="1" t="s">
        <v>16080</v>
      </c>
      <c r="F11" s="1" t="s">
        <v>16081</v>
      </c>
      <c r="G11" s="1" t="s">
        <v>16082</v>
      </c>
      <c r="H11" s="3"/>
      <c r="I11" s="3" t="s">
        <v>50</v>
      </c>
      <c r="J11" s="3" t="s">
        <v>12331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16083</v>
      </c>
      <c r="C12" s="1" t="s">
        <v>16084</v>
      </c>
      <c r="D12" s="1" t="s">
        <v>8464</v>
      </c>
      <c r="E12" s="1" t="s">
        <v>8458</v>
      </c>
      <c r="F12" s="1" t="s">
        <v>16085</v>
      </c>
      <c r="G12" s="1" t="s">
        <v>16086</v>
      </c>
      <c r="H12" s="3"/>
      <c r="I12" s="3" t="s">
        <v>59</v>
      </c>
      <c r="J12" s="3" t="s">
        <v>16087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2007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2023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16088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9750</v>
      </c>
      <c r="B20" s="14">
        <v>891325</v>
      </c>
      <c r="C20" s="14">
        <v>0</v>
      </c>
      <c r="D20" s="14" t="s">
        <v>1691</v>
      </c>
      <c r="E20" s="14" t="s">
        <v>9376</v>
      </c>
      <c r="F20" s="14" t="s">
        <v>96</v>
      </c>
      <c r="G20" s="18" t="s">
        <v>9941</v>
      </c>
      <c r="H20" s="18" t="s">
        <v>98</v>
      </c>
      <c r="I20" s="14" t="s">
        <v>16089</v>
      </c>
      <c r="J20" s="14">
        <v>3</v>
      </c>
      <c r="K20" s="14">
        <v>0</v>
      </c>
      <c r="L20" s="14" t="s">
        <v>16090</v>
      </c>
      <c r="M20" s="14" t="s">
        <v>1986</v>
      </c>
      <c r="N20" s="14" t="s">
        <v>16091</v>
      </c>
      <c r="O20" s="14" t="s">
        <v>9754</v>
      </c>
      <c r="P20" s="14" t="str">
        <f>HYPERLINK("https://dexscreener.com/solana/BjjvKX5k7gQoGRmvQAA5WMr7EkQ2cirGTSGxAznDpump", "View")</f>
        <v>View</v>
      </c>
    </row>
    <row r="21" spans="1:16" x14ac:dyDescent="0.25">
      <c r="A21" s="16" t="s">
        <v>82</v>
      </c>
      <c r="B21" s="17">
        <v>200110</v>
      </c>
      <c r="C21" s="17">
        <v>125069</v>
      </c>
      <c r="D21" s="17" t="s">
        <v>16092</v>
      </c>
      <c r="E21" s="17" t="s">
        <v>569</v>
      </c>
      <c r="F21" s="17" t="s">
        <v>16093</v>
      </c>
      <c r="G21" s="22" t="s">
        <v>2705</v>
      </c>
      <c r="H21" s="22" t="s">
        <v>16094</v>
      </c>
      <c r="I21" s="17" t="s">
        <v>88</v>
      </c>
      <c r="J21" s="17">
        <v>1</v>
      </c>
      <c r="K21" s="17">
        <v>2</v>
      </c>
      <c r="L21" s="17" t="s">
        <v>16095</v>
      </c>
      <c r="M21" s="17" t="s">
        <v>117</v>
      </c>
      <c r="N21" s="17" t="s">
        <v>15910</v>
      </c>
      <c r="O21" s="17" t="s">
        <v>92</v>
      </c>
      <c r="P21" s="17" t="str">
        <f>HYPERLINK("https://dexscreener.com/solana/Db7ZUaWTThwZy7bVhjn5Dda8D3fbbAhihcxPV4m9pump", "View")</f>
        <v>View</v>
      </c>
    </row>
    <row r="22" spans="1:16" x14ac:dyDescent="0.25">
      <c r="A22" s="13" t="s">
        <v>11222</v>
      </c>
      <c r="B22" s="14">
        <v>1728541</v>
      </c>
      <c r="C22" s="14">
        <v>1728541</v>
      </c>
      <c r="D22" s="14" t="s">
        <v>16096</v>
      </c>
      <c r="E22" s="14" t="s">
        <v>3965</v>
      </c>
      <c r="F22" s="14" t="s">
        <v>4204</v>
      </c>
      <c r="G22" s="21" t="s">
        <v>3912</v>
      </c>
      <c r="H22" s="21" t="s">
        <v>16097</v>
      </c>
      <c r="I22" s="14" t="s">
        <v>88</v>
      </c>
      <c r="J22" s="14">
        <v>2</v>
      </c>
      <c r="K22" s="14">
        <v>1</v>
      </c>
      <c r="L22" s="14" t="s">
        <v>16098</v>
      </c>
      <c r="M22" s="14" t="s">
        <v>117</v>
      </c>
      <c r="N22" s="14" t="s">
        <v>16099</v>
      </c>
      <c r="O22" s="14" t="s">
        <v>11225</v>
      </c>
      <c r="P22" s="14" t="str">
        <f>HYPERLINK("https://photon-sol.tinyastro.io/en/lp/43Kda9a6X6eMqehQ3vTj1oqVdXqF7j4k6T8zzJAwpump?handle=676050794bc1b1657a56b", "View")</f>
        <v>View</v>
      </c>
    </row>
    <row r="23" spans="1:16" x14ac:dyDescent="0.25">
      <c r="A23" s="16" t="s">
        <v>16100</v>
      </c>
      <c r="B23" s="17">
        <v>3543041</v>
      </c>
      <c r="C23" s="17">
        <v>0</v>
      </c>
      <c r="D23" s="17" t="s">
        <v>10436</v>
      </c>
      <c r="E23" s="17" t="s">
        <v>4665</v>
      </c>
      <c r="F23" s="17" t="s">
        <v>96</v>
      </c>
      <c r="G23" s="18" t="s">
        <v>11022</v>
      </c>
      <c r="H23" s="18" t="s">
        <v>98</v>
      </c>
      <c r="I23" s="17" t="s">
        <v>16101</v>
      </c>
      <c r="J23" s="17">
        <v>1</v>
      </c>
      <c r="K23" s="17">
        <v>0</v>
      </c>
      <c r="L23" s="17" t="s">
        <v>16102</v>
      </c>
      <c r="M23" s="19" t="s">
        <v>101</v>
      </c>
      <c r="N23" s="17" t="s">
        <v>15363</v>
      </c>
      <c r="O23" s="17" t="s">
        <v>16103</v>
      </c>
      <c r="P23" s="17" t="str">
        <f>HYPERLINK("https://dexscreener.com/solana/8Y79hdj5ypjqaqC64KNdfyTbzM4Yzx7aoono6Y4Bpump", "View")</f>
        <v>View</v>
      </c>
    </row>
    <row r="24" spans="1:16" x14ac:dyDescent="0.25">
      <c r="A24" s="13" t="s">
        <v>16104</v>
      </c>
      <c r="B24" s="14">
        <v>2429486</v>
      </c>
      <c r="C24" s="14">
        <v>1243752</v>
      </c>
      <c r="D24" s="14" t="s">
        <v>16105</v>
      </c>
      <c r="E24" s="14" t="s">
        <v>16106</v>
      </c>
      <c r="F24" s="14" t="s">
        <v>3047</v>
      </c>
      <c r="G24" s="15" t="s">
        <v>16107</v>
      </c>
      <c r="H24" s="15" t="s">
        <v>16108</v>
      </c>
      <c r="I24" s="14" t="s">
        <v>88</v>
      </c>
      <c r="J24" s="14">
        <v>2</v>
      </c>
      <c r="K24" s="14">
        <v>1</v>
      </c>
      <c r="L24" s="14" t="s">
        <v>16109</v>
      </c>
      <c r="M24" s="14" t="s">
        <v>2984</v>
      </c>
      <c r="N24" s="14" t="s">
        <v>16110</v>
      </c>
      <c r="O24" s="14" t="s">
        <v>16111</v>
      </c>
      <c r="P24" s="14" t="str">
        <f>HYPERLINK("https://photon-sol.tinyastro.io/en/lp/9WnwzfYZbjfdJsm1s81Vn9rSV7THiKBNnhAyGBMCpump?handle=676050794bc1b1657a56b", "View")</f>
        <v>View</v>
      </c>
    </row>
    <row r="25" spans="1:16" x14ac:dyDescent="0.25">
      <c r="A25" s="16" t="s">
        <v>16112</v>
      </c>
      <c r="B25" s="17">
        <v>474769</v>
      </c>
      <c r="C25" s="17">
        <v>474769</v>
      </c>
      <c r="D25" s="17" t="s">
        <v>16113</v>
      </c>
      <c r="E25" s="17" t="s">
        <v>2200</v>
      </c>
      <c r="F25" s="17" t="s">
        <v>2966</v>
      </c>
      <c r="G25" s="20" t="s">
        <v>16114</v>
      </c>
      <c r="H25" s="20" t="s">
        <v>16115</v>
      </c>
      <c r="I25" s="17" t="s">
        <v>88</v>
      </c>
      <c r="J25" s="17">
        <v>2</v>
      </c>
      <c r="K25" s="17">
        <v>1</v>
      </c>
      <c r="L25" s="17" t="s">
        <v>16116</v>
      </c>
      <c r="M25" s="17" t="s">
        <v>2047</v>
      </c>
      <c r="N25" s="17" t="s">
        <v>16117</v>
      </c>
      <c r="O25" s="17" t="s">
        <v>16118</v>
      </c>
      <c r="P25" s="17" t="str">
        <f>HYPERLINK("https://dexscreener.com/solana/54DMrvFXRR6yNXum3gSCLcSi9ebTGpJ5ZLFUWmN1pump", "View")</f>
        <v>View</v>
      </c>
    </row>
    <row r="26" spans="1:16" x14ac:dyDescent="0.25">
      <c r="A26" s="13" t="s">
        <v>163</v>
      </c>
      <c r="B26" s="14">
        <v>3492197</v>
      </c>
      <c r="C26" s="14">
        <v>2679531</v>
      </c>
      <c r="D26" s="14" t="s">
        <v>16119</v>
      </c>
      <c r="E26" s="14" t="s">
        <v>16120</v>
      </c>
      <c r="F26" s="14" t="s">
        <v>16121</v>
      </c>
      <c r="G26" s="21" t="s">
        <v>16122</v>
      </c>
      <c r="H26" s="21" t="s">
        <v>16123</v>
      </c>
      <c r="I26" s="14" t="s">
        <v>88</v>
      </c>
      <c r="J26" s="14">
        <v>4</v>
      </c>
      <c r="K26" s="14">
        <v>11</v>
      </c>
      <c r="L26" s="14" t="s">
        <v>16124</v>
      </c>
      <c r="M26" s="14" t="s">
        <v>132</v>
      </c>
      <c r="N26" s="14" t="s">
        <v>16125</v>
      </c>
      <c r="O26" s="14" t="s">
        <v>171</v>
      </c>
      <c r="P26" s="14" t="str">
        <f>HYPERLINK("https://photon-sol.tinyastro.io/en/lp/EswvJvhPy8A8rWPdLJ5ATYW6cY5x483oS4QWWroZpump?handle=676050794bc1b1657a56b", "View")</f>
        <v>View</v>
      </c>
    </row>
    <row r="27" spans="1:16" x14ac:dyDescent="0.25">
      <c r="A27" s="16" t="s">
        <v>16126</v>
      </c>
      <c r="B27" s="17">
        <v>4635186</v>
      </c>
      <c r="C27" s="17">
        <v>4635186</v>
      </c>
      <c r="D27" s="17" t="s">
        <v>16127</v>
      </c>
      <c r="E27" s="17" t="s">
        <v>16128</v>
      </c>
      <c r="F27" s="17" t="s">
        <v>3047</v>
      </c>
      <c r="G27" s="15" t="s">
        <v>10685</v>
      </c>
      <c r="H27" s="15" t="s">
        <v>16129</v>
      </c>
      <c r="I27" s="17" t="s">
        <v>88</v>
      </c>
      <c r="J27" s="17">
        <v>2</v>
      </c>
      <c r="K27" s="17">
        <v>1</v>
      </c>
      <c r="L27" s="17" t="s">
        <v>16130</v>
      </c>
      <c r="M27" s="17" t="s">
        <v>277</v>
      </c>
      <c r="N27" s="17" t="s">
        <v>16131</v>
      </c>
      <c r="O27" s="17" t="s">
        <v>16132</v>
      </c>
      <c r="P27" s="17" t="str">
        <f>HYPERLINK("https://photon-sol.tinyastro.io/en/lp/3KSCJ2q24r3V4o7QQogS2ZudH1UYuvyG5tG8DLCPpump?handle=676050794bc1b1657a56b", "View")</f>
        <v>View</v>
      </c>
    </row>
    <row r="28" spans="1:16" x14ac:dyDescent="0.25">
      <c r="A28" s="13" t="s">
        <v>16133</v>
      </c>
      <c r="B28" s="14">
        <v>3157014</v>
      </c>
      <c r="C28" s="14">
        <v>0</v>
      </c>
      <c r="D28" s="14" t="s">
        <v>10436</v>
      </c>
      <c r="E28" s="14" t="s">
        <v>9683</v>
      </c>
      <c r="F28" s="14" t="s">
        <v>96</v>
      </c>
      <c r="G28" s="18" t="s">
        <v>13284</v>
      </c>
      <c r="H28" s="18" t="s">
        <v>98</v>
      </c>
      <c r="I28" s="14" t="s">
        <v>16134</v>
      </c>
      <c r="J28" s="14">
        <v>1</v>
      </c>
      <c r="K28" s="14">
        <v>0</v>
      </c>
      <c r="L28" s="14" t="s">
        <v>16135</v>
      </c>
      <c r="M28" s="19" t="s">
        <v>101</v>
      </c>
      <c r="N28" s="14" t="s">
        <v>8391</v>
      </c>
      <c r="O28" s="14" t="s">
        <v>16136</v>
      </c>
      <c r="P28" s="14" t="str">
        <f>HYPERLINK("https://photon-sol.tinyastro.io/en/lp/HYncrGAc1Sy99pKPk25TN8TzRWdn9UhAupc36NN3pump?handle=676050794bc1b1657a56b", "View")</f>
        <v>View</v>
      </c>
    </row>
    <row r="29" spans="1:16" x14ac:dyDescent="0.25">
      <c r="A29" s="16" t="s">
        <v>16137</v>
      </c>
      <c r="B29" s="17">
        <v>1090028</v>
      </c>
      <c r="C29" s="17">
        <v>0</v>
      </c>
      <c r="D29" s="17" t="s">
        <v>16138</v>
      </c>
      <c r="E29" s="17" t="s">
        <v>5472</v>
      </c>
      <c r="F29" s="17" t="s">
        <v>96</v>
      </c>
      <c r="G29" s="18" t="s">
        <v>16139</v>
      </c>
      <c r="H29" s="18" t="s">
        <v>98</v>
      </c>
      <c r="I29" s="17" t="s">
        <v>16140</v>
      </c>
      <c r="J29" s="17">
        <v>1</v>
      </c>
      <c r="K29" s="17">
        <v>0</v>
      </c>
      <c r="L29" s="17" t="s">
        <v>16141</v>
      </c>
      <c r="M29" s="19" t="s">
        <v>101</v>
      </c>
      <c r="N29" s="17" t="s">
        <v>1652</v>
      </c>
      <c r="O29" s="17" t="s">
        <v>16142</v>
      </c>
      <c r="P29" s="17" t="str">
        <f>HYPERLINK("https://photon-sol.tinyastro.io/en/lp/7unDnL6fe56tDj5N7dfuSfPs6bMjd67qkA8djL2dMKRd?handle=676050794bc1b1657a56b", "View")</f>
        <v>View</v>
      </c>
    </row>
    <row r="30" spans="1:16" x14ac:dyDescent="0.25">
      <c r="A30" s="13" t="s">
        <v>16143</v>
      </c>
      <c r="B30" s="14">
        <v>4094413</v>
      </c>
      <c r="C30" s="14">
        <v>0</v>
      </c>
      <c r="D30" s="14" t="s">
        <v>16144</v>
      </c>
      <c r="E30" s="14" t="s">
        <v>12602</v>
      </c>
      <c r="F30" s="14" t="s">
        <v>96</v>
      </c>
      <c r="G30" s="18" t="s">
        <v>16145</v>
      </c>
      <c r="H30" s="18" t="s">
        <v>98</v>
      </c>
      <c r="I30" s="14" t="s">
        <v>16146</v>
      </c>
      <c r="J30" s="14">
        <v>2</v>
      </c>
      <c r="K30" s="14">
        <v>0</v>
      </c>
      <c r="L30" s="14" t="s">
        <v>16147</v>
      </c>
      <c r="M30" s="14" t="s">
        <v>1705</v>
      </c>
      <c r="N30" s="14" t="s">
        <v>16148</v>
      </c>
      <c r="O30" s="14" t="s">
        <v>16149</v>
      </c>
      <c r="P30" s="14" t="str">
        <f>HYPERLINK("https://photon-sol.tinyastro.io/en/lp/GMkExiTnMSrnS1KtYgpd7uVypCwdztjMptkazhJWpump?handle=676050794bc1b1657a56b", "View")</f>
        <v>View</v>
      </c>
    </row>
    <row r="31" spans="1:16" x14ac:dyDescent="0.25">
      <c r="A31" s="16" t="s">
        <v>9709</v>
      </c>
      <c r="B31" s="17">
        <v>1121860</v>
      </c>
      <c r="C31" s="17">
        <v>0</v>
      </c>
      <c r="D31" s="17" t="s">
        <v>16150</v>
      </c>
      <c r="E31" s="17" t="s">
        <v>12602</v>
      </c>
      <c r="F31" s="17" t="s">
        <v>96</v>
      </c>
      <c r="G31" s="18" t="s">
        <v>16145</v>
      </c>
      <c r="H31" s="18" t="s">
        <v>98</v>
      </c>
      <c r="I31" s="17" t="s">
        <v>16151</v>
      </c>
      <c r="J31" s="17">
        <v>2</v>
      </c>
      <c r="K31" s="17">
        <v>0</v>
      </c>
      <c r="L31" s="17" t="s">
        <v>16152</v>
      </c>
      <c r="M31" s="17" t="s">
        <v>5501</v>
      </c>
      <c r="N31" s="17" t="s">
        <v>16153</v>
      </c>
      <c r="O31" s="17" t="s">
        <v>16154</v>
      </c>
      <c r="P31" s="17" t="str">
        <f>HYPERLINK("https://photon-sol.tinyastro.io/en/lp/7D8SUkWfN5j3bMUaawkhXvg41iKGNXzWaWf1q3y5pump?handle=676050794bc1b1657a56b", "View")</f>
        <v>View</v>
      </c>
    </row>
    <row r="32" spans="1:16" x14ac:dyDescent="0.25">
      <c r="A32" s="13" t="s">
        <v>16155</v>
      </c>
      <c r="B32" s="14">
        <v>43646919</v>
      </c>
      <c r="C32" s="14">
        <v>28443088</v>
      </c>
      <c r="D32" s="14" t="s">
        <v>16156</v>
      </c>
      <c r="E32" s="14" t="s">
        <v>16157</v>
      </c>
      <c r="F32" s="14" t="s">
        <v>12202</v>
      </c>
      <c r="G32" s="15" t="s">
        <v>16158</v>
      </c>
      <c r="H32" s="15" t="s">
        <v>16159</v>
      </c>
      <c r="I32" s="14" t="s">
        <v>88</v>
      </c>
      <c r="J32" s="14">
        <v>7</v>
      </c>
      <c r="K32" s="14">
        <v>5</v>
      </c>
      <c r="L32" s="14" t="s">
        <v>16160</v>
      </c>
      <c r="M32" s="14" t="s">
        <v>745</v>
      </c>
      <c r="N32" s="14" t="s">
        <v>16161</v>
      </c>
      <c r="O32" s="14" t="s">
        <v>16162</v>
      </c>
      <c r="P32" s="14" t="str">
        <f>HYPERLINK("https://photon-sol.tinyastro.io/en/lp/4yNtYQFKJqSN1biPwuHazfgBtFrzJNF2SBZRbcXDpump?handle=676050794bc1b1657a56b", "View")</f>
        <v>View</v>
      </c>
    </row>
    <row r="33" spans="1:16" x14ac:dyDescent="0.25">
      <c r="A33" s="16" t="s">
        <v>16163</v>
      </c>
      <c r="B33" s="17">
        <v>211114</v>
      </c>
      <c r="C33" s="17">
        <v>0</v>
      </c>
      <c r="D33" s="17" t="s">
        <v>16164</v>
      </c>
      <c r="E33" s="17" t="s">
        <v>5573</v>
      </c>
      <c r="F33" s="17" t="s">
        <v>96</v>
      </c>
      <c r="G33" s="18" t="s">
        <v>12151</v>
      </c>
      <c r="H33" s="18" t="s">
        <v>98</v>
      </c>
      <c r="I33" s="17" t="s">
        <v>16165</v>
      </c>
      <c r="J33" s="17">
        <v>1</v>
      </c>
      <c r="K33" s="17">
        <v>0</v>
      </c>
      <c r="L33" s="17" t="s">
        <v>16166</v>
      </c>
      <c r="M33" s="19" t="s">
        <v>101</v>
      </c>
      <c r="N33" s="17" t="s">
        <v>16167</v>
      </c>
      <c r="O33" s="17" t="s">
        <v>16168</v>
      </c>
      <c r="P33" s="17" t="str">
        <f>HYPERLINK("https://dexscreener.com/solana/HEYEkK75ZTh5CBbozwWbxJBsjUVygtzuetCxXUjmpump", "View")</f>
        <v>View</v>
      </c>
    </row>
    <row r="34" spans="1:16" x14ac:dyDescent="0.25">
      <c r="A34" s="13" t="s">
        <v>9861</v>
      </c>
      <c r="B34" s="14">
        <v>3461479</v>
      </c>
      <c r="C34" s="14">
        <v>0</v>
      </c>
      <c r="D34" s="14" t="s">
        <v>16169</v>
      </c>
      <c r="E34" s="14" t="s">
        <v>1976</v>
      </c>
      <c r="F34" s="14" t="s">
        <v>96</v>
      </c>
      <c r="G34" s="18" t="s">
        <v>16170</v>
      </c>
      <c r="H34" s="18" t="s">
        <v>98</v>
      </c>
      <c r="I34" s="14" t="s">
        <v>16171</v>
      </c>
      <c r="J34" s="14">
        <v>4</v>
      </c>
      <c r="K34" s="14">
        <v>0</v>
      </c>
      <c r="L34" s="14" t="s">
        <v>16172</v>
      </c>
      <c r="M34" s="14" t="s">
        <v>1705</v>
      </c>
      <c r="N34" s="14" t="s">
        <v>16173</v>
      </c>
      <c r="O34" s="14" t="s">
        <v>16174</v>
      </c>
      <c r="P34" s="14" t="str">
        <f>HYPERLINK("https://photon-sol.tinyastro.io/en/lp/GVsE4s9878ZR79RhezEDPq1osWbVAM66TBjQQH9Upump?handle=676050794bc1b1657a56b", "View")</f>
        <v>View</v>
      </c>
    </row>
    <row r="35" spans="1:16" x14ac:dyDescent="0.25">
      <c r="A35" s="16" t="s">
        <v>16175</v>
      </c>
      <c r="B35" s="17">
        <v>283930</v>
      </c>
      <c r="C35" s="17">
        <v>0</v>
      </c>
      <c r="D35" s="17" t="s">
        <v>16176</v>
      </c>
      <c r="E35" s="17" t="s">
        <v>1007</v>
      </c>
      <c r="F35" s="17" t="s">
        <v>96</v>
      </c>
      <c r="G35" s="18" t="s">
        <v>11177</v>
      </c>
      <c r="H35" s="18" t="s">
        <v>98</v>
      </c>
      <c r="I35" s="17" t="s">
        <v>16177</v>
      </c>
      <c r="J35" s="17">
        <v>1</v>
      </c>
      <c r="K35" s="17">
        <v>0</v>
      </c>
      <c r="L35" s="17" t="s">
        <v>16178</v>
      </c>
      <c r="M35" s="19" t="s">
        <v>101</v>
      </c>
      <c r="N35" s="17" t="s">
        <v>16179</v>
      </c>
      <c r="O35" s="17" t="s">
        <v>16180</v>
      </c>
      <c r="P35" s="17" t="str">
        <f>HYPERLINK("https://dexscreener.com/solana/A6bCsh37hM4FybN4MXstnup6WEcichSQNK8AGvXDpump", "View")</f>
        <v>View</v>
      </c>
    </row>
    <row r="36" spans="1:16" x14ac:dyDescent="0.25">
      <c r="A36" s="13" t="s">
        <v>16181</v>
      </c>
      <c r="B36" s="14">
        <v>796286</v>
      </c>
      <c r="C36" s="14">
        <v>0</v>
      </c>
      <c r="D36" s="14" t="s">
        <v>12809</v>
      </c>
      <c r="E36" s="14" t="s">
        <v>16182</v>
      </c>
      <c r="F36" s="14" t="s">
        <v>96</v>
      </c>
      <c r="G36" s="18" t="s">
        <v>11238</v>
      </c>
      <c r="H36" s="18" t="s">
        <v>98</v>
      </c>
      <c r="I36" s="14" t="s">
        <v>16183</v>
      </c>
      <c r="J36" s="14">
        <v>1</v>
      </c>
      <c r="K36" s="14">
        <v>0</v>
      </c>
      <c r="L36" s="14" t="s">
        <v>16184</v>
      </c>
      <c r="M36" s="19" t="s">
        <v>101</v>
      </c>
      <c r="N36" s="14" t="s">
        <v>16185</v>
      </c>
      <c r="O36" s="14" t="s">
        <v>16186</v>
      </c>
      <c r="P36" s="14" t="str">
        <f>HYPERLINK("https://photon-sol.tinyastro.io/en/lp/3rGiyMoWPz9HHoovJV2QmuGpHRwvWz9e6BkedqsQpump?handle=676050794bc1b1657a56b", "View")</f>
        <v>View</v>
      </c>
    </row>
    <row r="37" spans="1:16" x14ac:dyDescent="0.25">
      <c r="A37" s="16" t="s">
        <v>14975</v>
      </c>
      <c r="B37" s="17">
        <v>1771750</v>
      </c>
      <c r="C37" s="17">
        <v>1398450</v>
      </c>
      <c r="D37" s="17" t="s">
        <v>16187</v>
      </c>
      <c r="E37" s="17" t="s">
        <v>16188</v>
      </c>
      <c r="F37" s="17" t="s">
        <v>16189</v>
      </c>
      <c r="G37" s="21" t="s">
        <v>16190</v>
      </c>
      <c r="H37" s="21" t="s">
        <v>16191</v>
      </c>
      <c r="I37" s="17" t="s">
        <v>88</v>
      </c>
      <c r="J37" s="17">
        <v>10</v>
      </c>
      <c r="K37" s="17">
        <v>5</v>
      </c>
      <c r="L37" s="17" t="s">
        <v>16192</v>
      </c>
      <c r="M37" s="17" t="s">
        <v>4385</v>
      </c>
      <c r="N37" s="17" t="s">
        <v>16193</v>
      </c>
      <c r="O37" s="17" t="s">
        <v>16194</v>
      </c>
      <c r="P37" s="17" t="str">
        <f>HYPERLINK("https://dexscreener.com/solana/71gSnDo5vqite4mVpbKnaqoa6FsuXpamn8jCYZsApump", "View")</f>
        <v>View</v>
      </c>
    </row>
    <row r="38" spans="1:16" x14ac:dyDescent="0.25">
      <c r="A38" s="13" t="s">
        <v>16195</v>
      </c>
      <c r="B38" s="14">
        <v>2027953</v>
      </c>
      <c r="C38" s="14">
        <v>0</v>
      </c>
      <c r="D38" s="14" t="s">
        <v>16196</v>
      </c>
      <c r="E38" s="14" t="s">
        <v>16182</v>
      </c>
      <c r="F38" s="14" t="s">
        <v>96</v>
      </c>
      <c r="G38" s="18" t="s">
        <v>11238</v>
      </c>
      <c r="H38" s="18" t="s">
        <v>98</v>
      </c>
      <c r="I38" s="14" t="s">
        <v>16197</v>
      </c>
      <c r="J38" s="14">
        <v>1</v>
      </c>
      <c r="K38" s="14">
        <v>0</v>
      </c>
      <c r="L38" s="14" t="s">
        <v>16198</v>
      </c>
      <c r="M38" s="19" t="s">
        <v>101</v>
      </c>
      <c r="N38" s="14" t="s">
        <v>16199</v>
      </c>
      <c r="O38" s="14" t="s">
        <v>16200</v>
      </c>
      <c r="P38" s="14" t="str">
        <f>HYPERLINK("https://photon-sol.tinyastro.io/en/lp/3WbARz9yrrPeNvxYTAqodqgmxsTS1fceKcuzep2Apump?handle=676050794bc1b1657a56b", "View")</f>
        <v>View</v>
      </c>
    </row>
    <row r="39" spans="1:16" x14ac:dyDescent="0.25">
      <c r="A39" s="16" t="s">
        <v>16201</v>
      </c>
      <c r="B39" s="17">
        <v>1992945</v>
      </c>
      <c r="C39" s="17">
        <v>0</v>
      </c>
      <c r="D39" s="17" t="s">
        <v>16202</v>
      </c>
      <c r="E39" s="17" t="s">
        <v>14865</v>
      </c>
      <c r="F39" s="17" t="s">
        <v>96</v>
      </c>
      <c r="G39" s="18" t="s">
        <v>1718</v>
      </c>
      <c r="H39" s="18" t="s">
        <v>98</v>
      </c>
      <c r="I39" s="17" t="s">
        <v>16203</v>
      </c>
      <c r="J39" s="17">
        <v>2</v>
      </c>
      <c r="K39" s="17">
        <v>0</v>
      </c>
      <c r="L39" s="17" t="s">
        <v>16204</v>
      </c>
      <c r="M39" s="17" t="s">
        <v>788</v>
      </c>
      <c r="N39" s="17" t="s">
        <v>16205</v>
      </c>
      <c r="O39" s="17" t="s">
        <v>16206</v>
      </c>
      <c r="P39" s="17" t="str">
        <f>HYPERLINK("https://photon-sol.tinyastro.io/en/lp/7k7ZFwkFd4TMxLiodCvnXgL9CTBjrjeh2wFH3Mwhpump?handle=676050794bc1b1657a56b", "View")</f>
        <v>View</v>
      </c>
    </row>
    <row r="40" spans="1:16" x14ac:dyDescent="0.25">
      <c r="A40" s="13" t="s">
        <v>16207</v>
      </c>
      <c r="B40" s="14">
        <v>1316854</v>
      </c>
      <c r="C40" s="14">
        <v>0</v>
      </c>
      <c r="D40" s="14" t="s">
        <v>1882</v>
      </c>
      <c r="E40" s="14" t="s">
        <v>12098</v>
      </c>
      <c r="F40" s="14" t="s">
        <v>96</v>
      </c>
      <c r="G40" s="18" t="s">
        <v>16208</v>
      </c>
      <c r="H40" s="18" t="s">
        <v>98</v>
      </c>
      <c r="I40" s="14" t="s">
        <v>16209</v>
      </c>
      <c r="J40" s="14">
        <v>2</v>
      </c>
      <c r="K40" s="14">
        <v>0</v>
      </c>
      <c r="L40" s="14" t="s">
        <v>16210</v>
      </c>
      <c r="M40" s="14" t="s">
        <v>1448</v>
      </c>
      <c r="N40" s="14" t="s">
        <v>16211</v>
      </c>
      <c r="O40" s="14" t="s">
        <v>16212</v>
      </c>
      <c r="P40" s="14" t="str">
        <f>HYPERLINK("https://photon-sol.tinyastro.io/en/lp/GNVmt2PcTx9Tx7XvocwmfMN7T8vcsyqzhVM9YkU8pump?handle=676050794bc1b1657a56b", "View")</f>
        <v>View</v>
      </c>
    </row>
    <row r="41" spans="1:16" x14ac:dyDescent="0.25">
      <c r="A41" s="16" t="s">
        <v>16213</v>
      </c>
      <c r="B41" s="17">
        <v>17295185</v>
      </c>
      <c r="C41" s="17">
        <v>0</v>
      </c>
      <c r="D41" s="17" t="s">
        <v>16214</v>
      </c>
      <c r="E41" s="17" t="s">
        <v>13126</v>
      </c>
      <c r="F41" s="17" t="s">
        <v>96</v>
      </c>
      <c r="G41" s="18" t="s">
        <v>16215</v>
      </c>
      <c r="H41" s="18" t="s">
        <v>98</v>
      </c>
      <c r="I41" s="17" t="s">
        <v>16216</v>
      </c>
      <c r="J41" s="17">
        <v>5</v>
      </c>
      <c r="K41" s="17">
        <v>0</v>
      </c>
      <c r="L41" s="17" t="s">
        <v>16217</v>
      </c>
      <c r="M41" s="17" t="s">
        <v>8295</v>
      </c>
      <c r="N41" s="17" t="s">
        <v>16218</v>
      </c>
      <c r="O41" s="17" t="s">
        <v>16219</v>
      </c>
      <c r="P41" s="17" t="str">
        <f>HYPERLINK("https://photon-sol.tinyastro.io/en/lp/8LN9r6BvpJ39MA1JrTrn3WmEi7BSiqPGnnsMGBScpump?handle=676050794bc1b1657a56b", "View")</f>
        <v>View</v>
      </c>
    </row>
    <row r="42" spans="1:16" x14ac:dyDescent="0.25">
      <c r="A42" s="13" t="s">
        <v>16220</v>
      </c>
      <c r="B42" s="14">
        <v>2852452</v>
      </c>
      <c r="C42" s="14">
        <v>0</v>
      </c>
      <c r="D42" s="14" t="s">
        <v>16221</v>
      </c>
      <c r="E42" s="14" t="s">
        <v>6206</v>
      </c>
      <c r="F42" s="14" t="s">
        <v>96</v>
      </c>
      <c r="G42" s="18" t="s">
        <v>1977</v>
      </c>
      <c r="H42" s="18" t="s">
        <v>98</v>
      </c>
      <c r="I42" s="14" t="s">
        <v>16222</v>
      </c>
      <c r="J42" s="14">
        <v>1</v>
      </c>
      <c r="K42" s="14">
        <v>0</v>
      </c>
      <c r="L42" s="14" t="s">
        <v>16223</v>
      </c>
      <c r="M42" s="19" t="s">
        <v>101</v>
      </c>
      <c r="N42" s="14" t="s">
        <v>1011</v>
      </c>
      <c r="O42" s="14" t="s">
        <v>16224</v>
      </c>
      <c r="P42" s="14" t="str">
        <f>HYPERLINK("https://photon-sol.tinyastro.io/en/lp/Zw4DsMYU6rFopJzuLTfZ1z5HzFsPfVvUQjD7Ymipump?handle=676050794bc1b1657a56b", "View")</f>
        <v>View</v>
      </c>
    </row>
    <row r="43" spans="1:16" x14ac:dyDescent="0.25">
      <c r="A43" s="16" t="s">
        <v>16225</v>
      </c>
      <c r="B43" s="17">
        <v>2942179</v>
      </c>
      <c r="C43" s="17">
        <v>0</v>
      </c>
      <c r="D43" s="17" t="s">
        <v>12809</v>
      </c>
      <c r="E43" s="17" t="s">
        <v>4660</v>
      </c>
      <c r="F43" s="17" t="s">
        <v>96</v>
      </c>
      <c r="G43" s="18" t="s">
        <v>14118</v>
      </c>
      <c r="H43" s="18" t="s">
        <v>98</v>
      </c>
      <c r="I43" s="17" t="s">
        <v>16226</v>
      </c>
      <c r="J43" s="17">
        <v>1</v>
      </c>
      <c r="K43" s="17">
        <v>0</v>
      </c>
      <c r="L43" s="17" t="s">
        <v>16227</v>
      </c>
      <c r="M43" s="19" t="s">
        <v>101</v>
      </c>
      <c r="N43" s="17" t="s">
        <v>1011</v>
      </c>
      <c r="O43" s="17" t="s">
        <v>16228</v>
      </c>
      <c r="P43" s="17" t="str">
        <f>HYPERLINK("https://photon-sol.tinyastro.io/en/lp/6FiwqcM3PGPzWZXPJ6bQdiXRe3Ht9Ln7Axfp9u7Lpump?handle=676050794bc1b1657a56b", "View")</f>
        <v>View</v>
      </c>
    </row>
    <row r="44" spans="1:16" x14ac:dyDescent="0.25">
      <c r="A44" s="13" t="s">
        <v>16229</v>
      </c>
      <c r="B44" s="14">
        <v>290964</v>
      </c>
      <c r="C44" s="14">
        <v>0</v>
      </c>
      <c r="D44" s="14" t="s">
        <v>16230</v>
      </c>
      <c r="E44" s="14" t="s">
        <v>3911</v>
      </c>
      <c r="F44" s="14" t="s">
        <v>96</v>
      </c>
      <c r="G44" s="18" t="s">
        <v>10511</v>
      </c>
      <c r="H44" s="18" t="s">
        <v>98</v>
      </c>
      <c r="I44" s="14" t="s">
        <v>16231</v>
      </c>
      <c r="J44" s="14">
        <v>2</v>
      </c>
      <c r="K44" s="14">
        <v>0</v>
      </c>
      <c r="L44" s="14" t="s">
        <v>16232</v>
      </c>
      <c r="M44" s="19" t="s">
        <v>2486</v>
      </c>
      <c r="N44" s="14" t="s">
        <v>16233</v>
      </c>
      <c r="O44" s="14" t="s">
        <v>16234</v>
      </c>
      <c r="P44" s="14" t="str">
        <f>HYPERLINK("https://dexscreener.com/solana/6Yy5JBkrx6KFgpPZ2iibbk1kHfmS2wAS3sxVjCN2pump", "View")</f>
        <v>View</v>
      </c>
    </row>
    <row r="45" spans="1:16" x14ac:dyDescent="0.25">
      <c r="A45" s="16" t="s">
        <v>16235</v>
      </c>
      <c r="B45" s="17">
        <v>2448146</v>
      </c>
      <c r="C45" s="17">
        <v>0</v>
      </c>
      <c r="D45" s="17" t="s">
        <v>12809</v>
      </c>
      <c r="E45" s="17" t="s">
        <v>12706</v>
      </c>
      <c r="F45" s="17" t="s">
        <v>96</v>
      </c>
      <c r="G45" s="18" t="s">
        <v>3707</v>
      </c>
      <c r="H45" s="18" t="s">
        <v>98</v>
      </c>
      <c r="I45" s="17" t="s">
        <v>16236</v>
      </c>
      <c r="J45" s="17">
        <v>1</v>
      </c>
      <c r="K45" s="17">
        <v>0</v>
      </c>
      <c r="L45" s="17" t="s">
        <v>16237</v>
      </c>
      <c r="M45" s="19" t="s">
        <v>101</v>
      </c>
      <c r="N45" s="17" t="s">
        <v>1393</v>
      </c>
      <c r="O45" s="17" t="s">
        <v>16238</v>
      </c>
      <c r="P45" s="17" t="str">
        <f>HYPERLINK("https://photon-sol.tinyastro.io/en/lp/FqhbBvtSWipC3G1HxSatyw9MgkHz95ghRHYwzg2Npump?handle=676050794bc1b1657a56b", "View")</f>
        <v>View</v>
      </c>
    </row>
    <row r="46" spans="1:16" x14ac:dyDescent="0.25">
      <c r="A46" s="13" t="s">
        <v>16239</v>
      </c>
      <c r="B46" s="14">
        <v>800557</v>
      </c>
      <c r="C46" s="14">
        <v>0</v>
      </c>
      <c r="D46" s="14" t="s">
        <v>10436</v>
      </c>
      <c r="E46" s="14" t="s">
        <v>16240</v>
      </c>
      <c r="F46" s="14" t="s">
        <v>96</v>
      </c>
      <c r="G46" s="18" t="s">
        <v>16241</v>
      </c>
      <c r="H46" s="18" t="s">
        <v>98</v>
      </c>
      <c r="I46" s="14" t="s">
        <v>16242</v>
      </c>
      <c r="J46" s="14">
        <v>1</v>
      </c>
      <c r="K46" s="14">
        <v>0</v>
      </c>
      <c r="L46" s="14" t="s">
        <v>16243</v>
      </c>
      <c r="M46" s="19" t="s">
        <v>101</v>
      </c>
      <c r="N46" s="14" t="s">
        <v>5392</v>
      </c>
      <c r="O46" s="14" t="s">
        <v>16244</v>
      </c>
      <c r="P46" s="14" t="str">
        <f>HYPERLINK("https://photon-sol.tinyastro.io/en/lp/2pF3JytGUKjWJYKWWok2a7BXjs3bPU3jFNnroZGvpump?handle=676050794bc1b1657a56b", "View")</f>
        <v>View</v>
      </c>
    </row>
    <row r="47" spans="1:16" x14ac:dyDescent="0.25">
      <c r="A47" s="16" t="s">
        <v>16245</v>
      </c>
      <c r="B47" s="17">
        <v>934417</v>
      </c>
      <c r="C47" s="17">
        <v>0</v>
      </c>
      <c r="D47" s="17" t="s">
        <v>15934</v>
      </c>
      <c r="E47" s="17" t="s">
        <v>16246</v>
      </c>
      <c r="F47" s="17" t="s">
        <v>96</v>
      </c>
      <c r="G47" s="18" t="s">
        <v>7198</v>
      </c>
      <c r="H47" s="18" t="s">
        <v>98</v>
      </c>
      <c r="I47" s="17" t="s">
        <v>16247</v>
      </c>
      <c r="J47" s="17">
        <v>1</v>
      </c>
      <c r="K47" s="17">
        <v>0</v>
      </c>
      <c r="L47" s="17" t="s">
        <v>16248</v>
      </c>
      <c r="M47" s="19" t="s">
        <v>101</v>
      </c>
      <c r="N47" s="17" t="s">
        <v>1652</v>
      </c>
      <c r="O47" s="17" t="s">
        <v>16249</v>
      </c>
      <c r="P47" s="17" t="str">
        <f>HYPERLINK("https://photon-sol.tinyastro.io/en/lp/AVck6g2Fphw11drNTQisSxwvr5gER2iy78QiEJEVpump?handle=676050794bc1b1657a56b", "View")</f>
        <v>View</v>
      </c>
    </row>
    <row r="48" spans="1:16" x14ac:dyDescent="0.25">
      <c r="A48" s="13" t="s">
        <v>16250</v>
      </c>
      <c r="B48" s="14">
        <v>1311551</v>
      </c>
      <c r="C48" s="14">
        <v>0</v>
      </c>
      <c r="D48" s="14" t="s">
        <v>16251</v>
      </c>
      <c r="E48" s="14" t="s">
        <v>1007</v>
      </c>
      <c r="F48" s="14" t="s">
        <v>96</v>
      </c>
      <c r="G48" s="18" t="s">
        <v>11177</v>
      </c>
      <c r="H48" s="18" t="s">
        <v>98</v>
      </c>
      <c r="I48" s="14" t="s">
        <v>16252</v>
      </c>
      <c r="J48" s="14">
        <v>1</v>
      </c>
      <c r="K48" s="14">
        <v>0</v>
      </c>
      <c r="L48" s="14" t="s">
        <v>16253</v>
      </c>
      <c r="M48" s="19" t="s">
        <v>101</v>
      </c>
      <c r="N48" s="14" t="s">
        <v>16254</v>
      </c>
      <c r="O48" s="14" t="s">
        <v>16255</v>
      </c>
      <c r="P48" s="14" t="str">
        <f>HYPERLINK("https://dexscreener.com/solana/9vmHXuQa6qom7HLWphuJKTX5NSSy7PPWPuJBeENapump", "View")</f>
        <v>View</v>
      </c>
    </row>
    <row r="49" spans="1:16" x14ac:dyDescent="0.25">
      <c r="A49" s="16" t="s">
        <v>7689</v>
      </c>
      <c r="B49" s="17">
        <v>6092461</v>
      </c>
      <c r="C49" s="17">
        <v>0</v>
      </c>
      <c r="D49" s="17" t="s">
        <v>16256</v>
      </c>
      <c r="E49" s="17" t="s">
        <v>4326</v>
      </c>
      <c r="F49" s="17" t="s">
        <v>96</v>
      </c>
      <c r="G49" s="18" t="s">
        <v>16257</v>
      </c>
      <c r="H49" s="18" t="s">
        <v>98</v>
      </c>
      <c r="I49" s="17" t="s">
        <v>16258</v>
      </c>
      <c r="J49" s="17">
        <v>5</v>
      </c>
      <c r="K49" s="17">
        <v>0</v>
      </c>
      <c r="L49" s="17" t="s">
        <v>16259</v>
      </c>
      <c r="M49" s="17" t="s">
        <v>3180</v>
      </c>
      <c r="N49" s="17" t="s">
        <v>16260</v>
      </c>
      <c r="O49" s="17" t="s">
        <v>7693</v>
      </c>
      <c r="P49" s="17" t="str">
        <f>HYPERLINK("https://photon-sol.tinyastro.io/en/lp/7d8KoPHrEVCu4m8Wn6ZqrjGNbW2PNrTShXCnyaCvpump?handle=676050794bc1b1657a56b", "View")</f>
        <v>View</v>
      </c>
    </row>
    <row r="50" spans="1:16" x14ac:dyDescent="0.25">
      <c r="A50" s="13" t="s">
        <v>16261</v>
      </c>
      <c r="B50" s="14">
        <v>8748530</v>
      </c>
      <c r="C50" s="14">
        <v>8748530</v>
      </c>
      <c r="D50" s="14" t="s">
        <v>16262</v>
      </c>
      <c r="E50" s="14" t="s">
        <v>16263</v>
      </c>
      <c r="F50" s="14" t="s">
        <v>3733</v>
      </c>
      <c r="G50" s="20" t="s">
        <v>2514</v>
      </c>
      <c r="H50" s="20" t="s">
        <v>16264</v>
      </c>
      <c r="I50" s="14" t="s">
        <v>88</v>
      </c>
      <c r="J50" s="14">
        <v>1</v>
      </c>
      <c r="K50" s="14">
        <v>1</v>
      </c>
      <c r="L50" s="14" t="s">
        <v>16265</v>
      </c>
      <c r="M50" s="14" t="s">
        <v>1478</v>
      </c>
      <c r="N50" s="14" t="s">
        <v>2308</v>
      </c>
      <c r="O50" s="14" t="s">
        <v>16266</v>
      </c>
      <c r="P50" s="14" t="str">
        <f>HYPERLINK("https://photon-sol.tinyastro.io/en/lp/BCy9LVkt3LHWWLbrM4uF7BqoxyB6eMVJjnu1Jp9Ypump?handle=676050794bc1b1657a56b", "View")</f>
        <v>View</v>
      </c>
    </row>
    <row r="51" spans="1:16" x14ac:dyDescent="0.25">
      <c r="A51" s="16" t="s">
        <v>16267</v>
      </c>
      <c r="B51" s="17">
        <v>20175776</v>
      </c>
      <c r="C51" s="17">
        <v>0</v>
      </c>
      <c r="D51" s="17" t="s">
        <v>8469</v>
      </c>
      <c r="E51" s="17" t="s">
        <v>6418</v>
      </c>
      <c r="F51" s="17" t="s">
        <v>96</v>
      </c>
      <c r="G51" s="18" t="s">
        <v>10665</v>
      </c>
      <c r="H51" s="18" t="s">
        <v>98</v>
      </c>
      <c r="I51" s="17" t="s">
        <v>16268</v>
      </c>
      <c r="J51" s="17">
        <v>2</v>
      </c>
      <c r="K51" s="17">
        <v>0</v>
      </c>
      <c r="L51" s="17" t="s">
        <v>16269</v>
      </c>
      <c r="M51" s="19" t="s">
        <v>1730</v>
      </c>
      <c r="N51" s="17" t="s">
        <v>1011</v>
      </c>
      <c r="O51" s="17" t="s">
        <v>16270</v>
      </c>
      <c r="P51" s="17" t="str">
        <f>HYPERLINK("https://photon-sol.tinyastro.io/en/lp/5bkinx88vGPcYghbGEJ1sPDzatJghoMCddWPZfk4pump?handle=676050794bc1b1657a56b", "View")</f>
        <v>View</v>
      </c>
    </row>
    <row r="52" spans="1:16" x14ac:dyDescent="0.25">
      <c r="A52" s="13" t="s">
        <v>16271</v>
      </c>
      <c r="B52" s="14">
        <v>364859</v>
      </c>
      <c r="C52" s="14">
        <v>0</v>
      </c>
      <c r="D52" s="14" t="s">
        <v>9648</v>
      </c>
      <c r="E52" s="14" t="s">
        <v>1457</v>
      </c>
      <c r="F52" s="14" t="s">
        <v>96</v>
      </c>
      <c r="G52" s="18" t="s">
        <v>16272</v>
      </c>
      <c r="H52" s="18" t="s">
        <v>98</v>
      </c>
      <c r="I52" s="14" t="s">
        <v>16273</v>
      </c>
      <c r="J52" s="14">
        <v>1</v>
      </c>
      <c r="K52" s="14">
        <v>0</v>
      </c>
      <c r="L52" s="14" t="s">
        <v>16274</v>
      </c>
      <c r="M52" s="19" t="s">
        <v>101</v>
      </c>
      <c r="N52" s="14" t="s">
        <v>16275</v>
      </c>
      <c r="O52" s="14" t="s">
        <v>16276</v>
      </c>
      <c r="P52" s="14" t="str">
        <f>HYPERLINK("https://dexscreener.com/solana/6JGSHS9GrE9uG8ix63w3DPMYHrgrJ6J4QyHbBhAepump", "View")</f>
        <v>View</v>
      </c>
    </row>
    <row r="53" spans="1:16" x14ac:dyDescent="0.25">
      <c r="A53" s="16" t="s">
        <v>5931</v>
      </c>
      <c r="B53" s="17">
        <v>1287006</v>
      </c>
      <c r="C53" s="17">
        <v>0</v>
      </c>
      <c r="D53" s="17" t="s">
        <v>8799</v>
      </c>
      <c r="E53" s="17" t="s">
        <v>2375</v>
      </c>
      <c r="F53" s="17" t="s">
        <v>96</v>
      </c>
      <c r="G53" s="18" t="s">
        <v>16277</v>
      </c>
      <c r="H53" s="18" t="s">
        <v>98</v>
      </c>
      <c r="I53" s="17" t="s">
        <v>16278</v>
      </c>
      <c r="J53" s="17">
        <v>2</v>
      </c>
      <c r="K53" s="17">
        <v>0</v>
      </c>
      <c r="L53" s="17" t="s">
        <v>16279</v>
      </c>
      <c r="M53" s="17" t="s">
        <v>1566</v>
      </c>
      <c r="N53" s="17" t="s">
        <v>16280</v>
      </c>
      <c r="O53" s="17" t="s">
        <v>16281</v>
      </c>
      <c r="P53" s="17" t="str">
        <f>HYPERLINK("https://dexscreener.com/solana/7CdD3XftGt4vFkkRshJPLPQeKmgnQ4RrE6Cvrrnjpump", "View")</f>
        <v>View</v>
      </c>
    </row>
    <row r="54" spans="1:16" x14ac:dyDescent="0.25">
      <c r="A54" s="13" t="s">
        <v>16282</v>
      </c>
      <c r="B54" s="14">
        <v>1508256</v>
      </c>
      <c r="C54" s="14">
        <v>490183</v>
      </c>
      <c r="D54" s="14" t="s">
        <v>16283</v>
      </c>
      <c r="E54" s="14" t="s">
        <v>3555</v>
      </c>
      <c r="F54" s="14" t="s">
        <v>3015</v>
      </c>
      <c r="G54" s="21" t="s">
        <v>13599</v>
      </c>
      <c r="H54" s="21" t="s">
        <v>16284</v>
      </c>
      <c r="I54" s="14" t="s">
        <v>88</v>
      </c>
      <c r="J54" s="14">
        <v>2</v>
      </c>
      <c r="K54" s="14">
        <v>2</v>
      </c>
      <c r="L54" s="14" t="s">
        <v>16285</v>
      </c>
      <c r="M54" s="14" t="s">
        <v>117</v>
      </c>
      <c r="N54" s="14" t="s">
        <v>16286</v>
      </c>
      <c r="O54" s="14" t="s">
        <v>16287</v>
      </c>
      <c r="P54" s="14" t="str">
        <f>HYPERLINK("https://photon-sol.tinyastro.io/en/lp/BxBReZ7gTa4HBC29A3KtmsjqnobvRu9g59gBMbTUpump?handle=676050794bc1b1657a56b", "View")</f>
        <v>View</v>
      </c>
    </row>
    <row r="55" spans="1:16" x14ac:dyDescent="0.25">
      <c r="A55" s="16" t="s">
        <v>16288</v>
      </c>
      <c r="B55" s="17">
        <v>13007432</v>
      </c>
      <c r="C55" s="17">
        <v>2500000</v>
      </c>
      <c r="D55" s="17" t="s">
        <v>16289</v>
      </c>
      <c r="E55" s="17" t="s">
        <v>16290</v>
      </c>
      <c r="F55" s="17" t="s">
        <v>16291</v>
      </c>
      <c r="G55" s="15" t="s">
        <v>16292</v>
      </c>
      <c r="H55" s="15" t="s">
        <v>16293</v>
      </c>
      <c r="I55" s="17" t="s">
        <v>88</v>
      </c>
      <c r="J55" s="17">
        <v>6</v>
      </c>
      <c r="K55" s="17">
        <v>1</v>
      </c>
      <c r="L55" s="17" t="s">
        <v>16294</v>
      </c>
      <c r="M55" s="17" t="s">
        <v>179</v>
      </c>
      <c r="N55" s="17" t="s">
        <v>16295</v>
      </c>
      <c r="O55" s="17" t="s">
        <v>16296</v>
      </c>
      <c r="P55" s="17" t="str">
        <f>HYPERLINK("https://photon-sol.tinyastro.io/en/lp/DyvXbodEXuM4Uv9WR6GymGB9fwBakwe6R6g1dcfKpump?handle=676050794bc1b1657a56b", "View")</f>
        <v>View</v>
      </c>
    </row>
    <row r="56" spans="1:16" x14ac:dyDescent="0.25">
      <c r="A56" s="13" t="s">
        <v>16297</v>
      </c>
      <c r="B56" s="14">
        <v>1186966</v>
      </c>
      <c r="C56" s="14">
        <v>1186966</v>
      </c>
      <c r="D56" s="14" t="s">
        <v>7735</v>
      </c>
      <c r="E56" s="14" t="s">
        <v>11553</v>
      </c>
      <c r="F56" s="14" t="s">
        <v>96</v>
      </c>
      <c r="G56" s="15" t="s">
        <v>16298</v>
      </c>
      <c r="H56" s="15" t="s">
        <v>16299</v>
      </c>
      <c r="I56" s="14" t="s">
        <v>88</v>
      </c>
      <c r="J56" s="14">
        <v>1</v>
      </c>
      <c r="K56" s="14">
        <v>1</v>
      </c>
      <c r="L56" s="14" t="s">
        <v>16300</v>
      </c>
      <c r="M56" s="14" t="s">
        <v>2695</v>
      </c>
      <c r="N56" s="14" t="s">
        <v>16301</v>
      </c>
      <c r="O56" s="14" t="s">
        <v>16302</v>
      </c>
      <c r="P56" s="14" t="str">
        <f>HYPERLINK("https://photon-sol.tinyastro.io/en/lp/6yuBDMtZXB2uif5xWcZQ2kNeJmCy7kC3VC4PsfGt8paN?handle=676050794bc1b1657a56b", "View")</f>
        <v>View</v>
      </c>
    </row>
    <row r="57" spans="1:16" x14ac:dyDescent="0.25">
      <c r="A57" s="16" t="s">
        <v>5413</v>
      </c>
      <c r="B57" s="17">
        <v>2501105</v>
      </c>
      <c r="C57" s="17">
        <v>0</v>
      </c>
      <c r="D57" s="17" t="s">
        <v>10157</v>
      </c>
      <c r="E57" s="17" t="s">
        <v>16263</v>
      </c>
      <c r="F57" s="17" t="s">
        <v>96</v>
      </c>
      <c r="G57" s="18" t="s">
        <v>16303</v>
      </c>
      <c r="H57" s="18" t="s">
        <v>98</v>
      </c>
      <c r="I57" s="17" t="s">
        <v>16304</v>
      </c>
      <c r="J57" s="17">
        <v>1</v>
      </c>
      <c r="K57" s="17">
        <v>0</v>
      </c>
      <c r="L57" s="17" t="s">
        <v>16305</v>
      </c>
      <c r="M57" s="19" t="s">
        <v>101</v>
      </c>
      <c r="N57" s="17" t="s">
        <v>1208</v>
      </c>
      <c r="O57" s="17" t="s">
        <v>5417</v>
      </c>
      <c r="P57" s="17" t="str">
        <f>HYPERLINK("https://photon-sol.tinyastro.io/en/lp/DDtTW7vqbhVnjN6mW2ihgqMYY9zCJt9hnaKBH66Tpump?handle=676050794bc1b1657a56b", "View")</f>
        <v>View</v>
      </c>
    </row>
    <row r="58" spans="1:16" x14ac:dyDescent="0.25">
      <c r="A58" s="13" t="s">
        <v>659</v>
      </c>
      <c r="B58" s="14">
        <v>7304004</v>
      </c>
      <c r="C58" s="14">
        <v>3359842</v>
      </c>
      <c r="D58" s="14" t="s">
        <v>16306</v>
      </c>
      <c r="E58" s="14" t="s">
        <v>3404</v>
      </c>
      <c r="F58" s="14" t="s">
        <v>16307</v>
      </c>
      <c r="G58" s="21" t="s">
        <v>16308</v>
      </c>
      <c r="H58" s="21" t="s">
        <v>16309</v>
      </c>
      <c r="I58" s="14" t="s">
        <v>88</v>
      </c>
      <c r="J58" s="14">
        <v>2</v>
      </c>
      <c r="K58" s="14">
        <v>3</v>
      </c>
      <c r="L58" s="14" t="s">
        <v>16310</v>
      </c>
      <c r="M58" s="14" t="s">
        <v>680</v>
      </c>
      <c r="N58" s="14" t="s">
        <v>16311</v>
      </c>
      <c r="O58" s="14" t="s">
        <v>665</v>
      </c>
      <c r="P58" s="14" t="str">
        <f>HYPERLINK("https://dexscreener.com/solana/3jg8dpbGd9bm3MELMxeu7m7yCGNgiWCn7JUeYTk9pump", "View")</f>
        <v>View</v>
      </c>
    </row>
    <row r="59" spans="1:16" x14ac:dyDescent="0.25">
      <c r="A59" s="16" t="s">
        <v>1906</v>
      </c>
      <c r="B59" s="17">
        <v>2583517</v>
      </c>
      <c r="C59" s="17">
        <v>0</v>
      </c>
      <c r="D59" s="17" t="s">
        <v>8469</v>
      </c>
      <c r="E59" s="17" t="s">
        <v>16312</v>
      </c>
      <c r="F59" s="17" t="s">
        <v>96</v>
      </c>
      <c r="G59" s="18" t="s">
        <v>16145</v>
      </c>
      <c r="H59" s="18" t="s">
        <v>98</v>
      </c>
      <c r="I59" s="17" t="s">
        <v>16313</v>
      </c>
      <c r="J59" s="17">
        <v>2</v>
      </c>
      <c r="K59" s="17">
        <v>0</v>
      </c>
      <c r="L59" s="17" t="s">
        <v>16314</v>
      </c>
      <c r="M59" s="19" t="s">
        <v>1872</v>
      </c>
      <c r="N59" s="17" t="s">
        <v>507</v>
      </c>
      <c r="O59" s="17" t="s">
        <v>1912</v>
      </c>
      <c r="P59" s="17" t="str">
        <f>HYPERLINK("https://photon-sol.tinyastro.io/en/lp/HuNbZDt5jt4XJvTpTZSYXnz6g6VjyCWVTtQU3A4Apump?handle=676050794bc1b1657a56b", "View")</f>
        <v>View</v>
      </c>
    </row>
    <row r="60" spans="1:16" x14ac:dyDescent="0.25">
      <c r="A60" s="13" t="s">
        <v>16315</v>
      </c>
      <c r="B60" s="14">
        <v>18281591</v>
      </c>
      <c r="C60" s="14">
        <v>0</v>
      </c>
      <c r="D60" s="14" t="s">
        <v>8799</v>
      </c>
      <c r="E60" s="14" t="s">
        <v>3577</v>
      </c>
      <c r="F60" s="14" t="s">
        <v>96</v>
      </c>
      <c r="G60" s="18" t="s">
        <v>16316</v>
      </c>
      <c r="H60" s="18" t="s">
        <v>98</v>
      </c>
      <c r="I60" s="14" t="s">
        <v>16317</v>
      </c>
      <c r="J60" s="14">
        <v>2</v>
      </c>
      <c r="K60" s="14">
        <v>0</v>
      </c>
      <c r="L60" s="14" t="s">
        <v>16318</v>
      </c>
      <c r="M60" s="14" t="s">
        <v>1434</v>
      </c>
      <c r="N60" s="14" t="s">
        <v>12852</v>
      </c>
      <c r="O60" s="14" t="s">
        <v>16319</v>
      </c>
      <c r="P60" s="14" t="str">
        <f>HYPERLINK("https://dexscreener.com/solana/G2gwDJDdtDTJyZ97GPBevq4HFMgXqbAxr7Eq1LTdpump", "View")</f>
        <v>View</v>
      </c>
    </row>
    <row r="61" spans="1:16" x14ac:dyDescent="0.25">
      <c r="A61" s="16" t="s">
        <v>16320</v>
      </c>
      <c r="B61" s="17">
        <v>7456538</v>
      </c>
      <c r="C61" s="17">
        <v>0</v>
      </c>
      <c r="D61" s="17" t="s">
        <v>10157</v>
      </c>
      <c r="E61" s="17" t="s">
        <v>16263</v>
      </c>
      <c r="F61" s="17" t="s">
        <v>96</v>
      </c>
      <c r="G61" s="18" t="s">
        <v>16303</v>
      </c>
      <c r="H61" s="18" t="s">
        <v>98</v>
      </c>
      <c r="I61" s="17" t="s">
        <v>16321</v>
      </c>
      <c r="J61" s="17">
        <v>1</v>
      </c>
      <c r="K61" s="17">
        <v>0</v>
      </c>
      <c r="L61" s="17" t="s">
        <v>16322</v>
      </c>
      <c r="M61" s="19" t="s">
        <v>101</v>
      </c>
      <c r="N61" s="17" t="s">
        <v>507</v>
      </c>
      <c r="O61" s="17" t="s">
        <v>16323</v>
      </c>
      <c r="P61" s="17" t="str">
        <f>HYPERLINK("https://photon-sol.tinyastro.io/en/lp/BAVqZDmoTugkZQpJfvoAoWJrhKPF4d4p45FcK8uCpump?handle=676050794bc1b1657a56b", "View")</f>
        <v>View</v>
      </c>
    </row>
    <row r="62" spans="1:16" x14ac:dyDescent="0.25">
      <c r="A62" s="13" t="s">
        <v>16324</v>
      </c>
      <c r="B62" s="14">
        <v>1951813</v>
      </c>
      <c r="C62" s="14">
        <v>0</v>
      </c>
      <c r="D62" s="14" t="s">
        <v>16325</v>
      </c>
      <c r="E62" s="14" t="s">
        <v>5057</v>
      </c>
      <c r="F62" s="14" t="s">
        <v>96</v>
      </c>
      <c r="G62" s="18" t="s">
        <v>13266</v>
      </c>
      <c r="H62" s="18" t="s">
        <v>98</v>
      </c>
      <c r="I62" s="14" t="s">
        <v>16326</v>
      </c>
      <c r="J62" s="14">
        <v>1</v>
      </c>
      <c r="K62" s="14">
        <v>0</v>
      </c>
      <c r="L62" s="14" t="s">
        <v>16327</v>
      </c>
      <c r="M62" s="19" t="s">
        <v>101</v>
      </c>
      <c r="N62" s="14" t="s">
        <v>1393</v>
      </c>
      <c r="O62" s="14" t="s">
        <v>16328</v>
      </c>
      <c r="P62" s="14" t="str">
        <f>HYPERLINK("https://photon-sol.tinyastro.io/en/lp/ASKsum5CRMwf6NcX7jt9MQy9zt7hNp66dF6p2p37pump?handle=676050794bc1b1657a56b", "View")</f>
        <v>View</v>
      </c>
    </row>
    <row r="63" spans="1:16" x14ac:dyDescent="0.25">
      <c r="A63" s="16" t="s">
        <v>16329</v>
      </c>
      <c r="B63" s="17">
        <v>1467120</v>
      </c>
      <c r="C63" s="17">
        <v>0</v>
      </c>
      <c r="D63" s="17" t="s">
        <v>16325</v>
      </c>
      <c r="E63" s="17" t="s">
        <v>16263</v>
      </c>
      <c r="F63" s="17" t="s">
        <v>96</v>
      </c>
      <c r="G63" s="18" t="s">
        <v>14305</v>
      </c>
      <c r="H63" s="18" t="s">
        <v>98</v>
      </c>
      <c r="I63" s="17" t="s">
        <v>16330</v>
      </c>
      <c r="J63" s="17">
        <v>1</v>
      </c>
      <c r="K63" s="17">
        <v>0</v>
      </c>
      <c r="L63" s="17" t="s">
        <v>16331</v>
      </c>
      <c r="M63" s="19" t="s">
        <v>101</v>
      </c>
      <c r="N63" s="17" t="s">
        <v>591</v>
      </c>
      <c r="O63" s="17" t="s">
        <v>16332</v>
      </c>
      <c r="P63" s="17" t="str">
        <f>HYPERLINK("https://photon-sol.tinyastro.io/en/lp/4G5uGScFqxnoqNHjg98eKH4ZhCJBWB2nAsGUMqfwpump?handle=676050794bc1b1657a56b", "View")</f>
        <v>View</v>
      </c>
    </row>
    <row r="64" spans="1:16" x14ac:dyDescent="0.25">
      <c r="A64" s="13" t="s">
        <v>16333</v>
      </c>
      <c r="B64" s="14">
        <v>790761</v>
      </c>
      <c r="C64" s="14">
        <v>0</v>
      </c>
      <c r="D64" s="14" t="s">
        <v>16325</v>
      </c>
      <c r="E64" s="14" t="s">
        <v>5057</v>
      </c>
      <c r="F64" s="14" t="s">
        <v>96</v>
      </c>
      <c r="G64" s="18" t="s">
        <v>13266</v>
      </c>
      <c r="H64" s="18" t="s">
        <v>98</v>
      </c>
      <c r="I64" s="14" t="s">
        <v>16334</v>
      </c>
      <c r="J64" s="14">
        <v>1</v>
      </c>
      <c r="K64" s="14">
        <v>0</v>
      </c>
      <c r="L64" s="14" t="s">
        <v>16335</v>
      </c>
      <c r="M64" s="19" t="s">
        <v>101</v>
      </c>
      <c r="N64" s="14" t="s">
        <v>5392</v>
      </c>
      <c r="O64" s="14" t="s">
        <v>16336</v>
      </c>
      <c r="P64" s="14" t="str">
        <f>HYPERLINK("https://photon-sol.tinyastro.io/en/lp/GnUvqvSubPqa1b7JP3DHo33YTjRGyKLEaLufRjC7pump?handle=676050794bc1b1657a56b", "View")</f>
        <v>View</v>
      </c>
    </row>
    <row r="65" spans="1:16" x14ac:dyDescent="0.25">
      <c r="A65" s="16" t="s">
        <v>16337</v>
      </c>
      <c r="B65" s="17">
        <v>588986</v>
      </c>
      <c r="C65" s="17">
        <v>0</v>
      </c>
      <c r="D65" s="17" t="s">
        <v>16338</v>
      </c>
      <c r="E65" s="17" t="s">
        <v>4679</v>
      </c>
      <c r="F65" s="17" t="s">
        <v>96</v>
      </c>
      <c r="G65" s="18" t="s">
        <v>16339</v>
      </c>
      <c r="H65" s="18" t="s">
        <v>98</v>
      </c>
      <c r="I65" s="17" t="s">
        <v>16340</v>
      </c>
      <c r="J65" s="17">
        <v>1</v>
      </c>
      <c r="K65" s="17">
        <v>0</v>
      </c>
      <c r="L65" s="17" t="s">
        <v>16341</v>
      </c>
      <c r="M65" s="19" t="s">
        <v>101</v>
      </c>
      <c r="N65" s="17" t="s">
        <v>16342</v>
      </c>
      <c r="O65" s="17" t="s">
        <v>16343</v>
      </c>
      <c r="P65" s="17" t="str">
        <f>HYPERLINK("https://dexscreener.com/solana/ASzNqvpm61xuzBDqbup2ojfidjKuoZSBkM9ryuErpump", "View")</f>
        <v>View</v>
      </c>
    </row>
    <row r="66" spans="1:16" x14ac:dyDescent="0.25">
      <c r="A66" s="13" t="s">
        <v>16344</v>
      </c>
      <c r="B66" s="14">
        <v>1853247</v>
      </c>
      <c r="C66" s="14">
        <v>0</v>
      </c>
      <c r="D66" s="14" t="s">
        <v>16345</v>
      </c>
      <c r="E66" s="14" t="s">
        <v>3555</v>
      </c>
      <c r="F66" s="14" t="s">
        <v>96</v>
      </c>
      <c r="G66" s="18" t="s">
        <v>16346</v>
      </c>
      <c r="H66" s="18" t="s">
        <v>98</v>
      </c>
      <c r="I66" s="14" t="s">
        <v>16347</v>
      </c>
      <c r="J66" s="14">
        <v>2</v>
      </c>
      <c r="K66" s="14">
        <v>0</v>
      </c>
      <c r="L66" s="14" t="s">
        <v>16348</v>
      </c>
      <c r="M66" s="19" t="s">
        <v>2525</v>
      </c>
      <c r="N66" s="14" t="s">
        <v>507</v>
      </c>
      <c r="O66" s="14" t="s">
        <v>16349</v>
      </c>
      <c r="P66" s="14" t="str">
        <f>HYPERLINK("https://photon-sol.tinyastro.io/en/lp/gfNfa7A2aJku4M9VPjk3CtVchPFdAoznTkX5fB4pump?handle=676050794bc1b1657a56b", "View")</f>
        <v>View</v>
      </c>
    </row>
    <row r="67" spans="1:16" x14ac:dyDescent="0.25">
      <c r="A67" s="16" t="s">
        <v>16350</v>
      </c>
      <c r="B67" s="17">
        <v>1346005</v>
      </c>
      <c r="C67" s="17">
        <v>673003</v>
      </c>
      <c r="D67" s="17" t="s">
        <v>8631</v>
      </c>
      <c r="E67" s="17" t="s">
        <v>16263</v>
      </c>
      <c r="F67" s="17" t="s">
        <v>16351</v>
      </c>
      <c r="G67" s="21" t="s">
        <v>16352</v>
      </c>
      <c r="H67" s="21" t="s">
        <v>16353</v>
      </c>
      <c r="I67" s="17" t="s">
        <v>88</v>
      </c>
      <c r="J67" s="17">
        <v>1</v>
      </c>
      <c r="K67" s="17">
        <v>1</v>
      </c>
      <c r="L67" s="17" t="s">
        <v>16354</v>
      </c>
      <c r="M67" s="17" t="s">
        <v>1159</v>
      </c>
      <c r="N67" s="17" t="s">
        <v>16355</v>
      </c>
      <c r="O67" s="17" t="s">
        <v>16356</v>
      </c>
      <c r="P67" s="17" t="str">
        <f>HYPERLINK("https://photon-sol.tinyastro.io/en/lp/5erQKZrsPgemDfuLVDMNcB4J85pPmDD78Zp1gsiWpump?handle=676050794bc1b1657a56b", "View")</f>
        <v>View</v>
      </c>
    </row>
    <row r="68" spans="1:16" x14ac:dyDescent="0.25">
      <c r="A68" s="13" t="s">
        <v>6855</v>
      </c>
      <c r="B68" s="14">
        <v>792509</v>
      </c>
      <c r="C68" s="14">
        <v>198127</v>
      </c>
      <c r="D68" s="14" t="s">
        <v>10536</v>
      </c>
      <c r="E68" s="14" t="s">
        <v>1457</v>
      </c>
      <c r="F68" s="14" t="s">
        <v>2226</v>
      </c>
      <c r="G68" s="22" t="s">
        <v>4951</v>
      </c>
      <c r="H68" s="22" t="s">
        <v>16357</v>
      </c>
      <c r="I68" s="14" t="s">
        <v>88</v>
      </c>
      <c r="J68" s="14">
        <v>2</v>
      </c>
      <c r="K68" s="14">
        <v>1</v>
      </c>
      <c r="L68" s="14" t="s">
        <v>16358</v>
      </c>
      <c r="M68" s="14" t="s">
        <v>398</v>
      </c>
      <c r="N68" s="14" t="s">
        <v>16359</v>
      </c>
      <c r="O68" s="14" t="s">
        <v>16360</v>
      </c>
      <c r="P68" s="14" t="str">
        <f>HYPERLINK("https://dexscreener.com/solana/FoeFu2gnaJpHXXbB4RKHTHAx1YZ4umgB7FTh7kc9pump", "View")</f>
        <v>View</v>
      </c>
    </row>
    <row r="69" spans="1:16" x14ac:dyDescent="0.25">
      <c r="A69" s="16" t="s">
        <v>16361</v>
      </c>
      <c r="B69" s="17">
        <v>8261210</v>
      </c>
      <c r="C69" s="17">
        <v>6931751</v>
      </c>
      <c r="D69" s="17" t="s">
        <v>16362</v>
      </c>
      <c r="E69" s="17" t="s">
        <v>16363</v>
      </c>
      <c r="F69" s="17" t="s">
        <v>16364</v>
      </c>
      <c r="G69" s="21" t="s">
        <v>16365</v>
      </c>
      <c r="H69" s="21" t="s">
        <v>16366</v>
      </c>
      <c r="I69" s="17" t="s">
        <v>88</v>
      </c>
      <c r="J69" s="17">
        <v>9</v>
      </c>
      <c r="K69" s="17">
        <v>11</v>
      </c>
      <c r="L69" s="17" t="s">
        <v>16367</v>
      </c>
      <c r="M69" s="17" t="s">
        <v>656</v>
      </c>
      <c r="N69" s="17" t="s">
        <v>16368</v>
      </c>
      <c r="O69" s="17" t="s">
        <v>16369</v>
      </c>
      <c r="P69" s="17" t="str">
        <f>HYPERLINK("https://photon-sol.tinyastro.io/en/lp/43b2WtokZQTt8wJ2Z6xDvq3uaBcZPdp2bvxBXfg3pump?handle=676050794bc1b1657a56b", "View")</f>
        <v>View</v>
      </c>
    </row>
    <row r="70" spans="1:16" x14ac:dyDescent="0.25">
      <c r="A70" s="13" t="s">
        <v>16370</v>
      </c>
      <c r="B70" s="14">
        <v>4652067</v>
      </c>
      <c r="C70" s="14">
        <v>0</v>
      </c>
      <c r="D70" s="14" t="s">
        <v>10157</v>
      </c>
      <c r="E70" s="14" t="s">
        <v>5057</v>
      </c>
      <c r="F70" s="14" t="s">
        <v>96</v>
      </c>
      <c r="G70" s="18" t="s">
        <v>4161</v>
      </c>
      <c r="H70" s="18" t="s">
        <v>98</v>
      </c>
      <c r="I70" s="14" t="s">
        <v>16371</v>
      </c>
      <c r="J70" s="14">
        <v>1</v>
      </c>
      <c r="K70" s="14">
        <v>0</v>
      </c>
      <c r="L70" s="14" t="s">
        <v>16372</v>
      </c>
      <c r="M70" s="19" t="s">
        <v>101</v>
      </c>
      <c r="N70" s="14" t="s">
        <v>1011</v>
      </c>
      <c r="O70" s="14" t="s">
        <v>16373</v>
      </c>
      <c r="P70" s="14" t="str">
        <f>HYPERLINK("https://photon-sol.tinyastro.io/en/lp/BGtsquJNAJBtn4rPyJdXBETEwcDB9LFWAP2WQkKFpump?handle=676050794bc1b1657a56b", "View")</f>
        <v>View</v>
      </c>
    </row>
    <row r="71" spans="1:16" x14ac:dyDescent="0.25">
      <c r="A71" s="16" t="s">
        <v>16374</v>
      </c>
      <c r="B71" s="17">
        <v>1335936</v>
      </c>
      <c r="C71" s="17">
        <v>0</v>
      </c>
      <c r="D71" s="17" t="s">
        <v>16375</v>
      </c>
      <c r="E71" s="17" t="s">
        <v>4665</v>
      </c>
      <c r="F71" s="17" t="s">
        <v>96</v>
      </c>
      <c r="G71" s="18" t="s">
        <v>2726</v>
      </c>
      <c r="H71" s="18" t="s">
        <v>98</v>
      </c>
      <c r="I71" s="17" t="s">
        <v>16376</v>
      </c>
      <c r="J71" s="17">
        <v>1</v>
      </c>
      <c r="K71" s="17">
        <v>0</v>
      </c>
      <c r="L71" s="17" t="s">
        <v>16377</v>
      </c>
      <c r="M71" s="19" t="s">
        <v>101</v>
      </c>
      <c r="N71" s="17" t="s">
        <v>573</v>
      </c>
      <c r="O71" s="17" t="s">
        <v>16378</v>
      </c>
      <c r="P71" s="17" t="str">
        <f>HYPERLINK("https://dexscreener.com/solana/4XdoF4hbigy5nXxD7C3kfhAd8fwr8ysweNvjU7EEpump", "View")</f>
        <v>View</v>
      </c>
    </row>
    <row r="72" spans="1:16" x14ac:dyDescent="0.25">
      <c r="A72" s="13" t="s">
        <v>16379</v>
      </c>
      <c r="B72" s="14">
        <v>4783387</v>
      </c>
      <c r="C72" s="14">
        <v>0</v>
      </c>
      <c r="D72" s="14" t="s">
        <v>16325</v>
      </c>
      <c r="E72" s="14" t="s">
        <v>5057</v>
      </c>
      <c r="F72" s="14" t="s">
        <v>96</v>
      </c>
      <c r="G72" s="18" t="s">
        <v>13266</v>
      </c>
      <c r="H72" s="18" t="s">
        <v>98</v>
      </c>
      <c r="I72" s="14" t="s">
        <v>16380</v>
      </c>
      <c r="J72" s="14">
        <v>1</v>
      </c>
      <c r="K72" s="14">
        <v>0</v>
      </c>
      <c r="L72" s="14" t="s">
        <v>16381</v>
      </c>
      <c r="M72" s="19" t="s">
        <v>101</v>
      </c>
      <c r="N72" s="14" t="s">
        <v>1011</v>
      </c>
      <c r="O72" s="14" t="s">
        <v>16382</v>
      </c>
      <c r="P72" s="14" t="str">
        <f>HYPERLINK("https://photon-sol.tinyastro.io/en/lp/26w9vJnoycKVjGeTSqXWAEZ9fab1sqbTeeeR11fDpump?handle=676050794bc1b1657a56b", "View")</f>
        <v>View</v>
      </c>
    </row>
    <row r="73" spans="1:16" x14ac:dyDescent="0.25">
      <c r="A73" s="16" t="s">
        <v>16383</v>
      </c>
      <c r="B73" s="17">
        <v>4434575</v>
      </c>
      <c r="C73" s="17">
        <v>0</v>
      </c>
      <c r="D73" s="17" t="s">
        <v>12685</v>
      </c>
      <c r="E73" s="17" t="s">
        <v>16182</v>
      </c>
      <c r="F73" s="17" t="s">
        <v>96</v>
      </c>
      <c r="G73" s="18" t="s">
        <v>11022</v>
      </c>
      <c r="H73" s="18" t="s">
        <v>98</v>
      </c>
      <c r="I73" s="17" t="s">
        <v>16384</v>
      </c>
      <c r="J73" s="17">
        <v>1</v>
      </c>
      <c r="K73" s="17">
        <v>0</v>
      </c>
      <c r="L73" s="17" t="s">
        <v>16385</v>
      </c>
      <c r="M73" s="19" t="s">
        <v>101</v>
      </c>
      <c r="N73" s="17" t="s">
        <v>1980</v>
      </c>
      <c r="O73" s="17" t="s">
        <v>16386</v>
      </c>
      <c r="P73" s="17" t="str">
        <f>HYPERLINK("https://photon-sol.tinyastro.io/en/lp/3iRtP1eEK8weWpwdMg1fuQ5d1F4HL6PwGuSLHqkfpump?handle=676050794bc1b1657a56b", "View")</f>
        <v>View</v>
      </c>
    </row>
    <row r="74" spans="1:16" x14ac:dyDescent="0.25">
      <c r="A74" s="13" t="s">
        <v>16387</v>
      </c>
      <c r="B74" s="14">
        <v>1145965</v>
      </c>
      <c r="C74" s="14">
        <v>458386</v>
      </c>
      <c r="D74" s="14" t="s">
        <v>16388</v>
      </c>
      <c r="E74" s="14" t="s">
        <v>1007</v>
      </c>
      <c r="F74" s="14" t="s">
        <v>12822</v>
      </c>
      <c r="G74" s="15" t="s">
        <v>16389</v>
      </c>
      <c r="H74" s="15" t="s">
        <v>16390</v>
      </c>
      <c r="I74" s="14" t="s">
        <v>88</v>
      </c>
      <c r="J74" s="14">
        <v>2</v>
      </c>
      <c r="K74" s="14">
        <v>2</v>
      </c>
      <c r="L74" s="14" t="s">
        <v>16391</v>
      </c>
      <c r="M74" s="14" t="s">
        <v>1566</v>
      </c>
      <c r="N74" s="14" t="s">
        <v>16392</v>
      </c>
      <c r="O74" s="14" t="s">
        <v>16393</v>
      </c>
      <c r="P74" s="14" t="str">
        <f>HYPERLINK("https://dexscreener.com/solana/9fNERHtBMBRUtCJS6GGkg1JMPhtkV1ko6vFUvMkipump", "View")</f>
        <v>View</v>
      </c>
    </row>
    <row r="75" spans="1:16" x14ac:dyDescent="0.25">
      <c r="A75" s="16" t="s">
        <v>16394</v>
      </c>
      <c r="B75" s="17">
        <v>4022144</v>
      </c>
      <c r="C75" s="17">
        <v>0</v>
      </c>
      <c r="D75" s="17" t="s">
        <v>12685</v>
      </c>
      <c r="E75" s="17" t="s">
        <v>1868</v>
      </c>
      <c r="F75" s="17" t="s">
        <v>96</v>
      </c>
      <c r="G75" s="18" t="s">
        <v>16395</v>
      </c>
      <c r="H75" s="18" t="s">
        <v>98</v>
      </c>
      <c r="I75" s="17" t="s">
        <v>16396</v>
      </c>
      <c r="J75" s="17">
        <v>1</v>
      </c>
      <c r="K75" s="17">
        <v>0</v>
      </c>
      <c r="L75" s="17" t="s">
        <v>16397</v>
      </c>
      <c r="M75" s="19" t="s">
        <v>101</v>
      </c>
      <c r="N75" s="17" t="s">
        <v>11522</v>
      </c>
      <c r="O75" s="17" t="s">
        <v>16398</v>
      </c>
      <c r="P75" s="17" t="str">
        <f>HYPERLINK("https://photon-sol.tinyastro.io/en/lp/E3Vr5iW1AaDYbBX7Ay7gxiMt8WZ2TGGLqENPRupeAaqd?handle=676050794bc1b1657a56b", "View")</f>
        <v>View</v>
      </c>
    </row>
    <row r="76" spans="1:16" x14ac:dyDescent="0.25">
      <c r="A76" s="13" t="s">
        <v>2544</v>
      </c>
      <c r="B76" s="14">
        <v>8217694</v>
      </c>
      <c r="C76" s="14">
        <v>0</v>
      </c>
      <c r="D76" s="14" t="s">
        <v>8469</v>
      </c>
      <c r="E76" s="14" t="s">
        <v>3387</v>
      </c>
      <c r="F76" s="14" t="s">
        <v>96</v>
      </c>
      <c r="G76" s="18" t="s">
        <v>16399</v>
      </c>
      <c r="H76" s="18" t="s">
        <v>98</v>
      </c>
      <c r="I76" s="14" t="s">
        <v>16400</v>
      </c>
      <c r="J76" s="14">
        <v>2</v>
      </c>
      <c r="K76" s="14">
        <v>0</v>
      </c>
      <c r="L76" s="14" t="s">
        <v>16401</v>
      </c>
      <c r="M76" s="14" t="s">
        <v>317</v>
      </c>
      <c r="N76" s="14" t="s">
        <v>507</v>
      </c>
      <c r="O76" s="14" t="s">
        <v>16402</v>
      </c>
      <c r="P76" s="14" t="str">
        <f>HYPERLINK("https://photon-sol.tinyastro.io/en/lp/2sMweSVcjaeHKcRCR2biWUBAbxhjw1NfbmAn456apump?handle=676050794bc1b1657a56b", "View")</f>
        <v>View</v>
      </c>
    </row>
    <row r="77" spans="1:16" x14ac:dyDescent="0.25">
      <c r="A77" s="16" t="s">
        <v>16403</v>
      </c>
      <c r="B77" s="17">
        <v>3094568</v>
      </c>
      <c r="C77" s="17">
        <v>867071</v>
      </c>
      <c r="D77" s="17" t="s">
        <v>16404</v>
      </c>
      <c r="E77" s="17" t="s">
        <v>402</v>
      </c>
      <c r="F77" s="17" t="s">
        <v>9655</v>
      </c>
      <c r="G77" s="15" t="s">
        <v>16405</v>
      </c>
      <c r="H77" s="15" t="s">
        <v>16406</v>
      </c>
      <c r="I77" s="17" t="s">
        <v>88</v>
      </c>
      <c r="J77" s="17">
        <v>4</v>
      </c>
      <c r="K77" s="17">
        <v>1</v>
      </c>
      <c r="L77" s="17" t="s">
        <v>16407</v>
      </c>
      <c r="M77" s="17" t="s">
        <v>1566</v>
      </c>
      <c r="N77" s="17" t="s">
        <v>16408</v>
      </c>
      <c r="O77" s="17" t="s">
        <v>16409</v>
      </c>
      <c r="P77" s="17" t="str">
        <f>HYPERLINK("https://dexscreener.com/solana/KMBSmetWeNYrMV12GJ6zQHLj2tQAQ7pyxcXHiofHMAs", "View")</f>
        <v>View</v>
      </c>
    </row>
    <row r="78" spans="1:16" x14ac:dyDescent="0.25">
      <c r="A78" s="13" t="s">
        <v>16410</v>
      </c>
      <c r="B78" s="14">
        <v>2680623</v>
      </c>
      <c r="C78" s="14">
        <v>0</v>
      </c>
      <c r="D78" s="14" t="s">
        <v>16325</v>
      </c>
      <c r="E78" s="14" t="s">
        <v>16182</v>
      </c>
      <c r="F78" s="14" t="s">
        <v>96</v>
      </c>
      <c r="G78" s="18" t="s">
        <v>11022</v>
      </c>
      <c r="H78" s="18" t="s">
        <v>98</v>
      </c>
      <c r="I78" s="14" t="s">
        <v>16411</v>
      </c>
      <c r="J78" s="14">
        <v>1</v>
      </c>
      <c r="K78" s="14">
        <v>0</v>
      </c>
      <c r="L78" s="14" t="s">
        <v>16412</v>
      </c>
      <c r="M78" s="19" t="s">
        <v>101</v>
      </c>
      <c r="N78" s="14" t="s">
        <v>407</v>
      </c>
      <c r="O78" s="14" t="s">
        <v>16413</v>
      </c>
      <c r="P78" s="14" t="str">
        <f>HYPERLINK("https://photon-sol.tinyastro.io/en/lp/EUuj8j5BiuxKaWyJPYsnt5yEuw7m1asEiA4Bjsmvpump?handle=676050794bc1b1657a56b", "View")</f>
        <v>View</v>
      </c>
    </row>
    <row r="79" spans="1:16" x14ac:dyDescent="0.25">
      <c r="A79" s="16" t="s">
        <v>5634</v>
      </c>
      <c r="B79" s="17">
        <v>1314856</v>
      </c>
      <c r="C79" s="17">
        <v>898827</v>
      </c>
      <c r="D79" s="17" t="s">
        <v>16414</v>
      </c>
      <c r="E79" s="17" t="s">
        <v>9376</v>
      </c>
      <c r="F79" s="17" t="s">
        <v>3327</v>
      </c>
      <c r="G79" s="22" t="s">
        <v>2581</v>
      </c>
      <c r="H79" s="22" t="s">
        <v>16415</v>
      </c>
      <c r="I79" s="17" t="s">
        <v>88</v>
      </c>
      <c r="J79" s="17">
        <v>3</v>
      </c>
      <c r="K79" s="17">
        <v>4</v>
      </c>
      <c r="L79" s="17" t="s">
        <v>16416</v>
      </c>
      <c r="M79" s="17" t="s">
        <v>179</v>
      </c>
      <c r="N79" s="17" t="s">
        <v>16417</v>
      </c>
      <c r="O79" s="17" t="s">
        <v>5639</v>
      </c>
      <c r="P79" s="17" t="str">
        <f>HYPERLINK("https://dexscreener.com/solana/DiVdD5yfwQ3v2aHwUU6VUQEaLn89BpPWXaveMY1Wpump", "View")</f>
        <v>View</v>
      </c>
    </row>
    <row r="80" spans="1:16" x14ac:dyDescent="0.25">
      <c r="A80" s="13" t="s">
        <v>16418</v>
      </c>
      <c r="B80" s="14">
        <v>5916411</v>
      </c>
      <c r="C80" s="14">
        <v>0</v>
      </c>
      <c r="D80" s="14" t="s">
        <v>16325</v>
      </c>
      <c r="E80" s="14" t="s">
        <v>6029</v>
      </c>
      <c r="F80" s="14" t="s">
        <v>96</v>
      </c>
      <c r="G80" s="18" t="s">
        <v>16419</v>
      </c>
      <c r="H80" s="18" t="s">
        <v>98</v>
      </c>
      <c r="I80" s="14" t="s">
        <v>16420</v>
      </c>
      <c r="J80" s="14">
        <v>1</v>
      </c>
      <c r="K80" s="14">
        <v>0</v>
      </c>
      <c r="L80" s="14" t="s">
        <v>16421</v>
      </c>
      <c r="M80" s="19" t="s">
        <v>101</v>
      </c>
      <c r="N80" s="14" t="s">
        <v>407</v>
      </c>
      <c r="O80" s="14" t="s">
        <v>16422</v>
      </c>
      <c r="P80" s="14" t="str">
        <f>HYPERLINK("https://photon-sol.tinyastro.io/en/lp/Hgsbup8esL7ATAojF1zQ3uNqiuE5mHwy4TDpB5iEE4DU?handle=676050794bc1b1657a56b", "View")</f>
        <v>View</v>
      </c>
    </row>
    <row r="81" spans="1:16" x14ac:dyDescent="0.25">
      <c r="A81" s="16" t="s">
        <v>5126</v>
      </c>
      <c r="B81" s="17">
        <v>794405</v>
      </c>
      <c r="C81" s="17">
        <v>0</v>
      </c>
      <c r="D81" s="17" t="s">
        <v>16338</v>
      </c>
      <c r="E81" s="17" t="s">
        <v>1007</v>
      </c>
      <c r="F81" s="17" t="s">
        <v>96</v>
      </c>
      <c r="G81" s="18" t="s">
        <v>9365</v>
      </c>
      <c r="H81" s="18" t="s">
        <v>98</v>
      </c>
      <c r="I81" s="17" t="s">
        <v>16423</v>
      </c>
      <c r="J81" s="17">
        <v>1</v>
      </c>
      <c r="K81" s="17">
        <v>0</v>
      </c>
      <c r="L81" s="17" t="s">
        <v>16424</v>
      </c>
      <c r="M81" s="19" t="s">
        <v>101</v>
      </c>
      <c r="N81" s="17" t="s">
        <v>16425</v>
      </c>
      <c r="O81" s="17" t="s">
        <v>16426</v>
      </c>
      <c r="P81" s="17" t="str">
        <f>HYPERLINK("https://dexscreener.com/solana/6g2AP3ufRzWj7FpGZDv2xVCWDCH3GrULqLi9Ha8npump", "View")</f>
        <v>View</v>
      </c>
    </row>
    <row r="82" spans="1:16" x14ac:dyDescent="0.25">
      <c r="A82" s="13" t="s">
        <v>10981</v>
      </c>
      <c r="B82" s="14">
        <v>1989686</v>
      </c>
      <c r="C82" s="14">
        <v>0</v>
      </c>
      <c r="D82" s="14" t="s">
        <v>15770</v>
      </c>
      <c r="E82" s="14" t="s">
        <v>2127</v>
      </c>
      <c r="F82" s="14" t="s">
        <v>96</v>
      </c>
      <c r="G82" s="18" t="s">
        <v>16427</v>
      </c>
      <c r="H82" s="18" t="s">
        <v>98</v>
      </c>
      <c r="I82" s="14" t="s">
        <v>16428</v>
      </c>
      <c r="J82" s="14">
        <v>2</v>
      </c>
      <c r="K82" s="14">
        <v>0</v>
      </c>
      <c r="L82" s="14" t="s">
        <v>16429</v>
      </c>
      <c r="M82" s="14" t="s">
        <v>1448</v>
      </c>
      <c r="N82" s="14" t="s">
        <v>5971</v>
      </c>
      <c r="O82" s="14" t="s">
        <v>16430</v>
      </c>
      <c r="P82" s="14" t="str">
        <f>HYPERLINK("https://photon-sol.tinyastro.io/en/lp/Ff6rTQ3RqJKogvpqcdvBmTcpYPFoAt2J6nBHtkJnpump?handle=676050794bc1b1657a56b", "View")</f>
        <v>View</v>
      </c>
    </row>
    <row r="83" spans="1:16" x14ac:dyDescent="0.25">
      <c r="A83" s="16" t="s">
        <v>8290</v>
      </c>
      <c r="B83" s="17">
        <v>223208</v>
      </c>
      <c r="C83" s="17">
        <v>55802</v>
      </c>
      <c r="D83" s="17" t="s">
        <v>16431</v>
      </c>
      <c r="E83" s="17" t="s">
        <v>2521</v>
      </c>
      <c r="F83" s="17" t="s">
        <v>16432</v>
      </c>
      <c r="G83" s="21" t="s">
        <v>16433</v>
      </c>
      <c r="H83" s="21" t="s">
        <v>16434</v>
      </c>
      <c r="I83" s="17" t="s">
        <v>88</v>
      </c>
      <c r="J83" s="17">
        <v>2</v>
      </c>
      <c r="K83" s="17">
        <v>1</v>
      </c>
      <c r="L83" s="17" t="s">
        <v>16435</v>
      </c>
      <c r="M83" s="17" t="s">
        <v>356</v>
      </c>
      <c r="N83" s="17" t="s">
        <v>16436</v>
      </c>
      <c r="O83" s="17" t="s">
        <v>16437</v>
      </c>
      <c r="P83" s="17" t="str">
        <f>HYPERLINK("https://dexscreener.com/solana/3DkVGaNSMTcxFkgGDAm299FaVxgnCw2411vxZTmRpump", "View")</f>
        <v>View</v>
      </c>
    </row>
    <row r="84" spans="1:16" x14ac:dyDescent="0.25">
      <c r="A84" s="13" t="s">
        <v>16438</v>
      </c>
      <c r="B84" s="14">
        <v>1138009</v>
      </c>
      <c r="C84" s="14">
        <v>0</v>
      </c>
      <c r="D84" s="14" t="s">
        <v>12685</v>
      </c>
      <c r="E84" s="14" t="s">
        <v>16263</v>
      </c>
      <c r="F84" s="14" t="s">
        <v>96</v>
      </c>
      <c r="G84" s="18" t="s">
        <v>14305</v>
      </c>
      <c r="H84" s="18" t="s">
        <v>98</v>
      </c>
      <c r="I84" s="14" t="s">
        <v>16439</v>
      </c>
      <c r="J84" s="14">
        <v>1</v>
      </c>
      <c r="K84" s="14">
        <v>0</v>
      </c>
      <c r="L84" s="14" t="s">
        <v>16440</v>
      </c>
      <c r="M84" s="19" t="s">
        <v>101</v>
      </c>
      <c r="N84" s="14" t="s">
        <v>4306</v>
      </c>
      <c r="O84" s="14" t="s">
        <v>16441</v>
      </c>
      <c r="P84" s="14" t="str">
        <f>HYPERLINK("https://photon-sol.tinyastro.io/en/lp/BSLUXLbu56WkrUKjt4YWD6S1T1ytLSdfjPgRBAWipump?handle=676050794bc1b1657a56b", "View")</f>
        <v>View</v>
      </c>
    </row>
    <row r="85" spans="1:16" x14ac:dyDescent="0.25">
      <c r="A85" s="16" t="s">
        <v>16442</v>
      </c>
      <c r="B85" s="17">
        <v>3168929</v>
      </c>
      <c r="C85" s="17">
        <v>3369</v>
      </c>
      <c r="D85" s="17" t="s">
        <v>16443</v>
      </c>
      <c r="E85" s="17" t="s">
        <v>2320</v>
      </c>
      <c r="F85" s="17" t="s">
        <v>96</v>
      </c>
      <c r="G85" s="15" t="s">
        <v>9711</v>
      </c>
      <c r="H85" s="15" t="s">
        <v>22</v>
      </c>
      <c r="I85" s="17" t="s">
        <v>88</v>
      </c>
      <c r="J85" s="17">
        <v>2</v>
      </c>
      <c r="K85" s="17">
        <v>1</v>
      </c>
      <c r="L85" s="17" t="s">
        <v>16444</v>
      </c>
      <c r="M85" s="19" t="s">
        <v>2541</v>
      </c>
      <c r="N85" s="17" t="s">
        <v>16445</v>
      </c>
      <c r="O85" s="17" t="s">
        <v>16446</v>
      </c>
      <c r="P85" s="17" t="str">
        <f>HYPERLINK("https://photon-sol.tinyastro.io/en/lp/4ns4TUoGgZBUTi36V2ogWbiiueUNTTckMWbEejQapump?handle=676050794bc1b1657a56b", "View")</f>
        <v>View</v>
      </c>
    </row>
    <row r="86" spans="1:16" x14ac:dyDescent="0.25">
      <c r="A86" s="13" t="s">
        <v>16447</v>
      </c>
      <c r="B86" s="14">
        <v>1481697</v>
      </c>
      <c r="C86" s="14">
        <v>0</v>
      </c>
      <c r="D86" s="14" t="s">
        <v>16375</v>
      </c>
      <c r="E86" s="14" t="s">
        <v>4679</v>
      </c>
      <c r="F86" s="14" t="s">
        <v>96</v>
      </c>
      <c r="G86" s="18" t="s">
        <v>16339</v>
      </c>
      <c r="H86" s="18" t="s">
        <v>98</v>
      </c>
      <c r="I86" s="14" t="s">
        <v>16448</v>
      </c>
      <c r="J86" s="14">
        <v>1</v>
      </c>
      <c r="K86" s="14">
        <v>0</v>
      </c>
      <c r="L86" s="14" t="s">
        <v>16449</v>
      </c>
      <c r="M86" s="19" t="s">
        <v>101</v>
      </c>
      <c r="N86" s="14" t="s">
        <v>11180</v>
      </c>
      <c r="O86" s="14" t="s">
        <v>16450</v>
      </c>
      <c r="P86" s="14" t="str">
        <f>HYPERLINK("https://dexscreener.com/solana/Bpaw8Ysp2HCsjPgKC1yJScQLH6LjnX1ewmVJzfAapump", "View")</f>
        <v>View</v>
      </c>
    </row>
    <row r="87" spans="1:16" x14ac:dyDescent="0.25">
      <c r="A87" s="16" t="s">
        <v>9568</v>
      </c>
      <c r="B87" s="17">
        <v>842251</v>
      </c>
      <c r="C87" s="17">
        <v>84225</v>
      </c>
      <c r="D87" s="17" t="s">
        <v>16451</v>
      </c>
      <c r="E87" s="17" t="s">
        <v>1007</v>
      </c>
      <c r="F87" s="17" t="s">
        <v>3142</v>
      </c>
      <c r="G87" s="15" t="s">
        <v>8893</v>
      </c>
      <c r="H87" s="15" t="s">
        <v>16452</v>
      </c>
      <c r="I87" s="17" t="s">
        <v>88</v>
      </c>
      <c r="J87" s="17">
        <v>1</v>
      </c>
      <c r="K87" s="17">
        <v>1</v>
      </c>
      <c r="L87" s="17" t="s">
        <v>16453</v>
      </c>
      <c r="M87" s="17" t="s">
        <v>5445</v>
      </c>
      <c r="N87" s="17" t="s">
        <v>16454</v>
      </c>
      <c r="O87" s="17" t="s">
        <v>16455</v>
      </c>
      <c r="P87" s="17" t="str">
        <f>HYPERLINK("https://dexscreener.com/solana/6J9HJ4hQMcoKGfhwqCwA7fbGJs6VsgodDdLj5mHXpump", "View")</f>
        <v>View</v>
      </c>
    </row>
    <row r="88" spans="1:16" x14ac:dyDescent="0.25">
      <c r="A88" s="13" t="s">
        <v>16456</v>
      </c>
      <c r="B88" s="14">
        <v>1053053</v>
      </c>
      <c r="C88" s="14">
        <v>0</v>
      </c>
      <c r="D88" s="14" t="s">
        <v>16325</v>
      </c>
      <c r="E88" s="14" t="s">
        <v>16263</v>
      </c>
      <c r="F88" s="14" t="s">
        <v>96</v>
      </c>
      <c r="G88" s="18" t="s">
        <v>14305</v>
      </c>
      <c r="H88" s="18" t="s">
        <v>98</v>
      </c>
      <c r="I88" s="14" t="s">
        <v>16457</v>
      </c>
      <c r="J88" s="14">
        <v>1</v>
      </c>
      <c r="K88" s="14">
        <v>0</v>
      </c>
      <c r="L88" s="14" t="s">
        <v>16458</v>
      </c>
      <c r="M88" s="19" t="s">
        <v>101</v>
      </c>
      <c r="N88" s="14" t="s">
        <v>6198</v>
      </c>
      <c r="O88" s="14" t="s">
        <v>16459</v>
      </c>
      <c r="P88" s="14" t="str">
        <f>HYPERLINK("https://photon-sol.tinyastro.io/en/lp/FkK7eXjzT9aEGu1hjk9GSeM1R9oZ6AGQAGoPM9thpump?handle=676050794bc1b1657a56b", "View")</f>
        <v>View</v>
      </c>
    </row>
    <row r="89" spans="1:16" x14ac:dyDescent="0.25">
      <c r="A89" s="16" t="s">
        <v>11577</v>
      </c>
      <c r="B89" s="17">
        <v>71411</v>
      </c>
      <c r="C89" s="17">
        <v>19760</v>
      </c>
      <c r="D89" s="17" t="s">
        <v>16431</v>
      </c>
      <c r="E89" s="17" t="s">
        <v>2390</v>
      </c>
      <c r="F89" s="17" t="s">
        <v>16460</v>
      </c>
      <c r="G89" s="21" t="s">
        <v>16461</v>
      </c>
      <c r="H89" s="21" t="s">
        <v>16462</v>
      </c>
      <c r="I89" s="17" t="s">
        <v>88</v>
      </c>
      <c r="J89" s="17">
        <v>2</v>
      </c>
      <c r="K89" s="17">
        <v>1</v>
      </c>
      <c r="L89" s="17" t="s">
        <v>16463</v>
      </c>
      <c r="M89" s="17" t="s">
        <v>356</v>
      </c>
      <c r="N89" s="17" t="s">
        <v>16464</v>
      </c>
      <c r="O89" s="17" t="s">
        <v>11581</v>
      </c>
      <c r="P89" s="17" t="str">
        <f>HYPERLINK("https://dexscreener.com/solana/GJAFwWjJ3vnTsrQVabjBVK2TYB1YtRCQXRDfDgUnpump", "View")</f>
        <v>View</v>
      </c>
    </row>
    <row r="90" spans="1:16" x14ac:dyDescent="0.25">
      <c r="A90" s="13" t="s">
        <v>16465</v>
      </c>
      <c r="B90" s="14">
        <v>3056697</v>
      </c>
      <c r="C90" s="14">
        <v>763788</v>
      </c>
      <c r="D90" s="14" t="s">
        <v>16466</v>
      </c>
      <c r="E90" s="14" t="s">
        <v>12598</v>
      </c>
      <c r="F90" s="14" t="s">
        <v>3047</v>
      </c>
      <c r="G90" s="15" t="s">
        <v>16467</v>
      </c>
      <c r="H90" s="15" t="s">
        <v>16468</v>
      </c>
      <c r="I90" s="14" t="s">
        <v>88</v>
      </c>
      <c r="J90" s="14">
        <v>3</v>
      </c>
      <c r="K90" s="14">
        <v>1</v>
      </c>
      <c r="L90" s="14" t="s">
        <v>16469</v>
      </c>
      <c r="M90" s="14" t="s">
        <v>179</v>
      </c>
      <c r="N90" s="14" t="s">
        <v>16470</v>
      </c>
      <c r="O90" s="14" t="s">
        <v>16471</v>
      </c>
      <c r="P90" s="14" t="str">
        <f>HYPERLINK("https://photon-sol.tinyastro.io/en/lp/HnT1MKmvXzsUNgDxBgkDGF8heqezKTLoFA81oQNwpump?handle=676050794bc1b1657a56b", "View")</f>
        <v>View</v>
      </c>
    </row>
    <row r="91" spans="1:16" x14ac:dyDescent="0.25">
      <c r="A91" s="16" t="s">
        <v>16472</v>
      </c>
      <c r="B91" s="17">
        <v>2339024</v>
      </c>
      <c r="C91" s="17">
        <v>1871219</v>
      </c>
      <c r="D91" s="17" t="s">
        <v>16473</v>
      </c>
      <c r="E91" s="17" t="s">
        <v>3555</v>
      </c>
      <c r="F91" s="17" t="s">
        <v>3524</v>
      </c>
      <c r="G91" s="20" t="s">
        <v>16298</v>
      </c>
      <c r="H91" s="20" t="s">
        <v>16474</v>
      </c>
      <c r="I91" s="17" t="s">
        <v>88</v>
      </c>
      <c r="J91" s="17">
        <v>2</v>
      </c>
      <c r="K91" s="17">
        <v>1</v>
      </c>
      <c r="L91" s="17" t="s">
        <v>848</v>
      </c>
      <c r="M91" s="17" t="s">
        <v>937</v>
      </c>
      <c r="N91" s="17" t="s">
        <v>16475</v>
      </c>
      <c r="O91" s="17" t="s">
        <v>16476</v>
      </c>
      <c r="P91" s="17" t="str">
        <f>HYPERLINK("https://photon-sol.tinyastro.io/en/lp/9W4NHLBFM2MrLW1yRKKLztBPcjGrLGugSCJjCi6wpump?handle=676050794bc1b1657a56b", "View")</f>
        <v>View</v>
      </c>
    </row>
    <row r="92" spans="1:16" x14ac:dyDescent="0.25">
      <c r="A92" s="13" t="s">
        <v>16477</v>
      </c>
      <c r="B92" s="14">
        <v>3551400</v>
      </c>
      <c r="C92" s="14">
        <v>887850</v>
      </c>
      <c r="D92" s="14" t="s">
        <v>16478</v>
      </c>
      <c r="E92" s="14" t="s">
        <v>16479</v>
      </c>
      <c r="F92" s="14" t="s">
        <v>16480</v>
      </c>
      <c r="G92" s="20" t="s">
        <v>2883</v>
      </c>
      <c r="H92" s="20" t="s">
        <v>16481</v>
      </c>
      <c r="I92" s="14" t="s">
        <v>88</v>
      </c>
      <c r="J92" s="14">
        <v>5</v>
      </c>
      <c r="K92" s="14">
        <v>1</v>
      </c>
      <c r="L92" s="14" t="s">
        <v>16482</v>
      </c>
      <c r="M92" s="14" t="s">
        <v>6257</v>
      </c>
      <c r="N92" s="14" t="s">
        <v>16483</v>
      </c>
      <c r="O92" s="14" t="s">
        <v>16484</v>
      </c>
      <c r="P92" s="14" t="str">
        <f>HYPERLINK("https://photon-sol.tinyastro.io/en/lp/4Q7A2HQf544SnCVD16asPRb67xMVw94qaYQCWnvEpump?handle=676050794bc1b1657a56b", "View")</f>
        <v>View</v>
      </c>
    </row>
    <row r="93" spans="1:16" x14ac:dyDescent="0.25">
      <c r="A93" s="16" t="s">
        <v>10560</v>
      </c>
      <c r="B93" s="17">
        <v>1276639</v>
      </c>
      <c r="C93" s="17">
        <v>1276639</v>
      </c>
      <c r="D93" s="17" t="s">
        <v>16451</v>
      </c>
      <c r="E93" s="17" t="s">
        <v>1007</v>
      </c>
      <c r="F93" s="17" t="s">
        <v>3972</v>
      </c>
      <c r="G93" s="15" t="s">
        <v>16485</v>
      </c>
      <c r="H93" s="15" t="s">
        <v>16486</v>
      </c>
      <c r="I93" s="17" t="s">
        <v>88</v>
      </c>
      <c r="J93" s="17">
        <v>1</v>
      </c>
      <c r="K93" s="17">
        <v>1</v>
      </c>
      <c r="L93" s="17" t="s">
        <v>16487</v>
      </c>
      <c r="M93" s="17" t="s">
        <v>150</v>
      </c>
      <c r="N93" s="17" t="s">
        <v>16488</v>
      </c>
      <c r="O93" s="17" t="s">
        <v>10563</v>
      </c>
      <c r="P93" s="17" t="str">
        <f>HYPERLINK("https://dexscreener.com/solana/DL7eHjziBjJ4aDVCRuz41nM2SceQvrUfREYmRQYHpump", "View")</f>
        <v>View</v>
      </c>
    </row>
    <row r="94" spans="1:16" x14ac:dyDescent="0.25">
      <c r="A94" s="13" t="s">
        <v>16489</v>
      </c>
      <c r="B94" s="14">
        <v>5864326</v>
      </c>
      <c r="C94" s="14">
        <v>5864325</v>
      </c>
      <c r="D94" s="14" t="s">
        <v>16262</v>
      </c>
      <c r="E94" s="14" t="s">
        <v>6029</v>
      </c>
      <c r="F94" s="14" t="s">
        <v>5674</v>
      </c>
      <c r="G94" s="15" t="s">
        <v>2245</v>
      </c>
      <c r="H94" s="15" t="s">
        <v>16490</v>
      </c>
      <c r="I94" s="14" t="s">
        <v>88</v>
      </c>
      <c r="J94" s="14">
        <v>1</v>
      </c>
      <c r="K94" s="14">
        <v>1</v>
      </c>
      <c r="L94" s="14" t="s">
        <v>16491</v>
      </c>
      <c r="M94" s="14" t="s">
        <v>277</v>
      </c>
      <c r="N94" s="14" t="s">
        <v>2763</v>
      </c>
      <c r="O94" s="14" t="s">
        <v>16492</v>
      </c>
      <c r="P94" s="14" t="str">
        <f>HYPERLINK("https://photon-sol.tinyastro.io/en/lp/6SLSh8Y9svmaykckNqEFEaa3X9mZNVWnqGQDt7UPpump?handle=676050794bc1b1657a56b", "View")</f>
        <v>View</v>
      </c>
    </row>
    <row r="95" spans="1:16" x14ac:dyDescent="0.25">
      <c r="A95" s="16" t="s">
        <v>16493</v>
      </c>
      <c r="B95" s="17">
        <v>570491</v>
      </c>
      <c r="C95" s="17">
        <v>570491</v>
      </c>
      <c r="D95" s="17" t="s">
        <v>16494</v>
      </c>
      <c r="E95" s="17" t="s">
        <v>1007</v>
      </c>
      <c r="F95" s="17" t="s">
        <v>1457</v>
      </c>
      <c r="G95" s="21" t="s">
        <v>10677</v>
      </c>
      <c r="H95" s="21" t="s">
        <v>16495</v>
      </c>
      <c r="I95" s="17" t="s">
        <v>88</v>
      </c>
      <c r="J95" s="17">
        <v>2</v>
      </c>
      <c r="K95" s="17">
        <v>2</v>
      </c>
      <c r="L95" s="17" t="s">
        <v>16496</v>
      </c>
      <c r="M95" s="17" t="s">
        <v>4581</v>
      </c>
      <c r="N95" s="17" t="s">
        <v>16497</v>
      </c>
      <c r="O95" s="17" t="s">
        <v>16498</v>
      </c>
      <c r="P95" s="17" t="str">
        <f>HYPERLINK("https://dexscreener.com/solana/exRqAuXs967fDkymNXo4eqZEQihEubstBCXPXxwpump", "View")</f>
        <v>View</v>
      </c>
    </row>
    <row r="96" spans="1:16" x14ac:dyDescent="0.25">
      <c r="A96" s="13" t="s">
        <v>16499</v>
      </c>
      <c r="B96" s="14">
        <v>633488</v>
      </c>
      <c r="C96" s="14">
        <v>0</v>
      </c>
      <c r="D96" s="14" t="s">
        <v>16338</v>
      </c>
      <c r="E96" s="14" t="s">
        <v>2200</v>
      </c>
      <c r="F96" s="14" t="s">
        <v>96</v>
      </c>
      <c r="G96" s="18" t="s">
        <v>13011</v>
      </c>
      <c r="H96" s="18" t="s">
        <v>98</v>
      </c>
      <c r="I96" s="14" t="s">
        <v>16500</v>
      </c>
      <c r="J96" s="14">
        <v>1</v>
      </c>
      <c r="K96" s="14">
        <v>0</v>
      </c>
      <c r="L96" s="14" t="s">
        <v>16501</v>
      </c>
      <c r="M96" s="19" t="s">
        <v>101</v>
      </c>
      <c r="N96" s="14" t="s">
        <v>16502</v>
      </c>
      <c r="O96" s="14" t="s">
        <v>16503</v>
      </c>
      <c r="P96" s="14" t="str">
        <f>HYPERLINK("https://dexscreener.com/solana/3afCLrsso6rzuG8LMqUy5edGdhKnoUcZEDYpodUTpump", "View")</f>
        <v>View</v>
      </c>
    </row>
    <row r="97" spans="1:16" x14ac:dyDescent="0.25">
      <c r="A97" s="16" t="s">
        <v>16504</v>
      </c>
      <c r="B97" s="17">
        <v>1132027</v>
      </c>
      <c r="C97" s="17">
        <v>452811</v>
      </c>
      <c r="D97" s="17" t="s">
        <v>16431</v>
      </c>
      <c r="E97" s="17" t="s">
        <v>15317</v>
      </c>
      <c r="F97" s="17" t="s">
        <v>16505</v>
      </c>
      <c r="G97" s="20" t="s">
        <v>16506</v>
      </c>
      <c r="H97" s="20" t="s">
        <v>16507</v>
      </c>
      <c r="I97" s="17" t="s">
        <v>88</v>
      </c>
      <c r="J97" s="17">
        <v>2</v>
      </c>
      <c r="K97" s="17">
        <v>1</v>
      </c>
      <c r="L97" s="17" t="s">
        <v>16508</v>
      </c>
      <c r="M97" s="17" t="s">
        <v>132</v>
      </c>
      <c r="N97" s="17" t="s">
        <v>16509</v>
      </c>
      <c r="O97" s="17" t="s">
        <v>16510</v>
      </c>
      <c r="P97" s="17" t="str">
        <f>HYPERLINK("https://dexscreener.com/solana/FfhENRtsudrPbWaJhuMnYq2fKchHqU1Erd7vK9Gzpump", "View")</f>
        <v>View</v>
      </c>
    </row>
    <row r="98" spans="1:16" x14ac:dyDescent="0.25">
      <c r="A98" s="13" t="s">
        <v>9681</v>
      </c>
      <c r="B98" s="14">
        <v>3885711</v>
      </c>
      <c r="C98" s="14">
        <v>3885711</v>
      </c>
      <c r="D98" s="14" t="s">
        <v>8609</v>
      </c>
      <c r="E98" s="14" t="s">
        <v>13139</v>
      </c>
      <c r="F98" s="14" t="s">
        <v>3275</v>
      </c>
      <c r="G98" s="15" t="s">
        <v>9978</v>
      </c>
      <c r="H98" s="15" t="s">
        <v>16511</v>
      </c>
      <c r="I98" s="14" t="s">
        <v>88</v>
      </c>
      <c r="J98" s="14">
        <v>1</v>
      </c>
      <c r="K98" s="14">
        <v>1</v>
      </c>
      <c r="L98" s="14" t="s">
        <v>16512</v>
      </c>
      <c r="M98" s="14" t="s">
        <v>4581</v>
      </c>
      <c r="N98" s="14" t="s">
        <v>507</v>
      </c>
      <c r="O98" s="14" t="s">
        <v>16513</v>
      </c>
      <c r="P98" s="14" t="str">
        <f>HYPERLINK("https://photon-sol.tinyastro.io/en/lp/GNcALadvasQFZJDdVdfLqajRvH44Jxx1JB7YiAXrpump?handle=676050794bc1b1657a56b", "View")</f>
        <v>View</v>
      </c>
    </row>
    <row r="99" spans="1:16" x14ac:dyDescent="0.25">
      <c r="A99" s="16" t="s">
        <v>12767</v>
      </c>
      <c r="B99" s="17">
        <v>452348</v>
      </c>
      <c r="C99" s="17">
        <v>0</v>
      </c>
      <c r="D99" s="17" t="s">
        <v>8799</v>
      </c>
      <c r="E99" s="17" t="s">
        <v>4442</v>
      </c>
      <c r="F99" s="17" t="s">
        <v>96</v>
      </c>
      <c r="G99" s="18" t="s">
        <v>6477</v>
      </c>
      <c r="H99" s="18" t="s">
        <v>98</v>
      </c>
      <c r="I99" s="17" t="s">
        <v>16514</v>
      </c>
      <c r="J99" s="17">
        <v>2</v>
      </c>
      <c r="K99" s="17">
        <v>0</v>
      </c>
      <c r="L99" s="17" t="s">
        <v>16515</v>
      </c>
      <c r="M99" s="19" t="s">
        <v>3492</v>
      </c>
      <c r="N99" s="17" t="s">
        <v>16516</v>
      </c>
      <c r="O99" s="17" t="s">
        <v>12774</v>
      </c>
      <c r="P99" s="17" t="str">
        <f>HYPERLINK("https://dexscreener.com/solana/75dh1aVyE88DiDDqN396Lkbcf4Kxj2KNGJRCTkcUpump", "View")</f>
        <v>View</v>
      </c>
    </row>
    <row r="100" spans="1:16" x14ac:dyDescent="0.25">
      <c r="A100" s="13" t="s">
        <v>16517</v>
      </c>
      <c r="B100" s="14">
        <v>1782900</v>
      </c>
      <c r="C100" s="14">
        <v>1782900</v>
      </c>
      <c r="D100" s="14" t="s">
        <v>10536</v>
      </c>
      <c r="E100" s="14" t="s">
        <v>1457</v>
      </c>
      <c r="F100" s="14" t="s">
        <v>16518</v>
      </c>
      <c r="G100" s="20" t="s">
        <v>16519</v>
      </c>
      <c r="H100" s="20" t="s">
        <v>16520</v>
      </c>
      <c r="I100" s="14" t="s">
        <v>88</v>
      </c>
      <c r="J100" s="14">
        <v>2</v>
      </c>
      <c r="K100" s="14">
        <v>1</v>
      </c>
      <c r="L100" s="14" t="s">
        <v>16521</v>
      </c>
      <c r="M100" s="14" t="s">
        <v>231</v>
      </c>
      <c r="N100" s="14" t="s">
        <v>16522</v>
      </c>
      <c r="O100" s="14" t="s">
        <v>16523</v>
      </c>
      <c r="P100" s="14" t="str">
        <f>HYPERLINK("https://dexscreener.com/solana/4DUMGk8R9YXCmuv22AvFTDRyusrEwj3bKcVzfajwpump", "View")</f>
        <v>View</v>
      </c>
    </row>
    <row r="101" spans="1:16" x14ac:dyDescent="0.25">
      <c r="A101" s="16" t="s">
        <v>605</v>
      </c>
      <c r="B101" s="17">
        <v>322036</v>
      </c>
      <c r="C101" s="17">
        <v>0</v>
      </c>
      <c r="D101" s="17" t="s">
        <v>16338</v>
      </c>
      <c r="E101" s="17" t="s">
        <v>1457</v>
      </c>
      <c r="F101" s="17" t="s">
        <v>96</v>
      </c>
      <c r="G101" s="18" t="s">
        <v>16272</v>
      </c>
      <c r="H101" s="18" t="s">
        <v>98</v>
      </c>
      <c r="I101" s="17" t="s">
        <v>16524</v>
      </c>
      <c r="J101" s="17">
        <v>1</v>
      </c>
      <c r="K101" s="17">
        <v>0</v>
      </c>
      <c r="L101" s="17" t="s">
        <v>16525</v>
      </c>
      <c r="M101" s="19" t="s">
        <v>101</v>
      </c>
      <c r="N101" s="17" t="s">
        <v>11541</v>
      </c>
      <c r="O101" s="17" t="s">
        <v>16526</v>
      </c>
      <c r="P101" s="17" t="str">
        <f>HYPERLINK("https://dexscreener.com/solana/HTYdC5YeGTZ88NA9h1WKzzamoXDcjRGxsjaeq4qjpump", "View")</f>
        <v>View</v>
      </c>
    </row>
    <row r="102" spans="1:16" x14ac:dyDescent="0.25">
      <c r="A102" s="13" t="s">
        <v>13129</v>
      </c>
      <c r="B102" s="14">
        <v>3400498</v>
      </c>
      <c r="C102" s="14">
        <v>0</v>
      </c>
      <c r="D102" s="14" t="s">
        <v>16325</v>
      </c>
      <c r="E102" s="14" t="s">
        <v>6029</v>
      </c>
      <c r="F102" s="14" t="s">
        <v>96</v>
      </c>
      <c r="G102" s="18" t="s">
        <v>16419</v>
      </c>
      <c r="H102" s="18" t="s">
        <v>98</v>
      </c>
      <c r="I102" s="14" t="s">
        <v>16527</v>
      </c>
      <c r="J102" s="14">
        <v>1</v>
      </c>
      <c r="K102" s="14">
        <v>0</v>
      </c>
      <c r="L102" s="14" t="s">
        <v>16528</v>
      </c>
      <c r="M102" s="19" t="s">
        <v>101</v>
      </c>
      <c r="N102" s="14" t="s">
        <v>16529</v>
      </c>
      <c r="O102" s="14" t="s">
        <v>13133</v>
      </c>
      <c r="P102" s="14" t="str">
        <f>HYPERLINK("https://photon-sol.tinyastro.io/en/lp/9TTUmf6fJwjHtD16KGyujVixme8Qs9uNuN5jsb6c13Bd?handle=676050794bc1b1657a56b", "View")</f>
        <v>View</v>
      </c>
    </row>
    <row r="103" spans="1:16" x14ac:dyDescent="0.25">
      <c r="A103" s="16" t="s">
        <v>16530</v>
      </c>
      <c r="B103" s="17">
        <v>105215</v>
      </c>
      <c r="C103" s="17">
        <v>26304</v>
      </c>
      <c r="D103" s="17" t="s">
        <v>16531</v>
      </c>
      <c r="E103" s="17" t="s">
        <v>1007</v>
      </c>
      <c r="F103" s="17" t="s">
        <v>16532</v>
      </c>
      <c r="G103" s="21" t="s">
        <v>16533</v>
      </c>
      <c r="H103" s="21" t="s">
        <v>16534</v>
      </c>
      <c r="I103" s="17" t="s">
        <v>88</v>
      </c>
      <c r="J103" s="17">
        <v>3</v>
      </c>
      <c r="K103" s="17">
        <v>1</v>
      </c>
      <c r="L103" s="17" t="s">
        <v>16535</v>
      </c>
      <c r="M103" s="17" t="s">
        <v>414</v>
      </c>
      <c r="N103" s="17" t="s">
        <v>16536</v>
      </c>
      <c r="O103" s="17" t="s">
        <v>16537</v>
      </c>
      <c r="P103" s="17" t="str">
        <f>HYPERLINK("https://dexscreener.com/solana/GTFWEVQy5BwQsZJWS4Y6KaZ3or6Yhysh2EEUp8bgpump", "View")</f>
        <v>View</v>
      </c>
    </row>
    <row r="104" spans="1:16" x14ac:dyDescent="0.25">
      <c r="A104" s="13" t="s">
        <v>16538</v>
      </c>
      <c r="B104" s="14">
        <v>3654759</v>
      </c>
      <c r="C104" s="14">
        <v>0</v>
      </c>
      <c r="D104" s="14" t="s">
        <v>16451</v>
      </c>
      <c r="E104" s="14" t="s">
        <v>402</v>
      </c>
      <c r="F104" s="14" t="s">
        <v>96</v>
      </c>
      <c r="G104" s="18" t="s">
        <v>16539</v>
      </c>
      <c r="H104" s="18" t="s">
        <v>98</v>
      </c>
      <c r="I104" s="14" t="s">
        <v>16540</v>
      </c>
      <c r="J104" s="14">
        <v>2</v>
      </c>
      <c r="K104" s="14">
        <v>0</v>
      </c>
      <c r="L104" s="14" t="s">
        <v>16541</v>
      </c>
      <c r="M104" s="14" t="s">
        <v>414</v>
      </c>
      <c r="N104" s="14" t="s">
        <v>16542</v>
      </c>
      <c r="O104" s="14" t="s">
        <v>16543</v>
      </c>
      <c r="P104" s="14" t="str">
        <f>HYPERLINK("https://dexscreener.com/solana/A8zAEJTMgbe6bMXWxUaD9yUVaHtXfWjmuDHHXbUMpump", "View")</f>
        <v>View</v>
      </c>
    </row>
    <row r="105" spans="1:16" x14ac:dyDescent="0.25">
      <c r="A105" s="16" t="s">
        <v>16544</v>
      </c>
      <c r="B105" s="17">
        <v>3589778</v>
      </c>
      <c r="C105" s="17">
        <v>3589778</v>
      </c>
      <c r="D105" s="17" t="s">
        <v>16545</v>
      </c>
      <c r="E105" s="17" t="s">
        <v>3404</v>
      </c>
      <c r="F105" s="17" t="s">
        <v>15950</v>
      </c>
      <c r="G105" s="15" t="s">
        <v>16546</v>
      </c>
      <c r="H105" s="15" t="s">
        <v>16547</v>
      </c>
      <c r="I105" s="17" t="s">
        <v>88</v>
      </c>
      <c r="J105" s="17">
        <v>1</v>
      </c>
      <c r="K105" s="17">
        <v>1</v>
      </c>
      <c r="L105" s="17" t="s">
        <v>16548</v>
      </c>
      <c r="M105" s="17" t="s">
        <v>699</v>
      </c>
      <c r="N105" s="17" t="s">
        <v>16549</v>
      </c>
      <c r="O105" s="17" t="s">
        <v>16550</v>
      </c>
      <c r="P105" s="17" t="str">
        <f>HYPERLINK("https://dexscreener.com/solana/A8Dq4ooRzg53tSbhrUhDskX9tYTE4CYfLDbWY6n2pump", "View")</f>
        <v>View</v>
      </c>
    </row>
    <row r="106" spans="1:16" x14ac:dyDescent="0.25">
      <c r="A106" s="13" t="s">
        <v>16551</v>
      </c>
      <c r="B106" s="14">
        <v>19158434</v>
      </c>
      <c r="C106" s="14">
        <v>19158434</v>
      </c>
      <c r="D106" s="14" t="s">
        <v>8685</v>
      </c>
      <c r="E106" s="14" t="s">
        <v>13827</v>
      </c>
      <c r="F106" s="14" t="s">
        <v>2490</v>
      </c>
      <c r="G106" s="20" t="s">
        <v>13652</v>
      </c>
      <c r="H106" s="20" t="s">
        <v>16552</v>
      </c>
      <c r="I106" s="14" t="s">
        <v>88</v>
      </c>
      <c r="J106" s="14">
        <v>1</v>
      </c>
      <c r="K106" s="14">
        <v>1</v>
      </c>
      <c r="L106" s="14" t="s">
        <v>16553</v>
      </c>
      <c r="M106" s="14" t="s">
        <v>479</v>
      </c>
      <c r="N106" s="14" t="s">
        <v>507</v>
      </c>
      <c r="O106" s="14" t="s">
        <v>16554</v>
      </c>
      <c r="P106" s="14" t="str">
        <f>HYPERLINK("https://photon-sol.tinyastro.io/en/lp/BGctxGyxkc2LCospSFN2Vmb7NZM3UcFKLPvYqMUppump?handle=676050794bc1b1657a56b", "View")</f>
        <v>View</v>
      </c>
    </row>
    <row r="107" spans="1:16" x14ac:dyDescent="0.25">
      <c r="A107" s="16" t="s">
        <v>15534</v>
      </c>
      <c r="B107" s="17">
        <v>3994008</v>
      </c>
      <c r="C107" s="17">
        <v>0</v>
      </c>
      <c r="D107" s="17" t="s">
        <v>16451</v>
      </c>
      <c r="E107" s="17" t="s">
        <v>3404</v>
      </c>
      <c r="F107" s="17" t="s">
        <v>96</v>
      </c>
      <c r="G107" s="18" t="s">
        <v>16555</v>
      </c>
      <c r="H107" s="18" t="s">
        <v>98</v>
      </c>
      <c r="I107" s="17" t="s">
        <v>16556</v>
      </c>
      <c r="J107" s="17">
        <v>1</v>
      </c>
      <c r="K107" s="17">
        <v>0</v>
      </c>
      <c r="L107" s="17" t="s">
        <v>16557</v>
      </c>
      <c r="M107" s="19" t="s">
        <v>101</v>
      </c>
      <c r="N107" s="17" t="s">
        <v>16558</v>
      </c>
      <c r="O107" s="17" t="s">
        <v>16559</v>
      </c>
      <c r="P107" s="17" t="str">
        <f>HYPERLINK("https://dexscreener.com/solana/2ogmqDNJ7RvQp3jKUUz3ambtC8ypMHXxj72mV3m8pump", "View")</f>
        <v>View</v>
      </c>
    </row>
    <row r="108" spans="1:16" x14ac:dyDescent="0.25">
      <c r="A108" s="13" t="s">
        <v>16560</v>
      </c>
      <c r="B108" s="14">
        <v>2759026</v>
      </c>
      <c r="C108" s="14">
        <v>0</v>
      </c>
      <c r="D108" s="14" t="s">
        <v>16561</v>
      </c>
      <c r="E108" s="14" t="s">
        <v>3404</v>
      </c>
      <c r="F108" s="14" t="s">
        <v>96</v>
      </c>
      <c r="G108" s="18" t="s">
        <v>16562</v>
      </c>
      <c r="H108" s="18" t="s">
        <v>98</v>
      </c>
      <c r="I108" s="14" t="s">
        <v>16563</v>
      </c>
      <c r="J108" s="14">
        <v>2</v>
      </c>
      <c r="K108" s="14">
        <v>0</v>
      </c>
      <c r="L108" s="14" t="s">
        <v>16564</v>
      </c>
      <c r="M108" s="19" t="s">
        <v>2364</v>
      </c>
      <c r="N108" s="14" t="s">
        <v>16565</v>
      </c>
      <c r="O108" s="14" t="s">
        <v>16566</v>
      </c>
      <c r="P108" s="14" t="str">
        <f>HYPERLINK("https://dexscreener.com/solana/5ndrtYawb2zr8j2DzY1gExvMC6R6yRwQ4TS5VEnQpump", "View")</f>
        <v>View</v>
      </c>
    </row>
    <row r="109" spans="1:16" x14ac:dyDescent="0.25">
      <c r="A109" s="16" t="s">
        <v>6200</v>
      </c>
      <c r="B109" s="17">
        <v>855422</v>
      </c>
      <c r="C109" s="17">
        <v>0</v>
      </c>
      <c r="D109" s="17" t="s">
        <v>16451</v>
      </c>
      <c r="E109" s="17" t="s">
        <v>1007</v>
      </c>
      <c r="F109" s="17" t="s">
        <v>96</v>
      </c>
      <c r="G109" s="18" t="s">
        <v>9365</v>
      </c>
      <c r="H109" s="18" t="s">
        <v>98</v>
      </c>
      <c r="I109" s="17" t="s">
        <v>16567</v>
      </c>
      <c r="J109" s="17">
        <v>1</v>
      </c>
      <c r="K109" s="17">
        <v>0</v>
      </c>
      <c r="L109" s="17" t="s">
        <v>16568</v>
      </c>
      <c r="M109" s="19" t="s">
        <v>101</v>
      </c>
      <c r="N109" s="17" t="s">
        <v>11006</v>
      </c>
      <c r="O109" s="17" t="s">
        <v>16569</v>
      </c>
      <c r="P109" s="17" t="str">
        <f>HYPERLINK("https://dexscreener.com/solana/Aqx9wRuvJEnfUEuzp15JVcY36fAajhjh1k4fvFRRpump", "View")</f>
        <v>View</v>
      </c>
    </row>
    <row r="110" spans="1:16" x14ac:dyDescent="0.25">
      <c r="A110" s="13" t="s">
        <v>16570</v>
      </c>
      <c r="B110" s="14">
        <v>10602776</v>
      </c>
      <c r="C110" s="14">
        <v>0</v>
      </c>
      <c r="D110" s="14" t="s">
        <v>16571</v>
      </c>
      <c r="E110" s="14" t="s">
        <v>6991</v>
      </c>
      <c r="F110" s="14" t="s">
        <v>96</v>
      </c>
      <c r="G110" s="18" t="s">
        <v>16572</v>
      </c>
      <c r="H110" s="18" t="s">
        <v>98</v>
      </c>
      <c r="I110" s="14" t="s">
        <v>16573</v>
      </c>
      <c r="J110" s="14">
        <v>1</v>
      </c>
      <c r="K110" s="14">
        <v>0</v>
      </c>
      <c r="L110" s="14" t="s">
        <v>16574</v>
      </c>
      <c r="M110" s="19" t="s">
        <v>101</v>
      </c>
      <c r="N110" s="14" t="s">
        <v>507</v>
      </c>
      <c r="O110" s="14" t="s">
        <v>16575</v>
      </c>
      <c r="P110" s="14" t="str">
        <f>HYPERLINK("https://photon-sol.tinyastro.io/en/lp/8z7XW3zzgvoitgPRG4sdf6ECArz6FduuseHkaH6Gpump?handle=676050794bc1b1657a56b", "View")</f>
        <v>View</v>
      </c>
    </row>
    <row r="111" spans="1:16" x14ac:dyDescent="0.25">
      <c r="A111" s="16" t="s">
        <v>16576</v>
      </c>
      <c r="B111" s="17">
        <v>13599155</v>
      </c>
      <c r="C111" s="17">
        <v>13599155</v>
      </c>
      <c r="D111" s="17" t="s">
        <v>16577</v>
      </c>
      <c r="E111" s="17" t="s">
        <v>1457</v>
      </c>
      <c r="F111" s="17" t="s">
        <v>16578</v>
      </c>
      <c r="G111" s="15" t="s">
        <v>16579</v>
      </c>
      <c r="H111" s="15" t="s">
        <v>16580</v>
      </c>
      <c r="I111" s="17" t="s">
        <v>88</v>
      </c>
      <c r="J111" s="17">
        <v>2</v>
      </c>
      <c r="K111" s="17">
        <v>1</v>
      </c>
      <c r="L111" s="17" t="s">
        <v>16581</v>
      </c>
      <c r="M111" s="17" t="s">
        <v>150</v>
      </c>
      <c r="N111" s="17" t="s">
        <v>16582</v>
      </c>
      <c r="O111" s="17" t="s">
        <v>16583</v>
      </c>
      <c r="P111" s="17" t="str">
        <f>HYPERLINK("https://dexscreener.com/solana/5Y1zC7uU6WJdqpK53jgLU66dLbuHpBfPDPFa6awspump", "View")</f>
        <v>View</v>
      </c>
    </row>
    <row r="112" spans="1:16" x14ac:dyDescent="0.25">
      <c r="A112" s="13" t="s">
        <v>1645</v>
      </c>
      <c r="B112" s="14">
        <v>1037413</v>
      </c>
      <c r="C112" s="14">
        <v>0</v>
      </c>
      <c r="D112" s="14" t="s">
        <v>16451</v>
      </c>
      <c r="E112" s="14" t="s">
        <v>569</v>
      </c>
      <c r="F112" s="14" t="s">
        <v>96</v>
      </c>
      <c r="G112" s="18" t="s">
        <v>570</v>
      </c>
      <c r="H112" s="18" t="s">
        <v>98</v>
      </c>
      <c r="I112" s="14" t="s">
        <v>16584</v>
      </c>
      <c r="J112" s="14">
        <v>1</v>
      </c>
      <c r="K112" s="14">
        <v>0</v>
      </c>
      <c r="L112" s="14" t="s">
        <v>16585</v>
      </c>
      <c r="M112" s="19" t="s">
        <v>101</v>
      </c>
      <c r="N112" s="14" t="s">
        <v>16586</v>
      </c>
      <c r="O112" s="14" t="s">
        <v>16587</v>
      </c>
      <c r="P112" s="14" t="str">
        <f>HYPERLINK("https://dexscreener.com/solana/B2MWQnPXG4BrajDMkN7UKXw6DhUxhBbYKaU6xVtypump", "View")</f>
        <v>View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584F-5400-4CA7-9CA2-13817C84BACA}">
  <dimension ref="A1:P288"/>
  <sheetViews>
    <sheetView workbookViewId="0"/>
  </sheetViews>
  <sheetFormatPr defaultRowHeight="15" x14ac:dyDescent="0.25"/>
  <cols>
    <col min="1" max="1" width="46" style="2" customWidth="1"/>
    <col min="2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HYPERLINK("https://gmgn.ai/sol/address/51jpGPfjGnwsPuAEcexBKjycD1oNtaAS1oT3hiZLxyvD", "GMGN")</f>
        <v>GMGN</v>
      </c>
    </row>
    <row r="2" spans="1:14" x14ac:dyDescent="0.25">
      <c r="A2" s="3" t="s">
        <v>16588</v>
      </c>
      <c r="B2" s="3" t="s">
        <v>16589</v>
      </c>
      <c r="C2" s="3" t="s">
        <v>16590</v>
      </c>
      <c r="D2" s="3" t="s">
        <v>16591</v>
      </c>
      <c r="E2" s="3" t="s">
        <v>16592</v>
      </c>
      <c r="F2" s="3" t="s">
        <v>18</v>
      </c>
      <c r="G2" s="3" t="s">
        <v>11187</v>
      </c>
      <c r="H2" s="3">
        <v>269</v>
      </c>
      <c r="I2" s="3">
        <v>77</v>
      </c>
      <c r="J2" s="3" t="s">
        <v>16593</v>
      </c>
      <c r="K2" s="3" t="s">
        <v>4268</v>
      </c>
      <c r="L2" s="3">
        <v>0</v>
      </c>
      <c r="M2" s="3">
        <v>92</v>
      </c>
      <c r="N2" s="3" t="str">
        <f>HYPERLINK("https://solscan.io/account/51jpGPfjGnwsPuAEcexBKjycD1oNtaAS1oT3hiZLxyvD",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HYPERLINK("https://birdeye.so/profile/51jpGPfjGnwsPuAEcexBKjycD1oNtaAS1oT3hiZLxyvD", "Birdeye")</f>
        <v>Birdeye</v>
      </c>
    </row>
    <row r="4" spans="1:14" x14ac:dyDescent="0.25">
      <c r="A4" s="1" t="s">
        <v>25</v>
      </c>
      <c r="B4" s="3" t="s">
        <v>26</v>
      </c>
      <c r="C4" s="3"/>
      <c r="D4" s="3" t="s">
        <v>13981</v>
      </c>
      <c r="E4" s="3" t="s">
        <v>16594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16595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11</v>
      </c>
      <c r="C10" s="1">
        <v>16</v>
      </c>
      <c r="D10" s="1">
        <v>11</v>
      </c>
      <c r="E10" s="1">
        <v>29</v>
      </c>
      <c r="F10" s="1">
        <v>36</v>
      </c>
      <c r="G10" s="1">
        <v>166</v>
      </c>
      <c r="H10" s="3"/>
      <c r="I10" s="3" t="s">
        <v>42</v>
      </c>
      <c r="J10" s="3" t="s">
        <v>15564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16596</v>
      </c>
      <c r="C11" s="1" t="s">
        <v>16597</v>
      </c>
      <c r="D11" s="1" t="s">
        <v>16596</v>
      </c>
      <c r="E11" s="1" t="s">
        <v>16598</v>
      </c>
      <c r="F11" s="1" t="s">
        <v>16599</v>
      </c>
      <c r="G11" s="1" t="s">
        <v>16600</v>
      </c>
      <c r="H11" s="3"/>
      <c r="I11" s="3" t="s">
        <v>50</v>
      </c>
      <c r="J11" s="3" t="s">
        <v>16601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16602</v>
      </c>
      <c r="C12" s="1" t="s">
        <v>16603</v>
      </c>
      <c r="D12" s="1" t="s">
        <v>1789</v>
      </c>
      <c r="E12" s="1" t="s">
        <v>7498</v>
      </c>
      <c r="F12" s="1" t="s">
        <v>16604</v>
      </c>
      <c r="G12" s="1" t="s">
        <v>16605</v>
      </c>
      <c r="H12" s="3"/>
      <c r="I12" s="3" t="s">
        <v>59</v>
      </c>
      <c r="J12" s="3" t="s">
        <v>16606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16607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16607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16608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817</v>
      </c>
      <c r="B20" s="14">
        <v>984948</v>
      </c>
      <c r="C20" s="14">
        <v>984948</v>
      </c>
      <c r="D20" s="14" t="s">
        <v>16609</v>
      </c>
      <c r="E20" s="14" t="s">
        <v>5573</v>
      </c>
      <c r="F20" s="14" t="s">
        <v>96</v>
      </c>
      <c r="G20" s="15" t="s">
        <v>10198</v>
      </c>
      <c r="H20" s="15" t="s">
        <v>22</v>
      </c>
      <c r="I20" s="14" t="s">
        <v>88</v>
      </c>
      <c r="J20" s="14">
        <v>1</v>
      </c>
      <c r="K20" s="14">
        <v>1</v>
      </c>
      <c r="L20" s="14" t="s">
        <v>16610</v>
      </c>
      <c r="M20" s="14" t="s">
        <v>117</v>
      </c>
      <c r="N20" s="14" t="s">
        <v>16611</v>
      </c>
      <c r="O20" s="14" t="s">
        <v>16612</v>
      </c>
      <c r="P20" s="14" t="str">
        <f>HYPERLINK("https://dexscreener.com/solana/9wdhtc86ugwD5GUBscwzh4nNwxE7HKyX5f6XJ2Z3Kda1", "View")</f>
        <v>View</v>
      </c>
    </row>
    <row r="21" spans="1:16" x14ac:dyDescent="0.25">
      <c r="A21" s="16" t="s">
        <v>16613</v>
      </c>
      <c r="B21" s="17">
        <v>655525</v>
      </c>
      <c r="C21" s="17">
        <v>0</v>
      </c>
      <c r="D21" s="17" t="s">
        <v>16614</v>
      </c>
      <c r="E21" s="17" t="s">
        <v>5573</v>
      </c>
      <c r="F21" s="17" t="s">
        <v>96</v>
      </c>
      <c r="G21" s="18" t="s">
        <v>11256</v>
      </c>
      <c r="H21" s="18" t="s">
        <v>98</v>
      </c>
      <c r="I21" s="17" t="s">
        <v>16615</v>
      </c>
      <c r="J21" s="17">
        <v>1</v>
      </c>
      <c r="K21" s="17">
        <v>0</v>
      </c>
      <c r="L21" s="17" t="s">
        <v>16616</v>
      </c>
      <c r="M21" s="19" t="s">
        <v>101</v>
      </c>
      <c r="N21" s="17" t="s">
        <v>1214</v>
      </c>
      <c r="O21" s="17" t="s">
        <v>16617</v>
      </c>
      <c r="P21" s="17" t="str">
        <f>HYPERLINK("https://dexscreener.com/solana/9F4zdcufgDPBG4tnQK8HSDXuYv1y2R7WNcF3ySEwpump", "View")</f>
        <v>View</v>
      </c>
    </row>
    <row r="22" spans="1:16" x14ac:dyDescent="0.25">
      <c r="A22" s="13" t="s">
        <v>16618</v>
      </c>
      <c r="B22" s="14">
        <v>422370</v>
      </c>
      <c r="C22" s="14">
        <v>0</v>
      </c>
      <c r="D22" s="14" t="s">
        <v>16619</v>
      </c>
      <c r="E22" s="14" t="s">
        <v>4396</v>
      </c>
      <c r="F22" s="14" t="s">
        <v>96</v>
      </c>
      <c r="G22" s="18" t="s">
        <v>4755</v>
      </c>
      <c r="H22" s="18" t="s">
        <v>98</v>
      </c>
      <c r="I22" s="14" t="s">
        <v>16620</v>
      </c>
      <c r="J22" s="14">
        <v>1</v>
      </c>
      <c r="K22" s="14">
        <v>0</v>
      </c>
      <c r="L22" s="14" t="s">
        <v>16621</v>
      </c>
      <c r="M22" s="19" t="s">
        <v>101</v>
      </c>
      <c r="N22" s="14" t="s">
        <v>11721</v>
      </c>
      <c r="O22" s="14" t="s">
        <v>16622</v>
      </c>
      <c r="P22" s="14" t="str">
        <f>HYPERLINK("https://dexscreener.com/solana/qbE2prJqyoJ7bAFKSm3yVnLGpykzETDRah1tXvqTEmo", "View")</f>
        <v>View</v>
      </c>
    </row>
    <row r="23" spans="1:16" x14ac:dyDescent="0.25">
      <c r="A23" s="16" t="s">
        <v>16623</v>
      </c>
      <c r="B23" s="17">
        <v>4231</v>
      </c>
      <c r="C23" s="17">
        <v>0</v>
      </c>
      <c r="D23" s="17" t="s">
        <v>15855</v>
      </c>
      <c r="E23" s="17" t="s">
        <v>4396</v>
      </c>
      <c r="F23" s="17" t="s">
        <v>96</v>
      </c>
      <c r="G23" s="18" t="s">
        <v>4739</v>
      </c>
      <c r="H23" s="18" t="s">
        <v>98</v>
      </c>
      <c r="I23" s="17" t="s">
        <v>16624</v>
      </c>
      <c r="J23" s="17">
        <v>1</v>
      </c>
      <c r="K23" s="17">
        <v>0</v>
      </c>
      <c r="L23" s="17" t="s">
        <v>16625</v>
      </c>
      <c r="M23" s="19" t="s">
        <v>101</v>
      </c>
      <c r="N23" s="17" t="s">
        <v>16626</v>
      </c>
      <c r="O23" s="17" t="s">
        <v>16627</v>
      </c>
      <c r="P23" s="17" t="str">
        <f>HYPERLINK("https://dexscreener.com/solana/7TkU8BHHA9HVRJueJkrR7srJdGyKds1WptQ4zNX9pump", "View")</f>
        <v>View</v>
      </c>
    </row>
    <row r="24" spans="1:16" x14ac:dyDescent="0.25">
      <c r="A24" s="13" t="s">
        <v>1755</v>
      </c>
      <c r="B24" s="14">
        <v>972844</v>
      </c>
      <c r="C24" s="14">
        <v>486422</v>
      </c>
      <c r="D24" s="14" t="s">
        <v>16628</v>
      </c>
      <c r="E24" s="14" t="s">
        <v>5573</v>
      </c>
      <c r="F24" s="14" t="s">
        <v>16629</v>
      </c>
      <c r="G24" s="22" t="s">
        <v>5715</v>
      </c>
      <c r="H24" s="22" t="s">
        <v>16630</v>
      </c>
      <c r="I24" s="14" t="s">
        <v>88</v>
      </c>
      <c r="J24" s="14">
        <v>1</v>
      </c>
      <c r="K24" s="14">
        <v>1</v>
      </c>
      <c r="L24" s="14" t="s">
        <v>16631</v>
      </c>
      <c r="M24" s="14" t="s">
        <v>5695</v>
      </c>
      <c r="N24" s="14" t="s">
        <v>16632</v>
      </c>
      <c r="O24" s="14" t="s">
        <v>9777</v>
      </c>
      <c r="P24" s="14" t="str">
        <f>HYPERLINK("https://dexscreener.com/solana/E83nfay8WhS9bKAQEdBbCi73XvSwmLeWGXUs5qHupump", "View")</f>
        <v>View</v>
      </c>
    </row>
    <row r="25" spans="1:16" x14ac:dyDescent="0.25">
      <c r="A25" s="16" t="s">
        <v>9841</v>
      </c>
      <c r="B25" s="17">
        <v>547646</v>
      </c>
      <c r="C25" s="17">
        <v>0</v>
      </c>
      <c r="D25" s="17" t="s">
        <v>16619</v>
      </c>
      <c r="E25" s="17" t="s">
        <v>5573</v>
      </c>
      <c r="F25" s="17" t="s">
        <v>96</v>
      </c>
      <c r="G25" s="18" t="s">
        <v>3913</v>
      </c>
      <c r="H25" s="18" t="s">
        <v>98</v>
      </c>
      <c r="I25" s="17" t="s">
        <v>16633</v>
      </c>
      <c r="J25" s="17">
        <v>1</v>
      </c>
      <c r="K25" s="17">
        <v>0</v>
      </c>
      <c r="L25" s="17" t="s">
        <v>16634</v>
      </c>
      <c r="M25" s="19" t="s">
        <v>101</v>
      </c>
      <c r="N25" s="17" t="s">
        <v>16635</v>
      </c>
      <c r="O25" s="17" t="s">
        <v>9845</v>
      </c>
      <c r="P25" s="17" t="str">
        <f>HYPERLINK("https://dexscreener.com/solana/4Y47LEufvcSSSbTFojcvW4Y6x2KZXrqG2urNBSvHpump", "View")</f>
        <v>View</v>
      </c>
    </row>
    <row r="26" spans="1:16" x14ac:dyDescent="0.25">
      <c r="A26" s="13" t="s">
        <v>6416</v>
      </c>
      <c r="B26" s="14">
        <v>1462312</v>
      </c>
      <c r="C26" s="14">
        <v>0</v>
      </c>
      <c r="D26" s="14" t="s">
        <v>15855</v>
      </c>
      <c r="E26" s="14" t="s">
        <v>4396</v>
      </c>
      <c r="F26" s="14" t="s">
        <v>96</v>
      </c>
      <c r="G26" s="18" t="s">
        <v>4739</v>
      </c>
      <c r="H26" s="18" t="s">
        <v>98</v>
      </c>
      <c r="I26" s="14" t="s">
        <v>16636</v>
      </c>
      <c r="J26" s="14">
        <v>1</v>
      </c>
      <c r="K26" s="14">
        <v>0</v>
      </c>
      <c r="L26" s="14" t="s">
        <v>16637</v>
      </c>
      <c r="M26" s="19" t="s">
        <v>101</v>
      </c>
      <c r="N26" s="14" t="s">
        <v>16638</v>
      </c>
      <c r="O26" s="14" t="s">
        <v>6422</v>
      </c>
      <c r="P26" s="14" t="str">
        <f>HYPERLINK("https://dexscreener.com/solana/3XbtXJTwrApeEy9kthjpwBaR158ydaGgHnyEE1bipump", "View")</f>
        <v>View</v>
      </c>
    </row>
    <row r="27" spans="1:16" x14ac:dyDescent="0.25">
      <c r="A27" s="16" t="s">
        <v>16639</v>
      </c>
      <c r="B27" s="17">
        <v>1774173</v>
      </c>
      <c r="C27" s="17">
        <v>1774173</v>
      </c>
      <c r="D27" s="17" t="s">
        <v>13664</v>
      </c>
      <c r="E27" s="17" t="s">
        <v>5573</v>
      </c>
      <c r="F27" s="17" t="s">
        <v>5380</v>
      </c>
      <c r="G27" s="15" t="s">
        <v>16640</v>
      </c>
      <c r="H27" s="15" t="s">
        <v>16641</v>
      </c>
      <c r="I27" s="17" t="s">
        <v>88</v>
      </c>
      <c r="J27" s="17">
        <v>1</v>
      </c>
      <c r="K27" s="17">
        <v>1</v>
      </c>
      <c r="L27" s="17" t="s">
        <v>16642</v>
      </c>
      <c r="M27" s="17" t="s">
        <v>680</v>
      </c>
      <c r="N27" s="17" t="s">
        <v>16643</v>
      </c>
      <c r="O27" s="17" t="s">
        <v>16644</v>
      </c>
      <c r="P27" s="17" t="str">
        <f>HYPERLINK("https://dexscreener.com/solana/2TLm5TCvkv6rfxvki9eN5cVvYgb2e9pbjY9kK4yEMiUs", "View")</f>
        <v>View</v>
      </c>
    </row>
    <row r="28" spans="1:16" x14ac:dyDescent="0.25">
      <c r="A28" s="13" t="s">
        <v>1794</v>
      </c>
      <c r="B28" s="14">
        <v>202891</v>
      </c>
      <c r="C28" s="14">
        <v>152169</v>
      </c>
      <c r="D28" s="14" t="s">
        <v>16645</v>
      </c>
      <c r="E28" s="14" t="s">
        <v>5573</v>
      </c>
      <c r="F28" s="14" t="s">
        <v>4092</v>
      </c>
      <c r="G28" s="21" t="s">
        <v>9517</v>
      </c>
      <c r="H28" s="21" t="s">
        <v>16646</v>
      </c>
      <c r="I28" s="14" t="s">
        <v>88</v>
      </c>
      <c r="J28" s="14">
        <v>1</v>
      </c>
      <c r="K28" s="14">
        <v>2</v>
      </c>
      <c r="L28" s="14" t="s">
        <v>16647</v>
      </c>
      <c r="M28" s="14" t="s">
        <v>788</v>
      </c>
      <c r="N28" s="14" t="s">
        <v>16648</v>
      </c>
      <c r="O28" s="14" t="s">
        <v>1802</v>
      </c>
      <c r="P28" s="14" t="str">
        <f>HYPERLINK("https://dexscreener.com/solana/WziqSdg6EGYooGBmoxeUWLe2Czwk7AsEH2J42cepump", "View")</f>
        <v>View</v>
      </c>
    </row>
    <row r="29" spans="1:16" x14ac:dyDescent="0.25">
      <c r="A29" s="16" t="s">
        <v>16649</v>
      </c>
      <c r="B29" s="17">
        <v>352221</v>
      </c>
      <c r="C29" s="17">
        <v>176110</v>
      </c>
      <c r="D29" s="17" t="s">
        <v>13664</v>
      </c>
      <c r="E29" s="17" t="s">
        <v>2200</v>
      </c>
      <c r="F29" s="17" t="s">
        <v>4031</v>
      </c>
      <c r="G29" s="22" t="s">
        <v>12202</v>
      </c>
      <c r="H29" s="22" t="s">
        <v>16650</v>
      </c>
      <c r="I29" s="17" t="s">
        <v>88</v>
      </c>
      <c r="J29" s="17">
        <v>1</v>
      </c>
      <c r="K29" s="17">
        <v>1</v>
      </c>
      <c r="L29" s="17" t="s">
        <v>16651</v>
      </c>
      <c r="M29" s="17" t="s">
        <v>7558</v>
      </c>
      <c r="N29" s="17" t="s">
        <v>16652</v>
      </c>
      <c r="O29" s="17" t="s">
        <v>16653</v>
      </c>
      <c r="P29" s="17" t="str">
        <f>HYPERLINK("https://dexscreener.com/solana/AyMwek2yBJxgdomf2q4TgAMQebzoQYdy3HRq6Rojpump", "View")</f>
        <v>View</v>
      </c>
    </row>
    <row r="30" spans="1:16" x14ac:dyDescent="0.25">
      <c r="A30" s="13" t="s">
        <v>16654</v>
      </c>
      <c r="B30" s="14">
        <v>6404885</v>
      </c>
      <c r="C30" s="14">
        <v>6404885</v>
      </c>
      <c r="D30" s="14" t="s">
        <v>13664</v>
      </c>
      <c r="E30" s="14" t="s">
        <v>5573</v>
      </c>
      <c r="F30" s="14" t="s">
        <v>6179</v>
      </c>
      <c r="G30" s="20" t="s">
        <v>6131</v>
      </c>
      <c r="H30" s="20" t="s">
        <v>16655</v>
      </c>
      <c r="I30" s="14" t="s">
        <v>88</v>
      </c>
      <c r="J30" s="14">
        <v>1</v>
      </c>
      <c r="K30" s="14">
        <v>1</v>
      </c>
      <c r="L30" s="14" t="s">
        <v>16656</v>
      </c>
      <c r="M30" s="14" t="s">
        <v>2672</v>
      </c>
      <c r="N30" s="14" t="s">
        <v>16657</v>
      </c>
      <c r="O30" s="14" t="s">
        <v>16658</v>
      </c>
      <c r="P30" s="14" t="str">
        <f>HYPERLINK("https://dexscreener.com/solana/3Hb3gAqZG6U5yX7tpS2GeLZwMwtzxhdCU9LYfMFctQKU", "View")</f>
        <v>View</v>
      </c>
    </row>
    <row r="31" spans="1:16" x14ac:dyDescent="0.25">
      <c r="A31" s="16" t="s">
        <v>16659</v>
      </c>
      <c r="B31" s="17">
        <v>13540</v>
      </c>
      <c r="C31" s="17">
        <v>0</v>
      </c>
      <c r="D31" s="17" t="s">
        <v>15855</v>
      </c>
      <c r="E31" s="17" t="s">
        <v>5573</v>
      </c>
      <c r="F31" s="17" t="s">
        <v>96</v>
      </c>
      <c r="G31" s="18" t="s">
        <v>16660</v>
      </c>
      <c r="H31" s="18" t="s">
        <v>98</v>
      </c>
      <c r="I31" s="17" t="s">
        <v>16661</v>
      </c>
      <c r="J31" s="17">
        <v>1</v>
      </c>
      <c r="K31" s="17">
        <v>0</v>
      </c>
      <c r="L31" s="17" t="s">
        <v>16662</v>
      </c>
      <c r="M31" s="19" t="s">
        <v>101</v>
      </c>
      <c r="N31" s="17" t="s">
        <v>16663</v>
      </c>
      <c r="O31" s="17" t="s">
        <v>16664</v>
      </c>
      <c r="P31" s="17" t="str">
        <f>HYPERLINK("https://dexscreener.com/solana/DqWbfzoFmZPrrQP7MdqYvwZbCkBNu2fSSaJqUrqEVYyX", "View")</f>
        <v>View</v>
      </c>
    </row>
    <row r="32" spans="1:16" x14ac:dyDescent="0.25">
      <c r="A32" s="13" t="s">
        <v>125</v>
      </c>
      <c r="B32" s="14">
        <v>12114</v>
      </c>
      <c r="C32" s="14">
        <v>4114</v>
      </c>
      <c r="D32" s="14" t="s">
        <v>9885</v>
      </c>
      <c r="E32" s="14" t="s">
        <v>1007</v>
      </c>
      <c r="F32" s="14" t="s">
        <v>14268</v>
      </c>
      <c r="G32" s="22" t="s">
        <v>11809</v>
      </c>
      <c r="H32" s="22" t="s">
        <v>139</v>
      </c>
      <c r="I32" s="14" t="s">
        <v>88</v>
      </c>
      <c r="J32" s="14">
        <v>1</v>
      </c>
      <c r="K32" s="14">
        <v>1</v>
      </c>
      <c r="L32" s="14" t="s">
        <v>16665</v>
      </c>
      <c r="M32" s="14" t="s">
        <v>1478</v>
      </c>
      <c r="N32" s="14" t="s">
        <v>16666</v>
      </c>
      <c r="O32" s="14" t="s">
        <v>134</v>
      </c>
      <c r="P32" s="14" t="str">
        <f>HYPERLINK("https://dexscreener.com/solana/CBdCxKo9QavR9hfShgpEBG3zekorAeD7W1jfq2o3pump", "View")</f>
        <v>View</v>
      </c>
    </row>
    <row r="33" spans="1:16" x14ac:dyDescent="0.25">
      <c r="A33" s="16" t="s">
        <v>16667</v>
      </c>
      <c r="B33" s="17">
        <v>644086</v>
      </c>
      <c r="C33" s="17">
        <v>0</v>
      </c>
      <c r="D33" s="17" t="s">
        <v>15855</v>
      </c>
      <c r="E33" s="17" t="s">
        <v>5573</v>
      </c>
      <c r="F33" s="17" t="s">
        <v>96</v>
      </c>
      <c r="G33" s="18" t="s">
        <v>16660</v>
      </c>
      <c r="H33" s="18" t="s">
        <v>98</v>
      </c>
      <c r="I33" s="17" t="s">
        <v>16668</v>
      </c>
      <c r="J33" s="17">
        <v>1</v>
      </c>
      <c r="K33" s="17">
        <v>0</v>
      </c>
      <c r="L33" s="17" t="s">
        <v>16669</v>
      </c>
      <c r="M33" s="19" t="s">
        <v>101</v>
      </c>
      <c r="N33" s="17" t="s">
        <v>16670</v>
      </c>
      <c r="O33" s="17" t="s">
        <v>16671</v>
      </c>
      <c r="P33" s="17" t="str">
        <f>HYPERLINK("https://dexscreener.com/solana/5UjbS1bECmQo7B5f817151ctvWskB92aDqu9drsipump", "View")</f>
        <v>View</v>
      </c>
    </row>
    <row r="34" spans="1:16" x14ac:dyDescent="0.25">
      <c r="A34" s="13" t="s">
        <v>297</v>
      </c>
      <c r="B34" s="14">
        <v>124523</v>
      </c>
      <c r="C34" s="14">
        <v>110523</v>
      </c>
      <c r="D34" s="14" t="s">
        <v>16672</v>
      </c>
      <c r="E34" s="14" t="s">
        <v>5573</v>
      </c>
      <c r="F34" s="14" t="s">
        <v>8491</v>
      </c>
      <c r="G34" s="21" t="s">
        <v>3466</v>
      </c>
      <c r="H34" s="21" t="s">
        <v>16673</v>
      </c>
      <c r="I34" s="14" t="s">
        <v>88</v>
      </c>
      <c r="J34" s="14">
        <v>1</v>
      </c>
      <c r="K34" s="14">
        <v>2</v>
      </c>
      <c r="L34" s="14" t="s">
        <v>16674</v>
      </c>
      <c r="M34" s="14" t="s">
        <v>823</v>
      </c>
      <c r="N34" s="14" t="s">
        <v>16675</v>
      </c>
      <c r="O34" s="14" t="s">
        <v>306</v>
      </c>
      <c r="P34" s="14" t="str">
        <f>HYPERLINK("https://dexscreener.com/solana/yG6bXPEFaUnGAEHHqH9H7t1VSfaK7YrggCqHy35pump", "View")</f>
        <v>View</v>
      </c>
    </row>
    <row r="35" spans="1:16" x14ac:dyDescent="0.25">
      <c r="A35" s="16" t="s">
        <v>16676</v>
      </c>
      <c r="B35" s="17">
        <v>270266</v>
      </c>
      <c r="C35" s="17">
        <v>270266</v>
      </c>
      <c r="D35" s="17" t="s">
        <v>16609</v>
      </c>
      <c r="E35" s="17" t="s">
        <v>5573</v>
      </c>
      <c r="F35" s="17" t="s">
        <v>96</v>
      </c>
      <c r="G35" s="15" t="s">
        <v>16660</v>
      </c>
      <c r="H35" s="15" t="s">
        <v>2844</v>
      </c>
      <c r="I35" s="17" t="s">
        <v>88</v>
      </c>
      <c r="J35" s="17">
        <v>1</v>
      </c>
      <c r="K35" s="17">
        <v>1</v>
      </c>
      <c r="L35" s="17" t="s">
        <v>16677</v>
      </c>
      <c r="M35" s="17" t="s">
        <v>980</v>
      </c>
      <c r="N35" s="17" t="s">
        <v>16678</v>
      </c>
      <c r="O35" s="17" t="s">
        <v>16679</v>
      </c>
      <c r="P35" s="17" t="str">
        <f>HYPERLINK("https://dexscreener.com/solana/6CHJYnqrg5xVH2PGhia3DQf3dNW4MJ4dtbcebjvqpump", "View")</f>
        <v>View</v>
      </c>
    </row>
    <row r="36" spans="1:16" x14ac:dyDescent="0.25">
      <c r="A36" s="13" t="s">
        <v>16680</v>
      </c>
      <c r="B36" s="14">
        <v>6107197</v>
      </c>
      <c r="C36" s="14">
        <v>0</v>
      </c>
      <c r="D36" s="14" t="s">
        <v>15855</v>
      </c>
      <c r="E36" s="14" t="s">
        <v>5573</v>
      </c>
      <c r="F36" s="14" t="s">
        <v>96</v>
      </c>
      <c r="G36" s="18" t="s">
        <v>16660</v>
      </c>
      <c r="H36" s="18" t="s">
        <v>98</v>
      </c>
      <c r="I36" s="14" t="s">
        <v>16681</v>
      </c>
      <c r="J36" s="14">
        <v>1</v>
      </c>
      <c r="K36" s="14">
        <v>0</v>
      </c>
      <c r="L36" s="14" t="s">
        <v>16682</v>
      </c>
      <c r="M36" s="19" t="s">
        <v>101</v>
      </c>
      <c r="N36" s="14" t="s">
        <v>8871</v>
      </c>
      <c r="O36" s="14" t="s">
        <v>16683</v>
      </c>
      <c r="P36" s="14" t="str">
        <f>HYPERLINK("https://dexscreener.com/solana/FDV29MPNSMsbhBVoNvdgNNivDGsgZAxWkx4au4epump", "View")</f>
        <v>View</v>
      </c>
    </row>
    <row r="37" spans="1:16" x14ac:dyDescent="0.25">
      <c r="A37" s="16" t="s">
        <v>8413</v>
      </c>
      <c r="B37" s="17">
        <v>255112</v>
      </c>
      <c r="C37" s="17">
        <v>0</v>
      </c>
      <c r="D37" s="17" t="s">
        <v>15855</v>
      </c>
      <c r="E37" s="17" t="s">
        <v>5573</v>
      </c>
      <c r="F37" s="17" t="s">
        <v>96</v>
      </c>
      <c r="G37" s="18" t="s">
        <v>16660</v>
      </c>
      <c r="H37" s="18" t="s">
        <v>98</v>
      </c>
      <c r="I37" s="17" t="s">
        <v>16684</v>
      </c>
      <c r="J37" s="17">
        <v>1</v>
      </c>
      <c r="K37" s="17">
        <v>0</v>
      </c>
      <c r="L37" s="17" t="s">
        <v>16685</v>
      </c>
      <c r="M37" s="19" t="s">
        <v>101</v>
      </c>
      <c r="N37" s="17" t="s">
        <v>16686</v>
      </c>
      <c r="O37" s="17" t="s">
        <v>16687</v>
      </c>
      <c r="P37" s="17" t="str">
        <f>HYPERLINK("https://dexscreener.com/solana/uUc6CG5FviFzbvKQWD4xBGyeu6pFVKioiY9tFZQhYzY", "View")</f>
        <v>View</v>
      </c>
    </row>
    <row r="38" spans="1:16" x14ac:dyDescent="0.25">
      <c r="A38" s="13" t="s">
        <v>16688</v>
      </c>
      <c r="B38" s="14">
        <v>92661</v>
      </c>
      <c r="C38" s="14">
        <v>0</v>
      </c>
      <c r="D38" s="14" t="s">
        <v>16619</v>
      </c>
      <c r="E38" s="14" t="s">
        <v>5573</v>
      </c>
      <c r="F38" s="14" t="s">
        <v>96</v>
      </c>
      <c r="G38" s="18" t="s">
        <v>3913</v>
      </c>
      <c r="H38" s="18" t="s">
        <v>98</v>
      </c>
      <c r="I38" s="14" t="s">
        <v>16689</v>
      </c>
      <c r="J38" s="14">
        <v>1</v>
      </c>
      <c r="K38" s="14">
        <v>0</v>
      </c>
      <c r="L38" s="14" t="s">
        <v>16690</v>
      </c>
      <c r="M38" s="19" t="s">
        <v>101</v>
      </c>
      <c r="N38" s="14" t="s">
        <v>16691</v>
      </c>
      <c r="O38" s="14" t="s">
        <v>16692</v>
      </c>
      <c r="P38" s="14" t="str">
        <f>HYPERLINK("https://dexscreener.com/solana/9q7dTw5oHvwC6frzaphxYhRNTRivp3BJGGxaXFqTZgUV", "View")</f>
        <v>View</v>
      </c>
    </row>
    <row r="39" spans="1:16" x14ac:dyDescent="0.25">
      <c r="A39" s="16" t="s">
        <v>2820</v>
      </c>
      <c r="B39" s="17">
        <v>1641736</v>
      </c>
      <c r="C39" s="17">
        <v>0</v>
      </c>
      <c r="D39" s="17" t="s">
        <v>16693</v>
      </c>
      <c r="E39" s="17" t="s">
        <v>5572</v>
      </c>
      <c r="F39" s="17" t="s">
        <v>96</v>
      </c>
      <c r="G39" s="18" t="s">
        <v>16694</v>
      </c>
      <c r="H39" s="18" t="s">
        <v>98</v>
      </c>
      <c r="I39" s="17" t="s">
        <v>16695</v>
      </c>
      <c r="J39" s="17">
        <v>2</v>
      </c>
      <c r="K39" s="17">
        <v>0</v>
      </c>
      <c r="L39" s="17" t="s">
        <v>16696</v>
      </c>
      <c r="M39" s="17" t="s">
        <v>1809</v>
      </c>
      <c r="N39" s="17" t="s">
        <v>16697</v>
      </c>
      <c r="O39" s="17" t="s">
        <v>16698</v>
      </c>
      <c r="P39" s="17" t="str">
        <f>HYPERLINK("https://dexscreener.com/solana/8zx4UDmxki7rgetWYbt9zPSH9wiRo1jx8hQmB15apump", "View")</f>
        <v>View</v>
      </c>
    </row>
    <row r="40" spans="1:16" x14ac:dyDescent="0.25">
      <c r="A40" s="13" t="s">
        <v>16699</v>
      </c>
      <c r="B40" s="14">
        <v>69786</v>
      </c>
      <c r="C40" s="14">
        <v>69786</v>
      </c>
      <c r="D40" s="14" t="s">
        <v>16700</v>
      </c>
      <c r="E40" s="14" t="s">
        <v>5573</v>
      </c>
      <c r="F40" s="14" t="s">
        <v>8978</v>
      </c>
      <c r="G40" s="22" t="s">
        <v>6137</v>
      </c>
      <c r="H40" s="22" t="s">
        <v>13940</v>
      </c>
      <c r="I40" s="14" t="s">
        <v>88</v>
      </c>
      <c r="J40" s="14">
        <v>1</v>
      </c>
      <c r="K40" s="14">
        <v>1</v>
      </c>
      <c r="L40" s="14" t="s">
        <v>16701</v>
      </c>
      <c r="M40" s="14" t="s">
        <v>1448</v>
      </c>
      <c r="N40" s="14" t="s">
        <v>16702</v>
      </c>
      <c r="O40" s="14" t="s">
        <v>16703</v>
      </c>
      <c r="P40" s="14" t="str">
        <f>HYPERLINK("https://dexscreener.com/solana/37Yd8iMsC1zU1mepZCQnZRcP45iEdtHv1XVoxUm8pump", "View")</f>
        <v>View</v>
      </c>
    </row>
    <row r="41" spans="1:16" x14ac:dyDescent="0.25">
      <c r="A41" s="16" t="s">
        <v>16704</v>
      </c>
      <c r="B41" s="17">
        <v>930333</v>
      </c>
      <c r="C41" s="17">
        <v>930333</v>
      </c>
      <c r="D41" s="17" t="s">
        <v>16609</v>
      </c>
      <c r="E41" s="17" t="s">
        <v>5573</v>
      </c>
      <c r="F41" s="17" t="s">
        <v>96</v>
      </c>
      <c r="G41" s="15" t="s">
        <v>10198</v>
      </c>
      <c r="H41" s="15" t="s">
        <v>22</v>
      </c>
      <c r="I41" s="17" t="s">
        <v>88</v>
      </c>
      <c r="J41" s="17">
        <v>1</v>
      </c>
      <c r="K41" s="17">
        <v>1</v>
      </c>
      <c r="L41" s="17" t="s">
        <v>16705</v>
      </c>
      <c r="M41" s="17" t="s">
        <v>179</v>
      </c>
      <c r="N41" s="17" t="s">
        <v>16706</v>
      </c>
      <c r="O41" s="17" t="s">
        <v>16707</v>
      </c>
      <c r="P41" s="17" t="str">
        <f>HYPERLINK("https://dexscreener.com/solana/4zSuZRfPXrUd551nPSxVxdnZC5G4dQoBK4D2o7JK6r9q", "View")</f>
        <v>View</v>
      </c>
    </row>
    <row r="42" spans="1:16" x14ac:dyDescent="0.25">
      <c r="A42" s="13" t="s">
        <v>16708</v>
      </c>
      <c r="B42" s="14">
        <v>472911</v>
      </c>
      <c r="C42" s="14">
        <v>0</v>
      </c>
      <c r="D42" s="14" t="s">
        <v>15855</v>
      </c>
      <c r="E42" s="14" t="s">
        <v>5573</v>
      </c>
      <c r="F42" s="14" t="s">
        <v>96</v>
      </c>
      <c r="G42" s="18" t="s">
        <v>16660</v>
      </c>
      <c r="H42" s="18" t="s">
        <v>98</v>
      </c>
      <c r="I42" s="14" t="s">
        <v>16709</v>
      </c>
      <c r="J42" s="14">
        <v>1</v>
      </c>
      <c r="K42" s="14">
        <v>0</v>
      </c>
      <c r="L42" s="14" t="s">
        <v>16710</v>
      </c>
      <c r="M42" s="19" t="s">
        <v>101</v>
      </c>
      <c r="N42" s="14" t="s">
        <v>16711</v>
      </c>
      <c r="O42" s="14" t="s">
        <v>16712</v>
      </c>
      <c r="P42" s="14" t="str">
        <f>HYPERLINK("https://dexscreener.com/solana/BpCmvJzgtFHmaRoSjgqhXee9R5ZodTBAmwYvnFv2pump", "View")</f>
        <v>View</v>
      </c>
    </row>
    <row r="43" spans="1:16" x14ac:dyDescent="0.25">
      <c r="A43" s="16" t="s">
        <v>16713</v>
      </c>
      <c r="B43" s="17">
        <v>915605</v>
      </c>
      <c r="C43" s="17">
        <v>0</v>
      </c>
      <c r="D43" s="17" t="s">
        <v>16714</v>
      </c>
      <c r="E43" s="17" t="s">
        <v>5573</v>
      </c>
      <c r="F43" s="17" t="s">
        <v>96</v>
      </c>
      <c r="G43" s="18" t="s">
        <v>16715</v>
      </c>
      <c r="H43" s="18" t="s">
        <v>98</v>
      </c>
      <c r="I43" s="17" t="s">
        <v>16716</v>
      </c>
      <c r="J43" s="17">
        <v>1</v>
      </c>
      <c r="K43" s="17">
        <v>0</v>
      </c>
      <c r="L43" s="17" t="s">
        <v>16717</v>
      </c>
      <c r="M43" s="19" t="s">
        <v>101</v>
      </c>
      <c r="N43" s="17" t="s">
        <v>16718</v>
      </c>
      <c r="O43" s="17" t="s">
        <v>16719</v>
      </c>
      <c r="P43" s="17" t="str">
        <f>HYPERLINK("https://dexscreener.com/solana/69uUfiS9F9RuthsUKZBjv2myACvTVif23kjKSMyEXXLs", "View")</f>
        <v>View</v>
      </c>
    </row>
    <row r="44" spans="1:16" x14ac:dyDescent="0.25">
      <c r="A44" s="13" t="s">
        <v>5131</v>
      </c>
      <c r="B44" s="14">
        <v>226514</v>
      </c>
      <c r="C44" s="14">
        <v>0</v>
      </c>
      <c r="D44" s="14" t="s">
        <v>15855</v>
      </c>
      <c r="E44" s="14" t="s">
        <v>5573</v>
      </c>
      <c r="F44" s="14" t="s">
        <v>96</v>
      </c>
      <c r="G44" s="18" t="s">
        <v>16660</v>
      </c>
      <c r="H44" s="18" t="s">
        <v>98</v>
      </c>
      <c r="I44" s="14" t="s">
        <v>16720</v>
      </c>
      <c r="J44" s="14">
        <v>1</v>
      </c>
      <c r="K44" s="14">
        <v>0</v>
      </c>
      <c r="L44" s="14" t="s">
        <v>16721</v>
      </c>
      <c r="M44" s="19" t="s">
        <v>101</v>
      </c>
      <c r="N44" s="14" t="s">
        <v>16722</v>
      </c>
      <c r="O44" s="14" t="s">
        <v>16723</v>
      </c>
      <c r="P44" s="14" t="str">
        <f>HYPERLINK("https://dexscreener.com/solana/BWxRRwx2WwsJqihxoK8GVNRKKWD2Pp1DsmWXQ2NuuY3V", "View")</f>
        <v>View</v>
      </c>
    </row>
    <row r="45" spans="1:16" x14ac:dyDescent="0.25">
      <c r="A45" s="16" t="s">
        <v>16724</v>
      </c>
      <c r="B45" s="17">
        <v>10357</v>
      </c>
      <c r="C45" s="17">
        <v>0</v>
      </c>
      <c r="D45" s="17" t="s">
        <v>15855</v>
      </c>
      <c r="E45" s="17" t="s">
        <v>5573</v>
      </c>
      <c r="F45" s="17" t="s">
        <v>96</v>
      </c>
      <c r="G45" s="18" t="s">
        <v>16660</v>
      </c>
      <c r="H45" s="18" t="s">
        <v>98</v>
      </c>
      <c r="I45" s="17" t="s">
        <v>16725</v>
      </c>
      <c r="J45" s="17">
        <v>1</v>
      </c>
      <c r="K45" s="17">
        <v>0</v>
      </c>
      <c r="L45" s="17" t="s">
        <v>16726</v>
      </c>
      <c r="M45" s="19" t="s">
        <v>101</v>
      </c>
      <c r="N45" s="17" t="s">
        <v>16727</v>
      </c>
      <c r="O45" s="17" t="s">
        <v>16728</v>
      </c>
      <c r="P45" s="17" t="str">
        <f>HYPERLINK("https://dexscreener.com/solana/BWtcwMyNc37LQ5pqMBFFBubqRogrCgJjCkGKPskijaSX", "View")</f>
        <v>View</v>
      </c>
    </row>
    <row r="46" spans="1:16" x14ac:dyDescent="0.25">
      <c r="A46" s="13" t="s">
        <v>16729</v>
      </c>
      <c r="B46" s="14">
        <v>232106</v>
      </c>
      <c r="C46" s="14">
        <v>0</v>
      </c>
      <c r="D46" s="14" t="s">
        <v>16730</v>
      </c>
      <c r="E46" s="14" t="s">
        <v>5573</v>
      </c>
      <c r="F46" s="14" t="s">
        <v>96</v>
      </c>
      <c r="G46" s="18" t="s">
        <v>10198</v>
      </c>
      <c r="H46" s="18" t="s">
        <v>98</v>
      </c>
      <c r="I46" s="14" t="s">
        <v>16731</v>
      </c>
      <c r="J46" s="14">
        <v>1</v>
      </c>
      <c r="K46" s="14">
        <v>0</v>
      </c>
      <c r="L46" s="14" t="s">
        <v>16732</v>
      </c>
      <c r="M46" s="19" t="s">
        <v>101</v>
      </c>
      <c r="N46" s="14" t="s">
        <v>16733</v>
      </c>
      <c r="O46" s="14" t="s">
        <v>16734</v>
      </c>
      <c r="P46" s="14" t="str">
        <f>HYPERLINK("https://dexscreener.com/solana/c5i6GmmtV8feJH6P4ZNPyExdQkEe74tA13dWHqmpump", "View")</f>
        <v>View</v>
      </c>
    </row>
    <row r="47" spans="1:16" x14ac:dyDescent="0.25">
      <c r="A47" s="16" t="s">
        <v>16735</v>
      </c>
      <c r="B47" s="17">
        <v>1681102</v>
      </c>
      <c r="C47" s="17">
        <v>1681102</v>
      </c>
      <c r="D47" s="17" t="s">
        <v>16736</v>
      </c>
      <c r="E47" s="17" t="s">
        <v>2200</v>
      </c>
      <c r="F47" s="17" t="s">
        <v>16737</v>
      </c>
      <c r="G47" s="22" t="s">
        <v>12035</v>
      </c>
      <c r="H47" s="22" t="s">
        <v>16738</v>
      </c>
      <c r="I47" s="17" t="s">
        <v>88</v>
      </c>
      <c r="J47" s="17">
        <v>1</v>
      </c>
      <c r="K47" s="17">
        <v>2</v>
      </c>
      <c r="L47" s="17" t="s">
        <v>511</v>
      </c>
      <c r="M47" s="17" t="s">
        <v>179</v>
      </c>
      <c r="N47" s="17" t="s">
        <v>16739</v>
      </c>
      <c r="O47" s="17" t="s">
        <v>16740</v>
      </c>
      <c r="P47" s="17" t="str">
        <f>HYPERLINK("https://dexscreener.com/solana/HvWFxe8UzcmDS9nFGzZpuFC7RcxgT98N5rsEh6mDpump", "View")</f>
        <v>View</v>
      </c>
    </row>
    <row r="48" spans="1:16" x14ac:dyDescent="0.25">
      <c r="A48" s="13" t="s">
        <v>16741</v>
      </c>
      <c r="B48" s="14">
        <v>494046</v>
      </c>
      <c r="C48" s="14">
        <v>494046</v>
      </c>
      <c r="D48" s="14" t="s">
        <v>16742</v>
      </c>
      <c r="E48" s="14" t="s">
        <v>2200</v>
      </c>
      <c r="F48" s="14" t="s">
        <v>2208</v>
      </c>
      <c r="G48" s="21" t="s">
        <v>16578</v>
      </c>
      <c r="H48" s="21" t="s">
        <v>16743</v>
      </c>
      <c r="I48" s="14" t="s">
        <v>88</v>
      </c>
      <c r="J48" s="14">
        <v>1</v>
      </c>
      <c r="K48" s="14">
        <v>2</v>
      </c>
      <c r="L48" s="14" t="s">
        <v>16744</v>
      </c>
      <c r="M48" s="14" t="s">
        <v>179</v>
      </c>
      <c r="N48" s="14" t="s">
        <v>16745</v>
      </c>
      <c r="O48" s="14" t="s">
        <v>16746</v>
      </c>
      <c r="P48" s="14" t="str">
        <f>HYPERLINK("https://dexscreener.com/solana/9d9nFy1S4YRijRT2LH8GvV6KYk52ktbFcXtmsyc3pump", "View")</f>
        <v>View</v>
      </c>
    </row>
    <row r="49" spans="1:16" x14ac:dyDescent="0.25">
      <c r="A49" s="16" t="s">
        <v>16747</v>
      </c>
      <c r="B49" s="17">
        <v>413805</v>
      </c>
      <c r="C49" s="17">
        <v>413805</v>
      </c>
      <c r="D49" s="17" t="s">
        <v>16748</v>
      </c>
      <c r="E49" s="17" t="s">
        <v>2200</v>
      </c>
      <c r="F49" s="17" t="s">
        <v>96</v>
      </c>
      <c r="G49" s="15" t="s">
        <v>2201</v>
      </c>
      <c r="H49" s="15" t="s">
        <v>22</v>
      </c>
      <c r="I49" s="17" t="s">
        <v>88</v>
      </c>
      <c r="J49" s="17">
        <v>1</v>
      </c>
      <c r="K49" s="17">
        <v>1</v>
      </c>
      <c r="L49" s="17" t="s">
        <v>16749</v>
      </c>
      <c r="M49" s="17" t="s">
        <v>1705</v>
      </c>
      <c r="N49" s="17" t="s">
        <v>16750</v>
      </c>
      <c r="O49" s="17" t="s">
        <v>16751</v>
      </c>
      <c r="P49" s="17" t="str">
        <f>HYPERLINK("https://dexscreener.com/solana/3UH6adDN9L8CyeF8ucPSUayZbYNE1rSuYAzvw61spump", "View")</f>
        <v>View</v>
      </c>
    </row>
    <row r="50" spans="1:16" x14ac:dyDescent="0.25">
      <c r="A50" s="13" t="s">
        <v>16752</v>
      </c>
      <c r="B50" s="14">
        <v>1979475</v>
      </c>
      <c r="C50" s="14">
        <v>0</v>
      </c>
      <c r="D50" s="14" t="s">
        <v>6267</v>
      </c>
      <c r="E50" s="14" t="s">
        <v>2200</v>
      </c>
      <c r="F50" s="14" t="s">
        <v>96</v>
      </c>
      <c r="G50" s="18" t="s">
        <v>16753</v>
      </c>
      <c r="H50" s="18" t="s">
        <v>98</v>
      </c>
      <c r="I50" s="14" t="s">
        <v>16754</v>
      </c>
      <c r="J50" s="14">
        <v>1</v>
      </c>
      <c r="K50" s="14">
        <v>0</v>
      </c>
      <c r="L50" s="14" t="s">
        <v>16755</v>
      </c>
      <c r="M50" s="19" t="s">
        <v>101</v>
      </c>
      <c r="N50" s="14" t="s">
        <v>16756</v>
      </c>
      <c r="O50" s="14" t="s">
        <v>16757</v>
      </c>
      <c r="P50" s="14" t="str">
        <f>HYPERLINK("https://dexscreener.com/solana/D6EBXKMUZKbqKe7vfK6aFWVe5RFSMFRV2phvSo4bpump", "View")</f>
        <v>View</v>
      </c>
    </row>
    <row r="51" spans="1:16" x14ac:dyDescent="0.25">
      <c r="A51" s="16" t="s">
        <v>16758</v>
      </c>
      <c r="B51" s="17">
        <v>68209</v>
      </c>
      <c r="C51" s="17">
        <v>68209</v>
      </c>
      <c r="D51" s="17" t="s">
        <v>16609</v>
      </c>
      <c r="E51" s="17" t="s">
        <v>5573</v>
      </c>
      <c r="F51" s="17" t="s">
        <v>96</v>
      </c>
      <c r="G51" s="15" t="s">
        <v>10198</v>
      </c>
      <c r="H51" s="15" t="s">
        <v>16759</v>
      </c>
      <c r="I51" s="17" t="s">
        <v>88</v>
      </c>
      <c r="J51" s="17">
        <v>1</v>
      </c>
      <c r="K51" s="17">
        <v>1</v>
      </c>
      <c r="L51" s="17" t="s">
        <v>16760</v>
      </c>
      <c r="M51" s="17" t="s">
        <v>179</v>
      </c>
      <c r="N51" s="17" t="s">
        <v>16761</v>
      </c>
      <c r="O51" s="17" t="s">
        <v>16762</v>
      </c>
      <c r="P51" s="17" t="str">
        <f>HYPERLINK("https://dexscreener.com/solana/24nR93Cfv5qNUUWJWi79j1za4uFY8T4g5Gt71cf6pump", "View")</f>
        <v>View</v>
      </c>
    </row>
    <row r="52" spans="1:16" x14ac:dyDescent="0.25">
      <c r="A52" s="13" t="s">
        <v>5423</v>
      </c>
      <c r="B52" s="14">
        <v>307317</v>
      </c>
      <c r="C52" s="14">
        <v>0</v>
      </c>
      <c r="D52" s="14" t="s">
        <v>16763</v>
      </c>
      <c r="E52" s="14" t="s">
        <v>5573</v>
      </c>
      <c r="F52" s="14" t="s">
        <v>96</v>
      </c>
      <c r="G52" s="18" t="s">
        <v>12151</v>
      </c>
      <c r="H52" s="18" t="s">
        <v>98</v>
      </c>
      <c r="I52" s="14" t="s">
        <v>16764</v>
      </c>
      <c r="J52" s="14">
        <v>1</v>
      </c>
      <c r="K52" s="14">
        <v>0</v>
      </c>
      <c r="L52" s="14" t="s">
        <v>16765</v>
      </c>
      <c r="M52" s="19" t="s">
        <v>101</v>
      </c>
      <c r="N52" s="14" t="s">
        <v>16766</v>
      </c>
      <c r="O52" s="14" t="s">
        <v>16767</v>
      </c>
      <c r="P52" s="14" t="str">
        <f>HYPERLINK("https://dexscreener.com/solana/AGeuiGf8Wq1eqjV7Ldjw5PccCfTg7KKtZq8LjYJupump", "View")</f>
        <v>View</v>
      </c>
    </row>
    <row r="53" spans="1:16" x14ac:dyDescent="0.25">
      <c r="A53" s="16" t="s">
        <v>16768</v>
      </c>
      <c r="B53" s="17">
        <v>470878</v>
      </c>
      <c r="C53" s="17">
        <v>0</v>
      </c>
      <c r="D53" s="17" t="s">
        <v>15855</v>
      </c>
      <c r="E53" s="17" t="s">
        <v>5573</v>
      </c>
      <c r="F53" s="17" t="s">
        <v>96</v>
      </c>
      <c r="G53" s="18" t="s">
        <v>16660</v>
      </c>
      <c r="H53" s="18" t="s">
        <v>98</v>
      </c>
      <c r="I53" s="17" t="s">
        <v>16769</v>
      </c>
      <c r="J53" s="17">
        <v>1</v>
      </c>
      <c r="K53" s="17">
        <v>0</v>
      </c>
      <c r="L53" s="17" t="s">
        <v>16770</v>
      </c>
      <c r="M53" s="19" t="s">
        <v>101</v>
      </c>
      <c r="N53" s="17" t="s">
        <v>16771</v>
      </c>
      <c r="O53" s="17" t="s">
        <v>16772</v>
      </c>
      <c r="P53" s="17" t="str">
        <f>HYPERLINK("https://dexscreener.com/solana/HZs2NDMRVQ7i71CDq8XqC5JJcUv6HSeQ7y8hrsXsvDzJ", "View")</f>
        <v>View</v>
      </c>
    </row>
    <row r="54" spans="1:16" x14ac:dyDescent="0.25">
      <c r="A54" s="13" t="s">
        <v>16773</v>
      </c>
      <c r="B54" s="14">
        <v>469340</v>
      </c>
      <c r="C54" s="14">
        <v>0</v>
      </c>
      <c r="D54" s="14" t="s">
        <v>15855</v>
      </c>
      <c r="E54" s="14" t="s">
        <v>5573</v>
      </c>
      <c r="F54" s="14" t="s">
        <v>96</v>
      </c>
      <c r="G54" s="18" t="s">
        <v>16660</v>
      </c>
      <c r="H54" s="18" t="s">
        <v>98</v>
      </c>
      <c r="I54" s="14" t="s">
        <v>16774</v>
      </c>
      <c r="J54" s="14">
        <v>1</v>
      </c>
      <c r="K54" s="14">
        <v>0</v>
      </c>
      <c r="L54" s="14" t="s">
        <v>16775</v>
      </c>
      <c r="M54" s="19" t="s">
        <v>101</v>
      </c>
      <c r="N54" s="14" t="s">
        <v>9741</v>
      </c>
      <c r="O54" s="14" t="s">
        <v>16776</v>
      </c>
      <c r="P54" s="14" t="str">
        <f>HYPERLINK("https://dexscreener.com/solana/2R9ZELvagkmWap97LS3pAmtFGmrKjApQGGBCA7ABpump", "View")</f>
        <v>View</v>
      </c>
    </row>
    <row r="55" spans="1:16" x14ac:dyDescent="0.25">
      <c r="A55" s="16" t="s">
        <v>16777</v>
      </c>
      <c r="B55" s="17">
        <v>283380</v>
      </c>
      <c r="C55" s="17">
        <v>141690</v>
      </c>
      <c r="D55" s="17" t="s">
        <v>16778</v>
      </c>
      <c r="E55" s="17" t="s">
        <v>5573</v>
      </c>
      <c r="F55" s="17" t="s">
        <v>8854</v>
      </c>
      <c r="G55" s="21" t="s">
        <v>16779</v>
      </c>
      <c r="H55" s="21" t="s">
        <v>16780</v>
      </c>
      <c r="I55" s="17" t="s">
        <v>88</v>
      </c>
      <c r="J55" s="17">
        <v>1</v>
      </c>
      <c r="K55" s="17">
        <v>1</v>
      </c>
      <c r="L55" s="17" t="s">
        <v>16781</v>
      </c>
      <c r="M55" s="17" t="s">
        <v>117</v>
      </c>
      <c r="N55" s="17" t="s">
        <v>16782</v>
      </c>
      <c r="O55" s="17" t="s">
        <v>16783</v>
      </c>
      <c r="P55" s="17" t="str">
        <f>HYPERLINK("https://dexscreener.com/solana/6d5zHW5B8RkGKd51Lpb9RqFQSqDudr9GJgZ1SgQZpump", "View")</f>
        <v>View</v>
      </c>
    </row>
    <row r="56" spans="1:16" x14ac:dyDescent="0.25">
      <c r="A56" s="13" t="s">
        <v>10184</v>
      </c>
      <c r="B56" s="14">
        <v>20665</v>
      </c>
      <c r="C56" s="14">
        <v>20665</v>
      </c>
      <c r="D56" s="14" t="s">
        <v>16784</v>
      </c>
      <c r="E56" s="14" t="s">
        <v>5573</v>
      </c>
      <c r="F56" s="14" t="s">
        <v>96</v>
      </c>
      <c r="G56" s="15" t="s">
        <v>11256</v>
      </c>
      <c r="H56" s="15" t="s">
        <v>22</v>
      </c>
      <c r="I56" s="14" t="s">
        <v>88</v>
      </c>
      <c r="J56" s="14">
        <v>1</v>
      </c>
      <c r="K56" s="14">
        <v>1</v>
      </c>
      <c r="L56" s="14" t="s">
        <v>16785</v>
      </c>
      <c r="M56" s="14" t="s">
        <v>179</v>
      </c>
      <c r="N56" s="14" t="s">
        <v>16786</v>
      </c>
      <c r="O56" s="14" t="s">
        <v>16787</v>
      </c>
      <c r="P56" s="14" t="str">
        <f>HYPERLINK("https://dexscreener.com/solana/FsMuyevsQF1cf7djcTDofaK1hfc3ovaJ77BuzPFhpump", "View")</f>
        <v>View</v>
      </c>
    </row>
    <row r="57" spans="1:16" x14ac:dyDescent="0.25">
      <c r="A57" s="16" t="s">
        <v>16788</v>
      </c>
      <c r="B57" s="17">
        <v>221540</v>
      </c>
      <c r="C57" s="17">
        <v>0</v>
      </c>
      <c r="D57" s="17" t="s">
        <v>15855</v>
      </c>
      <c r="E57" s="17" t="s">
        <v>5573</v>
      </c>
      <c r="F57" s="17" t="s">
        <v>96</v>
      </c>
      <c r="G57" s="18" t="s">
        <v>16660</v>
      </c>
      <c r="H57" s="18" t="s">
        <v>98</v>
      </c>
      <c r="I57" s="17" t="s">
        <v>16789</v>
      </c>
      <c r="J57" s="17">
        <v>1</v>
      </c>
      <c r="K57" s="17">
        <v>0</v>
      </c>
      <c r="L57" s="17" t="s">
        <v>16790</v>
      </c>
      <c r="M57" s="19" t="s">
        <v>101</v>
      </c>
      <c r="N57" s="17" t="s">
        <v>16791</v>
      </c>
      <c r="O57" s="17" t="s">
        <v>16792</v>
      </c>
      <c r="P57" s="17" t="str">
        <f>HYPERLINK("https://dexscreener.com/solana/4XxruSLCtxJTfhibCKE2exW4fUyTgDKVDmzFKa3fpump", "View")</f>
        <v>View</v>
      </c>
    </row>
    <row r="58" spans="1:16" x14ac:dyDescent="0.25">
      <c r="A58" s="13" t="s">
        <v>16793</v>
      </c>
      <c r="B58" s="14">
        <v>977149</v>
      </c>
      <c r="C58" s="14">
        <v>977149</v>
      </c>
      <c r="D58" s="14" t="s">
        <v>16784</v>
      </c>
      <c r="E58" s="14" t="s">
        <v>2200</v>
      </c>
      <c r="F58" s="14" t="s">
        <v>96</v>
      </c>
      <c r="G58" s="15" t="s">
        <v>2201</v>
      </c>
      <c r="H58" s="15" t="s">
        <v>2844</v>
      </c>
      <c r="I58" s="14" t="s">
        <v>88</v>
      </c>
      <c r="J58" s="14">
        <v>1</v>
      </c>
      <c r="K58" s="14">
        <v>1</v>
      </c>
      <c r="L58" s="14" t="s">
        <v>16794</v>
      </c>
      <c r="M58" s="14" t="s">
        <v>2617</v>
      </c>
      <c r="N58" s="14" t="s">
        <v>16795</v>
      </c>
      <c r="O58" s="14" t="s">
        <v>16796</v>
      </c>
      <c r="P58" s="14" t="str">
        <f>HYPERLINK("https://dexscreener.com/solana/6NSwXa6VMFydCGhWCQz2apSLcqiBi9zeZWK8M4MKpump", "View")</f>
        <v>View</v>
      </c>
    </row>
    <row r="59" spans="1:16" x14ac:dyDescent="0.25">
      <c r="A59" s="16" t="s">
        <v>16797</v>
      </c>
      <c r="B59" s="17">
        <v>494492</v>
      </c>
      <c r="C59" s="17">
        <v>0</v>
      </c>
      <c r="D59" s="17" t="s">
        <v>16763</v>
      </c>
      <c r="E59" s="17" t="s">
        <v>5573</v>
      </c>
      <c r="F59" s="17" t="s">
        <v>96</v>
      </c>
      <c r="G59" s="18" t="s">
        <v>12151</v>
      </c>
      <c r="H59" s="18" t="s">
        <v>98</v>
      </c>
      <c r="I59" s="17" t="s">
        <v>16798</v>
      </c>
      <c r="J59" s="17">
        <v>1</v>
      </c>
      <c r="K59" s="17">
        <v>0</v>
      </c>
      <c r="L59" s="17" t="s">
        <v>16799</v>
      </c>
      <c r="M59" s="19" t="s">
        <v>101</v>
      </c>
      <c r="N59" s="17" t="s">
        <v>4948</v>
      </c>
      <c r="O59" s="17" t="s">
        <v>16800</v>
      </c>
      <c r="P59" s="17" t="str">
        <f>HYPERLINK("https://dexscreener.com/solana/FxZC1qcDxmsgDPTM7Brrmyysj5PygvTRZBtZVeiwpump", "View")</f>
        <v>View</v>
      </c>
    </row>
    <row r="60" spans="1:16" x14ac:dyDescent="0.25">
      <c r="A60" s="13" t="s">
        <v>8955</v>
      </c>
      <c r="B60" s="14">
        <v>817710</v>
      </c>
      <c r="C60" s="14">
        <v>0</v>
      </c>
      <c r="D60" s="14" t="s">
        <v>16763</v>
      </c>
      <c r="E60" s="14" t="s">
        <v>5573</v>
      </c>
      <c r="F60" s="14" t="s">
        <v>96</v>
      </c>
      <c r="G60" s="18" t="s">
        <v>12151</v>
      </c>
      <c r="H60" s="18" t="s">
        <v>98</v>
      </c>
      <c r="I60" s="14" t="s">
        <v>16801</v>
      </c>
      <c r="J60" s="14">
        <v>1</v>
      </c>
      <c r="K60" s="14">
        <v>0</v>
      </c>
      <c r="L60" s="14" t="s">
        <v>16802</v>
      </c>
      <c r="M60" s="19" t="s">
        <v>101</v>
      </c>
      <c r="N60" s="14" t="s">
        <v>15677</v>
      </c>
      <c r="O60" s="14" t="s">
        <v>8962</v>
      </c>
      <c r="P60" s="14" t="str">
        <f>HYPERLINK("https://dexscreener.com/solana/DVp3pRSS6a8Tgf2RafQTjcgttN3gbMKdbktYB2Uhpump", "View")</f>
        <v>View</v>
      </c>
    </row>
    <row r="61" spans="1:16" x14ac:dyDescent="0.25">
      <c r="A61" s="16" t="s">
        <v>9575</v>
      </c>
      <c r="B61" s="17">
        <v>610606</v>
      </c>
      <c r="C61" s="17">
        <v>0</v>
      </c>
      <c r="D61" s="17" t="s">
        <v>15855</v>
      </c>
      <c r="E61" s="17" t="s">
        <v>5573</v>
      </c>
      <c r="F61" s="17" t="s">
        <v>96</v>
      </c>
      <c r="G61" s="18" t="s">
        <v>16660</v>
      </c>
      <c r="H61" s="18" t="s">
        <v>98</v>
      </c>
      <c r="I61" s="17" t="s">
        <v>16803</v>
      </c>
      <c r="J61" s="17">
        <v>1</v>
      </c>
      <c r="K61" s="17">
        <v>0</v>
      </c>
      <c r="L61" s="17" t="s">
        <v>16804</v>
      </c>
      <c r="M61" s="19" t="s">
        <v>101</v>
      </c>
      <c r="N61" s="17" t="s">
        <v>16805</v>
      </c>
      <c r="O61" s="17" t="s">
        <v>16806</v>
      </c>
      <c r="P61" s="17" t="str">
        <f>HYPERLINK("https://dexscreener.com/solana/3URsM8Vvu2L7rtfHeobyhkno1LWTuDbXivRkEmZxpump", "View")</f>
        <v>View</v>
      </c>
    </row>
    <row r="62" spans="1:16" x14ac:dyDescent="0.25">
      <c r="A62" s="13" t="s">
        <v>6322</v>
      </c>
      <c r="B62" s="14">
        <v>450478</v>
      </c>
      <c r="C62" s="14">
        <v>400478</v>
      </c>
      <c r="D62" s="14" t="s">
        <v>16807</v>
      </c>
      <c r="E62" s="14" t="s">
        <v>5573</v>
      </c>
      <c r="F62" s="14" t="s">
        <v>7411</v>
      </c>
      <c r="G62" s="21" t="s">
        <v>16808</v>
      </c>
      <c r="H62" s="21" t="s">
        <v>16809</v>
      </c>
      <c r="I62" s="14" t="s">
        <v>88</v>
      </c>
      <c r="J62" s="14">
        <v>1</v>
      </c>
      <c r="K62" s="14">
        <v>3</v>
      </c>
      <c r="L62" s="14" t="s">
        <v>16810</v>
      </c>
      <c r="M62" s="14" t="s">
        <v>4413</v>
      </c>
      <c r="N62" s="14" t="s">
        <v>16811</v>
      </c>
      <c r="O62" s="14" t="s">
        <v>16812</v>
      </c>
      <c r="P62" s="14" t="str">
        <f>HYPERLINK("https://dexscreener.com/solana/HdHqKPz3n52e6FCJREKY3MS56TagyvRxsxVYG7E4rF99", "View")</f>
        <v>View</v>
      </c>
    </row>
    <row r="63" spans="1:16" x14ac:dyDescent="0.25">
      <c r="A63" s="16" t="s">
        <v>16813</v>
      </c>
      <c r="B63" s="17">
        <v>701277</v>
      </c>
      <c r="C63" s="17">
        <v>701277</v>
      </c>
      <c r="D63" s="17" t="s">
        <v>16814</v>
      </c>
      <c r="E63" s="17" t="s">
        <v>9395</v>
      </c>
      <c r="F63" s="17" t="s">
        <v>16815</v>
      </c>
      <c r="G63" s="21" t="s">
        <v>12920</v>
      </c>
      <c r="H63" s="21" t="s">
        <v>16816</v>
      </c>
      <c r="I63" s="17" t="s">
        <v>88</v>
      </c>
      <c r="J63" s="17">
        <v>1</v>
      </c>
      <c r="K63" s="17">
        <v>2</v>
      </c>
      <c r="L63" s="17" t="s">
        <v>16817</v>
      </c>
      <c r="M63" s="17" t="s">
        <v>4297</v>
      </c>
      <c r="N63" s="17" t="s">
        <v>16818</v>
      </c>
      <c r="O63" s="17" t="s">
        <v>16819</v>
      </c>
      <c r="P63" s="17" t="str">
        <f>HYPERLINK("https://dexscreener.com/solana/Dvmw8Nq6SRoxFWP36PWRycuY8NfT7qHHGa7k3wPTbWWD", "View")</f>
        <v>View</v>
      </c>
    </row>
    <row r="64" spans="1:16" x14ac:dyDescent="0.25">
      <c r="A64" s="13" t="s">
        <v>16820</v>
      </c>
      <c r="B64" s="14">
        <v>1816495</v>
      </c>
      <c r="C64" s="14">
        <v>1816495</v>
      </c>
      <c r="D64" s="14" t="s">
        <v>8721</v>
      </c>
      <c r="E64" s="14" t="s">
        <v>1007</v>
      </c>
      <c r="F64" s="14" t="s">
        <v>13454</v>
      </c>
      <c r="G64" s="21" t="s">
        <v>4146</v>
      </c>
      <c r="H64" s="21" t="s">
        <v>16821</v>
      </c>
      <c r="I64" s="14" t="s">
        <v>88</v>
      </c>
      <c r="J64" s="14">
        <v>1</v>
      </c>
      <c r="K64" s="14">
        <v>2</v>
      </c>
      <c r="L64" s="14" t="s">
        <v>16822</v>
      </c>
      <c r="M64" s="14" t="s">
        <v>4413</v>
      </c>
      <c r="N64" s="14" t="s">
        <v>16823</v>
      </c>
      <c r="O64" s="14" t="s">
        <v>16824</v>
      </c>
      <c r="P64" s="14" t="str">
        <f>HYPERLINK("https://dexscreener.com/solana/2Z6TocWzKtddxVe9kxCB3j3A339Z6CDiut5k3a9Apump", "View")</f>
        <v>View</v>
      </c>
    </row>
    <row r="65" spans="1:16" x14ac:dyDescent="0.25">
      <c r="A65" s="16" t="s">
        <v>16825</v>
      </c>
      <c r="B65" s="17">
        <v>627039</v>
      </c>
      <c r="C65" s="17">
        <v>499176</v>
      </c>
      <c r="D65" s="17" t="s">
        <v>16826</v>
      </c>
      <c r="E65" s="17" t="s">
        <v>10197</v>
      </c>
      <c r="F65" s="17" t="s">
        <v>16827</v>
      </c>
      <c r="G65" s="21" t="s">
        <v>16828</v>
      </c>
      <c r="H65" s="21" t="s">
        <v>16829</v>
      </c>
      <c r="I65" s="17" t="s">
        <v>88</v>
      </c>
      <c r="J65" s="17">
        <v>2</v>
      </c>
      <c r="K65" s="17">
        <v>3</v>
      </c>
      <c r="L65" s="17" t="s">
        <v>16830</v>
      </c>
      <c r="M65" s="17" t="s">
        <v>179</v>
      </c>
      <c r="N65" s="17" t="s">
        <v>16831</v>
      </c>
      <c r="O65" s="17" t="s">
        <v>16832</v>
      </c>
      <c r="P65" s="17" t="str">
        <f>HYPERLINK("https://dexscreener.com/solana/ErQa4H1JhXFfooaPnAFX3wiJucajzCgCquGtgbbYhGs8", "View")</f>
        <v>View</v>
      </c>
    </row>
    <row r="66" spans="1:16" x14ac:dyDescent="0.25">
      <c r="A66" s="13" t="s">
        <v>14848</v>
      </c>
      <c r="B66" s="14">
        <v>649862</v>
      </c>
      <c r="C66" s="14">
        <v>579677</v>
      </c>
      <c r="D66" s="14" t="s">
        <v>9312</v>
      </c>
      <c r="E66" s="14" t="s">
        <v>5573</v>
      </c>
      <c r="F66" s="14" t="s">
        <v>13964</v>
      </c>
      <c r="G66" s="21" t="s">
        <v>16833</v>
      </c>
      <c r="H66" s="21" t="s">
        <v>16834</v>
      </c>
      <c r="I66" s="14" t="s">
        <v>88</v>
      </c>
      <c r="J66" s="14">
        <v>1</v>
      </c>
      <c r="K66" s="14">
        <v>6</v>
      </c>
      <c r="L66" s="14" t="s">
        <v>16835</v>
      </c>
      <c r="M66" s="14" t="s">
        <v>277</v>
      </c>
      <c r="N66" s="14" t="s">
        <v>16836</v>
      </c>
      <c r="O66" s="14" t="s">
        <v>14855</v>
      </c>
      <c r="P66" s="14" t="str">
        <f>HYPERLINK("https://dexscreener.com/solana/7rRfJ5tdUjFPCWZRyYM7UNnfrpK1dqwzfpMYDknspump", "View")</f>
        <v>View</v>
      </c>
    </row>
    <row r="67" spans="1:16" x14ac:dyDescent="0.25">
      <c r="A67" s="16" t="s">
        <v>3307</v>
      </c>
      <c r="B67" s="17">
        <v>65991</v>
      </c>
      <c r="C67" s="17">
        <v>0</v>
      </c>
      <c r="D67" s="17" t="s">
        <v>15855</v>
      </c>
      <c r="E67" s="17" t="s">
        <v>5573</v>
      </c>
      <c r="F67" s="17" t="s">
        <v>96</v>
      </c>
      <c r="G67" s="18" t="s">
        <v>16660</v>
      </c>
      <c r="H67" s="18" t="s">
        <v>98</v>
      </c>
      <c r="I67" s="17" t="s">
        <v>16837</v>
      </c>
      <c r="J67" s="17">
        <v>1</v>
      </c>
      <c r="K67" s="17">
        <v>0</v>
      </c>
      <c r="L67" s="17" t="s">
        <v>16838</v>
      </c>
      <c r="M67" s="19" t="s">
        <v>101</v>
      </c>
      <c r="N67" s="17" t="s">
        <v>16839</v>
      </c>
      <c r="O67" s="17" t="s">
        <v>3313</v>
      </c>
      <c r="P67" s="17" t="str">
        <f>HYPERLINK("https://dexscreener.com/solana/5vrNnSXf2PeF4YMdG4vHi1WzU3hf42JKzV8i7jtBmRww", "View")</f>
        <v>View</v>
      </c>
    </row>
    <row r="68" spans="1:16" x14ac:dyDescent="0.25">
      <c r="A68" s="13" t="s">
        <v>16840</v>
      </c>
      <c r="B68" s="14">
        <v>66133</v>
      </c>
      <c r="C68" s="14">
        <v>33133</v>
      </c>
      <c r="D68" s="14" t="s">
        <v>16841</v>
      </c>
      <c r="E68" s="14" t="s">
        <v>10197</v>
      </c>
      <c r="F68" s="14" t="s">
        <v>3945</v>
      </c>
      <c r="G68" s="20" t="s">
        <v>3073</v>
      </c>
      <c r="H68" s="20" t="s">
        <v>15679</v>
      </c>
      <c r="I68" s="14" t="s">
        <v>88</v>
      </c>
      <c r="J68" s="14">
        <v>2</v>
      </c>
      <c r="K68" s="14">
        <v>1</v>
      </c>
      <c r="L68" s="14" t="s">
        <v>16842</v>
      </c>
      <c r="M68" s="14" t="s">
        <v>356</v>
      </c>
      <c r="N68" s="14" t="s">
        <v>16843</v>
      </c>
      <c r="O68" s="14" t="s">
        <v>16844</v>
      </c>
      <c r="P68" s="14" t="str">
        <f>HYPERLINK("https://dexscreener.com/solana/GvVctoGdyw3eGFq6ahEZXSArtVnjk7BVBPYxgi9rRaf6", "View")</f>
        <v>View</v>
      </c>
    </row>
    <row r="69" spans="1:16" x14ac:dyDescent="0.25">
      <c r="A69" s="16" t="s">
        <v>16845</v>
      </c>
      <c r="B69" s="17">
        <v>211195</v>
      </c>
      <c r="C69" s="17">
        <v>0</v>
      </c>
      <c r="D69" s="17" t="s">
        <v>16763</v>
      </c>
      <c r="E69" s="17" t="s">
        <v>5573</v>
      </c>
      <c r="F69" s="17" t="s">
        <v>96</v>
      </c>
      <c r="G69" s="18" t="s">
        <v>12151</v>
      </c>
      <c r="H69" s="18" t="s">
        <v>98</v>
      </c>
      <c r="I69" s="17" t="s">
        <v>16846</v>
      </c>
      <c r="J69" s="17">
        <v>1</v>
      </c>
      <c r="K69" s="17">
        <v>0</v>
      </c>
      <c r="L69" s="17" t="s">
        <v>16847</v>
      </c>
      <c r="M69" s="19" t="s">
        <v>101</v>
      </c>
      <c r="N69" s="17" t="s">
        <v>16848</v>
      </c>
      <c r="O69" s="17" t="s">
        <v>16849</v>
      </c>
      <c r="P69" s="17" t="str">
        <f>HYPERLINK("https://dexscreener.com/solana/ADzp2buxkzgHqMKxVp9prwJhij6Sjp14zuLsFFdKpump", "View")</f>
        <v>View</v>
      </c>
    </row>
    <row r="70" spans="1:16" x14ac:dyDescent="0.25">
      <c r="A70" s="13" t="s">
        <v>3450</v>
      </c>
      <c r="B70" s="14">
        <v>176691</v>
      </c>
      <c r="C70" s="14">
        <v>0</v>
      </c>
      <c r="D70" s="14" t="s">
        <v>16763</v>
      </c>
      <c r="E70" s="14" t="s">
        <v>5573</v>
      </c>
      <c r="F70" s="14" t="s">
        <v>96</v>
      </c>
      <c r="G70" s="18" t="s">
        <v>12151</v>
      </c>
      <c r="H70" s="18" t="s">
        <v>98</v>
      </c>
      <c r="I70" s="14" t="s">
        <v>16850</v>
      </c>
      <c r="J70" s="14">
        <v>1</v>
      </c>
      <c r="K70" s="14">
        <v>0</v>
      </c>
      <c r="L70" s="14" t="s">
        <v>16851</v>
      </c>
      <c r="M70" s="19" t="s">
        <v>101</v>
      </c>
      <c r="N70" s="14" t="s">
        <v>16852</v>
      </c>
      <c r="O70" s="14" t="s">
        <v>3457</v>
      </c>
      <c r="P70" s="14" t="str">
        <f>HYPERLINK("https://dexscreener.com/solana/ErUhvKtfeJ6M6ZepUQkzt4PPZXJZSf5aVim9LUp3pump", "View")</f>
        <v>View</v>
      </c>
    </row>
    <row r="71" spans="1:16" x14ac:dyDescent="0.25">
      <c r="A71" s="16" t="s">
        <v>16853</v>
      </c>
      <c r="B71" s="17">
        <v>379830</v>
      </c>
      <c r="C71" s="17">
        <v>0</v>
      </c>
      <c r="D71" s="17" t="s">
        <v>16325</v>
      </c>
      <c r="E71" s="17" t="s">
        <v>2200</v>
      </c>
      <c r="F71" s="17" t="s">
        <v>96</v>
      </c>
      <c r="G71" s="18" t="s">
        <v>13011</v>
      </c>
      <c r="H71" s="18" t="s">
        <v>98</v>
      </c>
      <c r="I71" s="17" t="s">
        <v>16854</v>
      </c>
      <c r="J71" s="17">
        <v>1</v>
      </c>
      <c r="K71" s="17">
        <v>0</v>
      </c>
      <c r="L71" s="17" t="s">
        <v>16855</v>
      </c>
      <c r="M71" s="19" t="s">
        <v>101</v>
      </c>
      <c r="N71" s="17" t="s">
        <v>16856</v>
      </c>
      <c r="O71" s="17" t="s">
        <v>16857</v>
      </c>
      <c r="P71" s="17" t="str">
        <f>HYPERLINK("https://dexscreener.com/solana/9zzj8kyb6cVX8tWmjGyG2QMBB7UXDf3bt8PYQfyYpump", "View")</f>
        <v>View</v>
      </c>
    </row>
    <row r="72" spans="1:16" x14ac:dyDescent="0.25">
      <c r="A72" s="13" t="s">
        <v>9930</v>
      </c>
      <c r="B72" s="14">
        <v>28850</v>
      </c>
      <c r="C72" s="14">
        <v>0</v>
      </c>
      <c r="D72" s="14" t="s">
        <v>15855</v>
      </c>
      <c r="E72" s="14" t="s">
        <v>2200</v>
      </c>
      <c r="F72" s="14" t="s">
        <v>96</v>
      </c>
      <c r="G72" s="18" t="s">
        <v>16753</v>
      </c>
      <c r="H72" s="18" t="s">
        <v>98</v>
      </c>
      <c r="I72" s="14" t="s">
        <v>16858</v>
      </c>
      <c r="J72" s="14">
        <v>1</v>
      </c>
      <c r="K72" s="14">
        <v>0</v>
      </c>
      <c r="L72" s="14" t="s">
        <v>16859</v>
      </c>
      <c r="M72" s="19" t="s">
        <v>101</v>
      </c>
      <c r="N72" s="14" t="s">
        <v>16860</v>
      </c>
      <c r="O72" s="14" t="s">
        <v>9936</v>
      </c>
      <c r="P72" s="14" t="str">
        <f>HYPERLINK("https://dexscreener.com/solana/F4aLcMxQy6CPcXAuER3J5QgB89n4fqBMs2bcrqQBpump", "View")</f>
        <v>View</v>
      </c>
    </row>
    <row r="73" spans="1:16" x14ac:dyDescent="0.25">
      <c r="A73" s="16" t="s">
        <v>3071</v>
      </c>
      <c r="B73" s="17">
        <v>1841679</v>
      </c>
      <c r="C73" s="17">
        <v>0</v>
      </c>
      <c r="D73" s="17" t="s">
        <v>15855</v>
      </c>
      <c r="E73" s="17" t="s">
        <v>2200</v>
      </c>
      <c r="F73" s="17" t="s">
        <v>96</v>
      </c>
      <c r="G73" s="18" t="s">
        <v>16753</v>
      </c>
      <c r="H73" s="18" t="s">
        <v>98</v>
      </c>
      <c r="I73" s="17" t="s">
        <v>16861</v>
      </c>
      <c r="J73" s="17">
        <v>1</v>
      </c>
      <c r="K73" s="17">
        <v>0</v>
      </c>
      <c r="L73" s="17" t="s">
        <v>16862</v>
      </c>
      <c r="M73" s="19" t="s">
        <v>101</v>
      </c>
      <c r="N73" s="17" t="s">
        <v>4306</v>
      </c>
      <c r="O73" s="17" t="s">
        <v>16863</v>
      </c>
      <c r="P73" s="17" t="str">
        <f>HYPERLINK("https://dexscreener.com/solana/DhncHp7VRouug7f7D7PXGvZhAHDi7tuMbbmY24MVpump", "View")</f>
        <v>View</v>
      </c>
    </row>
    <row r="74" spans="1:16" x14ac:dyDescent="0.25">
      <c r="A74" s="13" t="s">
        <v>16864</v>
      </c>
      <c r="B74" s="14">
        <v>192414</v>
      </c>
      <c r="C74" s="14">
        <v>192414</v>
      </c>
      <c r="D74" s="14" t="s">
        <v>16865</v>
      </c>
      <c r="E74" s="14" t="s">
        <v>3563</v>
      </c>
      <c r="F74" s="14" t="s">
        <v>16866</v>
      </c>
      <c r="G74" s="21" t="s">
        <v>5219</v>
      </c>
      <c r="H74" s="21" t="s">
        <v>16867</v>
      </c>
      <c r="I74" s="14" t="s">
        <v>88</v>
      </c>
      <c r="J74" s="14">
        <v>1</v>
      </c>
      <c r="K74" s="14">
        <v>1</v>
      </c>
      <c r="L74" s="14" t="s">
        <v>16868</v>
      </c>
      <c r="M74" s="14" t="s">
        <v>2145</v>
      </c>
      <c r="N74" s="14" t="s">
        <v>16869</v>
      </c>
      <c r="O74" s="14" t="s">
        <v>16870</v>
      </c>
      <c r="P74" s="14" t="str">
        <f>HYPERLINK("https://dexscreener.com/solana/BJ2ENyjuBGUQJr6CCDBcGAQNQDbayoNbDziDGrWSQQ4", "View")</f>
        <v>View</v>
      </c>
    </row>
    <row r="75" spans="1:16" x14ac:dyDescent="0.25">
      <c r="A75" s="16" t="s">
        <v>16871</v>
      </c>
      <c r="B75" s="17">
        <v>235997</v>
      </c>
      <c r="C75" s="17">
        <v>235997</v>
      </c>
      <c r="D75" s="17" t="s">
        <v>16872</v>
      </c>
      <c r="E75" s="17" t="s">
        <v>16873</v>
      </c>
      <c r="F75" s="17" t="s">
        <v>16874</v>
      </c>
      <c r="G75" s="15" t="s">
        <v>16875</v>
      </c>
      <c r="H75" s="15" t="s">
        <v>16876</v>
      </c>
      <c r="I75" s="17" t="s">
        <v>88</v>
      </c>
      <c r="J75" s="17">
        <v>2</v>
      </c>
      <c r="K75" s="17">
        <v>1</v>
      </c>
      <c r="L75" s="17" t="s">
        <v>16877</v>
      </c>
      <c r="M75" s="17" t="s">
        <v>150</v>
      </c>
      <c r="N75" s="17" t="s">
        <v>16878</v>
      </c>
      <c r="O75" s="17" t="s">
        <v>16879</v>
      </c>
      <c r="P75" s="17" t="str">
        <f>HYPERLINK("https://dexscreener.com/solana/HzhhfexEbj3dnVr55mBhiq4Zzh7kSQdDWdjxrMX3pump", "View")</f>
        <v>View</v>
      </c>
    </row>
    <row r="76" spans="1:16" x14ac:dyDescent="0.25">
      <c r="A76" s="13" t="s">
        <v>16880</v>
      </c>
      <c r="B76" s="14">
        <v>1121407</v>
      </c>
      <c r="C76" s="14">
        <v>1121407</v>
      </c>
      <c r="D76" s="14" t="s">
        <v>16865</v>
      </c>
      <c r="E76" s="14" t="s">
        <v>5573</v>
      </c>
      <c r="F76" s="14" t="s">
        <v>5346</v>
      </c>
      <c r="G76" s="15" t="s">
        <v>6747</v>
      </c>
      <c r="H76" s="15" t="s">
        <v>16881</v>
      </c>
      <c r="I76" s="14" t="s">
        <v>88</v>
      </c>
      <c r="J76" s="14">
        <v>1</v>
      </c>
      <c r="K76" s="14">
        <v>1</v>
      </c>
      <c r="L76" s="14" t="s">
        <v>16882</v>
      </c>
      <c r="M76" s="14" t="s">
        <v>150</v>
      </c>
      <c r="N76" s="14" t="s">
        <v>16883</v>
      </c>
      <c r="O76" s="14" t="s">
        <v>16884</v>
      </c>
      <c r="P76" s="14" t="str">
        <f>HYPERLINK("https://dexscreener.com/solana/3QCf8rb4bjQzSKC58wagLK5i4SaM3N27jE147mw4pump", "View")</f>
        <v>View</v>
      </c>
    </row>
    <row r="77" spans="1:16" x14ac:dyDescent="0.25">
      <c r="A77" s="16" t="s">
        <v>16885</v>
      </c>
      <c r="B77" s="17">
        <v>1763489</v>
      </c>
      <c r="C77" s="17">
        <v>1763489</v>
      </c>
      <c r="D77" s="17" t="s">
        <v>16865</v>
      </c>
      <c r="E77" s="17" t="s">
        <v>2200</v>
      </c>
      <c r="F77" s="17" t="s">
        <v>5098</v>
      </c>
      <c r="G77" s="15" t="s">
        <v>16886</v>
      </c>
      <c r="H77" s="15" t="s">
        <v>16887</v>
      </c>
      <c r="I77" s="17" t="s">
        <v>88</v>
      </c>
      <c r="J77" s="17">
        <v>1</v>
      </c>
      <c r="K77" s="17">
        <v>1</v>
      </c>
      <c r="L77" s="17" t="s">
        <v>16888</v>
      </c>
      <c r="M77" s="17" t="s">
        <v>150</v>
      </c>
      <c r="N77" s="17" t="s">
        <v>2271</v>
      </c>
      <c r="O77" s="17" t="s">
        <v>16889</v>
      </c>
      <c r="P77" s="17" t="str">
        <f>HYPERLINK("https://dexscreener.com/solana/B1kjyyvZSQpkqxUkPqwjoaudovjK74S4V4g4mTj8pump", "View")</f>
        <v>View</v>
      </c>
    </row>
    <row r="78" spans="1:16" x14ac:dyDescent="0.25">
      <c r="A78" s="13" t="s">
        <v>5931</v>
      </c>
      <c r="B78" s="14">
        <v>140936074708</v>
      </c>
      <c r="C78" s="14">
        <v>140936074708</v>
      </c>
      <c r="D78" s="14" t="s">
        <v>16865</v>
      </c>
      <c r="E78" s="14" t="s">
        <v>5573</v>
      </c>
      <c r="F78" s="14" t="s">
        <v>5057</v>
      </c>
      <c r="G78" s="20" t="s">
        <v>3652</v>
      </c>
      <c r="H78" s="20" t="s">
        <v>16890</v>
      </c>
      <c r="I78" s="14" t="s">
        <v>88</v>
      </c>
      <c r="J78" s="14">
        <v>1</v>
      </c>
      <c r="K78" s="14">
        <v>1</v>
      </c>
      <c r="L78" s="14" t="s">
        <v>16891</v>
      </c>
      <c r="M78" s="14" t="s">
        <v>150</v>
      </c>
      <c r="N78" s="14" t="s">
        <v>9372</v>
      </c>
      <c r="O78" s="14" t="s">
        <v>16892</v>
      </c>
      <c r="P78" s="14" t="str">
        <f>HYPERLINK("https://dexscreener.com/solana/7hWcHohzwtLddDUG81H2PkWq6KEkMtSDNkYXsso18Fy3", "View")</f>
        <v>View</v>
      </c>
    </row>
    <row r="79" spans="1:16" x14ac:dyDescent="0.25">
      <c r="A79" s="16" t="s">
        <v>16893</v>
      </c>
      <c r="B79" s="17">
        <v>1127867</v>
      </c>
      <c r="C79" s="17">
        <v>1127867</v>
      </c>
      <c r="D79" s="17" t="s">
        <v>10163</v>
      </c>
      <c r="E79" s="17" t="s">
        <v>16894</v>
      </c>
      <c r="F79" s="17" t="s">
        <v>6268</v>
      </c>
      <c r="G79" s="15" t="s">
        <v>7198</v>
      </c>
      <c r="H79" s="15" t="s">
        <v>16895</v>
      </c>
      <c r="I79" s="17" t="s">
        <v>88</v>
      </c>
      <c r="J79" s="17">
        <v>1</v>
      </c>
      <c r="K79" s="17">
        <v>1</v>
      </c>
      <c r="L79" s="17" t="s">
        <v>16896</v>
      </c>
      <c r="M79" s="17" t="s">
        <v>2145</v>
      </c>
      <c r="N79" s="17" t="s">
        <v>16897</v>
      </c>
      <c r="O79" s="17" t="s">
        <v>16898</v>
      </c>
      <c r="P79" s="17" t="str">
        <f>HYPERLINK("https://dexscreener.com/solana/2QcJHi1JquR58LC836swpkmEn4bqh2Wifhphr2XxkLDT", "View")</f>
        <v>View</v>
      </c>
    </row>
    <row r="80" spans="1:16" x14ac:dyDescent="0.25">
      <c r="A80" s="13" t="s">
        <v>4493</v>
      </c>
      <c r="B80" s="14">
        <v>114046</v>
      </c>
      <c r="C80" s="14">
        <v>114046</v>
      </c>
      <c r="D80" s="14" t="s">
        <v>16865</v>
      </c>
      <c r="E80" s="14" t="s">
        <v>5573</v>
      </c>
      <c r="F80" s="14" t="s">
        <v>1298</v>
      </c>
      <c r="G80" s="22" t="s">
        <v>2347</v>
      </c>
      <c r="H80" s="22" t="s">
        <v>16899</v>
      </c>
      <c r="I80" s="14" t="s">
        <v>88</v>
      </c>
      <c r="J80" s="14">
        <v>1</v>
      </c>
      <c r="K80" s="14">
        <v>1</v>
      </c>
      <c r="L80" s="14" t="s">
        <v>16900</v>
      </c>
      <c r="M80" s="14" t="s">
        <v>2145</v>
      </c>
      <c r="N80" s="14" t="s">
        <v>16901</v>
      </c>
      <c r="O80" s="14" t="s">
        <v>4497</v>
      </c>
      <c r="P80" s="14" t="str">
        <f>HYPERLINK("https://dexscreener.com/solana/C4j7kPx9PqDnfvxe2uycJQRTAeyGwmU4DyGf21Xgpump", "View")</f>
        <v>View</v>
      </c>
    </row>
    <row r="81" spans="1:16" x14ac:dyDescent="0.25">
      <c r="A81" s="16" t="s">
        <v>7106</v>
      </c>
      <c r="B81" s="17">
        <v>5840082</v>
      </c>
      <c r="C81" s="17">
        <v>0</v>
      </c>
      <c r="D81" s="17" t="s">
        <v>16628</v>
      </c>
      <c r="E81" s="17" t="s">
        <v>5573</v>
      </c>
      <c r="F81" s="17" t="s">
        <v>96</v>
      </c>
      <c r="G81" s="18" t="s">
        <v>16298</v>
      </c>
      <c r="H81" s="18" t="s">
        <v>98</v>
      </c>
      <c r="I81" s="17" t="s">
        <v>16902</v>
      </c>
      <c r="J81" s="17">
        <v>1</v>
      </c>
      <c r="K81" s="17">
        <v>0</v>
      </c>
      <c r="L81" s="17" t="s">
        <v>16903</v>
      </c>
      <c r="M81" s="19" t="s">
        <v>101</v>
      </c>
      <c r="N81" s="17" t="s">
        <v>8871</v>
      </c>
      <c r="O81" s="17" t="s">
        <v>7111</v>
      </c>
      <c r="P81" s="17" t="str">
        <f>HYPERLINK("https://dexscreener.com/solana/DDkAN3E5KbaSa8bcwBewHioM78Ns2v7E6Z8vNfp1pump", "View")</f>
        <v>View</v>
      </c>
    </row>
    <row r="82" spans="1:16" x14ac:dyDescent="0.25">
      <c r="A82" s="13" t="s">
        <v>16904</v>
      </c>
      <c r="B82" s="14">
        <v>579678</v>
      </c>
      <c r="C82" s="14">
        <v>0</v>
      </c>
      <c r="D82" s="14" t="s">
        <v>16628</v>
      </c>
      <c r="E82" s="14" t="s">
        <v>5573</v>
      </c>
      <c r="F82" s="14" t="s">
        <v>96</v>
      </c>
      <c r="G82" s="18" t="s">
        <v>16298</v>
      </c>
      <c r="H82" s="18" t="s">
        <v>98</v>
      </c>
      <c r="I82" s="14" t="s">
        <v>16905</v>
      </c>
      <c r="J82" s="14">
        <v>1</v>
      </c>
      <c r="K82" s="14">
        <v>0</v>
      </c>
      <c r="L82" s="14" t="s">
        <v>16906</v>
      </c>
      <c r="M82" s="19" t="s">
        <v>101</v>
      </c>
      <c r="N82" s="14" t="s">
        <v>11950</v>
      </c>
      <c r="O82" s="14" t="s">
        <v>16907</v>
      </c>
      <c r="P82" s="14" t="str">
        <f>HYPERLINK("https://dexscreener.com/solana/CHUdNGxk91c9pWhWnBtkN4PzXkC7USpRm5WYKdpkpump", "View")</f>
        <v>View</v>
      </c>
    </row>
    <row r="83" spans="1:16" x14ac:dyDescent="0.25">
      <c r="A83" s="16" t="s">
        <v>16908</v>
      </c>
      <c r="B83" s="17">
        <v>19799</v>
      </c>
      <c r="C83" s="17">
        <v>0</v>
      </c>
      <c r="D83" s="17" t="s">
        <v>16628</v>
      </c>
      <c r="E83" s="17" t="s">
        <v>5459</v>
      </c>
      <c r="F83" s="17" t="s">
        <v>96</v>
      </c>
      <c r="G83" s="18" t="s">
        <v>16909</v>
      </c>
      <c r="H83" s="18" t="s">
        <v>98</v>
      </c>
      <c r="I83" s="17" t="s">
        <v>16910</v>
      </c>
      <c r="J83" s="17">
        <v>1</v>
      </c>
      <c r="K83" s="17">
        <v>0</v>
      </c>
      <c r="L83" s="17" t="s">
        <v>16911</v>
      </c>
      <c r="M83" s="19" t="s">
        <v>101</v>
      </c>
      <c r="N83" s="17" t="s">
        <v>16912</v>
      </c>
      <c r="O83" s="17" t="s">
        <v>16913</v>
      </c>
      <c r="P83" s="17" t="str">
        <f>HYPERLINK("https://dexscreener.com/solana/J9e8RMXoVgtbEoK3PXZUdY9k2VRy4XvVEWu6GNpsNofW", "View")</f>
        <v>View</v>
      </c>
    </row>
    <row r="84" spans="1:16" x14ac:dyDescent="0.25">
      <c r="A84" s="13" t="s">
        <v>16914</v>
      </c>
      <c r="B84" s="14">
        <v>87592</v>
      </c>
      <c r="C84" s="14">
        <v>0</v>
      </c>
      <c r="D84" s="14" t="s">
        <v>16628</v>
      </c>
      <c r="E84" s="14" t="s">
        <v>5459</v>
      </c>
      <c r="F84" s="14" t="s">
        <v>96</v>
      </c>
      <c r="G84" s="18" t="s">
        <v>16909</v>
      </c>
      <c r="H84" s="18" t="s">
        <v>98</v>
      </c>
      <c r="I84" s="14" t="s">
        <v>16915</v>
      </c>
      <c r="J84" s="14">
        <v>1</v>
      </c>
      <c r="K84" s="14">
        <v>0</v>
      </c>
      <c r="L84" s="14" t="s">
        <v>16916</v>
      </c>
      <c r="M84" s="19" t="s">
        <v>101</v>
      </c>
      <c r="N84" s="14" t="s">
        <v>16917</v>
      </c>
      <c r="O84" s="14" t="s">
        <v>16918</v>
      </c>
      <c r="P84" s="14" t="str">
        <f>HYPERLINK("https://dexscreener.com/solana/TrUPjEqGpUph6sMJX8C3yYja9u4RcVUGTCkGG4xLrjG", "View")</f>
        <v>View</v>
      </c>
    </row>
    <row r="85" spans="1:16" x14ac:dyDescent="0.25">
      <c r="A85" s="16" t="s">
        <v>16919</v>
      </c>
      <c r="B85" s="17">
        <v>366983</v>
      </c>
      <c r="C85" s="17">
        <v>366983</v>
      </c>
      <c r="D85" s="17" t="s">
        <v>16865</v>
      </c>
      <c r="E85" s="17" t="s">
        <v>5573</v>
      </c>
      <c r="F85" s="17" t="s">
        <v>3972</v>
      </c>
      <c r="G85" s="15" t="s">
        <v>16920</v>
      </c>
      <c r="H85" s="15" t="s">
        <v>16921</v>
      </c>
      <c r="I85" s="17" t="s">
        <v>88</v>
      </c>
      <c r="J85" s="17">
        <v>1</v>
      </c>
      <c r="K85" s="17">
        <v>1</v>
      </c>
      <c r="L85" s="17" t="s">
        <v>16922</v>
      </c>
      <c r="M85" s="17" t="s">
        <v>356</v>
      </c>
      <c r="N85" s="17" t="s">
        <v>16923</v>
      </c>
      <c r="O85" s="17" t="s">
        <v>16924</v>
      </c>
      <c r="P85" s="17" t="str">
        <f>HYPERLINK("https://dexscreener.com/solana/F2xBLb6jj39LJ5rg6wh8VaTq9CLEvDqLFL9gxmEapump", "View")</f>
        <v>View</v>
      </c>
    </row>
    <row r="86" spans="1:16" x14ac:dyDescent="0.25">
      <c r="A86" s="13" t="s">
        <v>1186</v>
      </c>
      <c r="B86" s="14">
        <v>1250506</v>
      </c>
      <c r="C86" s="14">
        <v>1250506</v>
      </c>
      <c r="D86" s="14" t="s">
        <v>16865</v>
      </c>
      <c r="E86" s="14" t="s">
        <v>2200</v>
      </c>
      <c r="F86" s="14" t="s">
        <v>5065</v>
      </c>
      <c r="G86" s="15" t="s">
        <v>7533</v>
      </c>
      <c r="H86" s="15" t="s">
        <v>16925</v>
      </c>
      <c r="I86" s="14" t="s">
        <v>88</v>
      </c>
      <c r="J86" s="14">
        <v>1</v>
      </c>
      <c r="K86" s="14">
        <v>1</v>
      </c>
      <c r="L86" s="14" t="s">
        <v>16926</v>
      </c>
      <c r="M86" s="14" t="s">
        <v>356</v>
      </c>
      <c r="N86" s="14" t="s">
        <v>16927</v>
      </c>
      <c r="O86" s="14" t="s">
        <v>1192</v>
      </c>
      <c r="P86" s="14" t="str">
        <f>HYPERLINK("https://dexscreener.com/solana/7wU64AbsCqQKYqvdGEZsdyLRX3zrtwKdSNw1Ze6Rpump", "View")</f>
        <v>View</v>
      </c>
    </row>
    <row r="87" spans="1:16" x14ac:dyDescent="0.25">
      <c r="A87" s="16" t="s">
        <v>16928</v>
      </c>
      <c r="B87" s="17">
        <v>552505</v>
      </c>
      <c r="C87" s="17">
        <v>552505</v>
      </c>
      <c r="D87" s="17" t="s">
        <v>16929</v>
      </c>
      <c r="E87" s="17" t="s">
        <v>5573</v>
      </c>
      <c r="F87" s="17" t="s">
        <v>16930</v>
      </c>
      <c r="G87" s="21" t="s">
        <v>16931</v>
      </c>
      <c r="H87" s="21" t="s">
        <v>16932</v>
      </c>
      <c r="I87" s="17" t="s">
        <v>88</v>
      </c>
      <c r="J87" s="17">
        <v>1</v>
      </c>
      <c r="K87" s="17">
        <v>5</v>
      </c>
      <c r="L87" s="17" t="s">
        <v>16933</v>
      </c>
      <c r="M87" s="17" t="s">
        <v>4393</v>
      </c>
      <c r="N87" s="17" t="s">
        <v>16934</v>
      </c>
      <c r="O87" s="17" t="s">
        <v>16935</v>
      </c>
      <c r="P87" s="17" t="str">
        <f>HYPERLINK("https://dexscreener.com/solana/3XFiHA2gexzBjqtM5Z7FjJhP6f28D2m79UihBCfkpump", "View")</f>
        <v>View</v>
      </c>
    </row>
    <row r="88" spans="1:16" x14ac:dyDescent="0.25">
      <c r="A88" s="13" t="s">
        <v>16936</v>
      </c>
      <c r="B88" s="14">
        <v>1759398</v>
      </c>
      <c r="C88" s="14">
        <v>1759398</v>
      </c>
      <c r="D88" s="14" t="s">
        <v>16865</v>
      </c>
      <c r="E88" s="14" t="s">
        <v>5573</v>
      </c>
      <c r="F88" s="14" t="s">
        <v>4919</v>
      </c>
      <c r="G88" s="15" t="s">
        <v>9602</v>
      </c>
      <c r="H88" s="15" t="s">
        <v>16937</v>
      </c>
      <c r="I88" s="14" t="s">
        <v>88</v>
      </c>
      <c r="J88" s="14">
        <v>1</v>
      </c>
      <c r="K88" s="14">
        <v>1</v>
      </c>
      <c r="L88" s="14" t="s">
        <v>16938</v>
      </c>
      <c r="M88" s="14" t="s">
        <v>150</v>
      </c>
      <c r="N88" s="14" t="s">
        <v>16939</v>
      </c>
      <c r="O88" s="14" t="s">
        <v>16940</v>
      </c>
      <c r="P88" s="14" t="str">
        <f>HYPERLINK("https://dexscreener.com/solana/3TDHHYEwTjmav45DzdeGg59UbA9qJuifj2qeHUm6pump", "View")</f>
        <v>View</v>
      </c>
    </row>
    <row r="89" spans="1:16" x14ac:dyDescent="0.25">
      <c r="A89" s="16" t="s">
        <v>16941</v>
      </c>
      <c r="B89" s="17">
        <v>238809</v>
      </c>
      <c r="C89" s="17">
        <v>238809</v>
      </c>
      <c r="D89" s="17" t="s">
        <v>16942</v>
      </c>
      <c r="E89" s="17" t="s">
        <v>5058</v>
      </c>
      <c r="F89" s="17" t="s">
        <v>3845</v>
      </c>
      <c r="G89" s="22" t="s">
        <v>2967</v>
      </c>
      <c r="H89" s="22" t="s">
        <v>16943</v>
      </c>
      <c r="I89" s="17" t="s">
        <v>88</v>
      </c>
      <c r="J89" s="17">
        <v>1</v>
      </c>
      <c r="K89" s="17">
        <v>1</v>
      </c>
      <c r="L89" s="17" t="s">
        <v>16944</v>
      </c>
      <c r="M89" s="17" t="s">
        <v>538</v>
      </c>
      <c r="N89" s="17" t="s">
        <v>16945</v>
      </c>
      <c r="O89" s="17" t="s">
        <v>16946</v>
      </c>
      <c r="P89" s="17" t="str">
        <f>HYPERLINK("https://dexscreener.com/solana/3VW2XTSNoodobNHenaFWEJEg7ignSFa8Qimx2PZURGjF", "View")</f>
        <v>View</v>
      </c>
    </row>
    <row r="90" spans="1:16" x14ac:dyDescent="0.25">
      <c r="A90" s="13" t="s">
        <v>10619</v>
      </c>
      <c r="B90" s="14">
        <v>585420</v>
      </c>
      <c r="C90" s="14">
        <v>585420</v>
      </c>
      <c r="D90" s="14" t="s">
        <v>16865</v>
      </c>
      <c r="E90" s="14" t="s">
        <v>5573</v>
      </c>
      <c r="F90" s="14" t="s">
        <v>5220</v>
      </c>
      <c r="G90" s="15" t="s">
        <v>16947</v>
      </c>
      <c r="H90" s="15" t="s">
        <v>16948</v>
      </c>
      <c r="I90" s="14" t="s">
        <v>88</v>
      </c>
      <c r="J90" s="14">
        <v>1</v>
      </c>
      <c r="K90" s="14">
        <v>1</v>
      </c>
      <c r="L90" s="14" t="s">
        <v>16949</v>
      </c>
      <c r="M90" s="14" t="s">
        <v>699</v>
      </c>
      <c r="N90" s="14" t="s">
        <v>9714</v>
      </c>
      <c r="O90" s="14" t="s">
        <v>10624</v>
      </c>
      <c r="P90" s="14" t="str">
        <f>HYPERLINK("https://dexscreener.com/solana/6cLLXCTW48EdneJKWhc7vzE4VB3XMcJVEjsocQRHpump", "View")</f>
        <v>View</v>
      </c>
    </row>
    <row r="91" spans="1:16" x14ac:dyDescent="0.25">
      <c r="A91" s="16" t="s">
        <v>16950</v>
      </c>
      <c r="B91" s="17">
        <v>438294</v>
      </c>
      <c r="C91" s="17">
        <v>438294</v>
      </c>
      <c r="D91" s="17" t="s">
        <v>16784</v>
      </c>
      <c r="E91" s="17" t="s">
        <v>2200</v>
      </c>
      <c r="F91" s="17" t="s">
        <v>16263</v>
      </c>
      <c r="G91" s="20" t="s">
        <v>4707</v>
      </c>
      <c r="H91" s="20" t="s">
        <v>16951</v>
      </c>
      <c r="I91" s="17" t="s">
        <v>88</v>
      </c>
      <c r="J91" s="17">
        <v>1</v>
      </c>
      <c r="K91" s="17">
        <v>1</v>
      </c>
      <c r="L91" s="17" t="s">
        <v>16952</v>
      </c>
      <c r="M91" s="17" t="s">
        <v>672</v>
      </c>
      <c r="N91" s="17" t="s">
        <v>16953</v>
      </c>
      <c r="O91" s="17" t="s">
        <v>16954</v>
      </c>
      <c r="P91" s="17" t="str">
        <f>HYPERLINK("https://dexscreener.com/solana/reAZwormetQAZ91WX1iaLRCYAKgKKu2w2uJS2qCpump", "View")</f>
        <v>View</v>
      </c>
    </row>
    <row r="92" spans="1:16" x14ac:dyDescent="0.25">
      <c r="A92" s="13" t="s">
        <v>16955</v>
      </c>
      <c r="B92" s="14">
        <v>1002</v>
      </c>
      <c r="C92" s="14">
        <v>1002</v>
      </c>
      <c r="D92" s="14" t="s">
        <v>16956</v>
      </c>
      <c r="E92" s="14" t="s">
        <v>5573</v>
      </c>
      <c r="F92" s="14" t="s">
        <v>4458</v>
      </c>
      <c r="G92" s="20" t="s">
        <v>3426</v>
      </c>
      <c r="H92" s="20" t="s">
        <v>16957</v>
      </c>
      <c r="I92" s="14" t="s">
        <v>88</v>
      </c>
      <c r="J92" s="14">
        <v>1</v>
      </c>
      <c r="K92" s="14">
        <v>1</v>
      </c>
      <c r="L92" s="14" t="s">
        <v>16958</v>
      </c>
      <c r="M92" s="14" t="s">
        <v>538</v>
      </c>
      <c r="N92" s="14" t="s">
        <v>16959</v>
      </c>
      <c r="O92" s="14" t="s">
        <v>16960</v>
      </c>
      <c r="P92" s="14" t="str">
        <f>HYPERLINK("https://dexscreener.com/solana/3BgwJ8b7b9hHX4sgfZ2KJhv9496CoVfsMK2YePevsBRw", "View")</f>
        <v>View</v>
      </c>
    </row>
    <row r="93" spans="1:16" x14ac:dyDescent="0.25">
      <c r="A93" s="16" t="s">
        <v>16961</v>
      </c>
      <c r="B93" s="17">
        <v>3786</v>
      </c>
      <c r="C93" s="17">
        <v>3786</v>
      </c>
      <c r="D93" s="17" t="s">
        <v>16956</v>
      </c>
      <c r="E93" s="17" t="s">
        <v>4665</v>
      </c>
      <c r="F93" s="17" t="s">
        <v>16962</v>
      </c>
      <c r="G93" s="22" t="s">
        <v>96</v>
      </c>
      <c r="H93" s="22" t="s">
        <v>12522</v>
      </c>
      <c r="I93" s="17" t="s">
        <v>88</v>
      </c>
      <c r="J93" s="17">
        <v>1</v>
      </c>
      <c r="K93" s="17">
        <v>1</v>
      </c>
      <c r="L93" s="17" t="s">
        <v>16963</v>
      </c>
      <c r="M93" s="17" t="s">
        <v>538</v>
      </c>
      <c r="N93" s="17" t="s">
        <v>16964</v>
      </c>
      <c r="O93" s="17" t="s">
        <v>16965</v>
      </c>
      <c r="P93" s="17" t="str">
        <f>HYPERLINK("https://dexscreener.com/solana/ukHH6c7mMyiWCf1b9pnWe25TSpkDDt3H5pQZgZ74J82", "View")</f>
        <v>View</v>
      </c>
    </row>
    <row r="94" spans="1:16" x14ac:dyDescent="0.25">
      <c r="A94" s="13" t="s">
        <v>16966</v>
      </c>
      <c r="B94" s="14">
        <v>139131</v>
      </c>
      <c r="C94" s="14">
        <v>106069</v>
      </c>
      <c r="D94" s="14" t="s">
        <v>1646</v>
      </c>
      <c r="E94" s="14" t="s">
        <v>10197</v>
      </c>
      <c r="F94" s="14" t="s">
        <v>16967</v>
      </c>
      <c r="G94" s="22" t="s">
        <v>16968</v>
      </c>
      <c r="H94" s="22" t="s">
        <v>16969</v>
      </c>
      <c r="I94" s="14" t="s">
        <v>88</v>
      </c>
      <c r="J94" s="14">
        <v>2</v>
      </c>
      <c r="K94" s="14">
        <v>1</v>
      </c>
      <c r="L94" s="14" t="s">
        <v>10222</v>
      </c>
      <c r="M94" s="14" t="s">
        <v>117</v>
      </c>
      <c r="N94" s="14" t="s">
        <v>16970</v>
      </c>
      <c r="O94" s="14" t="s">
        <v>16971</v>
      </c>
      <c r="P94" s="14" t="str">
        <f>HYPERLINK("https://dexscreener.com/solana/Du1AQPxZjWQRRjVg5DBcR6ezfHU7RMpD7SsSX1YLpump", "View")</f>
        <v>View</v>
      </c>
    </row>
    <row r="95" spans="1:16" x14ac:dyDescent="0.25">
      <c r="A95" s="16" t="s">
        <v>16972</v>
      </c>
      <c r="B95" s="17">
        <v>507980</v>
      </c>
      <c r="C95" s="17">
        <v>0</v>
      </c>
      <c r="D95" s="17" t="s">
        <v>16763</v>
      </c>
      <c r="E95" s="17" t="s">
        <v>2200</v>
      </c>
      <c r="F95" s="17" t="s">
        <v>96</v>
      </c>
      <c r="G95" s="18" t="s">
        <v>2201</v>
      </c>
      <c r="H95" s="18" t="s">
        <v>98</v>
      </c>
      <c r="I95" s="17" t="s">
        <v>16973</v>
      </c>
      <c r="J95" s="17">
        <v>1</v>
      </c>
      <c r="K95" s="17">
        <v>0</v>
      </c>
      <c r="L95" s="17" t="s">
        <v>16974</v>
      </c>
      <c r="M95" s="19" t="s">
        <v>101</v>
      </c>
      <c r="N95" s="17" t="s">
        <v>16975</v>
      </c>
      <c r="O95" s="17" t="s">
        <v>16976</v>
      </c>
      <c r="P95" s="17" t="str">
        <f>HYPERLINK("https://dexscreener.com/solana/CauybpUD3sjHVC5UEUXVCwxpMTXnrgn3AEF9bE3xpump", "View")</f>
        <v>View</v>
      </c>
    </row>
    <row r="96" spans="1:16" x14ac:dyDescent="0.25">
      <c r="A96" s="13" t="s">
        <v>11538</v>
      </c>
      <c r="B96" s="14">
        <v>74187</v>
      </c>
      <c r="C96" s="14">
        <v>0</v>
      </c>
      <c r="D96" s="14" t="s">
        <v>16977</v>
      </c>
      <c r="E96" s="14" t="s">
        <v>2200</v>
      </c>
      <c r="F96" s="14" t="s">
        <v>96</v>
      </c>
      <c r="G96" s="18" t="s">
        <v>10511</v>
      </c>
      <c r="H96" s="18" t="s">
        <v>98</v>
      </c>
      <c r="I96" s="14" t="s">
        <v>16978</v>
      </c>
      <c r="J96" s="14">
        <v>2</v>
      </c>
      <c r="K96" s="14">
        <v>0</v>
      </c>
      <c r="L96" s="14" t="s">
        <v>16979</v>
      </c>
      <c r="M96" s="19" t="s">
        <v>2104</v>
      </c>
      <c r="N96" s="14" t="s">
        <v>11541</v>
      </c>
      <c r="O96" s="14" t="s">
        <v>11542</v>
      </c>
      <c r="P96" s="14" t="str">
        <f>HYPERLINK("https://dexscreener.com/solana/GQ6x4duENNVqALeJv78MShAkbJzPKPe15VGnxkpYpump", "View")</f>
        <v>View</v>
      </c>
    </row>
    <row r="97" spans="1:16" x14ac:dyDescent="0.25">
      <c r="A97" s="16" t="s">
        <v>16980</v>
      </c>
      <c r="B97" s="17">
        <v>57053</v>
      </c>
      <c r="C97" s="17">
        <v>57053</v>
      </c>
      <c r="D97" s="17" t="s">
        <v>16784</v>
      </c>
      <c r="E97" s="17" t="s">
        <v>5573</v>
      </c>
      <c r="F97" s="17" t="s">
        <v>96</v>
      </c>
      <c r="G97" s="15" t="s">
        <v>11256</v>
      </c>
      <c r="H97" s="15" t="s">
        <v>22</v>
      </c>
      <c r="I97" s="17" t="s">
        <v>88</v>
      </c>
      <c r="J97" s="17">
        <v>1</v>
      </c>
      <c r="K97" s="17">
        <v>1</v>
      </c>
      <c r="L97" s="17" t="s">
        <v>16981</v>
      </c>
      <c r="M97" s="17" t="s">
        <v>937</v>
      </c>
      <c r="N97" s="17" t="s">
        <v>16982</v>
      </c>
      <c r="O97" s="17" t="s">
        <v>16983</v>
      </c>
      <c r="P97" s="17" t="str">
        <f>HYPERLINK("https://dexscreener.com/solana/3PNhXSrrpLNSnwwKi5HL3uozZokF4d9VSbwARq4npump", "View")</f>
        <v>View</v>
      </c>
    </row>
    <row r="98" spans="1:16" x14ac:dyDescent="0.25">
      <c r="A98" s="13" t="s">
        <v>16984</v>
      </c>
      <c r="B98" s="14">
        <v>1373368</v>
      </c>
      <c r="C98" s="14">
        <v>1373368</v>
      </c>
      <c r="D98" s="14" t="s">
        <v>16700</v>
      </c>
      <c r="E98" s="14" t="s">
        <v>5573</v>
      </c>
      <c r="F98" s="14" t="s">
        <v>4761</v>
      </c>
      <c r="G98" s="15" t="s">
        <v>16985</v>
      </c>
      <c r="H98" s="15" t="s">
        <v>16986</v>
      </c>
      <c r="I98" s="14" t="s">
        <v>88</v>
      </c>
      <c r="J98" s="14">
        <v>1</v>
      </c>
      <c r="K98" s="14">
        <v>1</v>
      </c>
      <c r="L98" s="14" t="s">
        <v>16987</v>
      </c>
      <c r="M98" s="14" t="s">
        <v>179</v>
      </c>
      <c r="N98" s="14" t="s">
        <v>874</v>
      </c>
      <c r="O98" s="14" t="s">
        <v>16988</v>
      </c>
      <c r="P98" s="14" t="str">
        <f>HYPERLINK("https://dexscreener.com/solana/HNcri1fAq5jPrgSFeeF897dKevfD1uaaVHVfWoY1pump", "View")</f>
        <v>View</v>
      </c>
    </row>
    <row r="99" spans="1:16" x14ac:dyDescent="0.25">
      <c r="A99" s="16" t="s">
        <v>16989</v>
      </c>
      <c r="B99" s="17">
        <v>751102</v>
      </c>
      <c r="C99" s="17">
        <v>751102</v>
      </c>
      <c r="D99" s="17" t="s">
        <v>16700</v>
      </c>
      <c r="E99" s="17" t="s">
        <v>5573</v>
      </c>
      <c r="F99" s="17" t="s">
        <v>3481</v>
      </c>
      <c r="G99" s="15" t="s">
        <v>3406</v>
      </c>
      <c r="H99" s="15" t="s">
        <v>16990</v>
      </c>
      <c r="I99" s="17" t="s">
        <v>88</v>
      </c>
      <c r="J99" s="17">
        <v>1</v>
      </c>
      <c r="K99" s="17">
        <v>1</v>
      </c>
      <c r="L99" s="17" t="s">
        <v>16991</v>
      </c>
      <c r="M99" s="17" t="s">
        <v>1610</v>
      </c>
      <c r="N99" s="17" t="s">
        <v>1055</v>
      </c>
      <c r="O99" s="17" t="s">
        <v>16992</v>
      </c>
      <c r="P99" s="17" t="str">
        <f>HYPERLINK("https://dexscreener.com/solana/7H5KSfxrRzYZcjKoL42VJSeyyucvuiyBvx15oGR9pump", "View")</f>
        <v>View</v>
      </c>
    </row>
    <row r="100" spans="1:16" x14ac:dyDescent="0.25">
      <c r="A100" s="13" t="s">
        <v>16993</v>
      </c>
      <c r="B100" s="14">
        <v>2002334</v>
      </c>
      <c r="C100" s="14">
        <v>2002334</v>
      </c>
      <c r="D100" s="14" t="s">
        <v>16700</v>
      </c>
      <c r="E100" s="14" t="s">
        <v>5573</v>
      </c>
      <c r="F100" s="14" t="s">
        <v>6212</v>
      </c>
      <c r="G100" s="15" t="s">
        <v>3368</v>
      </c>
      <c r="H100" s="15" t="s">
        <v>16994</v>
      </c>
      <c r="I100" s="14" t="s">
        <v>88</v>
      </c>
      <c r="J100" s="14">
        <v>1</v>
      </c>
      <c r="K100" s="14">
        <v>1</v>
      </c>
      <c r="L100" s="14" t="s">
        <v>16995</v>
      </c>
      <c r="M100" s="14" t="s">
        <v>1448</v>
      </c>
      <c r="N100" s="14" t="s">
        <v>16996</v>
      </c>
      <c r="O100" s="14" t="s">
        <v>16997</v>
      </c>
      <c r="P100" s="14" t="str">
        <f>HYPERLINK("https://dexscreener.com/solana/2BGXAiDH1wNTV7EG8m5KCBfJQEuZfsKCQEPsd1Cspump", "View")</f>
        <v>View</v>
      </c>
    </row>
    <row r="101" spans="1:16" x14ac:dyDescent="0.25">
      <c r="A101" s="16" t="s">
        <v>16998</v>
      </c>
      <c r="B101" s="17">
        <v>427060</v>
      </c>
      <c r="C101" s="17">
        <v>427060</v>
      </c>
      <c r="D101" s="17" t="s">
        <v>16700</v>
      </c>
      <c r="E101" s="17" t="s">
        <v>2200</v>
      </c>
      <c r="F101" s="17" t="s">
        <v>4146</v>
      </c>
      <c r="G101" s="22" t="s">
        <v>3275</v>
      </c>
      <c r="H101" s="22" t="s">
        <v>16999</v>
      </c>
      <c r="I101" s="17" t="s">
        <v>88</v>
      </c>
      <c r="J101" s="17">
        <v>1</v>
      </c>
      <c r="K101" s="17">
        <v>1</v>
      </c>
      <c r="L101" s="17" t="s">
        <v>17000</v>
      </c>
      <c r="M101" s="17" t="s">
        <v>179</v>
      </c>
      <c r="N101" s="17" t="s">
        <v>17001</v>
      </c>
      <c r="O101" s="17" t="s">
        <v>17002</v>
      </c>
      <c r="P101" s="17" t="str">
        <f>HYPERLINK("https://dexscreener.com/solana/SEGAvHA84vn1Dqy6fsEs5zt8FShNGpRNGjkRjPNocM6", "View")</f>
        <v>View</v>
      </c>
    </row>
    <row r="102" spans="1:16" x14ac:dyDescent="0.25">
      <c r="A102" s="13" t="s">
        <v>17003</v>
      </c>
      <c r="B102" s="14">
        <v>1463353</v>
      </c>
      <c r="C102" s="14">
        <v>1463353</v>
      </c>
      <c r="D102" s="14" t="s">
        <v>16700</v>
      </c>
      <c r="E102" s="14" t="s">
        <v>5573</v>
      </c>
      <c r="F102" s="14" t="s">
        <v>14394</v>
      </c>
      <c r="G102" s="21" t="s">
        <v>3342</v>
      </c>
      <c r="H102" s="21" t="s">
        <v>17004</v>
      </c>
      <c r="I102" s="14" t="s">
        <v>88</v>
      </c>
      <c r="J102" s="14">
        <v>1</v>
      </c>
      <c r="K102" s="14">
        <v>1</v>
      </c>
      <c r="L102" s="14" t="s">
        <v>17005</v>
      </c>
      <c r="M102" s="14" t="s">
        <v>1566</v>
      </c>
      <c r="N102" s="14" t="s">
        <v>17006</v>
      </c>
      <c r="O102" s="14" t="s">
        <v>17007</v>
      </c>
      <c r="P102" s="14" t="str">
        <f>HYPERLINK("https://dexscreener.com/solana/C9FVTtx4WxgHmz55FEvQgykq8rqiLS8xRBVgqQVtpump", "View")</f>
        <v>View</v>
      </c>
    </row>
    <row r="103" spans="1:16" x14ac:dyDescent="0.25">
      <c r="A103" s="16" t="s">
        <v>17008</v>
      </c>
      <c r="B103" s="17">
        <v>174268</v>
      </c>
      <c r="C103" s="17">
        <v>0</v>
      </c>
      <c r="D103" s="17" t="s">
        <v>16763</v>
      </c>
      <c r="E103" s="17" t="s">
        <v>5573</v>
      </c>
      <c r="F103" s="17" t="s">
        <v>96</v>
      </c>
      <c r="G103" s="18" t="s">
        <v>12151</v>
      </c>
      <c r="H103" s="18" t="s">
        <v>98</v>
      </c>
      <c r="I103" s="17" t="s">
        <v>17009</v>
      </c>
      <c r="J103" s="17">
        <v>1</v>
      </c>
      <c r="K103" s="17">
        <v>0</v>
      </c>
      <c r="L103" s="17" t="s">
        <v>17010</v>
      </c>
      <c r="M103" s="19" t="s">
        <v>101</v>
      </c>
      <c r="N103" s="17" t="s">
        <v>17011</v>
      </c>
      <c r="O103" s="17" t="s">
        <v>17012</v>
      </c>
      <c r="P103" s="17" t="str">
        <f>HYPERLINK("https://dexscreener.com/solana/H2upD7hzQaf4s7HcvpsYyZQQpvooUzGTTs5d7wV2pump", "View")</f>
        <v>View</v>
      </c>
    </row>
    <row r="104" spans="1:16" x14ac:dyDescent="0.25">
      <c r="A104" s="13" t="s">
        <v>17013</v>
      </c>
      <c r="B104" s="14">
        <v>45021</v>
      </c>
      <c r="C104" s="14">
        <v>45021</v>
      </c>
      <c r="D104" s="14" t="s">
        <v>16700</v>
      </c>
      <c r="E104" s="14" t="s">
        <v>5573</v>
      </c>
      <c r="F104" s="14" t="s">
        <v>17014</v>
      </c>
      <c r="G104" s="20" t="s">
        <v>5733</v>
      </c>
      <c r="H104" s="20" t="s">
        <v>17015</v>
      </c>
      <c r="I104" s="14" t="s">
        <v>88</v>
      </c>
      <c r="J104" s="14">
        <v>1</v>
      </c>
      <c r="K104" s="14">
        <v>1</v>
      </c>
      <c r="L104" s="14" t="s">
        <v>17016</v>
      </c>
      <c r="M104" s="14" t="s">
        <v>1642</v>
      </c>
      <c r="N104" s="14" t="s">
        <v>17017</v>
      </c>
      <c r="O104" s="14" t="s">
        <v>17018</v>
      </c>
      <c r="P104" s="14" t="str">
        <f>HYPERLINK("https://dexscreener.com/solana/CFzhqSNqYZRsUszCGwZ3SJ9iPHLvSumffaS6gWuupump", "View")</f>
        <v>View</v>
      </c>
    </row>
    <row r="105" spans="1:16" x14ac:dyDescent="0.25">
      <c r="A105" s="16" t="s">
        <v>2310</v>
      </c>
      <c r="B105" s="17">
        <v>1979439</v>
      </c>
      <c r="C105" s="17">
        <v>1979439</v>
      </c>
      <c r="D105" s="17" t="s">
        <v>15575</v>
      </c>
      <c r="E105" s="17" t="s">
        <v>9395</v>
      </c>
      <c r="F105" s="17" t="s">
        <v>5746</v>
      </c>
      <c r="G105" s="15" t="s">
        <v>11319</v>
      </c>
      <c r="H105" s="15" t="s">
        <v>17019</v>
      </c>
      <c r="I105" s="17" t="s">
        <v>88</v>
      </c>
      <c r="J105" s="17">
        <v>1</v>
      </c>
      <c r="K105" s="17">
        <v>1</v>
      </c>
      <c r="L105" s="17" t="s">
        <v>17020</v>
      </c>
      <c r="M105" s="17" t="s">
        <v>1705</v>
      </c>
      <c r="N105" s="17" t="s">
        <v>17021</v>
      </c>
      <c r="O105" s="17" t="s">
        <v>17022</v>
      </c>
      <c r="P105" s="17" t="str">
        <f>HYPERLINK("https://dexscreener.com/solana/CCw5LdiNWnUs3J8pzm9w7mED9vkv6Qgq2er5XrnVEfWo", "View")</f>
        <v>View</v>
      </c>
    </row>
    <row r="106" spans="1:16" x14ac:dyDescent="0.25">
      <c r="A106" s="13" t="s">
        <v>248</v>
      </c>
      <c r="B106" s="14">
        <v>549</v>
      </c>
      <c r="C106" s="14">
        <v>5174</v>
      </c>
      <c r="D106" s="14" t="s">
        <v>16956</v>
      </c>
      <c r="E106" s="14" t="s">
        <v>2554</v>
      </c>
      <c r="F106" s="14" t="s">
        <v>2809</v>
      </c>
      <c r="G106" s="21" t="s">
        <v>5705</v>
      </c>
      <c r="H106" s="21" t="s">
        <v>17023</v>
      </c>
      <c r="I106" s="14" t="s">
        <v>88</v>
      </c>
      <c r="J106" s="14">
        <v>1</v>
      </c>
      <c r="K106" s="14">
        <v>1</v>
      </c>
      <c r="L106" s="14" t="s">
        <v>17024</v>
      </c>
      <c r="M106" s="14" t="s">
        <v>4558</v>
      </c>
      <c r="N106" s="14" t="s">
        <v>17025</v>
      </c>
      <c r="O106" s="14" t="s">
        <v>17026</v>
      </c>
      <c r="P106" s="14" t="str">
        <f>HYPERLINK("https://dexscreener.com/solana/F3uDFPSRz3e6SMzNX9gH1QnRSR2r2bqaJMNmv29L5Yxm", "View")</f>
        <v>View</v>
      </c>
    </row>
    <row r="107" spans="1:16" x14ac:dyDescent="0.25">
      <c r="A107" s="16" t="s">
        <v>5184</v>
      </c>
      <c r="B107" s="17">
        <v>229684</v>
      </c>
      <c r="C107" s="17">
        <v>229684</v>
      </c>
      <c r="D107" s="17" t="s">
        <v>17027</v>
      </c>
      <c r="E107" s="17" t="s">
        <v>5573</v>
      </c>
      <c r="F107" s="17" t="s">
        <v>17028</v>
      </c>
      <c r="G107" s="21" t="s">
        <v>17029</v>
      </c>
      <c r="H107" s="21" t="s">
        <v>17030</v>
      </c>
      <c r="I107" s="17" t="s">
        <v>88</v>
      </c>
      <c r="J107" s="17">
        <v>1</v>
      </c>
      <c r="K107" s="17">
        <v>6</v>
      </c>
      <c r="L107" s="17" t="s">
        <v>17031</v>
      </c>
      <c r="M107" s="17" t="s">
        <v>17032</v>
      </c>
      <c r="N107" s="17" t="s">
        <v>17033</v>
      </c>
      <c r="O107" s="17" t="s">
        <v>17034</v>
      </c>
      <c r="P107" s="17" t="str">
        <f>HYPERLINK("https://dexscreener.com/solana/J9SXKctbZVws65vjBHL91mqStzq5an1xZxdi6a4h853o", "View")</f>
        <v>View</v>
      </c>
    </row>
    <row r="108" spans="1:16" x14ac:dyDescent="0.25">
      <c r="A108" s="13" t="s">
        <v>17035</v>
      </c>
      <c r="B108" s="14">
        <v>103311246857</v>
      </c>
      <c r="C108" s="14">
        <v>103311246857</v>
      </c>
      <c r="D108" s="14" t="s">
        <v>532</v>
      </c>
      <c r="E108" s="14" t="s">
        <v>4396</v>
      </c>
      <c r="F108" s="14" t="s">
        <v>11127</v>
      </c>
      <c r="G108" s="21" t="s">
        <v>17036</v>
      </c>
      <c r="H108" s="21" t="s">
        <v>17037</v>
      </c>
      <c r="I108" s="14" t="s">
        <v>88</v>
      </c>
      <c r="J108" s="14">
        <v>1</v>
      </c>
      <c r="K108" s="14">
        <v>3</v>
      </c>
      <c r="L108" s="14" t="s">
        <v>17038</v>
      </c>
      <c r="M108" s="14" t="s">
        <v>17039</v>
      </c>
      <c r="N108" s="14" t="s">
        <v>17040</v>
      </c>
      <c r="O108" s="14" t="s">
        <v>17041</v>
      </c>
      <c r="P108" s="14" t="str">
        <f>HYPERLINK("https://dexscreener.com/solana/C1uX3EKJY3X5LocHyVfQnKD8gNCnyk6unk7URiLnEeP1", "View")</f>
        <v>View</v>
      </c>
    </row>
    <row r="109" spans="1:16" x14ac:dyDescent="0.25">
      <c r="A109" s="16" t="s">
        <v>17042</v>
      </c>
      <c r="B109" s="17">
        <v>599758</v>
      </c>
      <c r="C109" s="17">
        <v>599758</v>
      </c>
      <c r="D109" s="17" t="s">
        <v>17043</v>
      </c>
      <c r="E109" s="17" t="s">
        <v>11889</v>
      </c>
      <c r="F109" s="17" t="s">
        <v>17044</v>
      </c>
      <c r="G109" s="21" t="s">
        <v>17045</v>
      </c>
      <c r="H109" s="21" t="s">
        <v>17046</v>
      </c>
      <c r="I109" s="17" t="s">
        <v>88</v>
      </c>
      <c r="J109" s="17">
        <v>1</v>
      </c>
      <c r="K109" s="17">
        <v>6</v>
      </c>
      <c r="L109" s="17" t="s">
        <v>17047</v>
      </c>
      <c r="M109" s="17" t="s">
        <v>17039</v>
      </c>
      <c r="N109" s="17" t="s">
        <v>17048</v>
      </c>
      <c r="O109" s="17" t="s">
        <v>17049</v>
      </c>
      <c r="P109" s="17" t="str">
        <f>HYPERLINK("https://dexscreener.com/solana/3eMtc3qcr7BEjyzdvY5sGNaibXKanZpm24EowXcex1yp", "View")</f>
        <v>View</v>
      </c>
    </row>
    <row r="110" spans="1:16" x14ac:dyDescent="0.25">
      <c r="A110" s="13" t="s">
        <v>17050</v>
      </c>
      <c r="B110" s="14">
        <v>456531</v>
      </c>
      <c r="C110" s="14">
        <v>456531</v>
      </c>
      <c r="D110" s="14" t="s">
        <v>16865</v>
      </c>
      <c r="E110" s="14" t="s">
        <v>5573</v>
      </c>
      <c r="F110" s="14" t="s">
        <v>12272</v>
      </c>
      <c r="G110" s="15" t="s">
        <v>17051</v>
      </c>
      <c r="H110" s="15" t="s">
        <v>17052</v>
      </c>
      <c r="I110" s="14" t="s">
        <v>88</v>
      </c>
      <c r="J110" s="14">
        <v>1</v>
      </c>
      <c r="K110" s="14">
        <v>1</v>
      </c>
      <c r="L110" s="14" t="s">
        <v>17053</v>
      </c>
      <c r="M110" s="14" t="s">
        <v>414</v>
      </c>
      <c r="N110" s="14" t="s">
        <v>17054</v>
      </c>
      <c r="O110" s="14" t="s">
        <v>17055</v>
      </c>
      <c r="P110" s="14" t="str">
        <f>HYPERLINK("https://dexscreener.com/solana/J8KoJi7LFNdJiGt8qavfpu2R5jXfiZxeKukhHGXgpump", "View")</f>
        <v>View</v>
      </c>
    </row>
    <row r="111" spans="1:16" x14ac:dyDescent="0.25">
      <c r="A111" s="16" t="s">
        <v>4553</v>
      </c>
      <c r="B111" s="17">
        <v>3004</v>
      </c>
      <c r="C111" s="17">
        <v>3004</v>
      </c>
      <c r="D111" s="17" t="s">
        <v>16956</v>
      </c>
      <c r="E111" s="17" t="s">
        <v>4665</v>
      </c>
      <c r="F111" s="17" t="s">
        <v>6206</v>
      </c>
      <c r="G111" s="20" t="s">
        <v>4081</v>
      </c>
      <c r="H111" s="20" t="s">
        <v>17056</v>
      </c>
      <c r="I111" s="17" t="s">
        <v>88</v>
      </c>
      <c r="J111" s="17">
        <v>1</v>
      </c>
      <c r="K111" s="17">
        <v>1</v>
      </c>
      <c r="L111" s="17" t="s">
        <v>17057</v>
      </c>
      <c r="M111" s="17" t="s">
        <v>4413</v>
      </c>
      <c r="N111" s="17" t="s">
        <v>17058</v>
      </c>
      <c r="O111" s="17" t="s">
        <v>4560</v>
      </c>
      <c r="P111" s="17" t="str">
        <f>HYPERLINK("https://dexscreener.com/solana/3BeJ9zCgQhaqKMu2HgKJ79yQBChD1Pf3hPwRX44fpump", "View")</f>
        <v>View</v>
      </c>
    </row>
    <row r="112" spans="1:16" x14ac:dyDescent="0.25">
      <c r="A112" s="13" t="s">
        <v>17059</v>
      </c>
      <c r="B112" s="14">
        <v>2459758</v>
      </c>
      <c r="C112" s="14">
        <v>2459756</v>
      </c>
      <c r="D112" s="14" t="s">
        <v>17060</v>
      </c>
      <c r="E112" s="14" t="s">
        <v>13155</v>
      </c>
      <c r="F112" s="14" t="s">
        <v>17061</v>
      </c>
      <c r="G112" s="20" t="s">
        <v>2101</v>
      </c>
      <c r="H112" s="20" t="s">
        <v>17062</v>
      </c>
      <c r="I112" s="14" t="s">
        <v>88</v>
      </c>
      <c r="J112" s="14">
        <v>1</v>
      </c>
      <c r="K112" s="14">
        <v>2</v>
      </c>
      <c r="L112" s="14" t="s">
        <v>17063</v>
      </c>
      <c r="M112" s="14" t="s">
        <v>4550</v>
      </c>
      <c r="N112" s="14" t="s">
        <v>507</v>
      </c>
      <c r="O112" s="14" t="s">
        <v>17064</v>
      </c>
      <c r="P112" s="14" t="str">
        <f>HYPERLINK("https://dexscreener.com/solana/EuATWUwKmQ2P7btU8o47e8frhSu2LpAeRUGSSDz8mSeH", "View")</f>
        <v>View</v>
      </c>
    </row>
    <row r="113" spans="1:16" x14ac:dyDescent="0.25">
      <c r="A113" s="16" t="s">
        <v>4047</v>
      </c>
      <c r="B113" s="17">
        <v>1636659</v>
      </c>
      <c r="C113" s="17">
        <v>0</v>
      </c>
      <c r="D113" s="17" t="s">
        <v>17065</v>
      </c>
      <c r="E113" s="17" t="s">
        <v>5459</v>
      </c>
      <c r="F113" s="17" t="s">
        <v>96</v>
      </c>
      <c r="G113" s="18" t="s">
        <v>17066</v>
      </c>
      <c r="H113" s="18" t="s">
        <v>98</v>
      </c>
      <c r="I113" s="17" t="s">
        <v>17067</v>
      </c>
      <c r="J113" s="17">
        <v>1</v>
      </c>
      <c r="K113" s="17">
        <v>0</v>
      </c>
      <c r="L113" s="17" t="s">
        <v>17068</v>
      </c>
      <c r="M113" s="19" t="s">
        <v>101</v>
      </c>
      <c r="N113" s="17" t="s">
        <v>11721</v>
      </c>
      <c r="O113" s="17" t="s">
        <v>17069</v>
      </c>
      <c r="P113" s="17" t="str">
        <f>HYPERLINK("https://dexscreener.com/solana/PkGtNQ1WtLj3sYYDcg9GtPCzoQtyvF6gaND9SyApump", "View")</f>
        <v>View</v>
      </c>
    </row>
    <row r="114" spans="1:16" x14ac:dyDescent="0.25">
      <c r="A114" s="13" t="s">
        <v>17070</v>
      </c>
      <c r="B114" s="14">
        <v>479666</v>
      </c>
      <c r="C114" s="14">
        <v>239833</v>
      </c>
      <c r="D114" s="14" t="s">
        <v>17071</v>
      </c>
      <c r="E114" s="14" t="s">
        <v>5573</v>
      </c>
      <c r="F114" s="14" t="s">
        <v>17072</v>
      </c>
      <c r="G114" s="21" t="s">
        <v>2267</v>
      </c>
      <c r="H114" s="21" t="s">
        <v>17073</v>
      </c>
      <c r="I114" s="14" t="s">
        <v>88</v>
      </c>
      <c r="J114" s="14">
        <v>1</v>
      </c>
      <c r="K114" s="14">
        <v>1</v>
      </c>
      <c r="L114" s="14" t="s">
        <v>17074</v>
      </c>
      <c r="M114" s="14" t="s">
        <v>6235</v>
      </c>
      <c r="N114" s="14" t="s">
        <v>17075</v>
      </c>
      <c r="O114" s="14" t="s">
        <v>17076</v>
      </c>
      <c r="P114" s="14" t="str">
        <f>HYPERLINK("https://dexscreener.com/solana/ACv51sJj43UmcwaRA976U1p1uELs3Lm8TAsRheMRpump", "View")</f>
        <v>View</v>
      </c>
    </row>
    <row r="115" spans="1:16" x14ac:dyDescent="0.25">
      <c r="A115" s="16" t="s">
        <v>17077</v>
      </c>
      <c r="B115" s="17">
        <v>452450</v>
      </c>
      <c r="C115" s="17">
        <v>0</v>
      </c>
      <c r="D115" s="17" t="s">
        <v>17065</v>
      </c>
      <c r="E115" s="17" t="s">
        <v>5573</v>
      </c>
      <c r="F115" s="17" t="s">
        <v>96</v>
      </c>
      <c r="G115" s="18" t="s">
        <v>10198</v>
      </c>
      <c r="H115" s="18" t="s">
        <v>98</v>
      </c>
      <c r="I115" s="17" t="s">
        <v>17078</v>
      </c>
      <c r="J115" s="17">
        <v>1</v>
      </c>
      <c r="K115" s="17">
        <v>0</v>
      </c>
      <c r="L115" s="17" t="s">
        <v>17079</v>
      </c>
      <c r="M115" s="19" t="s">
        <v>101</v>
      </c>
      <c r="N115" s="17" t="s">
        <v>17080</v>
      </c>
      <c r="O115" s="17" t="s">
        <v>17081</v>
      </c>
      <c r="P115" s="17" t="str">
        <f>HYPERLINK("https://dexscreener.com/solana/EJZh9pzXXjEUVyNHjJ1A96iG5uuSDYp9YmjXDiempump", "View")</f>
        <v>View</v>
      </c>
    </row>
    <row r="116" spans="1:16" x14ac:dyDescent="0.25">
      <c r="A116" s="13" t="s">
        <v>8025</v>
      </c>
      <c r="B116" s="14">
        <v>680453</v>
      </c>
      <c r="C116" s="14">
        <v>0</v>
      </c>
      <c r="D116" s="14" t="s">
        <v>17065</v>
      </c>
      <c r="E116" s="14" t="s">
        <v>5573</v>
      </c>
      <c r="F116" s="14" t="s">
        <v>96</v>
      </c>
      <c r="G116" s="18" t="s">
        <v>10198</v>
      </c>
      <c r="H116" s="18" t="s">
        <v>98</v>
      </c>
      <c r="I116" s="14" t="s">
        <v>17082</v>
      </c>
      <c r="J116" s="14">
        <v>1</v>
      </c>
      <c r="K116" s="14">
        <v>0</v>
      </c>
      <c r="L116" s="14" t="s">
        <v>17083</v>
      </c>
      <c r="M116" s="19" t="s">
        <v>101</v>
      </c>
      <c r="N116" s="14" t="s">
        <v>595</v>
      </c>
      <c r="O116" s="14" t="s">
        <v>8031</v>
      </c>
      <c r="P116" s="14" t="str">
        <f>HYPERLINK("https://dexscreener.com/solana/3aATtVmNwy9W6SawPHiFocRMLcVYWY1AQ5F4Y4ckPebD", "View")</f>
        <v>View</v>
      </c>
    </row>
    <row r="117" spans="1:16" x14ac:dyDescent="0.25">
      <c r="A117" s="16" t="s">
        <v>17084</v>
      </c>
      <c r="B117" s="17">
        <v>421662</v>
      </c>
      <c r="C117" s="17">
        <v>210831</v>
      </c>
      <c r="D117" s="17" t="s">
        <v>17071</v>
      </c>
      <c r="E117" s="17" t="s">
        <v>5573</v>
      </c>
      <c r="F117" s="17" t="s">
        <v>7925</v>
      </c>
      <c r="G117" s="22" t="s">
        <v>5837</v>
      </c>
      <c r="H117" s="22" t="s">
        <v>17085</v>
      </c>
      <c r="I117" s="17" t="s">
        <v>88</v>
      </c>
      <c r="J117" s="17">
        <v>1</v>
      </c>
      <c r="K117" s="17">
        <v>1</v>
      </c>
      <c r="L117" s="17" t="s">
        <v>17086</v>
      </c>
      <c r="M117" s="17" t="s">
        <v>3180</v>
      </c>
      <c r="N117" s="17" t="s">
        <v>17087</v>
      </c>
      <c r="O117" s="17" t="s">
        <v>17088</v>
      </c>
      <c r="P117" s="17" t="str">
        <f>HYPERLINK("https://dexscreener.com/solana/A9xbrMNmpKfoqwNcTRmBv6NXUukv9ixKXhZL1iLCpump", "View")</f>
        <v>View</v>
      </c>
    </row>
    <row r="118" spans="1:16" x14ac:dyDescent="0.25">
      <c r="A118" s="13" t="s">
        <v>17089</v>
      </c>
      <c r="B118" s="14">
        <v>719189</v>
      </c>
      <c r="C118" s="14">
        <v>539392</v>
      </c>
      <c r="D118" s="14" t="s">
        <v>17090</v>
      </c>
      <c r="E118" s="14" t="s">
        <v>5573</v>
      </c>
      <c r="F118" s="14" t="s">
        <v>6418</v>
      </c>
      <c r="G118" s="21" t="s">
        <v>13155</v>
      </c>
      <c r="H118" s="21" t="s">
        <v>17091</v>
      </c>
      <c r="I118" s="14" t="s">
        <v>88</v>
      </c>
      <c r="J118" s="14">
        <v>1</v>
      </c>
      <c r="K118" s="14">
        <v>2</v>
      </c>
      <c r="L118" s="14" t="s">
        <v>17092</v>
      </c>
      <c r="M118" s="14" t="s">
        <v>1986</v>
      </c>
      <c r="N118" s="14" t="s">
        <v>17093</v>
      </c>
      <c r="O118" s="14" t="s">
        <v>17094</v>
      </c>
      <c r="P118" s="14" t="str">
        <f>HYPERLINK("https://dexscreener.com/solana/HZhiTXGPDv8iwrdJyRi3U51dMV4NXMpaFhJBsh7Npump", "View")</f>
        <v>View</v>
      </c>
    </row>
    <row r="119" spans="1:16" x14ac:dyDescent="0.25">
      <c r="A119" s="16" t="s">
        <v>10455</v>
      </c>
      <c r="B119" s="17">
        <v>609058</v>
      </c>
      <c r="C119" s="17">
        <v>532925</v>
      </c>
      <c r="D119" s="17" t="s">
        <v>17090</v>
      </c>
      <c r="E119" s="17" t="s">
        <v>5573</v>
      </c>
      <c r="F119" s="17" t="s">
        <v>11809</v>
      </c>
      <c r="G119" s="20" t="s">
        <v>3420</v>
      </c>
      <c r="H119" s="20" t="s">
        <v>17095</v>
      </c>
      <c r="I119" s="17" t="s">
        <v>88</v>
      </c>
      <c r="J119" s="17">
        <v>1</v>
      </c>
      <c r="K119" s="17">
        <v>2</v>
      </c>
      <c r="L119" s="17" t="s">
        <v>17096</v>
      </c>
      <c r="M119" s="17" t="s">
        <v>5702</v>
      </c>
      <c r="N119" s="17" t="s">
        <v>17097</v>
      </c>
      <c r="O119" s="17" t="s">
        <v>10458</v>
      </c>
      <c r="P119" s="17" t="str">
        <f>HYPERLINK("https://dexscreener.com/solana/3J6q8ds2gL2PZ6jy8NJXMs1g5DL79VFoSmRCnDhtpump", "View")</f>
        <v>View</v>
      </c>
    </row>
    <row r="120" spans="1:16" x14ac:dyDescent="0.25">
      <c r="A120" s="13" t="s">
        <v>2107</v>
      </c>
      <c r="B120" s="14">
        <v>109555</v>
      </c>
      <c r="C120" s="14">
        <v>0</v>
      </c>
      <c r="D120" s="14" t="s">
        <v>17065</v>
      </c>
      <c r="E120" s="14" t="s">
        <v>5573</v>
      </c>
      <c r="F120" s="14" t="s">
        <v>96</v>
      </c>
      <c r="G120" s="18" t="s">
        <v>10198</v>
      </c>
      <c r="H120" s="18" t="s">
        <v>98</v>
      </c>
      <c r="I120" s="14" t="s">
        <v>17098</v>
      </c>
      <c r="J120" s="14">
        <v>1</v>
      </c>
      <c r="K120" s="14">
        <v>0</v>
      </c>
      <c r="L120" s="14" t="s">
        <v>17099</v>
      </c>
      <c r="M120" s="19" t="s">
        <v>101</v>
      </c>
      <c r="N120" s="14" t="s">
        <v>17100</v>
      </c>
      <c r="O120" s="14" t="s">
        <v>17101</v>
      </c>
      <c r="P120" s="14" t="str">
        <f>HYPERLINK("https://dexscreener.com/solana/AsA21YSLzYqgtv99CFGxZHQ1a45neV5aQggRkbr5JB8i", "View")</f>
        <v>View</v>
      </c>
    </row>
    <row r="121" spans="1:16" x14ac:dyDescent="0.25">
      <c r="A121" s="16" t="s">
        <v>82</v>
      </c>
      <c r="B121" s="17">
        <v>651794</v>
      </c>
      <c r="C121" s="17">
        <v>651794</v>
      </c>
      <c r="D121" s="17" t="s">
        <v>16375</v>
      </c>
      <c r="E121" s="17" t="s">
        <v>2200</v>
      </c>
      <c r="F121" s="17" t="s">
        <v>17102</v>
      </c>
      <c r="G121" s="21" t="s">
        <v>14363</v>
      </c>
      <c r="H121" s="21" t="s">
        <v>17103</v>
      </c>
      <c r="I121" s="17" t="s">
        <v>88</v>
      </c>
      <c r="J121" s="17">
        <v>1</v>
      </c>
      <c r="K121" s="17">
        <v>1</v>
      </c>
      <c r="L121" s="17" t="s">
        <v>17104</v>
      </c>
      <c r="M121" s="17" t="s">
        <v>5729</v>
      </c>
      <c r="N121" s="17" t="s">
        <v>17105</v>
      </c>
      <c r="O121" s="17" t="s">
        <v>17106</v>
      </c>
      <c r="P121" s="17" t="str">
        <f>HYPERLINK("https://dexscreener.com/solana/7VQnrD2345cCND6t85AqtZkpuos5xdjo5qbP88H4pump", "View")</f>
        <v>View</v>
      </c>
    </row>
    <row r="122" spans="1:16" x14ac:dyDescent="0.25">
      <c r="A122" s="13" t="s">
        <v>17107</v>
      </c>
      <c r="B122" s="14">
        <v>447290</v>
      </c>
      <c r="C122" s="14">
        <v>447290</v>
      </c>
      <c r="D122" s="14" t="s">
        <v>8478</v>
      </c>
      <c r="E122" s="14" t="s">
        <v>2200</v>
      </c>
      <c r="F122" s="14" t="s">
        <v>17108</v>
      </c>
      <c r="G122" s="21" t="s">
        <v>12628</v>
      </c>
      <c r="H122" s="21" t="s">
        <v>17109</v>
      </c>
      <c r="I122" s="14" t="s">
        <v>88</v>
      </c>
      <c r="J122" s="14">
        <v>1</v>
      </c>
      <c r="K122" s="14">
        <v>3</v>
      </c>
      <c r="L122" s="14" t="s">
        <v>17110</v>
      </c>
      <c r="M122" s="14" t="s">
        <v>231</v>
      </c>
      <c r="N122" s="14" t="s">
        <v>17111</v>
      </c>
      <c r="O122" s="14" t="s">
        <v>17112</v>
      </c>
      <c r="P122" s="14" t="str">
        <f>HYPERLINK("https://dexscreener.com/solana/A17gzfib2UaxteKXzMK37G4AtVqYKRqRLT54aDjYpump", "View")</f>
        <v>View</v>
      </c>
    </row>
    <row r="123" spans="1:16" x14ac:dyDescent="0.25">
      <c r="A123" s="16" t="s">
        <v>17113</v>
      </c>
      <c r="B123" s="17">
        <v>858577</v>
      </c>
      <c r="C123" s="17">
        <v>858577</v>
      </c>
      <c r="D123" s="17" t="s">
        <v>17114</v>
      </c>
      <c r="E123" s="17" t="s">
        <v>2200</v>
      </c>
      <c r="F123" s="17" t="s">
        <v>10610</v>
      </c>
      <c r="G123" s="21" t="s">
        <v>2298</v>
      </c>
      <c r="H123" s="21" t="s">
        <v>17115</v>
      </c>
      <c r="I123" s="17" t="s">
        <v>88</v>
      </c>
      <c r="J123" s="17">
        <v>1</v>
      </c>
      <c r="K123" s="17">
        <v>5</v>
      </c>
      <c r="L123" s="17" t="s">
        <v>17116</v>
      </c>
      <c r="M123" s="17" t="s">
        <v>398</v>
      </c>
      <c r="N123" s="17" t="s">
        <v>17117</v>
      </c>
      <c r="O123" s="17" t="s">
        <v>17118</v>
      </c>
      <c r="P123" s="17" t="str">
        <f>HYPERLINK("https://dexscreener.com/solana/5ymzsgQjiaa4bXEPgrVTgNJJWyHUw3En3i9Jppb4pump", "View")</f>
        <v>View</v>
      </c>
    </row>
    <row r="124" spans="1:16" x14ac:dyDescent="0.25">
      <c r="A124" s="13" t="s">
        <v>17119</v>
      </c>
      <c r="B124" s="14">
        <v>5164069</v>
      </c>
      <c r="C124" s="14">
        <v>5164069</v>
      </c>
      <c r="D124" s="14" t="s">
        <v>17071</v>
      </c>
      <c r="E124" s="14" t="s">
        <v>5573</v>
      </c>
      <c r="F124" s="14" t="s">
        <v>4108</v>
      </c>
      <c r="G124" s="20" t="s">
        <v>14118</v>
      </c>
      <c r="H124" s="20" t="s">
        <v>17120</v>
      </c>
      <c r="I124" s="14" t="s">
        <v>88</v>
      </c>
      <c r="J124" s="14">
        <v>1</v>
      </c>
      <c r="K124" s="14">
        <v>1</v>
      </c>
      <c r="L124" s="14" t="s">
        <v>17121</v>
      </c>
      <c r="M124" s="14" t="s">
        <v>2047</v>
      </c>
      <c r="N124" s="14" t="s">
        <v>17122</v>
      </c>
      <c r="O124" s="14" t="s">
        <v>17123</v>
      </c>
      <c r="P124" s="14" t="str">
        <f>HYPERLINK("https://dexscreener.com/solana/B838w261daC8QumSz9CR2vMKv5d1zDSJaiUWFzpdpump", "View")</f>
        <v>View</v>
      </c>
    </row>
    <row r="125" spans="1:16" x14ac:dyDescent="0.25">
      <c r="A125" s="16" t="s">
        <v>3798</v>
      </c>
      <c r="B125" s="17">
        <v>75420</v>
      </c>
      <c r="C125" s="17">
        <v>75420</v>
      </c>
      <c r="D125" s="17" t="s">
        <v>16375</v>
      </c>
      <c r="E125" s="17" t="s">
        <v>2200</v>
      </c>
      <c r="F125" s="17" t="s">
        <v>3047</v>
      </c>
      <c r="G125" s="15" t="s">
        <v>17124</v>
      </c>
      <c r="H125" s="15" t="s">
        <v>17125</v>
      </c>
      <c r="I125" s="17" t="s">
        <v>88</v>
      </c>
      <c r="J125" s="17">
        <v>1</v>
      </c>
      <c r="K125" s="17">
        <v>1</v>
      </c>
      <c r="L125" s="17" t="s">
        <v>17126</v>
      </c>
      <c r="M125" s="17" t="s">
        <v>656</v>
      </c>
      <c r="N125" s="17" t="s">
        <v>17127</v>
      </c>
      <c r="O125" s="17" t="s">
        <v>17128</v>
      </c>
      <c r="P125" s="17" t="str">
        <f>HYPERLINK("https://dexscreener.com/solana/3QVfZyLUD3iidbdcs6eSUJJDgnZBY6c9G3L1qtLiR9NS", "View")</f>
        <v>View</v>
      </c>
    </row>
    <row r="126" spans="1:16" x14ac:dyDescent="0.25">
      <c r="A126" s="13" t="s">
        <v>17129</v>
      </c>
      <c r="B126" s="14">
        <v>71452</v>
      </c>
      <c r="C126" s="14">
        <v>71452</v>
      </c>
      <c r="D126" s="14" t="s">
        <v>16375</v>
      </c>
      <c r="E126" s="14" t="s">
        <v>2200</v>
      </c>
      <c r="F126" s="14" t="s">
        <v>96</v>
      </c>
      <c r="G126" s="15" t="s">
        <v>16753</v>
      </c>
      <c r="H126" s="15" t="s">
        <v>17130</v>
      </c>
      <c r="I126" s="14" t="s">
        <v>88</v>
      </c>
      <c r="J126" s="14">
        <v>1</v>
      </c>
      <c r="K126" s="14">
        <v>1</v>
      </c>
      <c r="L126" s="14" t="s">
        <v>17131</v>
      </c>
      <c r="M126" s="14" t="s">
        <v>277</v>
      </c>
      <c r="N126" s="14" t="s">
        <v>17132</v>
      </c>
      <c r="O126" s="14" t="s">
        <v>17133</v>
      </c>
      <c r="P126" s="14" t="str">
        <f>HYPERLINK("https://dexscreener.com/solana/H3wrNNCUkjuKfqZEyXipU8Dw9DAoj6RCazkRgMdz6giM", "View")</f>
        <v>View</v>
      </c>
    </row>
    <row r="127" spans="1:16" x14ac:dyDescent="0.25">
      <c r="A127" s="16" t="s">
        <v>17134</v>
      </c>
      <c r="B127" s="17">
        <v>6854107</v>
      </c>
      <c r="C127" s="17">
        <v>6854105</v>
      </c>
      <c r="D127" s="17" t="s">
        <v>6267</v>
      </c>
      <c r="E127" s="17" t="s">
        <v>11759</v>
      </c>
      <c r="F127" s="17" t="s">
        <v>4014</v>
      </c>
      <c r="G127" s="20" t="s">
        <v>2135</v>
      </c>
      <c r="H127" s="20" t="s">
        <v>17135</v>
      </c>
      <c r="I127" s="17" t="s">
        <v>88</v>
      </c>
      <c r="J127" s="17">
        <v>1</v>
      </c>
      <c r="K127" s="17">
        <v>1</v>
      </c>
      <c r="L127" s="17" t="s">
        <v>17136</v>
      </c>
      <c r="M127" s="17" t="s">
        <v>656</v>
      </c>
      <c r="N127" s="17" t="s">
        <v>1011</v>
      </c>
      <c r="O127" s="17" t="s">
        <v>17137</v>
      </c>
      <c r="P127" s="17" t="str">
        <f>HYPERLINK("https://dexscreener.com/solana/ErjhXLvFcabDHWVn8byshLna9iHEUMiMwZdwkKafPDRg", "View")</f>
        <v>View</v>
      </c>
    </row>
    <row r="128" spans="1:16" x14ac:dyDescent="0.25">
      <c r="A128" s="13" t="s">
        <v>17138</v>
      </c>
      <c r="B128" s="14">
        <v>509519</v>
      </c>
      <c r="C128" s="14">
        <v>509519</v>
      </c>
      <c r="D128" s="14" t="s">
        <v>8478</v>
      </c>
      <c r="E128" s="14" t="s">
        <v>5573</v>
      </c>
      <c r="F128" s="14" t="s">
        <v>4343</v>
      </c>
      <c r="G128" s="21" t="s">
        <v>12098</v>
      </c>
      <c r="H128" s="21" t="s">
        <v>17139</v>
      </c>
      <c r="I128" s="14" t="s">
        <v>88</v>
      </c>
      <c r="J128" s="14">
        <v>1</v>
      </c>
      <c r="K128" s="14">
        <v>3</v>
      </c>
      <c r="L128" s="14" t="s">
        <v>17140</v>
      </c>
      <c r="M128" s="14" t="s">
        <v>1714</v>
      </c>
      <c r="N128" s="14" t="s">
        <v>17141</v>
      </c>
      <c r="O128" s="14" t="s">
        <v>17142</v>
      </c>
      <c r="P128" s="14" t="str">
        <f>HYPERLINK("https://dexscreener.com/solana/C82KuqFXK3WticDkjSXuthmzikLYXC1TpqDKQhqipump", "View")</f>
        <v>View</v>
      </c>
    </row>
    <row r="129" spans="1:16" x14ac:dyDescent="0.25">
      <c r="A129" s="16" t="s">
        <v>17143</v>
      </c>
      <c r="B129" s="17">
        <v>304272</v>
      </c>
      <c r="C129" s="17">
        <v>0</v>
      </c>
      <c r="D129" s="17" t="s">
        <v>15604</v>
      </c>
      <c r="E129" s="17" t="s">
        <v>4945</v>
      </c>
      <c r="F129" s="17" t="s">
        <v>96</v>
      </c>
      <c r="G129" s="18" t="s">
        <v>2135</v>
      </c>
      <c r="H129" s="18" t="s">
        <v>98</v>
      </c>
      <c r="I129" s="17" t="s">
        <v>17144</v>
      </c>
      <c r="J129" s="17">
        <v>1</v>
      </c>
      <c r="K129" s="17">
        <v>0</v>
      </c>
      <c r="L129" s="17" t="s">
        <v>17145</v>
      </c>
      <c r="M129" s="19" t="s">
        <v>101</v>
      </c>
      <c r="N129" s="17" t="s">
        <v>507</v>
      </c>
      <c r="O129" s="17" t="s">
        <v>17146</v>
      </c>
      <c r="P129" s="17" t="str">
        <f>HYPERLINK("https://dexscreener.com/solana/8po9AnuTgDS6MZA79zuShuAJfsSfD1z6wtqnvoiHV1iJ", "View")</f>
        <v>View</v>
      </c>
    </row>
    <row r="130" spans="1:16" x14ac:dyDescent="0.25">
      <c r="A130" s="13" t="s">
        <v>17147</v>
      </c>
      <c r="B130" s="14">
        <v>1650109</v>
      </c>
      <c r="C130" s="14">
        <v>1650109</v>
      </c>
      <c r="D130" s="14" t="s">
        <v>16375</v>
      </c>
      <c r="E130" s="14" t="s">
        <v>2200</v>
      </c>
      <c r="F130" s="14" t="s">
        <v>96</v>
      </c>
      <c r="G130" s="15" t="s">
        <v>13011</v>
      </c>
      <c r="H130" s="15" t="s">
        <v>22</v>
      </c>
      <c r="I130" s="14" t="s">
        <v>88</v>
      </c>
      <c r="J130" s="14">
        <v>1</v>
      </c>
      <c r="K130" s="14">
        <v>1</v>
      </c>
      <c r="L130" s="14" t="s">
        <v>17148</v>
      </c>
      <c r="M130" s="14" t="s">
        <v>3171</v>
      </c>
      <c r="N130" s="14" t="s">
        <v>17149</v>
      </c>
      <c r="O130" s="14" t="s">
        <v>17150</v>
      </c>
      <c r="P130" s="14" t="str">
        <f>HYPERLINK("https://dexscreener.com/solana/D9L5EF1cXvUGWYUQGRL46M3kj8SwspNP7dfnne1fpump", "View")</f>
        <v>View</v>
      </c>
    </row>
    <row r="131" spans="1:16" x14ac:dyDescent="0.25">
      <c r="A131" s="16" t="s">
        <v>17151</v>
      </c>
      <c r="B131" s="17">
        <v>665652</v>
      </c>
      <c r="C131" s="17">
        <v>499239</v>
      </c>
      <c r="D131" s="17" t="s">
        <v>17071</v>
      </c>
      <c r="E131" s="17" t="s">
        <v>2200</v>
      </c>
      <c r="F131" s="17" t="s">
        <v>17152</v>
      </c>
      <c r="G131" s="21" t="s">
        <v>17153</v>
      </c>
      <c r="H131" s="21" t="s">
        <v>17154</v>
      </c>
      <c r="I131" s="17" t="s">
        <v>88</v>
      </c>
      <c r="J131" s="17">
        <v>1</v>
      </c>
      <c r="K131" s="17">
        <v>1</v>
      </c>
      <c r="L131" s="17" t="s">
        <v>17155</v>
      </c>
      <c r="M131" s="17" t="s">
        <v>117</v>
      </c>
      <c r="N131" s="17" t="s">
        <v>17156</v>
      </c>
      <c r="O131" s="17" t="s">
        <v>17157</v>
      </c>
      <c r="P131" s="17" t="str">
        <f>HYPERLINK("https://dexscreener.com/solana/6GcBQyu2eRRmseamSF6vnNu8fxS1557CUjioJgSzpump", "View")</f>
        <v>View</v>
      </c>
    </row>
    <row r="132" spans="1:16" x14ac:dyDescent="0.25">
      <c r="A132" s="13" t="s">
        <v>17158</v>
      </c>
      <c r="B132" s="14">
        <v>73136</v>
      </c>
      <c r="C132" s="14">
        <v>0</v>
      </c>
      <c r="D132" s="14" t="s">
        <v>17065</v>
      </c>
      <c r="E132" s="14" t="s">
        <v>2200</v>
      </c>
      <c r="F132" s="14" t="s">
        <v>96</v>
      </c>
      <c r="G132" s="18" t="s">
        <v>13011</v>
      </c>
      <c r="H132" s="18" t="s">
        <v>98</v>
      </c>
      <c r="I132" s="14" t="s">
        <v>17159</v>
      </c>
      <c r="J132" s="14">
        <v>1</v>
      </c>
      <c r="K132" s="14">
        <v>0</v>
      </c>
      <c r="L132" s="14" t="s">
        <v>17160</v>
      </c>
      <c r="M132" s="19" t="s">
        <v>101</v>
      </c>
      <c r="N132" s="14" t="s">
        <v>17161</v>
      </c>
      <c r="O132" s="14" t="s">
        <v>17162</v>
      </c>
      <c r="P132" s="14" t="str">
        <f>HYPERLINK("https://dexscreener.com/solana/aKRa1kLkxgdyrhSX85MVnLgvPkKXNPL2jT3AHLggCRY", "View")</f>
        <v>View</v>
      </c>
    </row>
    <row r="133" spans="1:16" x14ac:dyDescent="0.25">
      <c r="A133" s="16" t="s">
        <v>17163</v>
      </c>
      <c r="B133" s="17">
        <v>108166</v>
      </c>
      <c r="C133" s="17">
        <v>0</v>
      </c>
      <c r="D133" s="17" t="s">
        <v>17065</v>
      </c>
      <c r="E133" s="17" t="s">
        <v>2200</v>
      </c>
      <c r="F133" s="17" t="s">
        <v>96</v>
      </c>
      <c r="G133" s="18" t="s">
        <v>13011</v>
      </c>
      <c r="H133" s="18" t="s">
        <v>98</v>
      </c>
      <c r="I133" s="17" t="s">
        <v>17164</v>
      </c>
      <c r="J133" s="17">
        <v>1</v>
      </c>
      <c r="K133" s="17">
        <v>0</v>
      </c>
      <c r="L133" s="17" t="s">
        <v>17165</v>
      </c>
      <c r="M133" s="19" t="s">
        <v>101</v>
      </c>
      <c r="N133" s="17" t="s">
        <v>17166</v>
      </c>
      <c r="O133" s="17" t="s">
        <v>17167</v>
      </c>
      <c r="P133" s="17" t="str">
        <f>HYPERLINK("https://dexscreener.com/solana/ChfogjzeQhKn5BR5U5BjzMD7qE5cLBT8rT4irCCrA99G", "View")</f>
        <v>View</v>
      </c>
    </row>
    <row r="134" spans="1:16" x14ac:dyDescent="0.25">
      <c r="A134" s="13" t="s">
        <v>17168</v>
      </c>
      <c r="B134" s="14">
        <v>688500</v>
      </c>
      <c r="C134" s="14">
        <v>516375</v>
      </c>
      <c r="D134" s="14" t="s">
        <v>17071</v>
      </c>
      <c r="E134" s="14" t="s">
        <v>5573</v>
      </c>
      <c r="F134" s="14" t="s">
        <v>7344</v>
      </c>
      <c r="G134" s="22" t="s">
        <v>4818</v>
      </c>
      <c r="H134" s="22" t="s">
        <v>17169</v>
      </c>
      <c r="I134" s="14" t="s">
        <v>88</v>
      </c>
      <c r="J134" s="14">
        <v>1</v>
      </c>
      <c r="K134" s="14">
        <v>1</v>
      </c>
      <c r="L134" s="14" t="s">
        <v>17170</v>
      </c>
      <c r="M134" s="14" t="s">
        <v>1566</v>
      </c>
      <c r="N134" s="14" t="s">
        <v>17171</v>
      </c>
      <c r="O134" s="14" t="s">
        <v>17172</v>
      </c>
      <c r="P134" s="14" t="str">
        <f>HYPERLINK("https://dexscreener.com/solana/AfR8kzgJwJKtZB4A6JzaVa1bmfbQfXE4JJie1aejpump", "View")</f>
        <v>View</v>
      </c>
    </row>
    <row r="135" spans="1:16" x14ac:dyDescent="0.25">
      <c r="A135" s="16" t="s">
        <v>13062</v>
      </c>
      <c r="B135" s="17">
        <v>1202613</v>
      </c>
      <c r="C135" s="17">
        <v>901959</v>
      </c>
      <c r="D135" s="17" t="s">
        <v>17173</v>
      </c>
      <c r="E135" s="17" t="s">
        <v>5573</v>
      </c>
      <c r="F135" s="17" t="s">
        <v>17174</v>
      </c>
      <c r="G135" s="21" t="s">
        <v>17175</v>
      </c>
      <c r="H135" s="21" t="s">
        <v>17176</v>
      </c>
      <c r="I135" s="17" t="s">
        <v>88</v>
      </c>
      <c r="J135" s="17">
        <v>1</v>
      </c>
      <c r="K135" s="17">
        <v>2</v>
      </c>
      <c r="L135" s="17" t="s">
        <v>17177</v>
      </c>
      <c r="M135" s="17" t="s">
        <v>231</v>
      </c>
      <c r="N135" s="17" t="s">
        <v>17178</v>
      </c>
      <c r="O135" s="17" t="s">
        <v>13068</v>
      </c>
      <c r="P135" s="17" t="str">
        <f>HYPERLINK("https://dexscreener.com/solana/AXgfmnMwnkbfMdpXqXMn6oJCQ7sQKvX2PmkXfJSRpump", "View")</f>
        <v>View</v>
      </c>
    </row>
    <row r="136" spans="1:16" x14ac:dyDescent="0.25">
      <c r="A136" s="13" t="s">
        <v>17179</v>
      </c>
      <c r="B136" s="14">
        <v>265543</v>
      </c>
      <c r="C136" s="14">
        <v>265543</v>
      </c>
      <c r="D136" s="14" t="s">
        <v>16375</v>
      </c>
      <c r="E136" s="14" t="s">
        <v>5573</v>
      </c>
      <c r="F136" s="14" t="s">
        <v>96</v>
      </c>
      <c r="G136" s="15" t="s">
        <v>10198</v>
      </c>
      <c r="H136" s="15" t="s">
        <v>17180</v>
      </c>
      <c r="I136" s="14" t="s">
        <v>88</v>
      </c>
      <c r="J136" s="14">
        <v>1</v>
      </c>
      <c r="K136" s="14">
        <v>1</v>
      </c>
      <c r="L136" s="14" t="s">
        <v>17181</v>
      </c>
      <c r="M136" s="14" t="s">
        <v>788</v>
      </c>
      <c r="N136" s="14" t="s">
        <v>17182</v>
      </c>
      <c r="O136" s="14" t="s">
        <v>17183</v>
      </c>
      <c r="P136" s="14" t="str">
        <f>HYPERLINK("https://dexscreener.com/solana/9W2YNsYnW321KQtTLN1ifTYkKyJWKzY7R2Vq2vbypump", "View")</f>
        <v>View</v>
      </c>
    </row>
    <row r="137" spans="1:16" x14ac:dyDescent="0.25">
      <c r="A137" s="16" t="s">
        <v>12944</v>
      </c>
      <c r="B137" s="17">
        <v>2399846</v>
      </c>
      <c r="C137" s="17">
        <v>1799884</v>
      </c>
      <c r="D137" s="17" t="s">
        <v>17071</v>
      </c>
      <c r="E137" s="17" t="s">
        <v>2200</v>
      </c>
      <c r="F137" s="17" t="s">
        <v>17184</v>
      </c>
      <c r="G137" s="20" t="s">
        <v>3073</v>
      </c>
      <c r="H137" s="20" t="s">
        <v>17185</v>
      </c>
      <c r="I137" s="17" t="s">
        <v>88</v>
      </c>
      <c r="J137" s="17">
        <v>1</v>
      </c>
      <c r="K137" s="17">
        <v>1</v>
      </c>
      <c r="L137" s="17" t="s">
        <v>17186</v>
      </c>
      <c r="M137" s="17" t="s">
        <v>1448</v>
      </c>
      <c r="N137" s="17" t="s">
        <v>17187</v>
      </c>
      <c r="O137" s="17" t="s">
        <v>12950</v>
      </c>
      <c r="P137" s="17" t="str">
        <f>HYPERLINK("https://dexscreener.com/solana/Fp6wStyXJJ5td3R8PXK4XhWLScdA7PhUGPKxkpYGpump", "View")</f>
        <v>View</v>
      </c>
    </row>
    <row r="138" spans="1:16" x14ac:dyDescent="0.25">
      <c r="A138" s="13" t="s">
        <v>17188</v>
      </c>
      <c r="B138" s="14">
        <v>28760</v>
      </c>
      <c r="C138" s="14">
        <v>28760</v>
      </c>
      <c r="D138" s="14" t="s">
        <v>16375</v>
      </c>
      <c r="E138" s="14" t="s">
        <v>4665</v>
      </c>
      <c r="F138" s="14" t="s">
        <v>96</v>
      </c>
      <c r="G138" s="15" t="s">
        <v>2726</v>
      </c>
      <c r="H138" s="15" t="s">
        <v>15963</v>
      </c>
      <c r="I138" s="14" t="s">
        <v>88</v>
      </c>
      <c r="J138" s="14">
        <v>1</v>
      </c>
      <c r="K138" s="14">
        <v>1</v>
      </c>
      <c r="L138" s="14" t="s">
        <v>17189</v>
      </c>
      <c r="M138" s="14" t="s">
        <v>5501</v>
      </c>
      <c r="N138" s="14" t="s">
        <v>17190</v>
      </c>
      <c r="O138" s="14" t="s">
        <v>17191</v>
      </c>
      <c r="P138" s="14" t="str">
        <f>HYPERLINK("https://dexscreener.com/solana/9G9nKgAjAoSXm2FmaJHftnAib17DFQvL8aSNecWSNuUJ", "View")</f>
        <v>View</v>
      </c>
    </row>
    <row r="139" spans="1:16" x14ac:dyDescent="0.25">
      <c r="A139" s="16" t="s">
        <v>17192</v>
      </c>
      <c r="B139" s="17">
        <v>2596155</v>
      </c>
      <c r="C139" s="17">
        <v>2596153</v>
      </c>
      <c r="D139" s="17" t="s">
        <v>15855</v>
      </c>
      <c r="E139" s="17" t="s">
        <v>2605</v>
      </c>
      <c r="F139" s="17" t="s">
        <v>2347</v>
      </c>
      <c r="G139" s="15" t="s">
        <v>15504</v>
      </c>
      <c r="H139" s="15" t="s">
        <v>17193</v>
      </c>
      <c r="I139" s="17" t="s">
        <v>88</v>
      </c>
      <c r="J139" s="17">
        <v>1</v>
      </c>
      <c r="K139" s="17">
        <v>1</v>
      </c>
      <c r="L139" s="17" t="s">
        <v>17194</v>
      </c>
      <c r="M139" s="17" t="s">
        <v>240</v>
      </c>
      <c r="N139" s="17" t="s">
        <v>507</v>
      </c>
      <c r="O139" s="17" t="s">
        <v>17195</v>
      </c>
      <c r="P139" s="17" t="str">
        <f>HYPERLINK("https://dexscreener.com/solana/39C5Bph4Sf7mpSrAENvENVgqwQBV5BTE4m438ibsCgp2", "View")</f>
        <v>View</v>
      </c>
    </row>
    <row r="140" spans="1:16" x14ac:dyDescent="0.25">
      <c r="A140" s="13" t="s">
        <v>17196</v>
      </c>
      <c r="B140" s="14">
        <v>3096911</v>
      </c>
      <c r="C140" s="14">
        <v>3096909</v>
      </c>
      <c r="D140" s="14" t="s">
        <v>15855</v>
      </c>
      <c r="E140" s="14" t="s">
        <v>7344</v>
      </c>
      <c r="F140" s="14" t="s">
        <v>5409</v>
      </c>
      <c r="G140" s="15" t="s">
        <v>17197</v>
      </c>
      <c r="H140" s="15" t="s">
        <v>17198</v>
      </c>
      <c r="I140" s="14" t="s">
        <v>88</v>
      </c>
      <c r="J140" s="14">
        <v>1</v>
      </c>
      <c r="K140" s="14">
        <v>1</v>
      </c>
      <c r="L140" s="14" t="s">
        <v>17199</v>
      </c>
      <c r="M140" s="14" t="s">
        <v>479</v>
      </c>
      <c r="N140" s="14" t="s">
        <v>507</v>
      </c>
      <c r="O140" s="14" t="s">
        <v>17200</v>
      </c>
      <c r="P140" s="14" t="str">
        <f>HYPERLINK("https://dexscreener.com/solana/3ywSBQYJywajRFNcwDsQH28xK16n3qQBhpDXEirZvjzA", "View")</f>
        <v>View</v>
      </c>
    </row>
    <row r="141" spans="1:16" x14ac:dyDescent="0.25">
      <c r="A141" s="16" t="s">
        <v>17201</v>
      </c>
      <c r="B141" s="17">
        <v>3505766</v>
      </c>
      <c r="C141" s="17">
        <v>3505764</v>
      </c>
      <c r="D141" s="17" t="s">
        <v>15855</v>
      </c>
      <c r="E141" s="17" t="s">
        <v>4945</v>
      </c>
      <c r="F141" s="17" t="s">
        <v>2531</v>
      </c>
      <c r="G141" s="20" t="s">
        <v>2863</v>
      </c>
      <c r="H141" s="20" t="s">
        <v>17202</v>
      </c>
      <c r="I141" s="17" t="s">
        <v>88</v>
      </c>
      <c r="J141" s="17">
        <v>1</v>
      </c>
      <c r="K141" s="17">
        <v>1</v>
      </c>
      <c r="L141" s="17" t="s">
        <v>17203</v>
      </c>
      <c r="M141" s="17" t="s">
        <v>150</v>
      </c>
      <c r="N141" s="17" t="s">
        <v>507</v>
      </c>
      <c r="O141" s="17" t="s">
        <v>17204</v>
      </c>
      <c r="P141" s="17" t="str">
        <f>HYPERLINK("https://dexscreener.com/solana/5LGdNYwRLaopjAr7cVK7QNg7fvdYL3PXPpBJtZyddnRp", "View")</f>
        <v>View</v>
      </c>
    </row>
    <row r="142" spans="1:16" x14ac:dyDescent="0.25">
      <c r="A142" s="13" t="s">
        <v>17205</v>
      </c>
      <c r="B142" s="14">
        <v>3446576</v>
      </c>
      <c r="C142" s="14">
        <v>3446574</v>
      </c>
      <c r="D142" s="14" t="s">
        <v>15855</v>
      </c>
      <c r="E142" s="14" t="s">
        <v>4945</v>
      </c>
      <c r="F142" s="14" t="s">
        <v>2531</v>
      </c>
      <c r="G142" s="20" t="s">
        <v>2863</v>
      </c>
      <c r="H142" s="20" t="s">
        <v>12890</v>
      </c>
      <c r="I142" s="14" t="s">
        <v>88</v>
      </c>
      <c r="J142" s="14">
        <v>1</v>
      </c>
      <c r="K142" s="14">
        <v>1</v>
      </c>
      <c r="L142" s="14" t="s">
        <v>17206</v>
      </c>
      <c r="M142" s="14" t="s">
        <v>150</v>
      </c>
      <c r="N142" s="14" t="s">
        <v>507</v>
      </c>
      <c r="O142" s="14" t="s">
        <v>17207</v>
      </c>
      <c r="P142" s="14" t="str">
        <f>HYPERLINK("https://dexscreener.com/solana/6MiJGrwixL2DRpFxwPucrc7YWoLxa9F7p2cXch1m4YMK", "View")</f>
        <v>View</v>
      </c>
    </row>
    <row r="143" spans="1:16" x14ac:dyDescent="0.25">
      <c r="A143" s="16" t="s">
        <v>17208</v>
      </c>
      <c r="B143" s="17">
        <v>1900990</v>
      </c>
      <c r="C143" s="17">
        <v>0</v>
      </c>
      <c r="D143" s="17" t="s">
        <v>17065</v>
      </c>
      <c r="E143" s="17" t="s">
        <v>5573</v>
      </c>
      <c r="F143" s="17" t="s">
        <v>96</v>
      </c>
      <c r="G143" s="18" t="s">
        <v>10198</v>
      </c>
      <c r="H143" s="18" t="s">
        <v>98</v>
      </c>
      <c r="I143" s="17" t="s">
        <v>17209</v>
      </c>
      <c r="J143" s="17">
        <v>1</v>
      </c>
      <c r="K143" s="17">
        <v>0</v>
      </c>
      <c r="L143" s="17" t="s">
        <v>17210</v>
      </c>
      <c r="M143" s="19" t="s">
        <v>101</v>
      </c>
      <c r="N143" s="17" t="s">
        <v>880</v>
      </c>
      <c r="O143" s="17" t="s">
        <v>17211</v>
      </c>
      <c r="P143" s="17" t="str">
        <f>HYPERLINK("https://dexscreener.com/solana/6tFonYYPWPUJEGvXcZ72vBr7VCoZMPwAACewNqmktoYJ", "View")</f>
        <v>View</v>
      </c>
    </row>
    <row r="144" spans="1:16" x14ac:dyDescent="0.25">
      <c r="A144" s="13" t="s">
        <v>17212</v>
      </c>
      <c r="B144" s="14">
        <v>7519495</v>
      </c>
      <c r="C144" s="14">
        <v>0</v>
      </c>
      <c r="D144" s="14" t="s">
        <v>17065</v>
      </c>
      <c r="E144" s="14" t="s">
        <v>5573</v>
      </c>
      <c r="F144" s="14" t="s">
        <v>96</v>
      </c>
      <c r="G144" s="18" t="s">
        <v>10198</v>
      </c>
      <c r="H144" s="18" t="s">
        <v>98</v>
      </c>
      <c r="I144" s="14" t="s">
        <v>17213</v>
      </c>
      <c r="J144" s="14">
        <v>1</v>
      </c>
      <c r="K144" s="14">
        <v>0</v>
      </c>
      <c r="L144" s="14" t="s">
        <v>17214</v>
      </c>
      <c r="M144" s="19" t="s">
        <v>101</v>
      </c>
      <c r="N144" s="14" t="s">
        <v>4769</v>
      </c>
      <c r="O144" s="14" t="s">
        <v>17215</v>
      </c>
      <c r="P144" s="14" t="str">
        <f>HYPERLINK("https://dexscreener.com/solana/DMZ5wdYxu13VfoLzdM6ZbZrYXpCAQ5QpPF8iaDEupump", "View")</f>
        <v>View</v>
      </c>
    </row>
    <row r="145" spans="1:16" x14ac:dyDescent="0.25">
      <c r="A145" s="16" t="s">
        <v>17216</v>
      </c>
      <c r="B145" s="17">
        <v>6658528</v>
      </c>
      <c r="C145" s="17">
        <v>0</v>
      </c>
      <c r="D145" s="17" t="s">
        <v>17065</v>
      </c>
      <c r="E145" s="17" t="s">
        <v>5573</v>
      </c>
      <c r="F145" s="17" t="s">
        <v>96</v>
      </c>
      <c r="G145" s="18" t="s">
        <v>10198</v>
      </c>
      <c r="H145" s="18" t="s">
        <v>98</v>
      </c>
      <c r="I145" s="17" t="s">
        <v>17217</v>
      </c>
      <c r="J145" s="17">
        <v>1</v>
      </c>
      <c r="K145" s="17">
        <v>0</v>
      </c>
      <c r="L145" s="17" t="s">
        <v>17218</v>
      </c>
      <c r="M145" s="19" t="s">
        <v>101</v>
      </c>
      <c r="N145" s="17" t="s">
        <v>8871</v>
      </c>
      <c r="O145" s="17" t="s">
        <v>17219</v>
      </c>
      <c r="P145" s="17" t="str">
        <f>HYPERLINK("https://dexscreener.com/solana/7BgXeebAoueXe7vwRQidt9yvFp4W1LkzL64mQCi6pump", "View")</f>
        <v>View</v>
      </c>
    </row>
    <row r="146" spans="1:16" x14ac:dyDescent="0.25">
      <c r="A146" s="13" t="s">
        <v>17220</v>
      </c>
      <c r="B146" s="14">
        <v>1151435</v>
      </c>
      <c r="C146" s="14">
        <v>0</v>
      </c>
      <c r="D146" s="14" t="s">
        <v>17065</v>
      </c>
      <c r="E146" s="14" t="s">
        <v>5573</v>
      </c>
      <c r="F146" s="14" t="s">
        <v>96</v>
      </c>
      <c r="G146" s="18" t="s">
        <v>10198</v>
      </c>
      <c r="H146" s="18" t="s">
        <v>98</v>
      </c>
      <c r="I146" s="14" t="s">
        <v>17221</v>
      </c>
      <c r="J146" s="14">
        <v>1</v>
      </c>
      <c r="K146" s="14">
        <v>0</v>
      </c>
      <c r="L146" s="14" t="s">
        <v>17222</v>
      </c>
      <c r="M146" s="19" t="s">
        <v>101</v>
      </c>
      <c r="N146" s="14" t="s">
        <v>17223</v>
      </c>
      <c r="O146" s="14" t="s">
        <v>17224</v>
      </c>
      <c r="P146" s="14" t="str">
        <f>HYPERLINK("https://dexscreener.com/solana/2DR5jFjKNif7gmyrnsn8scRUWF9bwnimsUCnHf38pump", "View")</f>
        <v>View</v>
      </c>
    </row>
    <row r="147" spans="1:16" x14ac:dyDescent="0.25">
      <c r="A147" s="16" t="s">
        <v>765</v>
      </c>
      <c r="B147" s="17">
        <v>1246706</v>
      </c>
      <c r="C147" s="17">
        <v>1168787</v>
      </c>
      <c r="D147" s="17" t="s">
        <v>8478</v>
      </c>
      <c r="E147" s="17" t="s">
        <v>5573</v>
      </c>
      <c r="F147" s="17" t="s">
        <v>12903</v>
      </c>
      <c r="G147" s="21" t="s">
        <v>17225</v>
      </c>
      <c r="H147" s="21" t="s">
        <v>17226</v>
      </c>
      <c r="I147" s="17" t="s">
        <v>88</v>
      </c>
      <c r="J147" s="17">
        <v>1</v>
      </c>
      <c r="K147" s="17">
        <v>3</v>
      </c>
      <c r="L147" s="17" t="s">
        <v>17227</v>
      </c>
      <c r="M147" s="17" t="s">
        <v>2984</v>
      </c>
      <c r="N147" s="17" t="s">
        <v>17228</v>
      </c>
      <c r="O147" s="17" t="s">
        <v>769</v>
      </c>
      <c r="P147" s="17" t="str">
        <f>HYPERLINK("https://dexscreener.com/solana/C4M9TtoiDJ5LqfTTMiE1ch6gSY2pb9KMUZiXACg4pump", "View")</f>
        <v>View</v>
      </c>
    </row>
    <row r="148" spans="1:16" x14ac:dyDescent="0.25">
      <c r="A148" s="13" t="s">
        <v>17229</v>
      </c>
      <c r="B148" s="14">
        <v>308208</v>
      </c>
      <c r="C148" s="14">
        <v>0</v>
      </c>
      <c r="D148" s="14" t="s">
        <v>17065</v>
      </c>
      <c r="E148" s="14" t="s">
        <v>4396</v>
      </c>
      <c r="F148" s="14" t="s">
        <v>96</v>
      </c>
      <c r="G148" s="18" t="s">
        <v>15868</v>
      </c>
      <c r="H148" s="18" t="s">
        <v>98</v>
      </c>
      <c r="I148" s="14" t="s">
        <v>17230</v>
      </c>
      <c r="J148" s="14">
        <v>1</v>
      </c>
      <c r="K148" s="14">
        <v>0</v>
      </c>
      <c r="L148" s="14" t="s">
        <v>17231</v>
      </c>
      <c r="M148" s="19" t="s">
        <v>101</v>
      </c>
      <c r="N148" s="14" t="s">
        <v>10259</v>
      </c>
      <c r="O148" s="14" t="s">
        <v>17232</v>
      </c>
      <c r="P148" s="14" t="str">
        <f>HYPERLINK("https://dexscreener.com/solana/HX3Lfz2BqD931HGZaahSf4P6ejSd6b8hXr6bNMPGpump", "View")</f>
        <v>View</v>
      </c>
    </row>
    <row r="149" spans="1:16" x14ac:dyDescent="0.25">
      <c r="A149" s="16" t="s">
        <v>17233</v>
      </c>
      <c r="B149" s="17">
        <v>31825</v>
      </c>
      <c r="C149" s="17">
        <v>31825</v>
      </c>
      <c r="D149" s="17" t="s">
        <v>17090</v>
      </c>
      <c r="E149" s="17" t="s">
        <v>4396</v>
      </c>
      <c r="F149" s="17" t="s">
        <v>8575</v>
      </c>
      <c r="G149" s="22" t="s">
        <v>4924</v>
      </c>
      <c r="H149" s="22" t="s">
        <v>17234</v>
      </c>
      <c r="I149" s="17" t="s">
        <v>88</v>
      </c>
      <c r="J149" s="17">
        <v>1</v>
      </c>
      <c r="K149" s="17">
        <v>2</v>
      </c>
      <c r="L149" s="17" t="s">
        <v>17235</v>
      </c>
      <c r="M149" s="17" t="s">
        <v>1696</v>
      </c>
      <c r="N149" s="17" t="s">
        <v>17236</v>
      </c>
      <c r="O149" s="17" t="s">
        <v>17237</v>
      </c>
      <c r="P149" s="17" t="str">
        <f>HYPERLINK("https://dexscreener.com/solana/6Lqgg6qzm8ynZTKTv8nVmsVp6JZCy9Ws2cqVio2j8t7B", "View")</f>
        <v>View</v>
      </c>
    </row>
    <row r="150" spans="1:16" x14ac:dyDescent="0.25">
      <c r="A150" s="13" t="s">
        <v>17238</v>
      </c>
      <c r="B150" s="14">
        <v>47749</v>
      </c>
      <c r="C150" s="14">
        <v>35812</v>
      </c>
      <c r="D150" s="14" t="s">
        <v>17071</v>
      </c>
      <c r="E150" s="14" t="s">
        <v>5573</v>
      </c>
      <c r="F150" s="14" t="s">
        <v>3563</v>
      </c>
      <c r="G150" s="20" t="s">
        <v>5681</v>
      </c>
      <c r="H150" s="20" t="s">
        <v>17239</v>
      </c>
      <c r="I150" s="14" t="s">
        <v>88</v>
      </c>
      <c r="J150" s="14">
        <v>1</v>
      </c>
      <c r="K150" s="14">
        <v>1</v>
      </c>
      <c r="L150" s="14" t="s">
        <v>17240</v>
      </c>
      <c r="M150" s="14" t="s">
        <v>1434</v>
      </c>
      <c r="N150" s="14" t="s">
        <v>17241</v>
      </c>
      <c r="O150" s="14" t="s">
        <v>17242</v>
      </c>
      <c r="P150" s="14" t="str">
        <f>HYPERLINK("https://dexscreener.com/solana/6PqDMmqJLEMXfWsQD3JBgspJKmgXjBR9taZM3JDppump", "View")</f>
        <v>View</v>
      </c>
    </row>
    <row r="151" spans="1:16" x14ac:dyDescent="0.25">
      <c r="A151" s="16" t="s">
        <v>17243</v>
      </c>
      <c r="B151" s="17">
        <v>404838</v>
      </c>
      <c r="C151" s="17">
        <v>0</v>
      </c>
      <c r="D151" s="17" t="s">
        <v>17065</v>
      </c>
      <c r="E151" s="17" t="s">
        <v>4396</v>
      </c>
      <c r="F151" s="17" t="s">
        <v>96</v>
      </c>
      <c r="G151" s="18" t="s">
        <v>15868</v>
      </c>
      <c r="H151" s="18" t="s">
        <v>98</v>
      </c>
      <c r="I151" s="17" t="s">
        <v>17244</v>
      </c>
      <c r="J151" s="17">
        <v>1</v>
      </c>
      <c r="K151" s="17">
        <v>0</v>
      </c>
      <c r="L151" s="17" t="s">
        <v>17245</v>
      </c>
      <c r="M151" s="19" t="s">
        <v>101</v>
      </c>
      <c r="N151" s="17" t="s">
        <v>11681</v>
      </c>
      <c r="O151" s="17" t="s">
        <v>17246</v>
      </c>
      <c r="P151" s="17" t="str">
        <f>HYPERLINK("https://dexscreener.com/solana/9AJE1ZTeLCgSKiHoUpNV1QDk5pfYxosZmsQLFQX9pump", "View")</f>
        <v>View</v>
      </c>
    </row>
    <row r="152" spans="1:16" x14ac:dyDescent="0.25">
      <c r="A152" s="13" t="s">
        <v>17247</v>
      </c>
      <c r="B152" s="14">
        <v>3206460</v>
      </c>
      <c r="C152" s="14">
        <v>0</v>
      </c>
      <c r="D152" s="14" t="s">
        <v>17065</v>
      </c>
      <c r="E152" s="14" t="s">
        <v>4396</v>
      </c>
      <c r="F152" s="14" t="s">
        <v>96</v>
      </c>
      <c r="G152" s="18" t="s">
        <v>15868</v>
      </c>
      <c r="H152" s="18" t="s">
        <v>98</v>
      </c>
      <c r="I152" s="14" t="s">
        <v>17248</v>
      </c>
      <c r="J152" s="14">
        <v>1</v>
      </c>
      <c r="K152" s="14">
        <v>0</v>
      </c>
      <c r="L152" s="14" t="s">
        <v>17249</v>
      </c>
      <c r="M152" s="19" t="s">
        <v>101</v>
      </c>
      <c r="N152" s="14" t="s">
        <v>4769</v>
      </c>
      <c r="O152" s="14" t="s">
        <v>17250</v>
      </c>
      <c r="P152" s="14" t="str">
        <f>HYPERLINK("https://dexscreener.com/solana/AzfmgqXYN2LRGczfxMGrw5rn3s7jTaT3E99t5e6upump", "View")</f>
        <v>View</v>
      </c>
    </row>
    <row r="153" spans="1:16" x14ac:dyDescent="0.25">
      <c r="A153" s="16" t="s">
        <v>17251</v>
      </c>
      <c r="B153" s="17">
        <v>519556</v>
      </c>
      <c r="C153" s="17">
        <v>487084</v>
      </c>
      <c r="D153" s="17" t="s">
        <v>17173</v>
      </c>
      <c r="E153" s="17" t="s">
        <v>5573</v>
      </c>
      <c r="F153" s="17" t="s">
        <v>17252</v>
      </c>
      <c r="G153" s="22" t="s">
        <v>5380</v>
      </c>
      <c r="H153" s="22" t="s">
        <v>17253</v>
      </c>
      <c r="I153" s="17" t="s">
        <v>88</v>
      </c>
      <c r="J153" s="17">
        <v>1</v>
      </c>
      <c r="K153" s="17">
        <v>2</v>
      </c>
      <c r="L153" s="17" t="s">
        <v>17254</v>
      </c>
      <c r="M153" s="17" t="s">
        <v>1566</v>
      </c>
      <c r="N153" s="17" t="s">
        <v>17255</v>
      </c>
      <c r="O153" s="17" t="s">
        <v>17256</v>
      </c>
      <c r="P153" s="17" t="str">
        <f>HYPERLINK("https://dexscreener.com/solana/qNPq4EhiWQH8sKYMugm2AkcV9AkNy8pvzUzfbEhpump", "View")</f>
        <v>View</v>
      </c>
    </row>
    <row r="154" spans="1:16" x14ac:dyDescent="0.25">
      <c r="A154" s="13" t="s">
        <v>17257</v>
      </c>
      <c r="B154" s="14">
        <v>2031869</v>
      </c>
      <c r="C154" s="14">
        <v>1777886</v>
      </c>
      <c r="D154" s="14" t="s">
        <v>17173</v>
      </c>
      <c r="E154" s="14" t="s">
        <v>5573</v>
      </c>
      <c r="F154" s="14" t="s">
        <v>17258</v>
      </c>
      <c r="G154" s="21" t="s">
        <v>5449</v>
      </c>
      <c r="H154" s="21" t="s">
        <v>17259</v>
      </c>
      <c r="I154" s="14" t="s">
        <v>88</v>
      </c>
      <c r="J154" s="14">
        <v>1</v>
      </c>
      <c r="K154" s="14">
        <v>2</v>
      </c>
      <c r="L154" s="14" t="s">
        <v>17260</v>
      </c>
      <c r="M154" s="14" t="s">
        <v>1566</v>
      </c>
      <c r="N154" s="14" t="s">
        <v>17261</v>
      </c>
      <c r="O154" s="14" t="s">
        <v>17262</v>
      </c>
      <c r="P154" s="14" t="str">
        <f>HYPERLINK("https://dexscreener.com/solana/FjLBtcw5YjEYZHj1Qi2K8qhxPZmJdwnR4cg4f4AKpump", "View")</f>
        <v>View</v>
      </c>
    </row>
    <row r="155" spans="1:16" x14ac:dyDescent="0.25">
      <c r="A155" s="16" t="s">
        <v>17263</v>
      </c>
      <c r="B155" s="17">
        <v>565270</v>
      </c>
      <c r="C155" s="17">
        <v>0</v>
      </c>
      <c r="D155" s="17" t="s">
        <v>17065</v>
      </c>
      <c r="E155" s="17" t="s">
        <v>4396</v>
      </c>
      <c r="F155" s="17" t="s">
        <v>96</v>
      </c>
      <c r="G155" s="18" t="s">
        <v>15868</v>
      </c>
      <c r="H155" s="18" t="s">
        <v>98</v>
      </c>
      <c r="I155" s="17" t="s">
        <v>17264</v>
      </c>
      <c r="J155" s="17">
        <v>1</v>
      </c>
      <c r="K155" s="17">
        <v>0</v>
      </c>
      <c r="L155" s="17" t="s">
        <v>17265</v>
      </c>
      <c r="M155" s="19" t="s">
        <v>101</v>
      </c>
      <c r="N155" s="17" t="s">
        <v>17266</v>
      </c>
      <c r="O155" s="17" t="s">
        <v>17267</v>
      </c>
      <c r="P155" s="17" t="str">
        <f>HYPERLINK("https://dexscreener.com/solana/ACWuXgmwU87Rh2xs58s5P4nh77eGjqEj1v7aAfxpump", "View")</f>
        <v>View</v>
      </c>
    </row>
    <row r="156" spans="1:16" x14ac:dyDescent="0.25">
      <c r="A156" s="13" t="s">
        <v>17268</v>
      </c>
      <c r="B156" s="14">
        <v>163416</v>
      </c>
      <c r="C156" s="14">
        <v>0</v>
      </c>
      <c r="D156" s="14" t="s">
        <v>17269</v>
      </c>
      <c r="E156" s="14" t="s">
        <v>5534</v>
      </c>
      <c r="F156" s="14" t="s">
        <v>96</v>
      </c>
      <c r="G156" s="18" t="s">
        <v>14118</v>
      </c>
      <c r="H156" s="18" t="s">
        <v>98</v>
      </c>
      <c r="I156" s="14" t="s">
        <v>17270</v>
      </c>
      <c r="J156" s="14">
        <v>1</v>
      </c>
      <c r="K156" s="14">
        <v>0</v>
      </c>
      <c r="L156" s="14" t="s">
        <v>17271</v>
      </c>
      <c r="M156" s="19" t="s">
        <v>101</v>
      </c>
      <c r="N156" s="14" t="s">
        <v>17272</v>
      </c>
      <c r="O156" s="14" t="s">
        <v>17273</v>
      </c>
      <c r="P156" s="14" t="str">
        <f>HYPERLINK("https://dexscreener.com/solana/5eegGvfrrAWXqECXKWNgiNh4Hd2mA61MDdXY9LtnEFw1", "View")</f>
        <v>View</v>
      </c>
    </row>
    <row r="157" spans="1:16" x14ac:dyDescent="0.25">
      <c r="A157" s="16" t="s">
        <v>17274</v>
      </c>
      <c r="B157" s="17">
        <v>207626</v>
      </c>
      <c r="C157" s="17">
        <v>0</v>
      </c>
      <c r="D157" s="17" t="s">
        <v>17065</v>
      </c>
      <c r="E157" s="17" t="s">
        <v>4665</v>
      </c>
      <c r="F157" s="17" t="s">
        <v>96</v>
      </c>
      <c r="G157" s="18" t="s">
        <v>2726</v>
      </c>
      <c r="H157" s="18" t="s">
        <v>98</v>
      </c>
      <c r="I157" s="17" t="s">
        <v>17275</v>
      </c>
      <c r="J157" s="17">
        <v>1</v>
      </c>
      <c r="K157" s="17">
        <v>0</v>
      </c>
      <c r="L157" s="17" t="s">
        <v>17276</v>
      </c>
      <c r="M157" s="19" t="s">
        <v>101</v>
      </c>
      <c r="N157" s="17" t="s">
        <v>17277</v>
      </c>
      <c r="O157" s="17" t="s">
        <v>17278</v>
      </c>
      <c r="P157" s="17" t="str">
        <f>HYPERLINK("https://dexscreener.com/solana/AxR6xWdfa1EYSuog8qxi3o4zu4jLJHFe8uWQR8Dfpump", "View")</f>
        <v>View</v>
      </c>
    </row>
    <row r="158" spans="1:16" x14ac:dyDescent="0.25">
      <c r="A158" s="13" t="s">
        <v>17279</v>
      </c>
      <c r="B158" s="14">
        <v>71930</v>
      </c>
      <c r="C158" s="14">
        <v>0</v>
      </c>
      <c r="D158" s="14" t="s">
        <v>17065</v>
      </c>
      <c r="E158" s="14" t="s">
        <v>4665</v>
      </c>
      <c r="F158" s="14" t="s">
        <v>96</v>
      </c>
      <c r="G158" s="18" t="s">
        <v>2726</v>
      </c>
      <c r="H158" s="18" t="s">
        <v>98</v>
      </c>
      <c r="I158" s="14" t="s">
        <v>17280</v>
      </c>
      <c r="J158" s="14">
        <v>1</v>
      </c>
      <c r="K158" s="14">
        <v>0</v>
      </c>
      <c r="L158" s="14" t="s">
        <v>17281</v>
      </c>
      <c r="M158" s="19" t="s">
        <v>101</v>
      </c>
      <c r="N158" s="14" t="s">
        <v>17282</v>
      </c>
      <c r="O158" s="14" t="s">
        <v>17283</v>
      </c>
      <c r="P158" s="14" t="str">
        <f>HYPERLINK("https://dexscreener.com/solana/CcTxy8iD42BR4PGA3MV3SdMfa8snn2rRgvXJfdDypump", "View")</f>
        <v>View</v>
      </c>
    </row>
    <row r="159" spans="1:16" x14ac:dyDescent="0.25">
      <c r="A159" s="16" t="s">
        <v>17284</v>
      </c>
      <c r="B159" s="17">
        <v>264595</v>
      </c>
      <c r="C159" s="17">
        <v>0</v>
      </c>
      <c r="D159" s="17" t="s">
        <v>17065</v>
      </c>
      <c r="E159" s="17" t="s">
        <v>4396</v>
      </c>
      <c r="F159" s="17" t="s">
        <v>96</v>
      </c>
      <c r="G159" s="18" t="s">
        <v>15868</v>
      </c>
      <c r="H159" s="18" t="s">
        <v>98</v>
      </c>
      <c r="I159" s="17" t="s">
        <v>17285</v>
      </c>
      <c r="J159" s="17">
        <v>1</v>
      </c>
      <c r="K159" s="17">
        <v>0</v>
      </c>
      <c r="L159" s="17" t="s">
        <v>17286</v>
      </c>
      <c r="M159" s="19" t="s">
        <v>101</v>
      </c>
      <c r="N159" s="17" t="s">
        <v>5090</v>
      </c>
      <c r="O159" s="17" t="s">
        <v>17287</v>
      </c>
      <c r="P159" s="17" t="str">
        <f>HYPERLINK("https://dexscreener.com/solana/8ZynbExv3H9wby8sn5YojDoQdR7qB9rQATf1f5LHpump", "View")</f>
        <v>View</v>
      </c>
    </row>
    <row r="160" spans="1:16" x14ac:dyDescent="0.25">
      <c r="A160" s="13" t="s">
        <v>17288</v>
      </c>
      <c r="B160" s="14">
        <v>572539</v>
      </c>
      <c r="C160" s="14">
        <v>0</v>
      </c>
      <c r="D160" s="14" t="s">
        <v>17065</v>
      </c>
      <c r="E160" s="14" t="s">
        <v>5573</v>
      </c>
      <c r="F160" s="14" t="s">
        <v>96</v>
      </c>
      <c r="G160" s="18" t="s">
        <v>10198</v>
      </c>
      <c r="H160" s="18" t="s">
        <v>98</v>
      </c>
      <c r="I160" s="14" t="s">
        <v>17289</v>
      </c>
      <c r="J160" s="14">
        <v>1</v>
      </c>
      <c r="K160" s="14">
        <v>0</v>
      </c>
      <c r="L160" s="14" t="s">
        <v>17290</v>
      </c>
      <c r="M160" s="19" t="s">
        <v>101</v>
      </c>
      <c r="N160" s="14" t="s">
        <v>17291</v>
      </c>
      <c r="O160" s="14" t="s">
        <v>17292</v>
      </c>
      <c r="P160" s="14" t="str">
        <f>HYPERLINK("https://dexscreener.com/solana/AEiQQoPr7wuaPj47fUpuHhdzeBhWyRzLMVk1rKu7pump", "View")</f>
        <v>View</v>
      </c>
    </row>
    <row r="161" spans="1:16" x14ac:dyDescent="0.25">
      <c r="A161" s="16" t="s">
        <v>17293</v>
      </c>
      <c r="B161" s="17">
        <v>467019</v>
      </c>
      <c r="C161" s="17">
        <v>0</v>
      </c>
      <c r="D161" s="17" t="s">
        <v>17065</v>
      </c>
      <c r="E161" s="17" t="s">
        <v>2200</v>
      </c>
      <c r="F161" s="17" t="s">
        <v>96</v>
      </c>
      <c r="G161" s="18" t="s">
        <v>13011</v>
      </c>
      <c r="H161" s="18" t="s">
        <v>98</v>
      </c>
      <c r="I161" s="17" t="s">
        <v>17294</v>
      </c>
      <c r="J161" s="17">
        <v>1</v>
      </c>
      <c r="K161" s="17">
        <v>0</v>
      </c>
      <c r="L161" s="17" t="s">
        <v>17295</v>
      </c>
      <c r="M161" s="19" t="s">
        <v>101</v>
      </c>
      <c r="N161" s="17" t="s">
        <v>17296</v>
      </c>
      <c r="O161" s="17" t="s">
        <v>17297</v>
      </c>
      <c r="P161" s="17" t="str">
        <f>HYPERLINK("https://dexscreener.com/solana/655Jywgb8V2xCJeL7h73cs4eqCNQh8kMR2toUHmzpump", "View")</f>
        <v>View</v>
      </c>
    </row>
    <row r="162" spans="1:16" x14ac:dyDescent="0.25">
      <c r="A162" s="13" t="s">
        <v>7423</v>
      </c>
      <c r="B162" s="14">
        <v>978</v>
      </c>
      <c r="C162" s="14">
        <v>978</v>
      </c>
      <c r="D162" s="14" t="s">
        <v>9905</v>
      </c>
      <c r="E162" s="14" t="s">
        <v>4396</v>
      </c>
      <c r="F162" s="14" t="s">
        <v>7584</v>
      </c>
      <c r="G162" s="21" t="s">
        <v>2416</v>
      </c>
      <c r="H162" s="21" t="s">
        <v>17298</v>
      </c>
      <c r="I162" s="14" t="s">
        <v>88</v>
      </c>
      <c r="J162" s="14">
        <v>1</v>
      </c>
      <c r="K162" s="14">
        <v>2</v>
      </c>
      <c r="L162" s="14" t="s">
        <v>17299</v>
      </c>
      <c r="M162" s="14" t="s">
        <v>356</v>
      </c>
      <c r="N162" s="14" t="s">
        <v>17300</v>
      </c>
      <c r="O162" s="14" t="s">
        <v>7430</v>
      </c>
      <c r="P162" s="14" t="str">
        <f>HYPERLINK("https://dexscreener.com/solana/CzLSujWBLFsSjncfkh59rUFqvafWcY5tzedWJSuypump", "View")</f>
        <v>View</v>
      </c>
    </row>
    <row r="163" spans="1:16" x14ac:dyDescent="0.25">
      <c r="A163" s="16" t="s">
        <v>17301</v>
      </c>
      <c r="B163" s="17">
        <v>220709</v>
      </c>
      <c r="C163" s="17">
        <v>0</v>
      </c>
      <c r="D163" s="17" t="s">
        <v>4347</v>
      </c>
      <c r="E163" s="17" t="s">
        <v>5573</v>
      </c>
      <c r="F163" s="17" t="s">
        <v>96</v>
      </c>
      <c r="G163" s="18" t="s">
        <v>16660</v>
      </c>
      <c r="H163" s="18" t="s">
        <v>98</v>
      </c>
      <c r="I163" s="17" t="s">
        <v>17302</v>
      </c>
      <c r="J163" s="17">
        <v>1</v>
      </c>
      <c r="K163" s="17">
        <v>0</v>
      </c>
      <c r="L163" s="17" t="s">
        <v>17303</v>
      </c>
      <c r="M163" s="19" t="s">
        <v>101</v>
      </c>
      <c r="N163" s="17" t="s">
        <v>15834</v>
      </c>
      <c r="O163" s="17" t="s">
        <v>17304</v>
      </c>
      <c r="P163" s="17" t="str">
        <f>HYPERLINK("https://dexscreener.com/solana/E8Qve3129KybYBPaZHHfLKRuGhCTF2WSp52exACwpump", "View")</f>
        <v>View</v>
      </c>
    </row>
    <row r="164" spans="1:16" x14ac:dyDescent="0.25">
      <c r="A164" s="13" t="s">
        <v>17305</v>
      </c>
      <c r="B164" s="14">
        <v>4470356</v>
      </c>
      <c r="C164" s="14">
        <v>4470356</v>
      </c>
      <c r="D164" s="14" t="s">
        <v>17090</v>
      </c>
      <c r="E164" s="14" t="s">
        <v>17306</v>
      </c>
      <c r="F164" s="14" t="s">
        <v>17307</v>
      </c>
      <c r="G164" s="20" t="s">
        <v>17308</v>
      </c>
      <c r="H164" s="20" t="s">
        <v>8138</v>
      </c>
      <c r="I164" s="14" t="s">
        <v>88</v>
      </c>
      <c r="J164" s="14">
        <v>2</v>
      </c>
      <c r="K164" s="14">
        <v>1</v>
      </c>
      <c r="L164" s="14" t="s">
        <v>17309</v>
      </c>
      <c r="M164" s="14" t="s">
        <v>179</v>
      </c>
      <c r="N164" s="14" t="s">
        <v>17310</v>
      </c>
      <c r="O164" s="14" t="s">
        <v>17311</v>
      </c>
      <c r="P164" s="14" t="str">
        <f>HYPERLINK("https://dexscreener.com/solana/DRTQMpY1jZivps8gCGx7AwTN4izoe8GP5YJtTmKSpump", "View")</f>
        <v>View</v>
      </c>
    </row>
    <row r="165" spans="1:16" x14ac:dyDescent="0.25">
      <c r="A165" s="16" t="s">
        <v>17312</v>
      </c>
      <c r="B165" s="17">
        <v>82712</v>
      </c>
      <c r="C165" s="17">
        <v>0</v>
      </c>
      <c r="D165" s="17" t="s">
        <v>4347</v>
      </c>
      <c r="E165" s="17" t="s">
        <v>4665</v>
      </c>
      <c r="F165" s="17" t="s">
        <v>96</v>
      </c>
      <c r="G165" s="18" t="s">
        <v>4929</v>
      </c>
      <c r="H165" s="18" t="s">
        <v>98</v>
      </c>
      <c r="I165" s="17" t="s">
        <v>17313</v>
      </c>
      <c r="J165" s="17">
        <v>1</v>
      </c>
      <c r="K165" s="17">
        <v>0</v>
      </c>
      <c r="L165" s="17" t="s">
        <v>17314</v>
      </c>
      <c r="M165" s="19" t="s">
        <v>101</v>
      </c>
      <c r="N165" s="17" t="s">
        <v>15755</v>
      </c>
      <c r="O165" s="17" t="s">
        <v>17315</v>
      </c>
      <c r="P165" s="17" t="str">
        <f>HYPERLINK("https://dexscreener.com/solana/Bu8tzATJze1tCtjXfy8g54heQ9vzYF3nm5sMe5gVpump", "View")</f>
        <v>View</v>
      </c>
    </row>
    <row r="166" spans="1:16" x14ac:dyDescent="0.25">
      <c r="A166" s="13" t="s">
        <v>17316</v>
      </c>
      <c r="B166" s="14">
        <v>379618</v>
      </c>
      <c r="C166" s="14">
        <v>0</v>
      </c>
      <c r="D166" s="14" t="s">
        <v>4347</v>
      </c>
      <c r="E166" s="14" t="s">
        <v>4665</v>
      </c>
      <c r="F166" s="14" t="s">
        <v>96</v>
      </c>
      <c r="G166" s="18" t="s">
        <v>4929</v>
      </c>
      <c r="H166" s="18" t="s">
        <v>98</v>
      </c>
      <c r="I166" s="14" t="s">
        <v>17317</v>
      </c>
      <c r="J166" s="14">
        <v>1</v>
      </c>
      <c r="K166" s="14">
        <v>0</v>
      </c>
      <c r="L166" s="14" t="s">
        <v>17318</v>
      </c>
      <c r="M166" s="19" t="s">
        <v>101</v>
      </c>
      <c r="N166" s="14" t="s">
        <v>17319</v>
      </c>
      <c r="O166" s="14" t="s">
        <v>17320</v>
      </c>
      <c r="P166" s="14" t="str">
        <f>HYPERLINK("https://dexscreener.com/solana/E1qXEimqLpDmPiUNir76NikzVm4hr6cD4W9boxVdpump", "View")</f>
        <v>View</v>
      </c>
    </row>
    <row r="167" spans="1:16" x14ac:dyDescent="0.25">
      <c r="A167" s="16" t="s">
        <v>17321</v>
      </c>
      <c r="B167" s="17">
        <v>116797</v>
      </c>
      <c r="C167" s="17">
        <v>0</v>
      </c>
      <c r="D167" s="17" t="s">
        <v>4347</v>
      </c>
      <c r="E167" s="17" t="s">
        <v>5573</v>
      </c>
      <c r="F167" s="17" t="s">
        <v>96</v>
      </c>
      <c r="G167" s="18" t="s">
        <v>16660</v>
      </c>
      <c r="H167" s="18" t="s">
        <v>98</v>
      </c>
      <c r="I167" s="17" t="s">
        <v>17322</v>
      </c>
      <c r="J167" s="17">
        <v>1</v>
      </c>
      <c r="K167" s="17">
        <v>0</v>
      </c>
      <c r="L167" s="17" t="s">
        <v>17323</v>
      </c>
      <c r="M167" s="19" t="s">
        <v>101</v>
      </c>
      <c r="N167" s="17" t="s">
        <v>17324</v>
      </c>
      <c r="O167" s="17" t="s">
        <v>17325</v>
      </c>
      <c r="P167" s="17" t="str">
        <f>HYPERLINK("https://dexscreener.com/solana/97L8Pp7NnxEz8MLzrASVzPku4rrp8YKDLCKzGkcZpump", "View")</f>
        <v>View</v>
      </c>
    </row>
    <row r="168" spans="1:16" x14ac:dyDescent="0.25">
      <c r="A168" s="13" t="s">
        <v>15984</v>
      </c>
      <c r="B168" s="14">
        <v>526381</v>
      </c>
      <c r="C168" s="14">
        <v>394785</v>
      </c>
      <c r="D168" s="14" t="s">
        <v>17090</v>
      </c>
      <c r="E168" s="14" t="s">
        <v>5573</v>
      </c>
      <c r="F168" s="14" t="s">
        <v>4167</v>
      </c>
      <c r="G168" s="21" t="s">
        <v>17326</v>
      </c>
      <c r="H168" s="21" t="s">
        <v>17327</v>
      </c>
      <c r="I168" s="14" t="s">
        <v>88</v>
      </c>
      <c r="J168" s="14">
        <v>1</v>
      </c>
      <c r="K168" s="14">
        <v>2</v>
      </c>
      <c r="L168" s="14" t="s">
        <v>17328</v>
      </c>
      <c r="M168" s="14" t="s">
        <v>1448</v>
      </c>
      <c r="N168" s="14" t="s">
        <v>17329</v>
      </c>
      <c r="O168" s="14" t="s">
        <v>17330</v>
      </c>
      <c r="P168" s="14" t="str">
        <f>HYPERLINK("https://dexscreener.com/solana/EjRQAxU3sLgHBXQrVmC4dF2VfPEpAsSQjp7yP8Atpump", "View")</f>
        <v>View</v>
      </c>
    </row>
    <row r="169" spans="1:16" x14ac:dyDescent="0.25">
      <c r="A169" s="16" t="s">
        <v>17331</v>
      </c>
      <c r="B169" s="17">
        <v>38199</v>
      </c>
      <c r="C169" s="17">
        <v>19099</v>
      </c>
      <c r="D169" s="17" t="s">
        <v>17332</v>
      </c>
      <c r="E169" s="17" t="s">
        <v>4665</v>
      </c>
      <c r="F169" s="17" t="s">
        <v>11734</v>
      </c>
      <c r="G169" s="22" t="s">
        <v>3309</v>
      </c>
      <c r="H169" s="22" t="s">
        <v>17333</v>
      </c>
      <c r="I169" s="17" t="s">
        <v>88</v>
      </c>
      <c r="J169" s="17">
        <v>1</v>
      </c>
      <c r="K169" s="17">
        <v>1</v>
      </c>
      <c r="L169" s="17" t="s">
        <v>17334</v>
      </c>
      <c r="M169" s="17" t="s">
        <v>3180</v>
      </c>
      <c r="N169" s="17" t="s">
        <v>507</v>
      </c>
      <c r="O169" s="17" t="s">
        <v>17335</v>
      </c>
      <c r="P169" s="17" t="str">
        <f>HYPERLINK("https://dexscreener.com/solana/DRbDjT4RKZw17QDFB6MT1XVLkxXqwq4YiGQjmGm4msmE", "View")</f>
        <v>View</v>
      </c>
    </row>
    <row r="170" spans="1:16" x14ac:dyDescent="0.25">
      <c r="A170" s="13" t="s">
        <v>17336</v>
      </c>
      <c r="B170" s="14">
        <v>190179</v>
      </c>
      <c r="C170" s="14">
        <v>0</v>
      </c>
      <c r="D170" s="14" t="s">
        <v>4347</v>
      </c>
      <c r="E170" s="14" t="s">
        <v>4665</v>
      </c>
      <c r="F170" s="14" t="s">
        <v>96</v>
      </c>
      <c r="G170" s="18" t="s">
        <v>4929</v>
      </c>
      <c r="H170" s="18" t="s">
        <v>98</v>
      </c>
      <c r="I170" s="14" t="s">
        <v>17337</v>
      </c>
      <c r="J170" s="14">
        <v>1</v>
      </c>
      <c r="K170" s="14">
        <v>0</v>
      </c>
      <c r="L170" s="14" t="s">
        <v>17338</v>
      </c>
      <c r="M170" s="19" t="s">
        <v>101</v>
      </c>
      <c r="N170" s="14" t="s">
        <v>507</v>
      </c>
      <c r="O170" s="14" t="s">
        <v>17339</v>
      </c>
      <c r="P170" s="14" t="str">
        <f>HYPERLINK("https://dexscreener.com/solana/3sCnWuP3njqbuFTB56nSV7TRZFXidWujmWzJurN4pTRo", "View")</f>
        <v>View</v>
      </c>
    </row>
    <row r="171" spans="1:16" x14ac:dyDescent="0.25">
      <c r="A171" s="16" t="s">
        <v>17340</v>
      </c>
      <c r="B171" s="17">
        <v>430036</v>
      </c>
      <c r="C171" s="17">
        <v>430036</v>
      </c>
      <c r="D171" s="17" t="s">
        <v>17332</v>
      </c>
      <c r="E171" s="17" t="s">
        <v>4665</v>
      </c>
      <c r="F171" s="17" t="s">
        <v>11226</v>
      </c>
      <c r="G171" s="20" t="s">
        <v>14444</v>
      </c>
      <c r="H171" s="20" t="s">
        <v>17341</v>
      </c>
      <c r="I171" s="17" t="s">
        <v>88</v>
      </c>
      <c r="J171" s="17">
        <v>1</v>
      </c>
      <c r="K171" s="17">
        <v>1</v>
      </c>
      <c r="L171" s="17" t="s">
        <v>17342</v>
      </c>
      <c r="M171" s="17" t="s">
        <v>1932</v>
      </c>
      <c r="N171" s="17" t="s">
        <v>17343</v>
      </c>
      <c r="O171" s="17" t="s">
        <v>17344</v>
      </c>
      <c r="P171" s="17" t="str">
        <f>HYPERLINK("https://dexscreener.com/solana/5XknGDPf8Jii8vQtbeVmBHSDd2ZyvZUvbV53uwsL2P6L", "View")</f>
        <v>View</v>
      </c>
    </row>
    <row r="172" spans="1:16" x14ac:dyDescent="0.25">
      <c r="A172" s="13" t="s">
        <v>17345</v>
      </c>
      <c r="B172" s="14">
        <v>3830</v>
      </c>
      <c r="C172" s="14">
        <v>3830</v>
      </c>
      <c r="D172" s="14" t="s">
        <v>17332</v>
      </c>
      <c r="E172" s="14" t="s">
        <v>4396</v>
      </c>
      <c r="F172" s="14" t="s">
        <v>6206</v>
      </c>
      <c r="G172" s="22" t="s">
        <v>5248</v>
      </c>
      <c r="H172" s="22" t="s">
        <v>3276</v>
      </c>
      <c r="I172" s="14" t="s">
        <v>88</v>
      </c>
      <c r="J172" s="14">
        <v>1</v>
      </c>
      <c r="K172" s="14">
        <v>1</v>
      </c>
      <c r="L172" s="14" t="s">
        <v>17346</v>
      </c>
      <c r="M172" s="14" t="s">
        <v>2695</v>
      </c>
      <c r="N172" s="14" t="s">
        <v>507</v>
      </c>
      <c r="O172" s="14" t="s">
        <v>17347</v>
      </c>
      <c r="P172" s="14" t="str">
        <f>HYPERLINK("https://dexscreener.com/solana/5HqEe8oahztGBV3UHZsCdjfitRLr7zP9oun8WvjKSxXR", "View")</f>
        <v>View</v>
      </c>
    </row>
    <row r="173" spans="1:16" x14ac:dyDescent="0.25">
      <c r="A173" s="16" t="s">
        <v>17348</v>
      </c>
      <c r="B173" s="17">
        <v>6093</v>
      </c>
      <c r="C173" s="17">
        <v>0</v>
      </c>
      <c r="D173" s="17" t="s">
        <v>4347</v>
      </c>
      <c r="E173" s="17" t="s">
        <v>4665</v>
      </c>
      <c r="F173" s="17" t="s">
        <v>96</v>
      </c>
      <c r="G173" s="18" t="s">
        <v>4929</v>
      </c>
      <c r="H173" s="18" t="s">
        <v>98</v>
      </c>
      <c r="I173" s="17" t="s">
        <v>17349</v>
      </c>
      <c r="J173" s="17">
        <v>1</v>
      </c>
      <c r="K173" s="17">
        <v>0</v>
      </c>
      <c r="L173" s="17" t="s">
        <v>17350</v>
      </c>
      <c r="M173" s="19" t="s">
        <v>101</v>
      </c>
      <c r="N173" s="17" t="s">
        <v>17351</v>
      </c>
      <c r="O173" s="17" t="s">
        <v>17352</v>
      </c>
      <c r="P173" s="17" t="str">
        <f>HYPERLINK("https://dexscreener.com/solana/BVxi7Le7GDcdiHg5teDQZKHhUC1aaQjy48La9yMPpump", "View")</f>
        <v>View</v>
      </c>
    </row>
    <row r="174" spans="1:16" x14ac:dyDescent="0.25">
      <c r="A174" s="13" t="s">
        <v>17353</v>
      </c>
      <c r="B174" s="14">
        <v>327854</v>
      </c>
      <c r="C174" s="14">
        <v>163927</v>
      </c>
      <c r="D174" s="14" t="s">
        <v>832</v>
      </c>
      <c r="E174" s="14" t="s">
        <v>4665</v>
      </c>
      <c r="F174" s="14" t="s">
        <v>17354</v>
      </c>
      <c r="G174" s="21" t="s">
        <v>15605</v>
      </c>
      <c r="H174" s="21" t="s">
        <v>17355</v>
      </c>
      <c r="I174" s="14" t="s">
        <v>88</v>
      </c>
      <c r="J174" s="14">
        <v>1</v>
      </c>
      <c r="K174" s="14">
        <v>1</v>
      </c>
      <c r="L174" s="14" t="s">
        <v>17356</v>
      </c>
      <c r="M174" s="14" t="s">
        <v>823</v>
      </c>
      <c r="N174" s="14" t="s">
        <v>6045</v>
      </c>
      <c r="O174" s="14" t="s">
        <v>17357</v>
      </c>
      <c r="P174" s="14" t="str">
        <f>HYPERLINK("https://dexscreener.com/solana/3LXFhwrv4EVTxpXyEgQuQADRmMF8XZctU9Jvkek1pump", "View")</f>
        <v>View</v>
      </c>
    </row>
    <row r="175" spans="1:16" x14ac:dyDescent="0.25">
      <c r="A175" s="16" t="s">
        <v>17358</v>
      </c>
      <c r="B175" s="17">
        <v>257071</v>
      </c>
      <c r="C175" s="17">
        <v>0</v>
      </c>
      <c r="D175" s="17" t="s">
        <v>4347</v>
      </c>
      <c r="E175" s="17" t="s">
        <v>4396</v>
      </c>
      <c r="F175" s="17" t="s">
        <v>96</v>
      </c>
      <c r="G175" s="18" t="s">
        <v>4739</v>
      </c>
      <c r="H175" s="18" t="s">
        <v>98</v>
      </c>
      <c r="I175" s="17" t="s">
        <v>17359</v>
      </c>
      <c r="J175" s="17">
        <v>1</v>
      </c>
      <c r="K175" s="17">
        <v>0</v>
      </c>
      <c r="L175" s="17" t="s">
        <v>17360</v>
      </c>
      <c r="M175" s="19" t="s">
        <v>101</v>
      </c>
      <c r="N175" s="17" t="s">
        <v>507</v>
      </c>
      <c r="O175" s="17" t="s">
        <v>17361</v>
      </c>
      <c r="P175" s="17" t="str">
        <f>HYPERLINK("https://dexscreener.com/solana/BSGeuPdbaPV8qKnoyiHUgadibgfwcJDUYJAcxi39Emit", "View")</f>
        <v>View</v>
      </c>
    </row>
    <row r="176" spans="1:16" x14ac:dyDescent="0.25">
      <c r="A176" s="13" t="s">
        <v>16941</v>
      </c>
      <c r="B176" s="14">
        <v>4745</v>
      </c>
      <c r="C176" s="14">
        <v>0</v>
      </c>
      <c r="D176" s="14" t="s">
        <v>4347</v>
      </c>
      <c r="E176" s="14" t="s">
        <v>2200</v>
      </c>
      <c r="F176" s="14" t="s">
        <v>96</v>
      </c>
      <c r="G176" s="18" t="s">
        <v>16753</v>
      </c>
      <c r="H176" s="18" t="s">
        <v>98</v>
      </c>
      <c r="I176" s="14" t="s">
        <v>17362</v>
      </c>
      <c r="J176" s="14">
        <v>1</v>
      </c>
      <c r="K176" s="14">
        <v>0</v>
      </c>
      <c r="L176" s="14" t="s">
        <v>17363</v>
      </c>
      <c r="M176" s="19" t="s">
        <v>101</v>
      </c>
      <c r="N176" s="14" t="s">
        <v>507</v>
      </c>
      <c r="O176" s="14" t="s">
        <v>17364</v>
      </c>
      <c r="P176" s="14" t="str">
        <f>HYPERLINK("https://dexscreener.com/solana/9998F79aPpMeyb1gmmqLqwy9ZjBZbtEUC7CMmDrB4jcr", "View")</f>
        <v>View</v>
      </c>
    </row>
    <row r="177" spans="1:16" x14ac:dyDescent="0.25">
      <c r="A177" s="16" t="s">
        <v>10597</v>
      </c>
      <c r="B177" s="17">
        <v>342388</v>
      </c>
      <c r="C177" s="17">
        <v>0</v>
      </c>
      <c r="D177" s="17" t="s">
        <v>4347</v>
      </c>
      <c r="E177" s="17" t="s">
        <v>4396</v>
      </c>
      <c r="F177" s="17" t="s">
        <v>96</v>
      </c>
      <c r="G177" s="18" t="s">
        <v>4739</v>
      </c>
      <c r="H177" s="18" t="s">
        <v>98</v>
      </c>
      <c r="I177" s="17" t="s">
        <v>17365</v>
      </c>
      <c r="J177" s="17">
        <v>1</v>
      </c>
      <c r="K177" s="17">
        <v>0</v>
      </c>
      <c r="L177" s="17" t="s">
        <v>17366</v>
      </c>
      <c r="M177" s="19" t="s">
        <v>101</v>
      </c>
      <c r="N177" s="17" t="s">
        <v>11806</v>
      </c>
      <c r="O177" s="17" t="s">
        <v>17367</v>
      </c>
      <c r="P177" s="17" t="str">
        <f>HYPERLINK("https://dexscreener.com/solana/5AKsZGXXFAgqQvzt1eVQdSNJSfEb6VNfDUhkoW2spump", "View")</f>
        <v>View</v>
      </c>
    </row>
    <row r="178" spans="1:16" x14ac:dyDescent="0.25">
      <c r="A178" s="13" t="s">
        <v>17368</v>
      </c>
      <c r="B178" s="14">
        <v>20995</v>
      </c>
      <c r="C178" s="14">
        <v>0</v>
      </c>
      <c r="D178" s="14" t="s">
        <v>4347</v>
      </c>
      <c r="E178" s="14" t="s">
        <v>4665</v>
      </c>
      <c r="F178" s="14" t="s">
        <v>96</v>
      </c>
      <c r="G178" s="18" t="s">
        <v>4929</v>
      </c>
      <c r="H178" s="18" t="s">
        <v>98</v>
      </c>
      <c r="I178" s="14" t="s">
        <v>17369</v>
      </c>
      <c r="J178" s="14">
        <v>1</v>
      </c>
      <c r="K178" s="14">
        <v>0</v>
      </c>
      <c r="L178" s="14" t="s">
        <v>17370</v>
      </c>
      <c r="M178" s="19" t="s">
        <v>101</v>
      </c>
      <c r="N178" s="14" t="s">
        <v>507</v>
      </c>
      <c r="O178" s="14" t="s">
        <v>17371</v>
      </c>
      <c r="P178" s="14" t="str">
        <f>HYPERLINK("https://dexscreener.com/solana/GJT4kpDX9ujxzKsDJw5Lt5xrMoNsDZFGgoYQacxzpump", "View")</f>
        <v>View</v>
      </c>
    </row>
    <row r="179" spans="1:16" x14ac:dyDescent="0.25">
      <c r="A179" s="16" t="s">
        <v>17372</v>
      </c>
      <c r="B179" s="17">
        <v>882443</v>
      </c>
      <c r="C179" s="17">
        <v>450443</v>
      </c>
      <c r="D179" s="17" t="s">
        <v>832</v>
      </c>
      <c r="E179" s="17" t="s">
        <v>5573</v>
      </c>
      <c r="F179" s="17" t="s">
        <v>17373</v>
      </c>
      <c r="G179" s="22" t="s">
        <v>10049</v>
      </c>
      <c r="H179" s="22" t="s">
        <v>17374</v>
      </c>
      <c r="I179" s="17" t="s">
        <v>88</v>
      </c>
      <c r="J179" s="17">
        <v>1</v>
      </c>
      <c r="K179" s="17">
        <v>1</v>
      </c>
      <c r="L179" s="17" t="s">
        <v>17375</v>
      </c>
      <c r="M179" s="17" t="s">
        <v>231</v>
      </c>
      <c r="N179" s="17" t="s">
        <v>17376</v>
      </c>
      <c r="O179" s="17" t="s">
        <v>17377</v>
      </c>
      <c r="P179" s="17" t="str">
        <f>HYPERLINK("https://dexscreener.com/solana/B1aa56R4FJegCMDLDVZPyA5w4GcRwXTp2GVrQNb2pump", "View")</f>
        <v>View</v>
      </c>
    </row>
    <row r="180" spans="1:16" x14ac:dyDescent="0.25">
      <c r="A180" s="13" t="s">
        <v>13418</v>
      </c>
      <c r="B180" s="14">
        <v>1703744</v>
      </c>
      <c r="C180" s="14">
        <v>0</v>
      </c>
      <c r="D180" s="14" t="s">
        <v>17332</v>
      </c>
      <c r="E180" s="14" t="s">
        <v>4180</v>
      </c>
      <c r="F180" s="14" t="s">
        <v>96</v>
      </c>
      <c r="G180" s="18" t="s">
        <v>17378</v>
      </c>
      <c r="H180" s="18" t="s">
        <v>98</v>
      </c>
      <c r="I180" s="14" t="s">
        <v>17379</v>
      </c>
      <c r="J180" s="14">
        <v>2</v>
      </c>
      <c r="K180" s="14">
        <v>0</v>
      </c>
      <c r="L180" s="14" t="s">
        <v>17380</v>
      </c>
      <c r="M180" s="14" t="s">
        <v>602</v>
      </c>
      <c r="N180" s="14" t="s">
        <v>17381</v>
      </c>
      <c r="O180" s="14" t="s">
        <v>13426</v>
      </c>
      <c r="P180" s="14" t="str">
        <f>HYPERLINK("https://dexscreener.com/solana/87p2Aw47YdPCtPV2UHpBLmHo21UC2zJmioVhAcFps13v", "View")</f>
        <v>View</v>
      </c>
    </row>
    <row r="181" spans="1:16" x14ac:dyDescent="0.25">
      <c r="A181" s="16" t="s">
        <v>17382</v>
      </c>
      <c r="B181" s="17">
        <v>24293</v>
      </c>
      <c r="C181" s="17">
        <v>0</v>
      </c>
      <c r="D181" s="17" t="s">
        <v>4347</v>
      </c>
      <c r="E181" s="17" t="s">
        <v>5573</v>
      </c>
      <c r="F181" s="17" t="s">
        <v>96</v>
      </c>
      <c r="G181" s="18" t="s">
        <v>16660</v>
      </c>
      <c r="H181" s="18" t="s">
        <v>98</v>
      </c>
      <c r="I181" s="17" t="s">
        <v>17383</v>
      </c>
      <c r="J181" s="17">
        <v>1</v>
      </c>
      <c r="K181" s="17">
        <v>0</v>
      </c>
      <c r="L181" s="17" t="s">
        <v>17384</v>
      </c>
      <c r="M181" s="19" t="s">
        <v>101</v>
      </c>
      <c r="N181" s="17" t="s">
        <v>17385</v>
      </c>
      <c r="O181" s="17" t="s">
        <v>17386</v>
      </c>
      <c r="P181" s="17" t="str">
        <f>HYPERLINK("https://dexscreener.com/solana/BvSyXBvy76mUgzLSbvvT4NQw5rSM4P5zAsdnvqUJpump", "View")</f>
        <v>View</v>
      </c>
    </row>
    <row r="182" spans="1:16" x14ac:dyDescent="0.25">
      <c r="A182" s="13" t="s">
        <v>17387</v>
      </c>
      <c r="B182" s="14">
        <v>5231851</v>
      </c>
      <c r="C182" s="14">
        <v>4981850</v>
      </c>
      <c r="D182" s="14" t="s">
        <v>17388</v>
      </c>
      <c r="E182" s="14" t="s">
        <v>17389</v>
      </c>
      <c r="F182" s="14" t="s">
        <v>3104</v>
      </c>
      <c r="G182" s="20" t="s">
        <v>11304</v>
      </c>
      <c r="H182" s="20" t="s">
        <v>17390</v>
      </c>
      <c r="I182" s="14" t="s">
        <v>88</v>
      </c>
      <c r="J182" s="14">
        <v>1</v>
      </c>
      <c r="K182" s="14">
        <v>2</v>
      </c>
      <c r="L182" s="14" t="s">
        <v>17391</v>
      </c>
      <c r="M182" s="14" t="s">
        <v>1932</v>
      </c>
      <c r="N182" s="14" t="s">
        <v>507</v>
      </c>
      <c r="O182" s="14" t="s">
        <v>17392</v>
      </c>
      <c r="P182" s="14" t="str">
        <f>HYPERLINK("https://dexscreener.com/solana/U2GE8JkZ6W5NuRP5xXxptT8cKPBTzptix9s4VstQMp8", "View")</f>
        <v>View</v>
      </c>
    </row>
    <row r="183" spans="1:16" x14ac:dyDescent="0.25">
      <c r="A183" s="16" t="s">
        <v>17393</v>
      </c>
      <c r="B183" s="17">
        <v>7890</v>
      </c>
      <c r="C183" s="17">
        <v>0</v>
      </c>
      <c r="D183" s="17" t="s">
        <v>4347</v>
      </c>
      <c r="E183" s="17" t="s">
        <v>2429</v>
      </c>
      <c r="F183" s="17" t="s">
        <v>96</v>
      </c>
      <c r="G183" s="18" t="s">
        <v>5031</v>
      </c>
      <c r="H183" s="18" t="s">
        <v>98</v>
      </c>
      <c r="I183" s="17" t="s">
        <v>17394</v>
      </c>
      <c r="J183" s="17">
        <v>1</v>
      </c>
      <c r="K183" s="17">
        <v>0</v>
      </c>
      <c r="L183" s="17" t="s">
        <v>17395</v>
      </c>
      <c r="M183" s="19" t="s">
        <v>101</v>
      </c>
      <c r="N183" s="17" t="s">
        <v>17396</v>
      </c>
      <c r="O183" s="17" t="s">
        <v>17397</v>
      </c>
      <c r="P183" s="17" t="str">
        <f>HYPERLINK("https://dexscreener.com/solana/JBSVUpKgYNHt4GLtNebQxTJmZgftTMWENQrziHtGpump", "View")</f>
        <v>View</v>
      </c>
    </row>
    <row r="184" spans="1:16" x14ac:dyDescent="0.25">
      <c r="A184" s="13" t="s">
        <v>17398</v>
      </c>
      <c r="B184" s="14">
        <v>63363</v>
      </c>
      <c r="C184" s="14">
        <v>0</v>
      </c>
      <c r="D184" s="14" t="s">
        <v>4347</v>
      </c>
      <c r="E184" s="14" t="s">
        <v>4396</v>
      </c>
      <c r="F184" s="14" t="s">
        <v>96</v>
      </c>
      <c r="G184" s="18" t="s">
        <v>4739</v>
      </c>
      <c r="H184" s="18" t="s">
        <v>98</v>
      </c>
      <c r="I184" s="14" t="s">
        <v>17399</v>
      </c>
      <c r="J184" s="14">
        <v>1</v>
      </c>
      <c r="K184" s="14">
        <v>0</v>
      </c>
      <c r="L184" s="14" t="s">
        <v>17400</v>
      </c>
      <c r="M184" s="19" t="s">
        <v>101</v>
      </c>
      <c r="N184" s="14" t="s">
        <v>507</v>
      </c>
      <c r="O184" s="14" t="s">
        <v>17401</v>
      </c>
      <c r="P184" s="14" t="str">
        <f>HYPERLINK("https://dexscreener.com/solana/Fzd9CeA9xW2sJwiqUJTuBugDEQ8dn1xiqcnhzcyLavn9", "View")</f>
        <v>View</v>
      </c>
    </row>
    <row r="185" spans="1:16" x14ac:dyDescent="0.25">
      <c r="A185" s="16" t="s">
        <v>17402</v>
      </c>
      <c r="B185" s="17">
        <v>160322</v>
      </c>
      <c r="C185" s="17">
        <v>0</v>
      </c>
      <c r="D185" s="17" t="s">
        <v>4347</v>
      </c>
      <c r="E185" s="17" t="s">
        <v>4396</v>
      </c>
      <c r="F185" s="17" t="s">
        <v>96</v>
      </c>
      <c r="G185" s="18" t="s">
        <v>4739</v>
      </c>
      <c r="H185" s="18" t="s">
        <v>98</v>
      </c>
      <c r="I185" s="17" t="s">
        <v>17403</v>
      </c>
      <c r="J185" s="17">
        <v>1</v>
      </c>
      <c r="K185" s="17">
        <v>0</v>
      </c>
      <c r="L185" s="17" t="s">
        <v>17404</v>
      </c>
      <c r="M185" s="19" t="s">
        <v>101</v>
      </c>
      <c r="N185" s="17" t="s">
        <v>17405</v>
      </c>
      <c r="O185" s="17" t="s">
        <v>17406</v>
      </c>
      <c r="P185" s="17" t="str">
        <f>HYPERLINK("https://dexscreener.com/solana/AnkboVxDxPszZPienGdJzy2qAWbfvm29AHzWwY2doiA2", "View")</f>
        <v>View</v>
      </c>
    </row>
    <row r="186" spans="1:16" x14ac:dyDescent="0.25">
      <c r="A186" s="13" t="s">
        <v>17407</v>
      </c>
      <c r="B186" s="14">
        <v>23822</v>
      </c>
      <c r="C186" s="14">
        <v>0</v>
      </c>
      <c r="D186" s="14" t="s">
        <v>4347</v>
      </c>
      <c r="E186" s="14" t="s">
        <v>4396</v>
      </c>
      <c r="F186" s="14" t="s">
        <v>96</v>
      </c>
      <c r="G186" s="18" t="s">
        <v>4739</v>
      </c>
      <c r="H186" s="18" t="s">
        <v>98</v>
      </c>
      <c r="I186" s="14" t="s">
        <v>17408</v>
      </c>
      <c r="J186" s="14">
        <v>1</v>
      </c>
      <c r="K186" s="14">
        <v>0</v>
      </c>
      <c r="L186" s="14" t="s">
        <v>17409</v>
      </c>
      <c r="M186" s="19" t="s">
        <v>101</v>
      </c>
      <c r="N186" s="14" t="s">
        <v>17410</v>
      </c>
      <c r="O186" s="14" t="s">
        <v>17411</v>
      </c>
      <c r="P186" s="14" t="str">
        <f>HYPERLINK("https://dexscreener.com/solana/DR7ditoS8qSNV2J6XMvPpehEvVf2J3HvAStdzqHpump", "View")</f>
        <v>View</v>
      </c>
    </row>
    <row r="187" spans="1:16" x14ac:dyDescent="0.25">
      <c r="A187" s="16" t="s">
        <v>17412</v>
      </c>
      <c r="B187" s="17">
        <v>6261</v>
      </c>
      <c r="C187" s="17">
        <v>0</v>
      </c>
      <c r="D187" s="17" t="s">
        <v>4347</v>
      </c>
      <c r="E187" s="17" t="s">
        <v>4396</v>
      </c>
      <c r="F187" s="17" t="s">
        <v>96</v>
      </c>
      <c r="G187" s="18" t="s">
        <v>4739</v>
      </c>
      <c r="H187" s="18" t="s">
        <v>98</v>
      </c>
      <c r="I187" s="17" t="s">
        <v>17413</v>
      </c>
      <c r="J187" s="17">
        <v>1</v>
      </c>
      <c r="K187" s="17">
        <v>0</v>
      </c>
      <c r="L187" s="17" t="s">
        <v>17414</v>
      </c>
      <c r="M187" s="19" t="s">
        <v>101</v>
      </c>
      <c r="N187" s="17" t="s">
        <v>507</v>
      </c>
      <c r="O187" s="17" t="s">
        <v>17415</v>
      </c>
      <c r="P187" s="17" t="str">
        <f>HYPERLINK("https://dexscreener.com/solana/64sd4GgBhAbQZtVm91HcyEcvg97EMhbzTwQKM4o7PHxo", "View")</f>
        <v>View</v>
      </c>
    </row>
    <row r="188" spans="1:16" x14ac:dyDescent="0.25">
      <c r="A188" s="13" t="s">
        <v>17416</v>
      </c>
      <c r="B188" s="14">
        <v>33103</v>
      </c>
      <c r="C188" s="14">
        <v>0</v>
      </c>
      <c r="D188" s="14" t="s">
        <v>4347</v>
      </c>
      <c r="E188" s="14" t="s">
        <v>4396</v>
      </c>
      <c r="F188" s="14" t="s">
        <v>96</v>
      </c>
      <c r="G188" s="18" t="s">
        <v>4739</v>
      </c>
      <c r="H188" s="18" t="s">
        <v>98</v>
      </c>
      <c r="I188" s="14" t="s">
        <v>17417</v>
      </c>
      <c r="J188" s="14">
        <v>1</v>
      </c>
      <c r="K188" s="14">
        <v>0</v>
      </c>
      <c r="L188" s="14" t="s">
        <v>17418</v>
      </c>
      <c r="M188" s="19" t="s">
        <v>101</v>
      </c>
      <c r="N188" s="14" t="s">
        <v>17419</v>
      </c>
      <c r="O188" s="14" t="s">
        <v>17420</v>
      </c>
      <c r="P188" s="14" t="str">
        <f>HYPERLINK("https://dexscreener.com/solana/7CSWFsrB3gPc5o5hxKTJCUbFDq4QyTWpjVG76S1Xpump", "View")</f>
        <v>View</v>
      </c>
    </row>
    <row r="189" spans="1:16" x14ac:dyDescent="0.25">
      <c r="A189" s="16" t="s">
        <v>17421</v>
      </c>
      <c r="B189" s="17">
        <v>825</v>
      </c>
      <c r="C189" s="17">
        <v>0</v>
      </c>
      <c r="D189" s="17" t="s">
        <v>4347</v>
      </c>
      <c r="E189" s="17" t="s">
        <v>4396</v>
      </c>
      <c r="F189" s="17" t="s">
        <v>96</v>
      </c>
      <c r="G189" s="18" t="s">
        <v>4739</v>
      </c>
      <c r="H189" s="18" t="s">
        <v>98</v>
      </c>
      <c r="I189" s="17" t="s">
        <v>17422</v>
      </c>
      <c r="J189" s="17">
        <v>1</v>
      </c>
      <c r="K189" s="17">
        <v>0</v>
      </c>
      <c r="L189" s="17" t="s">
        <v>17423</v>
      </c>
      <c r="M189" s="19" t="s">
        <v>101</v>
      </c>
      <c r="N189" s="17" t="s">
        <v>507</v>
      </c>
      <c r="O189" s="17" t="s">
        <v>17424</v>
      </c>
      <c r="P189" s="17" t="str">
        <f>HYPERLINK("https://dexscreener.com/solana/2cSsNQXwAKx8RKa6JnBCtHtfsm5KQYYMWgnUhDxkt645", "View")</f>
        <v>View</v>
      </c>
    </row>
    <row r="190" spans="1:16" x14ac:dyDescent="0.25">
      <c r="A190" s="13" t="s">
        <v>17425</v>
      </c>
      <c r="B190" s="14">
        <v>37408</v>
      </c>
      <c r="C190" s="14">
        <v>0</v>
      </c>
      <c r="D190" s="14" t="s">
        <v>4347</v>
      </c>
      <c r="E190" s="14" t="s">
        <v>4396</v>
      </c>
      <c r="F190" s="14" t="s">
        <v>96</v>
      </c>
      <c r="G190" s="18" t="s">
        <v>4739</v>
      </c>
      <c r="H190" s="18" t="s">
        <v>98</v>
      </c>
      <c r="I190" s="14" t="s">
        <v>17426</v>
      </c>
      <c r="J190" s="14">
        <v>1</v>
      </c>
      <c r="K190" s="14">
        <v>0</v>
      </c>
      <c r="L190" s="14" t="s">
        <v>17427</v>
      </c>
      <c r="M190" s="19" t="s">
        <v>101</v>
      </c>
      <c r="N190" s="14" t="s">
        <v>17428</v>
      </c>
      <c r="O190" s="14" t="s">
        <v>17429</v>
      </c>
      <c r="P190" s="14" t="str">
        <f>HYPERLINK("https://dexscreener.com/solana/khDgKAP8mRb8PbZnVhLyMhLtaRWvgciAzB2XiSLpump", "View")</f>
        <v>View</v>
      </c>
    </row>
    <row r="191" spans="1:16" x14ac:dyDescent="0.25">
      <c r="A191" s="16" t="s">
        <v>11944</v>
      </c>
      <c r="B191" s="17">
        <v>42810</v>
      </c>
      <c r="C191" s="17">
        <v>0</v>
      </c>
      <c r="D191" s="17" t="s">
        <v>4347</v>
      </c>
      <c r="E191" s="17" t="s">
        <v>4396</v>
      </c>
      <c r="F191" s="17" t="s">
        <v>96</v>
      </c>
      <c r="G191" s="18" t="s">
        <v>4739</v>
      </c>
      <c r="H191" s="18" t="s">
        <v>98</v>
      </c>
      <c r="I191" s="17" t="s">
        <v>17430</v>
      </c>
      <c r="J191" s="17">
        <v>1</v>
      </c>
      <c r="K191" s="17">
        <v>0</v>
      </c>
      <c r="L191" s="17" t="s">
        <v>17431</v>
      </c>
      <c r="M191" s="19" t="s">
        <v>101</v>
      </c>
      <c r="N191" s="17" t="s">
        <v>17432</v>
      </c>
      <c r="O191" s="17" t="s">
        <v>17433</v>
      </c>
      <c r="P191" s="17" t="str">
        <f>HYPERLINK("https://dexscreener.com/solana/HUCXhZ3gvax7umq8gRZeRcjMkBmfUVgPxfUtbdftpump", "View")</f>
        <v>View</v>
      </c>
    </row>
    <row r="192" spans="1:16" x14ac:dyDescent="0.25">
      <c r="A192" s="13" t="s">
        <v>558</v>
      </c>
      <c r="B192" s="14">
        <v>15944905</v>
      </c>
      <c r="C192" s="14">
        <v>15944904</v>
      </c>
      <c r="D192" s="14" t="s">
        <v>15575</v>
      </c>
      <c r="E192" s="14" t="s">
        <v>13155</v>
      </c>
      <c r="F192" s="14" t="s">
        <v>3700</v>
      </c>
      <c r="G192" s="20" t="s">
        <v>4880</v>
      </c>
      <c r="H192" s="20" t="s">
        <v>3080</v>
      </c>
      <c r="I192" s="14" t="s">
        <v>88</v>
      </c>
      <c r="J192" s="14">
        <v>1</v>
      </c>
      <c r="K192" s="14">
        <v>1</v>
      </c>
      <c r="L192" s="14" t="s">
        <v>17434</v>
      </c>
      <c r="M192" s="14" t="s">
        <v>1434</v>
      </c>
      <c r="N192" s="14" t="s">
        <v>507</v>
      </c>
      <c r="O192" s="14" t="s">
        <v>17435</v>
      </c>
      <c r="P192" s="14" t="str">
        <f>HYPERLINK("https://dexscreener.com/solana/G48twEUrqp6G2Eh1RiJjR9U9tVYKV84qHYxprp3zShic", "View")</f>
        <v>View</v>
      </c>
    </row>
    <row r="193" spans="1:16" x14ac:dyDescent="0.25">
      <c r="A193" s="16" t="s">
        <v>17436</v>
      </c>
      <c r="B193" s="17">
        <v>1173877</v>
      </c>
      <c r="C193" s="17">
        <v>0</v>
      </c>
      <c r="D193" s="17" t="s">
        <v>17332</v>
      </c>
      <c r="E193" s="17" t="s">
        <v>3548</v>
      </c>
      <c r="F193" s="17" t="s">
        <v>96</v>
      </c>
      <c r="G193" s="18" t="s">
        <v>17437</v>
      </c>
      <c r="H193" s="18" t="s">
        <v>98</v>
      </c>
      <c r="I193" s="17" t="s">
        <v>17438</v>
      </c>
      <c r="J193" s="17">
        <v>2</v>
      </c>
      <c r="K193" s="17">
        <v>0</v>
      </c>
      <c r="L193" s="17" t="s">
        <v>17439</v>
      </c>
      <c r="M193" s="17" t="s">
        <v>1705</v>
      </c>
      <c r="N193" s="17" t="s">
        <v>17440</v>
      </c>
      <c r="O193" s="17" t="s">
        <v>17441</v>
      </c>
      <c r="P193" s="17" t="str">
        <f>HYPERLINK("https://dexscreener.com/solana/12ikmLqrj2N39Gkcbz4HZBFw1F3BqPk4L6zK396Cpump", "View")</f>
        <v>View</v>
      </c>
    </row>
    <row r="194" spans="1:16" x14ac:dyDescent="0.25">
      <c r="A194" s="13" t="s">
        <v>17442</v>
      </c>
      <c r="B194" s="14">
        <v>7543014</v>
      </c>
      <c r="C194" s="14">
        <v>7543013</v>
      </c>
      <c r="D194" s="14" t="s">
        <v>15575</v>
      </c>
      <c r="E194" s="14" t="s">
        <v>7344</v>
      </c>
      <c r="F194" s="14" t="s">
        <v>12551</v>
      </c>
      <c r="G194" s="20" t="s">
        <v>1523</v>
      </c>
      <c r="H194" s="20" t="s">
        <v>9150</v>
      </c>
      <c r="I194" s="14" t="s">
        <v>88</v>
      </c>
      <c r="J194" s="14">
        <v>1</v>
      </c>
      <c r="K194" s="14">
        <v>1</v>
      </c>
      <c r="L194" s="14" t="s">
        <v>17443</v>
      </c>
      <c r="M194" s="14" t="s">
        <v>656</v>
      </c>
      <c r="N194" s="14" t="s">
        <v>507</v>
      </c>
      <c r="O194" s="14" t="s">
        <v>17444</v>
      </c>
      <c r="P194" s="14" t="str">
        <f>HYPERLINK("https://dexscreener.com/solana/94aNm6GLr7enPory3Uq2cN9FUivBJ7VquuZgLJhZ5RQF", "View")</f>
        <v>View</v>
      </c>
    </row>
    <row r="195" spans="1:16" x14ac:dyDescent="0.25">
      <c r="A195" s="16" t="s">
        <v>3977</v>
      </c>
      <c r="B195" s="17">
        <v>495465</v>
      </c>
      <c r="C195" s="17">
        <v>371599</v>
      </c>
      <c r="D195" s="17" t="s">
        <v>17090</v>
      </c>
      <c r="E195" s="17" t="s">
        <v>5573</v>
      </c>
      <c r="F195" s="17" t="s">
        <v>1749</v>
      </c>
      <c r="G195" s="20" t="s">
        <v>3611</v>
      </c>
      <c r="H195" s="20" t="s">
        <v>17445</v>
      </c>
      <c r="I195" s="17" t="s">
        <v>88</v>
      </c>
      <c r="J195" s="17">
        <v>1</v>
      </c>
      <c r="K195" s="17">
        <v>2</v>
      </c>
      <c r="L195" s="17" t="s">
        <v>17446</v>
      </c>
      <c r="M195" s="17" t="s">
        <v>1448</v>
      </c>
      <c r="N195" s="17" t="s">
        <v>17447</v>
      </c>
      <c r="O195" s="17" t="s">
        <v>17448</v>
      </c>
      <c r="P195" s="17" t="str">
        <f>HYPERLINK("https://dexscreener.com/solana/7CgKnUxxHB5HG598hyhJfqbB47gN2Fdr7TN7WrTjpump", "View")</f>
        <v>View</v>
      </c>
    </row>
    <row r="196" spans="1:16" x14ac:dyDescent="0.25">
      <c r="A196" s="13" t="s">
        <v>17449</v>
      </c>
      <c r="B196" s="14">
        <v>368675</v>
      </c>
      <c r="C196" s="14">
        <v>0</v>
      </c>
      <c r="D196" s="14" t="s">
        <v>4738</v>
      </c>
      <c r="E196" s="14" t="s">
        <v>4945</v>
      </c>
      <c r="F196" s="14" t="s">
        <v>96</v>
      </c>
      <c r="G196" s="18" t="s">
        <v>2135</v>
      </c>
      <c r="H196" s="18" t="s">
        <v>98</v>
      </c>
      <c r="I196" s="14" t="s">
        <v>17450</v>
      </c>
      <c r="J196" s="14">
        <v>1</v>
      </c>
      <c r="K196" s="14">
        <v>0</v>
      </c>
      <c r="L196" s="14" t="s">
        <v>17451</v>
      </c>
      <c r="M196" s="19" t="s">
        <v>101</v>
      </c>
      <c r="N196" s="14" t="s">
        <v>507</v>
      </c>
      <c r="O196" s="14" t="s">
        <v>17452</v>
      </c>
      <c r="P196" s="14" t="str">
        <f>HYPERLINK("https://dexscreener.com/solana/E4nZ9zijieeTuGTgyP99a1YUbdcnjxtjswUQkkypKNxS", "View")</f>
        <v>View</v>
      </c>
    </row>
    <row r="197" spans="1:16" x14ac:dyDescent="0.25">
      <c r="A197" s="16" t="s">
        <v>17453</v>
      </c>
      <c r="B197" s="17">
        <v>800024</v>
      </c>
      <c r="C197" s="17">
        <v>800022</v>
      </c>
      <c r="D197" s="17" t="s">
        <v>15575</v>
      </c>
      <c r="E197" s="17" t="s">
        <v>7344</v>
      </c>
      <c r="F197" s="17" t="s">
        <v>10664</v>
      </c>
      <c r="G197" s="20" t="s">
        <v>4799</v>
      </c>
      <c r="H197" s="20" t="s">
        <v>17454</v>
      </c>
      <c r="I197" s="17" t="s">
        <v>88</v>
      </c>
      <c r="J197" s="17">
        <v>1</v>
      </c>
      <c r="K197" s="17">
        <v>1</v>
      </c>
      <c r="L197" s="17" t="s">
        <v>17455</v>
      </c>
      <c r="M197" s="17" t="s">
        <v>1932</v>
      </c>
      <c r="N197" s="17" t="s">
        <v>507</v>
      </c>
      <c r="O197" s="17" t="s">
        <v>17456</v>
      </c>
      <c r="P197" s="17" t="str">
        <f>HYPERLINK("https://dexscreener.com/solana/B1aoR2RJyTDWMZXy3nAYad9r8eyhEGKm7rA9HB69aHog", "View")</f>
        <v>View</v>
      </c>
    </row>
    <row r="198" spans="1:16" x14ac:dyDescent="0.25">
      <c r="A198" s="13" t="s">
        <v>17457</v>
      </c>
      <c r="B198" s="14">
        <v>377738</v>
      </c>
      <c r="C198" s="14">
        <v>0</v>
      </c>
      <c r="D198" s="14" t="s">
        <v>4347</v>
      </c>
      <c r="E198" s="14" t="s">
        <v>4396</v>
      </c>
      <c r="F198" s="14" t="s">
        <v>96</v>
      </c>
      <c r="G198" s="18" t="s">
        <v>4739</v>
      </c>
      <c r="H198" s="18" t="s">
        <v>98</v>
      </c>
      <c r="I198" s="14" t="s">
        <v>17458</v>
      </c>
      <c r="J198" s="14">
        <v>1</v>
      </c>
      <c r="K198" s="14">
        <v>0</v>
      </c>
      <c r="L198" s="14" t="s">
        <v>17459</v>
      </c>
      <c r="M198" s="19" t="s">
        <v>101</v>
      </c>
      <c r="N198" s="14" t="s">
        <v>507</v>
      </c>
      <c r="O198" s="14" t="s">
        <v>17460</v>
      </c>
      <c r="P198" s="14" t="str">
        <f>HYPERLINK("https://dexscreener.com/solana/HvkTyZMxs6S3mBbJSpUXXvqND7iC5FQr1aJBPsvSs4Ui", "View")</f>
        <v>View</v>
      </c>
    </row>
    <row r="199" spans="1:16" x14ac:dyDescent="0.25">
      <c r="A199" s="16" t="s">
        <v>17461</v>
      </c>
      <c r="B199" s="17">
        <v>505055</v>
      </c>
      <c r="C199" s="17">
        <v>0</v>
      </c>
      <c r="D199" s="17" t="s">
        <v>4738</v>
      </c>
      <c r="E199" s="17" t="s">
        <v>4945</v>
      </c>
      <c r="F199" s="17" t="s">
        <v>96</v>
      </c>
      <c r="G199" s="18" t="s">
        <v>2135</v>
      </c>
      <c r="H199" s="18" t="s">
        <v>98</v>
      </c>
      <c r="I199" s="17" t="s">
        <v>17462</v>
      </c>
      <c r="J199" s="17">
        <v>1</v>
      </c>
      <c r="K199" s="17">
        <v>0</v>
      </c>
      <c r="L199" s="17" t="s">
        <v>17463</v>
      </c>
      <c r="M199" s="19" t="s">
        <v>101</v>
      </c>
      <c r="N199" s="17" t="s">
        <v>507</v>
      </c>
      <c r="O199" s="17" t="s">
        <v>17464</v>
      </c>
      <c r="P199" s="17" t="str">
        <f>HYPERLINK("https://dexscreener.com/solana/JC96CuK9ZsuAEbNECiUke2yJiwDbqXtLphpTZX11eHvi", "View")</f>
        <v>View</v>
      </c>
    </row>
    <row r="200" spans="1:16" x14ac:dyDescent="0.25">
      <c r="A200" s="13" t="s">
        <v>5126</v>
      </c>
      <c r="B200" s="14">
        <v>3347170</v>
      </c>
      <c r="C200" s="14">
        <v>1673585</v>
      </c>
      <c r="D200" s="14" t="s">
        <v>17332</v>
      </c>
      <c r="E200" s="14" t="s">
        <v>2200</v>
      </c>
      <c r="F200" s="14" t="s">
        <v>13680</v>
      </c>
      <c r="G200" s="20" t="s">
        <v>17465</v>
      </c>
      <c r="H200" s="20" t="s">
        <v>17466</v>
      </c>
      <c r="I200" s="14" t="s">
        <v>88</v>
      </c>
      <c r="J200" s="14">
        <v>1</v>
      </c>
      <c r="K200" s="14">
        <v>1</v>
      </c>
      <c r="L200" s="14" t="s">
        <v>17467</v>
      </c>
      <c r="M200" s="14" t="s">
        <v>1434</v>
      </c>
      <c r="N200" s="14" t="s">
        <v>507</v>
      </c>
      <c r="O200" s="14" t="s">
        <v>17468</v>
      </c>
      <c r="P200" s="14" t="str">
        <f>HYPERLINK("https://dexscreener.com/solana/7EUeMop2TtcS385byCqbjZRbrrUcgrCnd3K5iBe2MPDa", "View")</f>
        <v>View</v>
      </c>
    </row>
    <row r="201" spans="1:16" x14ac:dyDescent="0.25">
      <c r="A201" s="16" t="s">
        <v>13165</v>
      </c>
      <c r="B201" s="17">
        <v>500279</v>
      </c>
      <c r="C201" s="17">
        <v>0</v>
      </c>
      <c r="D201" s="17" t="s">
        <v>4347</v>
      </c>
      <c r="E201" s="17" t="s">
        <v>5573</v>
      </c>
      <c r="F201" s="17" t="s">
        <v>96</v>
      </c>
      <c r="G201" s="18" t="s">
        <v>16660</v>
      </c>
      <c r="H201" s="18" t="s">
        <v>98</v>
      </c>
      <c r="I201" s="17" t="s">
        <v>17469</v>
      </c>
      <c r="J201" s="17">
        <v>1</v>
      </c>
      <c r="K201" s="17">
        <v>0</v>
      </c>
      <c r="L201" s="17" t="s">
        <v>17470</v>
      </c>
      <c r="M201" s="19" t="s">
        <v>101</v>
      </c>
      <c r="N201" s="17" t="s">
        <v>5171</v>
      </c>
      <c r="O201" s="17" t="s">
        <v>17471</v>
      </c>
      <c r="P201" s="17" t="str">
        <f>HYPERLINK("https://dexscreener.com/solana/3tU4tYkdWURGAVoBeHgDa7AA5XumNybUnfdyMs3jpump", "View")</f>
        <v>View</v>
      </c>
    </row>
    <row r="202" spans="1:16" x14ac:dyDescent="0.25">
      <c r="A202" s="13" t="s">
        <v>17472</v>
      </c>
      <c r="B202" s="14">
        <v>1238</v>
      </c>
      <c r="C202" s="14">
        <v>0</v>
      </c>
      <c r="D202" s="14" t="s">
        <v>4347</v>
      </c>
      <c r="E202" s="14" t="s">
        <v>5573</v>
      </c>
      <c r="F202" s="14" t="s">
        <v>96</v>
      </c>
      <c r="G202" s="18" t="s">
        <v>16660</v>
      </c>
      <c r="H202" s="18" t="s">
        <v>98</v>
      </c>
      <c r="I202" s="14" t="s">
        <v>17473</v>
      </c>
      <c r="J202" s="14">
        <v>1</v>
      </c>
      <c r="K202" s="14">
        <v>0</v>
      </c>
      <c r="L202" s="14" t="s">
        <v>17474</v>
      </c>
      <c r="M202" s="19" t="s">
        <v>101</v>
      </c>
      <c r="N202" s="14" t="s">
        <v>507</v>
      </c>
      <c r="O202" s="14" t="s">
        <v>17475</v>
      </c>
      <c r="P202" s="14" t="str">
        <f>HYPERLINK("https://dexscreener.com/solana/HQRRfbBKaBERZscSVikVk3FiZ92m7vbZMFcuFY23pump", "View")</f>
        <v>View</v>
      </c>
    </row>
    <row r="203" spans="1:16" x14ac:dyDescent="0.25">
      <c r="A203" s="16" t="s">
        <v>17476</v>
      </c>
      <c r="B203" s="17">
        <v>1597169</v>
      </c>
      <c r="C203" s="17">
        <v>0</v>
      </c>
      <c r="D203" s="17" t="s">
        <v>4347</v>
      </c>
      <c r="E203" s="17" t="s">
        <v>4665</v>
      </c>
      <c r="F203" s="17" t="s">
        <v>96</v>
      </c>
      <c r="G203" s="18" t="s">
        <v>4929</v>
      </c>
      <c r="H203" s="18" t="s">
        <v>98</v>
      </c>
      <c r="I203" s="17" t="s">
        <v>17477</v>
      </c>
      <c r="J203" s="17">
        <v>1</v>
      </c>
      <c r="K203" s="17">
        <v>0</v>
      </c>
      <c r="L203" s="17" t="s">
        <v>17478</v>
      </c>
      <c r="M203" s="19" t="s">
        <v>101</v>
      </c>
      <c r="N203" s="17" t="s">
        <v>10931</v>
      </c>
      <c r="O203" s="17" t="s">
        <v>17479</v>
      </c>
      <c r="P203" s="17" t="str">
        <f>HYPERLINK("https://dexscreener.com/solana/4bwhHfFSynKXrWsLK9qpZhBhhDYHMbm5oZtkvfN3pump", "View")</f>
        <v>View</v>
      </c>
    </row>
    <row r="204" spans="1:16" x14ac:dyDescent="0.25">
      <c r="A204" s="13" t="s">
        <v>17480</v>
      </c>
      <c r="B204" s="14">
        <v>538737</v>
      </c>
      <c r="C204" s="14">
        <v>0</v>
      </c>
      <c r="D204" s="14" t="s">
        <v>4347</v>
      </c>
      <c r="E204" s="14" t="s">
        <v>4665</v>
      </c>
      <c r="F204" s="14" t="s">
        <v>96</v>
      </c>
      <c r="G204" s="18" t="s">
        <v>4929</v>
      </c>
      <c r="H204" s="18" t="s">
        <v>98</v>
      </c>
      <c r="I204" s="14" t="s">
        <v>17481</v>
      </c>
      <c r="J204" s="14">
        <v>1</v>
      </c>
      <c r="K204" s="14">
        <v>0</v>
      </c>
      <c r="L204" s="14" t="s">
        <v>17482</v>
      </c>
      <c r="M204" s="19" t="s">
        <v>101</v>
      </c>
      <c r="N204" s="14" t="s">
        <v>4835</v>
      </c>
      <c r="O204" s="14" t="s">
        <v>17483</v>
      </c>
      <c r="P204" s="14" t="str">
        <f>HYPERLINK("https://dexscreener.com/solana/3SY6y2E2ZomDp3Rrzp7Rddx5hbNrg4iHzVQn4HfQpump", "View")</f>
        <v>View</v>
      </c>
    </row>
    <row r="205" spans="1:16" x14ac:dyDescent="0.25">
      <c r="A205" s="16" t="s">
        <v>17484</v>
      </c>
      <c r="B205" s="17">
        <v>32145</v>
      </c>
      <c r="C205" s="17">
        <v>0</v>
      </c>
      <c r="D205" s="17" t="s">
        <v>4347</v>
      </c>
      <c r="E205" s="17" t="s">
        <v>8306</v>
      </c>
      <c r="F205" s="17" t="s">
        <v>96</v>
      </c>
      <c r="G205" s="18" t="s">
        <v>4397</v>
      </c>
      <c r="H205" s="18" t="s">
        <v>98</v>
      </c>
      <c r="I205" s="17" t="s">
        <v>17485</v>
      </c>
      <c r="J205" s="17">
        <v>1</v>
      </c>
      <c r="K205" s="17">
        <v>0</v>
      </c>
      <c r="L205" s="17" t="s">
        <v>17486</v>
      </c>
      <c r="M205" s="19" t="s">
        <v>101</v>
      </c>
      <c r="N205" s="17" t="s">
        <v>507</v>
      </c>
      <c r="O205" s="17" t="s">
        <v>17487</v>
      </c>
      <c r="P205" s="17" t="str">
        <f>HYPERLINK("https://dexscreener.com/solana/nkaYQ5onV6GHXMHFVkEbi97MKLUR3Xa2Hvuq8rXpump", "View")</f>
        <v>View</v>
      </c>
    </row>
    <row r="206" spans="1:16" x14ac:dyDescent="0.25">
      <c r="A206" s="13" t="s">
        <v>17488</v>
      </c>
      <c r="B206" s="14">
        <v>73144</v>
      </c>
      <c r="C206" s="14">
        <v>0</v>
      </c>
      <c r="D206" s="14" t="s">
        <v>4347</v>
      </c>
      <c r="E206" s="14" t="s">
        <v>2200</v>
      </c>
      <c r="F206" s="14" t="s">
        <v>96</v>
      </c>
      <c r="G206" s="18" t="s">
        <v>16753</v>
      </c>
      <c r="H206" s="18" t="s">
        <v>98</v>
      </c>
      <c r="I206" s="14" t="s">
        <v>17489</v>
      </c>
      <c r="J206" s="14">
        <v>1</v>
      </c>
      <c r="K206" s="14">
        <v>0</v>
      </c>
      <c r="L206" s="14" t="s">
        <v>17490</v>
      </c>
      <c r="M206" s="19" t="s">
        <v>101</v>
      </c>
      <c r="N206" s="14" t="s">
        <v>507</v>
      </c>
      <c r="O206" s="14" t="s">
        <v>17491</v>
      </c>
      <c r="P206" s="14" t="str">
        <f>HYPERLINK("https://dexscreener.com/solana/ruoNYYyzpCS1eMwxqtuQCQ8UDSVXAeAys7sEYDfpump", "View")</f>
        <v>View</v>
      </c>
    </row>
    <row r="207" spans="1:16" x14ac:dyDescent="0.25">
      <c r="A207" s="16" t="s">
        <v>17492</v>
      </c>
      <c r="B207" s="17">
        <v>2920</v>
      </c>
      <c r="C207" s="17">
        <v>0</v>
      </c>
      <c r="D207" s="17" t="s">
        <v>4347</v>
      </c>
      <c r="E207" s="17" t="s">
        <v>5573</v>
      </c>
      <c r="F207" s="17" t="s">
        <v>96</v>
      </c>
      <c r="G207" s="18" t="s">
        <v>16660</v>
      </c>
      <c r="H207" s="18" t="s">
        <v>98</v>
      </c>
      <c r="I207" s="17" t="s">
        <v>17493</v>
      </c>
      <c r="J207" s="17">
        <v>1</v>
      </c>
      <c r="K207" s="17">
        <v>0</v>
      </c>
      <c r="L207" s="17" t="s">
        <v>17494</v>
      </c>
      <c r="M207" s="19" t="s">
        <v>101</v>
      </c>
      <c r="N207" s="17" t="s">
        <v>507</v>
      </c>
      <c r="O207" s="17" t="s">
        <v>17495</v>
      </c>
      <c r="P207" s="17" t="str">
        <f>HYPERLINK("https://dexscreener.com/solana/dxRXqTQXw5QkCpL4stLujbRZenuFbyZMDYZHx5mpump", "View")</f>
        <v>View</v>
      </c>
    </row>
    <row r="208" spans="1:16" x14ac:dyDescent="0.25">
      <c r="A208" s="13" t="s">
        <v>17496</v>
      </c>
      <c r="B208" s="14">
        <v>3167</v>
      </c>
      <c r="C208" s="14">
        <v>1583</v>
      </c>
      <c r="D208" s="14" t="s">
        <v>832</v>
      </c>
      <c r="E208" s="14" t="s">
        <v>4665</v>
      </c>
      <c r="F208" s="14" t="s">
        <v>9553</v>
      </c>
      <c r="G208" s="22" t="s">
        <v>3481</v>
      </c>
      <c r="H208" s="22" t="s">
        <v>17497</v>
      </c>
      <c r="I208" s="14" t="s">
        <v>88</v>
      </c>
      <c r="J208" s="14">
        <v>1</v>
      </c>
      <c r="K208" s="14">
        <v>1</v>
      </c>
      <c r="L208" s="14" t="s">
        <v>17498</v>
      </c>
      <c r="M208" s="14" t="s">
        <v>179</v>
      </c>
      <c r="N208" s="14" t="s">
        <v>17499</v>
      </c>
      <c r="O208" s="14" t="s">
        <v>17500</v>
      </c>
      <c r="P208" s="14" t="str">
        <f>HYPERLINK("https://dexscreener.com/solana/DncJvcLAbkcp2YMhHaTfkWiTGsGsJcstyGzAEEWmqNff", "View")</f>
        <v>View</v>
      </c>
    </row>
    <row r="209" spans="1:16" x14ac:dyDescent="0.25">
      <c r="A209" s="16" t="s">
        <v>13517</v>
      </c>
      <c r="B209" s="17">
        <v>217195</v>
      </c>
      <c r="C209" s="17">
        <v>217195</v>
      </c>
      <c r="D209" s="17" t="s">
        <v>17090</v>
      </c>
      <c r="E209" s="17" t="s">
        <v>4665</v>
      </c>
      <c r="F209" s="17" t="s">
        <v>11265</v>
      </c>
      <c r="G209" s="22" t="s">
        <v>5024</v>
      </c>
      <c r="H209" s="22" t="s">
        <v>17501</v>
      </c>
      <c r="I209" s="17" t="s">
        <v>88</v>
      </c>
      <c r="J209" s="17">
        <v>1</v>
      </c>
      <c r="K209" s="17">
        <v>2</v>
      </c>
      <c r="L209" s="17" t="s">
        <v>17502</v>
      </c>
      <c r="M209" s="17" t="s">
        <v>1957</v>
      </c>
      <c r="N209" s="17" t="s">
        <v>17503</v>
      </c>
      <c r="O209" s="17" t="s">
        <v>13523</v>
      </c>
      <c r="P209" s="17" t="str">
        <f>HYPERLINK("https://dexscreener.com/solana/4aTDyXhFL5vB99ewQWymxN5wi3rzz7jW7Bmkp48Wpump", "View")</f>
        <v>View</v>
      </c>
    </row>
    <row r="210" spans="1:16" x14ac:dyDescent="0.25">
      <c r="A210" s="13" t="s">
        <v>17504</v>
      </c>
      <c r="B210" s="14">
        <v>7543</v>
      </c>
      <c r="C210" s="14">
        <v>7543</v>
      </c>
      <c r="D210" s="14" t="s">
        <v>17332</v>
      </c>
      <c r="E210" s="14" t="s">
        <v>4665</v>
      </c>
      <c r="F210" s="14" t="s">
        <v>10641</v>
      </c>
      <c r="G210" s="20" t="s">
        <v>4032</v>
      </c>
      <c r="H210" s="20" t="s">
        <v>17505</v>
      </c>
      <c r="I210" s="14" t="s">
        <v>88</v>
      </c>
      <c r="J210" s="14">
        <v>1</v>
      </c>
      <c r="K210" s="14">
        <v>1</v>
      </c>
      <c r="L210" s="14" t="s">
        <v>17506</v>
      </c>
      <c r="M210" s="14" t="s">
        <v>1705</v>
      </c>
      <c r="N210" s="14" t="s">
        <v>507</v>
      </c>
      <c r="O210" s="14" t="s">
        <v>17507</v>
      </c>
      <c r="P210" s="14" t="str">
        <f>HYPERLINK("https://dexscreener.com/solana/2a1rz5GsEEeu12YJNcdmDgJX4MQVSkR7z7ci5qsTP1jc", "View")</f>
        <v>View</v>
      </c>
    </row>
    <row r="211" spans="1:16" x14ac:dyDescent="0.25">
      <c r="A211" s="16" t="s">
        <v>17508</v>
      </c>
      <c r="B211" s="17">
        <v>22852</v>
      </c>
      <c r="C211" s="17">
        <v>22852</v>
      </c>
      <c r="D211" s="17" t="s">
        <v>17090</v>
      </c>
      <c r="E211" s="17" t="s">
        <v>4396</v>
      </c>
      <c r="F211" s="17" t="s">
        <v>17509</v>
      </c>
      <c r="G211" s="22" t="s">
        <v>15974</v>
      </c>
      <c r="H211" s="22" t="s">
        <v>17510</v>
      </c>
      <c r="I211" s="17" t="s">
        <v>88</v>
      </c>
      <c r="J211" s="17">
        <v>1</v>
      </c>
      <c r="K211" s="17">
        <v>2</v>
      </c>
      <c r="L211" s="17" t="s">
        <v>17511</v>
      </c>
      <c r="M211" s="17" t="s">
        <v>2047</v>
      </c>
      <c r="N211" s="17" t="s">
        <v>17512</v>
      </c>
      <c r="O211" s="17" t="s">
        <v>17513</v>
      </c>
      <c r="P211" s="17" t="str">
        <f>HYPERLINK("https://dexscreener.com/solana/Bp2KgefjvRDhvuLGjXHsSFxmqkJEXk3ZAa1FQ4rWpump", "View")</f>
        <v>View</v>
      </c>
    </row>
    <row r="212" spans="1:16" x14ac:dyDescent="0.25">
      <c r="A212" s="13" t="s">
        <v>17514</v>
      </c>
      <c r="B212" s="14">
        <v>2772365</v>
      </c>
      <c r="C212" s="14">
        <v>2772364</v>
      </c>
      <c r="D212" s="14" t="s">
        <v>15575</v>
      </c>
      <c r="E212" s="14" t="s">
        <v>7344</v>
      </c>
      <c r="F212" s="14" t="s">
        <v>4108</v>
      </c>
      <c r="G212" s="20" t="s">
        <v>1977</v>
      </c>
      <c r="H212" s="20" t="s">
        <v>17515</v>
      </c>
      <c r="I212" s="14" t="s">
        <v>88</v>
      </c>
      <c r="J212" s="14">
        <v>1</v>
      </c>
      <c r="K212" s="14">
        <v>1</v>
      </c>
      <c r="L212" s="14" t="s">
        <v>17516</v>
      </c>
      <c r="M212" s="14" t="s">
        <v>699</v>
      </c>
      <c r="N212" s="14" t="s">
        <v>507</v>
      </c>
      <c r="O212" s="14" t="s">
        <v>17517</v>
      </c>
      <c r="P212" s="14" t="str">
        <f>HYPERLINK("https://dexscreener.com/solana/AgBKZLJR5aBsE1GgfKMc1FWrNH8Ywxn1Agwrz937kNbP", "View")</f>
        <v>View</v>
      </c>
    </row>
    <row r="213" spans="1:16" x14ac:dyDescent="0.25">
      <c r="A213" s="16" t="s">
        <v>17518</v>
      </c>
      <c r="B213" s="17">
        <v>14185593</v>
      </c>
      <c r="C213" s="17">
        <v>14185592</v>
      </c>
      <c r="D213" s="17" t="s">
        <v>17388</v>
      </c>
      <c r="E213" s="17" t="s">
        <v>13155</v>
      </c>
      <c r="F213" s="17" t="s">
        <v>16866</v>
      </c>
      <c r="G213" s="20" t="s">
        <v>4187</v>
      </c>
      <c r="H213" s="20" t="s">
        <v>17519</v>
      </c>
      <c r="I213" s="17" t="s">
        <v>88</v>
      </c>
      <c r="J213" s="17">
        <v>1</v>
      </c>
      <c r="K213" s="17">
        <v>2</v>
      </c>
      <c r="L213" s="17" t="s">
        <v>17520</v>
      </c>
      <c r="M213" s="17" t="s">
        <v>699</v>
      </c>
      <c r="N213" s="17" t="s">
        <v>507</v>
      </c>
      <c r="O213" s="17" t="s">
        <v>17521</v>
      </c>
      <c r="P213" s="17" t="str">
        <f>HYPERLINK("https://dexscreener.com/solana/8CjkB5iAPiU3Doq4gaFHtBeYA5anec8rdVSFwNd622u", "View")</f>
        <v>View</v>
      </c>
    </row>
    <row r="214" spans="1:16" x14ac:dyDescent="0.25">
      <c r="A214" s="13" t="s">
        <v>17522</v>
      </c>
      <c r="B214" s="14">
        <v>407149</v>
      </c>
      <c r="C214" s="14">
        <v>407149</v>
      </c>
      <c r="D214" s="14" t="s">
        <v>16054</v>
      </c>
      <c r="E214" s="14" t="s">
        <v>4665</v>
      </c>
      <c r="F214" s="14" t="s">
        <v>8822</v>
      </c>
      <c r="G214" s="21" t="s">
        <v>4108</v>
      </c>
      <c r="H214" s="21" t="s">
        <v>17523</v>
      </c>
      <c r="I214" s="14" t="s">
        <v>88</v>
      </c>
      <c r="J214" s="14">
        <v>1</v>
      </c>
      <c r="K214" s="14">
        <v>3</v>
      </c>
      <c r="L214" s="14" t="s">
        <v>17524</v>
      </c>
      <c r="M214" s="14" t="s">
        <v>179</v>
      </c>
      <c r="N214" s="14" t="s">
        <v>17525</v>
      </c>
      <c r="O214" s="14" t="s">
        <v>17526</v>
      </c>
      <c r="P214" s="14" t="str">
        <f>HYPERLINK("https://dexscreener.com/solana/ECLg1WNdaFCKZggU9rd72mCpH2D6iZjnYiewKYREpump", "View")</f>
        <v>View</v>
      </c>
    </row>
    <row r="215" spans="1:16" x14ac:dyDescent="0.25">
      <c r="A215" s="16" t="s">
        <v>17527</v>
      </c>
      <c r="B215" s="17">
        <v>336450</v>
      </c>
      <c r="C215" s="17">
        <v>0</v>
      </c>
      <c r="D215" s="17" t="s">
        <v>4738</v>
      </c>
      <c r="E215" s="17" t="s">
        <v>3765</v>
      </c>
      <c r="F215" s="17" t="s">
        <v>96</v>
      </c>
      <c r="G215" s="18" t="s">
        <v>4880</v>
      </c>
      <c r="H215" s="18" t="s">
        <v>98</v>
      </c>
      <c r="I215" s="17" t="s">
        <v>17528</v>
      </c>
      <c r="J215" s="17">
        <v>1</v>
      </c>
      <c r="K215" s="17">
        <v>0</v>
      </c>
      <c r="L215" s="17" t="s">
        <v>17529</v>
      </c>
      <c r="M215" s="19" t="s">
        <v>101</v>
      </c>
      <c r="N215" s="17" t="s">
        <v>507</v>
      </c>
      <c r="O215" s="17" t="s">
        <v>17530</v>
      </c>
      <c r="P215" s="17" t="str">
        <f>HYPERLINK("https://dexscreener.com/solana/6LdXqDYGdsiimTJGZe4JkGnxHgABK5mSwKtGFoYeiinL", "View")</f>
        <v>View</v>
      </c>
    </row>
    <row r="216" spans="1:16" x14ac:dyDescent="0.25">
      <c r="A216" s="13" t="s">
        <v>17531</v>
      </c>
      <c r="B216" s="14">
        <v>43603</v>
      </c>
      <c r="C216" s="14">
        <v>43603</v>
      </c>
      <c r="D216" s="14" t="s">
        <v>17532</v>
      </c>
      <c r="E216" s="14" t="s">
        <v>5573</v>
      </c>
      <c r="F216" s="14" t="s">
        <v>2904</v>
      </c>
      <c r="G216" s="20" t="s">
        <v>2590</v>
      </c>
      <c r="H216" s="20" t="s">
        <v>17533</v>
      </c>
      <c r="I216" s="14" t="s">
        <v>88</v>
      </c>
      <c r="J216" s="14">
        <v>1</v>
      </c>
      <c r="K216" s="14">
        <v>2</v>
      </c>
      <c r="L216" s="14" t="s">
        <v>17534</v>
      </c>
      <c r="M216" s="14" t="s">
        <v>5501</v>
      </c>
      <c r="N216" s="14" t="s">
        <v>507</v>
      </c>
      <c r="O216" s="14" t="s">
        <v>17535</v>
      </c>
      <c r="P216" s="14" t="str">
        <f>HYPERLINK("https://dexscreener.com/solana/eJkyzsBy3kEaMtQa8mVet38ineeNSLXjeBeqtkBpump", "View")</f>
        <v>View</v>
      </c>
    </row>
    <row r="217" spans="1:16" x14ac:dyDescent="0.25">
      <c r="A217" s="16" t="s">
        <v>17488</v>
      </c>
      <c r="B217" s="17">
        <v>852</v>
      </c>
      <c r="C217" s="17">
        <v>0</v>
      </c>
      <c r="D217" s="17" t="s">
        <v>4347</v>
      </c>
      <c r="E217" s="17" t="s">
        <v>5573</v>
      </c>
      <c r="F217" s="17" t="s">
        <v>96</v>
      </c>
      <c r="G217" s="18" t="s">
        <v>16660</v>
      </c>
      <c r="H217" s="18" t="s">
        <v>98</v>
      </c>
      <c r="I217" s="17" t="s">
        <v>17536</v>
      </c>
      <c r="J217" s="17">
        <v>1</v>
      </c>
      <c r="K217" s="17">
        <v>0</v>
      </c>
      <c r="L217" s="17" t="s">
        <v>17537</v>
      </c>
      <c r="M217" s="19" t="s">
        <v>101</v>
      </c>
      <c r="N217" s="17" t="s">
        <v>507</v>
      </c>
      <c r="O217" s="17" t="s">
        <v>17538</v>
      </c>
      <c r="P217" s="17" t="str">
        <f>HYPERLINK("https://dexscreener.com/solana/AnBmZvwLYPYDVTEXtE5yAWrpz7HvkmxQ9UkdXePahAYi", "View")</f>
        <v>View</v>
      </c>
    </row>
    <row r="218" spans="1:16" x14ac:dyDescent="0.25">
      <c r="A218" s="13" t="s">
        <v>17539</v>
      </c>
      <c r="B218" s="14">
        <v>942914</v>
      </c>
      <c r="C218" s="14">
        <v>707186</v>
      </c>
      <c r="D218" s="14" t="s">
        <v>17332</v>
      </c>
      <c r="E218" s="14" t="s">
        <v>4665</v>
      </c>
      <c r="F218" s="14" t="s">
        <v>4042</v>
      </c>
      <c r="G218" s="21" t="s">
        <v>4817</v>
      </c>
      <c r="H218" s="21" t="s">
        <v>17540</v>
      </c>
      <c r="I218" s="14" t="s">
        <v>88</v>
      </c>
      <c r="J218" s="14">
        <v>1</v>
      </c>
      <c r="K218" s="14">
        <v>1</v>
      </c>
      <c r="L218" s="14" t="s">
        <v>17541</v>
      </c>
      <c r="M218" s="14" t="s">
        <v>1434</v>
      </c>
      <c r="N218" s="14" t="s">
        <v>17542</v>
      </c>
      <c r="O218" s="14" t="s">
        <v>17543</v>
      </c>
      <c r="P218" s="14" t="str">
        <f>HYPERLINK("https://dexscreener.com/solana/3JTHJ71PSfmEpUi7dG2swZDGC3B4jaVEmpnR2RgLpump", "View")</f>
        <v>View</v>
      </c>
    </row>
    <row r="219" spans="1:16" x14ac:dyDescent="0.25">
      <c r="A219" s="16" t="s">
        <v>17544</v>
      </c>
      <c r="B219" s="17">
        <v>726772</v>
      </c>
      <c r="C219" s="17">
        <v>363386</v>
      </c>
      <c r="D219" s="17" t="s">
        <v>17332</v>
      </c>
      <c r="E219" s="17" t="s">
        <v>4665</v>
      </c>
      <c r="F219" s="17" t="s">
        <v>4217</v>
      </c>
      <c r="G219" s="15" t="s">
        <v>17545</v>
      </c>
      <c r="H219" s="15" t="s">
        <v>5850</v>
      </c>
      <c r="I219" s="17" t="s">
        <v>88</v>
      </c>
      <c r="J219" s="17">
        <v>1</v>
      </c>
      <c r="K219" s="17">
        <v>1</v>
      </c>
      <c r="L219" s="17" t="s">
        <v>17546</v>
      </c>
      <c r="M219" s="17" t="s">
        <v>1566</v>
      </c>
      <c r="N219" s="17" t="s">
        <v>17547</v>
      </c>
      <c r="O219" s="17" t="s">
        <v>17548</v>
      </c>
      <c r="P219" s="17" t="str">
        <f>HYPERLINK("https://dexscreener.com/solana/BiqsWcELfueNeG3gMhUY5m229bHnyyPHaihSomUfpump", "View")</f>
        <v>View</v>
      </c>
    </row>
    <row r="220" spans="1:16" x14ac:dyDescent="0.25">
      <c r="A220" s="13" t="s">
        <v>17549</v>
      </c>
      <c r="B220" s="14">
        <v>463219</v>
      </c>
      <c r="C220" s="14">
        <v>0</v>
      </c>
      <c r="D220" s="14" t="s">
        <v>4738</v>
      </c>
      <c r="E220" s="14" t="s">
        <v>2369</v>
      </c>
      <c r="F220" s="14" t="s">
        <v>96</v>
      </c>
      <c r="G220" s="18" t="s">
        <v>7951</v>
      </c>
      <c r="H220" s="18" t="s">
        <v>98</v>
      </c>
      <c r="I220" s="14" t="s">
        <v>17550</v>
      </c>
      <c r="J220" s="14">
        <v>1</v>
      </c>
      <c r="K220" s="14">
        <v>0</v>
      </c>
      <c r="L220" s="14" t="s">
        <v>17551</v>
      </c>
      <c r="M220" s="19" t="s">
        <v>101</v>
      </c>
      <c r="N220" s="14" t="s">
        <v>507</v>
      </c>
      <c r="O220" s="14" t="s">
        <v>17552</v>
      </c>
      <c r="P220" s="14" t="str">
        <f>HYPERLINK("https://dexscreener.com/solana/5n8uF8TbWFixnujP9tXLScH8tgyqY1neoikeUHCipw1n", "View")</f>
        <v>View</v>
      </c>
    </row>
    <row r="221" spans="1:16" x14ac:dyDescent="0.25">
      <c r="A221" s="16" t="s">
        <v>17553</v>
      </c>
      <c r="B221" s="17">
        <v>833660</v>
      </c>
      <c r="C221" s="17">
        <v>416830</v>
      </c>
      <c r="D221" s="17" t="s">
        <v>17332</v>
      </c>
      <c r="E221" s="17" t="s">
        <v>5573</v>
      </c>
      <c r="F221" s="17" t="s">
        <v>11780</v>
      </c>
      <c r="G221" s="20" t="s">
        <v>5347</v>
      </c>
      <c r="H221" s="20" t="s">
        <v>17554</v>
      </c>
      <c r="I221" s="17" t="s">
        <v>88</v>
      </c>
      <c r="J221" s="17">
        <v>1</v>
      </c>
      <c r="K221" s="17">
        <v>1</v>
      </c>
      <c r="L221" s="17" t="s">
        <v>17555</v>
      </c>
      <c r="M221" s="17" t="s">
        <v>1957</v>
      </c>
      <c r="N221" s="17" t="s">
        <v>17556</v>
      </c>
      <c r="O221" s="17" t="s">
        <v>17557</v>
      </c>
      <c r="P221" s="17" t="str">
        <f>HYPERLINK("https://dexscreener.com/solana/3c9YX7TNSKTkUafvmeJE37jHe9WRbofHM6ggtYWmpump", "View")</f>
        <v>View</v>
      </c>
    </row>
    <row r="222" spans="1:16" x14ac:dyDescent="0.25">
      <c r="A222" s="13" t="s">
        <v>17558</v>
      </c>
      <c r="B222" s="14">
        <v>26035</v>
      </c>
      <c r="C222" s="14">
        <v>13017</v>
      </c>
      <c r="D222" s="14" t="s">
        <v>17332</v>
      </c>
      <c r="E222" s="14" t="s">
        <v>4665</v>
      </c>
      <c r="F222" s="14" t="s">
        <v>5904</v>
      </c>
      <c r="G222" s="21" t="s">
        <v>2581</v>
      </c>
      <c r="H222" s="21" t="s">
        <v>17559</v>
      </c>
      <c r="I222" s="14" t="s">
        <v>88</v>
      </c>
      <c r="J222" s="14">
        <v>1</v>
      </c>
      <c r="K222" s="14">
        <v>1</v>
      </c>
      <c r="L222" s="14" t="s">
        <v>17560</v>
      </c>
      <c r="M222" s="14" t="s">
        <v>414</v>
      </c>
      <c r="N222" s="14" t="s">
        <v>17561</v>
      </c>
      <c r="O222" s="14" t="s">
        <v>17562</v>
      </c>
      <c r="P222" s="14" t="str">
        <f>HYPERLINK("https://dexscreener.com/solana/AKZWqPjXGEDVPcaWoDoLXysLvuURPj9ZprTBX3GYpump", "View")</f>
        <v>View</v>
      </c>
    </row>
    <row r="223" spans="1:16" x14ac:dyDescent="0.25">
      <c r="A223" s="16" t="s">
        <v>17563</v>
      </c>
      <c r="B223" s="17">
        <v>1648179</v>
      </c>
      <c r="C223" s="17">
        <v>0</v>
      </c>
      <c r="D223" s="17" t="s">
        <v>17564</v>
      </c>
      <c r="E223" s="17" t="s">
        <v>17565</v>
      </c>
      <c r="F223" s="17" t="s">
        <v>96</v>
      </c>
      <c r="G223" s="18" t="s">
        <v>17566</v>
      </c>
      <c r="H223" s="18" t="s">
        <v>98</v>
      </c>
      <c r="I223" s="17" t="s">
        <v>17567</v>
      </c>
      <c r="J223" s="17">
        <v>4</v>
      </c>
      <c r="K223" s="17">
        <v>0</v>
      </c>
      <c r="L223" s="17" t="s">
        <v>17568</v>
      </c>
      <c r="M223" s="17" t="s">
        <v>117</v>
      </c>
      <c r="N223" s="17" t="s">
        <v>17569</v>
      </c>
      <c r="O223" s="17" t="s">
        <v>17570</v>
      </c>
      <c r="P223" s="17" t="str">
        <f>HYPERLINK("https://dexscreener.com/solana/B23WJHeWarjCFKcKSJtinashJMLHGssQmau2xjHmcZTA", "View")</f>
        <v>View</v>
      </c>
    </row>
    <row r="224" spans="1:16" x14ac:dyDescent="0.25">
      <c r="A224" s="13" t="s">
        <v>17571</v>
      </c>
      <c r="B224" s="14">
        <v>25230</v>
      </c>
      <c r="C224" s="14">
        <v>25230</v>
      </c>
      <c r="D224" s="14" t="s">
        <v>832</v>
      </c>
      <c r="E224" s="14" t="s">
        <v>5345</v>
      </c>
      <c r="F224" s="14" t="s">
        <v>96</v>
      </c>
      <c r="G224" s="15" t="s">
        <v>5370</v>
      </c>
      <c r="H224" s="15" t="s">
        <v>15963</v>
      </c>
      <c r="I224" s="14" t="s">
        <v>88</v>
      </c>
      <c r="J224" s="14">
        <v>1</v>
      </c>
      <c r="K224" s="14">
        <v>1</v>
      </c>
      <c r="L224" s="14" t="s">
        <v>17572</v>
      </c>
      <c r="M224" s="14" t="s">
        <v>2047</v>
      </c>
      <c r="N224" s="14" t="s">
        <v>507</v>
      </c>
      <c r="O224" s="14" t="s">
        <v>17573</v>
      </c>
      <c r="P224" s="14" t="str">
        <f>HYPERLINK("https://dexscreener.com/solana/3TogCRqPWgMaiAkz5dtiijg4q56qQZ3vWCQTEpFDpump", "View")</f>
        <v>View</v>
      </c>
    </row>
    <row r="225" spans="1:16" x14ac:dyDescent="0.25">
      <c r="A225" s="16" t="s">
        <v>17574</v>
      </c>
      <c r="B225" s="17">
        <v>267661</v>
      </c>
      <c r="C225" s="17">
        <v>267661</v>
      </c>
      <c r="D225" s="17" t="s">
        <v>17090</v>
      </c>
      <c r="E225" s="17" t="s">
        <v>4396</v>
      </c>
      <c r="F225" s="17" t="s">
        <v>3993</v>
      </c>
      <c r="G225" s="22" t="s">
        <v>6137</v>
      </c>
      <c r="H225" s="22" t="s">
        <v>17575</v>
      </c>
      <c r="I225" s="17" t="s">
        <v>88</v>
      </c>
      <c r="J225" s="17">
        <v>1</v>
      </c>
      <c r="K225" s="17">
        <v>2</v>
      </c>
      <c r="L225" s="17" t="s">
        <v>17576</v>
      </c>
      <c r="M225" s="17" t="s">
        <v>179</v>
      </c>
      <c r="N225" s="17" t="s">
        <v>17577</v>
      </c>
      <c r="O225" s="17" t="s">
        <v>17578</v>
      </c>
      <c r="P225" s="17" t="str">
        <f>HYPERLINK("https://dexscreener.com/solana/9D88kY6JjhuVLCYbqJge69dRk4KDU8yhbsAGpXKgpump", "View")</f>
        <v>View</v>
      </c>
    </row>
    <row r="226" spans="1:16" x14ac:dyDescent="0.25">
      <c r="A226" s="13" t="s">
        <v>17579</v>
      </c>
      <c r="B226" s="14">
        <v>1899748</v>
      </c>
      <c r="C226" s="14">
        <v>1899748</v>
      </c>
      <c r="D226" s="14" t="s">
        <v>17580</v>
      </c>
      <c r="E226" s="14" t="s">
        <v>1549</v>
      </c>
      <c r="F226" s="14" t="s">
        <v>12098</v>
      </c>
      <c r="G226" s="15" t="s">
        <v>17581</v>
      </c>
      <c r="H226" s="15" t="s">
        <v>17582</v>
      </c>
      <c r="I226" s="14" t="s">
        <v>88</v>
      </c>
      <c r="J226" s="14">
        <v>2</v>
      </c>
      <c r="K226" s="14">
        <v>2</v>
      </c>
      <c r="L226" s="14" t="s">
        <v>17583</v>
      </c>
      <c r="M226" s="14" t="s">
        <v>9534</v>
      </c>
      <c r="N226" s="14" t="s">
        <v>17584</v>
      </c>
      <c r="O226" s="14" t="s">
        <v>17585</v>
      </c>
      <c r="P226" s="14" t="str">
        <f>HYPERLINK("https://dexscreener.com/solana/7WdDyHa7GDuAvYZAGFGEbDoBUka1S8YvbPgTW2WPpump", "View")</f>
        <v>View</v>
      </c>
    </row>
    <row r="227" spans="1:16" x14ac:dyDescent="0.25">
      <c r="A227" s="16" t="s">
        <v>6086</v>
      </c>
      <c r="B227" s="17">
        <v>1518529</v>
      </c>
      <c r="C227" s="17">
        <v>1492529</v>
      </c>
      <c r="D227" s="17" t="s">
        <v>17586</v>
      </c>
      <c r="E227" s="17" t="s">
        <v>5600</v>
      </c>
      <c r="F227" s="17" t="s">
        <v>17587</v>
      </c>
      <c r="G227" s="21" t="s">
        <v>17588</v>
      </c>
      <c r="H227" s="21" t="s">
        <v>17589</v>
      </c>
      <c r="I227" s="17" t="s">
        <v>88</v>
      </c>
      <c r="J227" s="17">
        <v>4</v>
      </c>
      <c r="K227" s="17">
        <v>7</v>
      </c>
      <c r="L227" s="17" t="s">
        <v>17590</v>
      </c>
      <c r="M227" s="17" t="s">
        <v>699</v>
      </c>
      <c r="N227" s="17" t="s">
        <v>17591</v>
      </c>
      <c r="O227" s="17" t="s">
        <v>6091</v>
      </c>
      <c r="P227" s="17" t="str">
        <f>HYPERLINK("https://dexscreener.com/solana/J8xQyfH2pG7jQod18a1KsAqXGmBWtn3VmGMEuGqCpump", "View")</f>
        <v>View</v>
      </c>
    </row>
    <row r="228" spans="1:16" x14ac:dyDescent="0.25">
      <c r="A228" s="13" t="s">
        <v>17592</v>
      </c>
      <c r="B228" s="14">
        <v>568778</v>
      </c>
      <c r="C228" s="14">
        <v>530778</v>
      </c>
      <c r="D228" s="14" t="s">
        <v>7708</v>
      </c>
      <c r="E228" s="14" t="s">
        <v>4679</v>
      </c>
      <c r="F228" s="14" t="s">
        <v>14074</v>
      </c>
      <c r="G228" s="21" t="s">
        <v>3978</v>
      </c>
      <c r="H228" s="21" t="s">
        <v>17593</v>
      </c>
      <c r="I228" s="14" t="s">
        <v>88</v>
      </c>
      <c r="J228" s="14">
        <v>1</v>
      </c>
      <c r="K228" s="14">
        <v>3</v>
      </c>
      <c r="L228" s="14" t="s">
        <v>17594</v>
      </c>
      <c r="M228" s="14" t="s">
        <v>356</v>
      </c>
      <c r="N228" s="14" t="s">
        <v>17595</v>
      </c>
      <c r="O228" s="14" t="s">
        <v>17596</v>
      </c>
      <c r="P228" s="14" t="str">
        <f>HYPERLINK("https://dexscreener.com/solana/5mXAnC2LWxvNF6und1Mokrv4WnPDP9uxzRsyWATYpump", "View")</f>
        <v>View</v>
      </c>
    </row>
    <row r="229" spans="1:16" x14ac:dyDescent="0.25">
      <c r="A229" s="16" t="s">
        <v>17597</v>
      </c>
      <c r="B229" s="17">
        <v>129</v>
      </c>
      <c r="C229" s="17">
        <v>0</v>
      </c>
      <c r="D229" s="17" t="s">
        <v>4347</v>
      </c>
      <c r="E229" s="17" t="s">
        <v>3773</v>
      </c>
      <c r="F229" s="17" t="s">
        <v>96</v>
      </c>
      <c r="G229" s="18" t="s">
        <v>5347</v>
      </c>
      <c r="H229" s="18" t="s">
        <v>98</v>
      </c>
      <c r="I229" s="17" t="s">
        <v>17598</v>
      </c>
      <c r="J229" s="17">
        <v>1</v>
      </c>
      <c r="K229" s="17">
        <v>0</v>
      </c>
      <c r="L229" s="17" t="s">
        <v>17599</v>
      </c>
      <c r="M229" s="19" t="s">
        <v>101</v>
      </c>
      <c r="N229" s="17" t="s">
        <v>507</v>
      </c>
      <c r="O229" s="17" t="s">
        <v>17600</v>
      </c>
      <c r="P229" s="17" t="str">
        <f>HYPERLINK("https://dexscreener.com/solana/ALdBePTBDqirDSUdpDHrSf7To2GKQxtaTZvrbFVNpump", "View")</f>
        <v>View</v>
      </c>
    </row>
    <row r="230" spans="1:16" x14ac:dyDescent="0.25">
      <c r="A230" s="13" t="s">
        <v>17601</v>
      </c>
      <c r="B230" s="14">
        <v>408717</v>
      </c>
      <c r="C230" s="14">
        <v>0</v>
      </c>
      <c r="D230" s="14" t="s">
        <v>4347</v>
      </c>
      <c r="E230" s="14" t="s">
        <v>4665</v>
      </c>
      <c r="F230" s="14" t="s">
        <v>96</v>
      </c>
      <c r="G230" s="18" t="s">
        <v>4929</v>
      </c>
      <c r="H230" s="18" t="s">
        <v>98</v>
      </c>
      <c r="I230" s="14" t="s">
        <v>17602</v>
      </c>
      <c r="J230" s="14">
        <v>1</v>
      </c>
      <c r="K230" s="14">
        <v>0</v>
      </c>
      <c r="L230" s="14" t="s">
        <v>17603</v>
      </c>
      <c r="M230" s="19" t="s">
        <v>101</v>
      </c>
      <c r="N230" s="14" t="s">
        <v>17604</v>
      </c>
      <c r="O230" s="14" t="s">
        <v>17605</v>
      </c>
      <c r="P230" s="14" t="str">
        <f>HYPERLINK("https://dexscreener.com/solana/8HHhDJmRKQ4o3evMvq5KU9sXiQ88pzXR7x8ngnNipump", "View")</f>
        <v>View</v>
      </c>
    </row>
    <row r="231" spans="1:16" x14ac:dyDescent="0.25">
      <c r="A231" s="16" t="s">
        <v>17606</v>
      </c>
      <c r="B231" s="17">
        <v>56229</v>
      </c>
      <c r="C231" s="17">
        <v>42172</v>
      </c>
      <c r="D231" s="17" t="s">
        <v>17332</v>
      </c>
      <c r="E231" s="17" t="s">
        <v>5345</v>
      </c>
      <c r="F231" s="17" t="s">
        <v>3439</v>
      </c>
      <c r="G231" s="20" t="s">
        <v>1523</v>
      </c>
      <c r="H231" s="20" t="s">
        <v>17607</v>
      </c>
      <c r="I231" s="17" t="s">
        <v>88</v>
      </c>
      <c r="J231" s="17">
        <v>1</v>
      </c>
      <c r="K231" s="17">
        <v>1</v>
      </c>
      <c r="L231" s="17" t="s">
        <v>17608</v>
      </c>
      <c r="M231" s="17" t="s">
        <v>937</v>
      </c>
      <c r="N231" s="17" t="s">
        <v>507</v>
      </c>
      <c r="O231" s="17" t="s">
        <v>17609</v>
      </c>
      <c r="P231" s="17" t="str">
        <f>HYPERLINK("https://dexscreener.com/solana/31LtsBgr4U11vEtgGYa2RTd8xTZ1iYEbiUMuNVpSAaNa", "View")</f>
        <v>View</v>
      </c>
    </row>
    <row r="232" spans="1:16" x14ac:dyDescent="0.25">
      <c r="A232" s="13" t="s">
        <v>10994</v>
      </c>
      <c r="B232" s="14">
        <v>241113</v>
      </c>
      <c r="C232" s="14">
        <v>221113</v>
      </c>
      <c r="D232" s="14" t="s">
        <v>15717</v>
      </c>
      <c r="E232" s="14" t="s">
        <v>17610</v>
      </c>
      <c r="F232" s="14" t="s">
        <v>17611</v>
      </c>
      <c r="G232" s="21" t="s">
        <v>2235</v>
      </c>
      <c r="H232" s="21" t="s">
        <v>17612</v>
      </c>
      <c r="I232" s="14" t="s">
        <v>88</v>
      </c>
      <c r="J232" s="14">
        <v>1</v>
      </c>
      <c r="K232" s="14">
        <v>3</v>
      </c>
      <c r="L232" s="14" t="s">
        <v>17613</v>
      </c>
      <c r="M232" s="14" t="s">
        <v>9948</v>
      </c>
      <c r="N232" s="14" t="s">
        <v>17614</v>
      </c>
      <c r="O232" s="14" t="s">
        <v>11002</v>
      </c>
      <c r="P232" s="14" t="str">
        <f>HYPERLINK("https://dexscreener.com/solana/FfCht1iLfyWC8hcQDG4oZ8wp9uKshRJkzjWxn2kKocnH", "View")</f>
        <v>View</v>
      </c>
    </row>
    <row r="233" spans="1:16" x14ac:dyDescent="0.25">
      <c r="A233" s="16" t="s">
        <v>17615</v>
      </c>
      <c r="B233" s="17">
        <v>2936</v>
      </c>
      <c r="C233" s="17">
        <v>2936</v>
      </c>
      <c r="D233" s="17" t="s">
        <v>832</v>
      </c>
      <c r="E233" s="17" t="s">
        <v>2554</v>
      </c>
      <c r="F233" s="17" t="s">
        <v>96</v>
      </c>
      <c r="G233" s="15" t="s">
        <v>5305</v>
      </c>
      <c r="H233" s="15" t="s">
        <v>17616</v>
      </c>
      <c r="I233" s="17" t="s">
        <v>88</v>
      </c>
      <c r="J233" s="17">
        <v>1</v>
      </c>
      <c r="K233" s="17">
        <v>1</v>
      </c>
      <c r="L233" s="17" t="s">
        <v>17617</v>
      </c>
      <c r="M233" s="17" t="s">
        <v>3136</v>
      </c>
      <c r="N233" s="17" t="s">
        <v>507</v>
      </c>
      <c r="O233" s="17" t="s">
        <v>17618</v>
      </c>
      <c r="P233" s="17" t="str">
        <f>HYPERLINK("https://dexscreener.com/solana/gVLTYV6daXxympqxm3fPzFdc6dHFX67HsyxDUAhc92W", "View")</f>
        <v>View</v>
      </c>
    </row>
    <row r="234" spans="1:16" x14ac:dyDescent="0.25">
      <c r="A234" s="13" t="s">
        <v>17619</v>
      </c>
      <c r="B234" s="14">
        <v>17944</v>
      </c>
      <c r="C234" s="14">
        <v>17944</v>
      </c>
      <c r="D234" s="14" t="s">
        <v>832</v>
      </c>
      <c r="E234" s="14" t="s">
        <v>5098</v>
      </c>
      <c r="F234" s="14" t="s">
        <v>96</v>
      </c>
      <c r="G234" s="15" t="s">
        <v>17051</v>
      </c>
      <c r="H234" s="15" t="s">
        <v>15963</v>
      </c>
      <c r="I234" s="14" t="s">
        <v>88</v>
      </c>
      <c r="J234" s="14">
        <v>1</v>
      </c>
      <c r="K234" s="14">
        <v>1</v>
      </c>
      <c r="L234" s="14" t="s">
        <v>17620</v>
      </c>
      <c r="M234" s="14" t="s">
        <v>253</v>
      </c>
      <c r="N234" s="14" t="s">
        <v>507</v>
      </c>
      <c r="O234" s="14" t="s">
        <v>17621</v>
      </c>
      <c r="P234" s="14" t="str">
        <f>HYPERLINK("https://dexscreener.com/solana/Bm6VfN44DtLUxpN5LGekZzHFQaZGEKmoDPMF6Lfxpump", "View")</f>
        <v>View</v>
      </c>
    </row>
    <row r="235" spans="1:16" x14ac:dyDescent="0.25">
      <c r="A235" s="16" t="s">
        <v>17622</v>
      </c>
      <c r="B235" s="17">
        <v>14201</v>
      </c>
      <c r="C235" s="17">
        <v>0</v>
      </c>
      <c r="D235" s="17" t="s">
        <v>4347</v>
      </c>
      <c r="E235" s="17" t="s">
        <v>5573</v>
      </c>
      <c r="F235" s="17" t="s">
        <v>96</v>
      </c>
      <c r="G235" s="18" t="s">
        <v>16660</v>
      </c>
      <c r="H235" s="18" t="s">
        <v>98</v>
      </c>
      <c r="I235" s="17" t="s">
        <v>17623</v>
      </c>
      <c r="J235" s="17">
        <v>1</v>
      </c>
      <c r="K235" s="17">
        <v>0</v>
      </c>
      <c r="L235" s="17" t="s">
        <v>17624</v>
      </c>
      <c r="M235" s="19" t="s">
        <v>101</v>
      </c>
      <c r="N235" s="17" t="s">
        <v>507</v>
      </c>
      <c r="O235" s="17" t="s">
        <v>17625</v>
      </c>
      <c r="P235" s="17" t="str">
        <f>HYPERLINK("https://dexscreener.com/solana/CgStHP82yTJwSpopnLsBgoT7PmocHPGNdAGJf6TPpump", "View")</f>
        <v>View</v>
      </c>
    </row>
    <row r="236" spans="1:16" x14ac:dyDescent="0.25">
      <c r="A236" s="13" t="s">
        <v>17626</v>
      </c>
      <c r="B236" s="14">
        <v>238</v>
      </c>
      <c r="C236" s="14">
        <v>208</v>
      </c>
      <c r="D236" s="14" t="s">
        <v>17090</v>
      </c>
      <c r="E236" s="14" t="s">
        <v>5573</v>
      </c>
      <c r="F236" s="14" t="s">
        <v>3060</v>
      </c>
      <c r="G236" s="22" t="s">
        <v>17627</v>
      </c>
      <c r="H236" s="22" t="s">
        <v>17628</v>
      </c>
      <c r="I236" s="14" t="s">
        <v>88</v>
      </c>
      <c r="J236" s="14">
        <v>1</v>
      </c>
      <c r="K236" s="14">
        <v>2</v>
      </c>
      <c r="L236" s="14" t="s">
        <v>17629</v>
      </c>
      <c r="M236" s="14" t="s">
        <v>2403</v>
      </c>
      <c r="N236" s="14" t="s">
        <v>507</v>
      </c>
      <c r="O236" s="14" t="s">
        <v>17630</v>
      </c>
      <c r="P236" s="14" t="str">
        <f>HYPERLINK("https://dexscreener.com/solana/C2AwapNeunSpHniYAv9RFUJzdz1NA6WxCe1B8jrHpump", "View")</f>
        <v>View</v>
      </c>
    </row>
    <row r="237" spans="1:16" x14ac:dyDescent="0.25">
      <c r="A237" s="16" t="s">
        <v>17631</v>
      </c>
      <c r="B237" s="17">
        <v>465906</v>
      </c>
      <c r="C237" s="17">
        <v>0</v>
      </c>
      <c r="D237" s="17" t="s">
        <v>4347</v>
      </c>
      <c r="E237" s="17" t="s">
        <v>5573</v>
      </c>
      <c r="F237" s="17" t="s">
        <v>96</v>
      </c>
      <c r="G237" s="18" t="s">
        <v>16660</v>
      </c>
      <c r="H237" s="18" t="s">
        <v>98</v>
      </c>
      <c r="I237" s="17" t="s">
        <v>17632</v>
      </c>
      <c r="J237" s="17">
        <v>1</v>
      </c>
      <c r="K237" s="17">
        <v>0</v>
      </c>
      <c r="L237" s="17" t="s">
        <v>17633</v>
      </c>
      <c r="M237" s="19" t="s">
        <v>101</v>
      </c>
      <c r="N237" s="17" t="s">
        <v>5273</v>
      </c>
      <c r="O237" s="17" t="s">
        <v>17634</v>
      </c>
      <c r="P237" s="17" t="str">
        <f>HYPERLINK("https://dexscreener.com/solana/7HVWK7Uc7pKkk3mUfpToJuw1VmzbEFwd6BmJ2u19pump", "View")</f>
        <v>View</v>
      </c>
    </row>
    <row r="238" spans="1:16" x14ac:dyDescent="0.25">
      <c r="A238" s="13" t="s">
        <v>17635</v>
      </c>
      <c r="B238" s="14">
        <v>1058</v>
      </c>
      <c r="C238" s="14">
        <v>0</v>
      </c>
      <c r="D238" s="14" t="s">
        <v>4347</v>
      </c>
      <c r="E238" s="14" t="s">
        <v>5573</v>
      </c>
      <c r="F238" s="14" t="s">
        <v>96</v>
      </c>
      <c r="G238" s="18" t="s">
        <v>16660</v>
      </c>
      <c r="H238" s="18" t="s">
        <v>98</v>
      </c>
      <c r="I238" s="14" t="s">
        <v>17636</v>
      </c>
      <c r="J238" s="14">
        <v>1</v>
      </c>
      <c r="K238" s="14">
        <v>0</v>
      </c>
      <c r="L238" s="14" t="s">
        <v>17637</v>
      </c>
      <c r="M238" s="19" t="s">
        <v>101</v>
      </c>
      <c r="N238" s="14" t="s">
        <v>507</v>
      </c>
      <c r="O238" s="14" t="s">
        <v>17638</v>
      </c>
      <c r="P238" s="14" t="str">
        <f>HYPERLINK("https://dexscreener.com/solana/6gXujiqdYfWuecCmFvdvAGhN9z5ctvTfpuobFVpQpump", "View")</f>
        <v>View</v>
      </c>
    </row>
    <row r="239" spans="1:16" x14ac:dyDescent="0.25">
      <c r="A239" s="16" t="s">
        <v>17639</v>
      </c>
      <c r="B239" s="17">
        <v>38089761901523</v>
      </c>
      <c r="C239" s="17">
        <v>19044880950762</v>
      </c>
      <c r="D239" s="17" t="s">
        <v>832</v>
      </c>
      <c r="E239" s="17" t="s">
        <v>5573</v>
      </c>
      <c r="F239" s="17" t="s">
        <v>11265</v>
      </c>
      <c r="G239" s="20" t="s">
        <v>3623</v>
      </c>
      <c r="H239" s="20" t="s">
        <v>17640</v>
      </c>
      <c r="I239" s="17" t="s">
        <v>88</v>
      </c>
      <c r="J239" s="17">
        <v>1</v>
      </c>
      <c r="K239" s="17">
        <v>1</v>
      </c>
      <c r="L239" s="17" t="s">
        <v>17641</v>
      </c>
      <c r="M239" s="17" t="s">
        <v>1986</v>
      </c>
      <c r="N239" s="17" t="s">
        <v>507</v>
      </c>
      <c r="O239" s="17" t="s">
        <v>17642</v>
      </c>
      <c r="P239" s="17" t="str">
        <f>HYPERLINK("https://dexscreener.com/solana/3MpnRuTcjsX72st7WsLghG4148ainjw3py6eD7hhB1rX", "View")</f>
        <v>View</v>
      </c>
    </row>
    <row r="240" spans="1:16" x14ac:dyDescent="0.25">
      <c r="A240" s="13" t="s">
        <v>17643</v>
      </c>
      <c r="B240" s="14">
        <v>379409</v>
      </c>
      <c r="C240" s="14">
        <v>0</v>
      </c>
      <c r="D240" s="14" t="s">
        <v>4347</v>
      </c>
      <c r="E240" s="14" t="s">
        <v>5573</v>
      </c>
      <c r="F240" s="14" t="s">
        <v>96</v>
      </c>
      <c r="G240" s="18" t="s">
        <v>16660</v>
      </c>
      <c r="H240" s="18" t="s">
        <v>98</v>
      </c>
      <c r="I240" s="14" t="s">
        <v>17644</v>
      </c>
      <c r="J240" s="14">
        <v>1</v>
      </c>
      <c r="K240" s="14">
        <v>0</v>
      </c>
      <c r="L240" s="14" t="s">
        <v>17645</v>
      </c>
      <c r="M240" s="19" t="s">
        <v>101</v>
      </c>
      <c r="N240" s="14" t="s">
        <v>4979</v>
      </c>
      <c r="O240" s="14" t="s">
        <v>17646</v>
      </c>
      <c r="P240" s="14" t="str">
        <f>HYPERLINK("https://dexscreener.com/solana/FMFVWPYAsaLZKKt7wYvNyMf1TjA1tN9dNkbD3xJpump", "View")</f>
        <v>View</v>
      </c>
    </row>
    <row r="241" spans="1:16" x14ac:dyDescent="0.25">
      <c r="A241" s="16" t="s">
        <v>17647</v>
      </c>
      <c r="B241" s="17">
        <v>1668</v>
      </c>
      <c r="C241" s="17">
        <v>0</v>
      </c>
      <c r="D241" s="17" t="s">
        <v>4347</v>
      </c>
      <c r="E241" s="17" t="s">
        <v>2200</v>
      </c>
      <c r="F241" s="17" t="s">
        <v>96</v>
      </c>
      <c r="G241" s="18" t="s">
        <v>16753</v>
      </c>
      <c r="H241" s="18" t="s">
        <v>98</v>
      </c>
      <c r="I241" s="17" t="s">
        <v>17648</v>
      </c>
      <c r="J241" s="17">
        <v>1</v>
      </c>
      <c r="K241" s="17">
        <v>0</v>
      </c>
      <c r="L241" s="17" t="s">
        <v>17649</v>
      </c>
      <c r="M241" s="19" t="s">
        <v>101</v>
      </c>
      <c r="N241" s="17" t="s">
        <v>507</v>
      </c>
      <c r="O241" s="17" t="s">
        <v>17650</v>
      </c>
      <c r="P241" s="17" t="str">
        <f>HYPERLINK("https://dexscreener.com/solana/FF46fRnwtNtncG8UJvjHPRdjfxYD5sgeGubmaUKb2Kie", "View")</f>
        <v>View</v>
      </c>
    </row>
    <row r="242" spans="1:16" x14ac:dyDescent="0.25">
      <c r="A242" s="13" t="s">
        <v>17651</v>
      </c>
      <c r="B242" s="14">
        <v>47416</v>
      </c>
      <c r="C242" s="14">
        <v>8172</v>
      </c>
      <c r="D242" s="14" t="s">
        <v>17652</v>
      </c>
      <c r="E242" s="14" t="s">
        <v>17653</v>
      </c>
      <c r="F242" s="14" t="s">
        <v>17654</v>
      </c>
      <c r="G242" s="20" t="s">
        <v>17655</v>
      </c>
      <c r="H242" s="20" t="s">
        <v>17656</v>
      </c>
      <c r="I242" s="14" t="s">
        <v>88</v>
      </c>
      <c r="J242" s="14">
        <v>3</v>
      </c>
      <c r="K242" s="14">
        <v>3</v>
      </c>
      <c r="L242" s="14" t="s">
        <v>17657</v>
      </c>
      <c r="M242" s="14" t="s">
        <v>179</v>
      </c>
      <c r="N242" s="14" t="s">
        <v>17658</v>
      </c>
      <c r="O242" s="14" t="s">
        <v>17659</v>
      </c>
      <c r="P242" s="14" t="str">
        <f>HYPERLINK("https://dexscreener.com/solana/6vVfbQVRSXcfyQamPqCzcqmA86vCzb2d7B7gmDDqpump", "View")</f>
        <v>View</v>
      </c>
    </row>
    <row r="243" spans="1:16" x14ac:dyDescent="0.25">
      <c r="A243" s="16" t="s">
        <v>17660</v>
      </c>
      <c r="B243" s="17">
        <v>74274</v>
      </c>
      <c r="C243" s="17">
        <v>74274</v>
      </c>
      <c r="D243" s="17" t="s">
        <v>17090</v>
      </c>
      <c r="E243" s="17" t="s">
        <v>4396</v>
      </c>
      <c r="F243" s="17" t="s">
        <v>3126</v>
      </c>
      <c r="G243" s="22" t="s">
        <v>4086</v>
      </c>
      <c r="H243" s="22" t="s">
        <v>17661</v>
      </c>
      <c r="I243" s="17" t="s">
        <v>88</v>
      </c>
      <c r="J243" s="17">
        <v>1</v>
      </c>
      <c r="K243" s="17">
        <v>2</v>
      </c>
      <c r="L243" s="17" t="s">
        <v>17662</v>
      </c>
      <c r="M243" s="17" t="s">
        <v>3136</v>
      </c>
      <c r="N243" s="17" t="s">
        <v>17663</v>
      </c>
      <c r="O243" s="17" t="s">
        <v>17664</v>
      </c>
      <c r="P243" s="17" t="str">
        <f>HYPERLINK("https://dexscreener.com/solana/7PFEAuN9Zdr3eTAHtzp8NVtNSQ6j92MRoB768rCNpump", "View")</f>
        <v>View</v>
      </c>
    </row>
    <row r="244" spans="1:16" x14ac:dyDescent="0.25">
      <c r="A244" s="13" t="s">
        <v>7531</v>
      </c>
      <c r="B244" s="14">
        <v>226614</v>
      </c>
      <c r="C244" s="14">
        <v>169960</v>
      </c>
      <c r="D244" s="14" t="s">
        <v>17090</v>
      </c>
      <c r="E244" s="14" t="s">
        <v>5573</v>
      </c>
      <c r="F244" s="14" t="s">
        <v>17665</v>
      </c>
      <c r="G244" s="21" t="s">
        <v>1845</v>
      </c>
      <c r="H244" s="21" t="s">
        <v>17666</v>
      </c>
      <c r="I244" s="14" t="s">
        <v>88</v>
      </c>
      <c r="J244" s="14">
        <v>1</v>
      </c>
      <c r="K244" s="14">
        <v>2</v>
      </c>
      <c r="L244" s="14" t="s">
        <v>17667</v>
      </c>
      <c r="M244" s="14" t="s">
        <v>132</v>
      </c>
      <c r="N244" s="14" t="s">
        <v>17668</v>
      </c>
      <c r="O244" s="14" t="s">
        <v>17669</v>
      </c>
      <c r="P244" s="14" t="str">
        <f>HYPERLINK("https://dexscreener.com/solana/APXEzWaC12YAejZr1v4sBhTcJMosGSA6oV5aTn9Jpump", "View")</f>
        <v>View</v>
      </c>
    </row>
    <row r="245" spans="1:16" x14ac:dyDescent="0.25">
      <c r="A245" s="16" t="s">
        <v>17484</v>
      </c>
      <c r="B245" s="17">
        <v>59613</v>
      </c>
      <c r="C245" s="17">
        <v>0</v>
      </c>
      <c r="D245" s="17" t="s">
        <v>4347</v>
      </c>
      <c r="E245" s="17" t="s">
        <v>4665</v>
      </c>
      <c r="F245" s="17" t="s">
        <v>96</v>
      </c>
      <c r="G245" s="18" t="s">
        <v>4929</v>
      </c>
      <c r="H245" s="18" t="s">
        <v>98</v>
      </c>
      <c r="I245" s="17" t="s">
        <v>17670</v>
      </c>
      <c r="J245" s="17">
        <v>1</v>
      </c>
      <c r="K245" s="17">
        <v>0</v>
      </c>
      <c r="L245" s="17" t="s">
        <v>17671</v>
      </c>
      <c r="M245" s="19" t="s">
        <v>101</v>
      </c>
      <c r="N245" s="17" t="s">
        <v>507</v>
      </c>
      <c r="O245" s="17" t="s">
        <v>17672</v>
      </c>
      <c r="P245" s="17" t="str">
        <f>HYPERLINK("https://dexscreener.com/solana/s1YsHmYaMB9WqLLbfFide13kwKFCNMyapaSMpnepump", "View")</f>
        <v>View</v>
      </c>
    </row>
    <row r="246" spans="1:16" x14ac:dyDescent="0.25">
      <c r="A246" s="13" t="s">
        <v>17673</v>
      </c>
      <c r="B246" s="14">
        <v>437703</v>
      </c>
      <c r="C246" s="14">
        <v>0</v>
      </c>
      <c r="D246" s="14" t="s">
        <v>4347</v>
      </c>
      <c r="E246" s="14" t="s">
        <v>4665</v>
      </c>
      <c r="F246" s="14" t="s">
        <v>96</v>
      </c>
      <c r="G246" s="18" t="s">
        <v>4929</v>
      </c>
      <c r="H246" s="18" t="s">
        <v>98</v>
      </c>
      <c r="I246" s="14" t="s">
        <v>17674</v>
      </c>
      <c r="J246" s="14">
        <v>1</v>
      </c>
      <c r="K246" s="14">
        <v>0</v>
      </c>
      <c r="L246" s="14" t="s">
        <v>17675</v>
      </c>
      <c r="M246" s="19" t="s">
        <v>101</v>
      </c>
      <c r="N246" s="14" t="s">
        <v>17676</v>
      </c>
      <c r="O246" s="14" t="s">
        <v>17677</v>
      </c>
      <c r="P246" s="14" t="str">
        <f>HYPERLINK("https://dexscreener.com/solana/6RVMpYRVtQdsGHZgRSq7kp2CWRWA62NfXEa8Drm9pump", "View")</f>
        <v>View</v>
      </c>
    </row>
    <row r="247" spans="1:16" x14ac:dyDescent="0.25">
      <c r="A247" s="16" t="s">
        <v>12145</v>
      </c>
      <c r="B247" s="17">
        <v>4660709201</v>
      </c>
      <c r="C247" s="17">
        <v>0</v>
      </c>
      <c r="D247" s="17" t="s">
        <v>913</v>
      </c>
      <c r="E247" s="17" t="s">
        <v>2554</v>
      </c>
      <c r="F247" s="17" t="s">
        <v>96</v>
      </c>
      <c r="G247" s="18" t="s">
        <v>4101</v>
      </c>
      <c r="H247" s="18" t="s">
        <v>98</v>
      </c>
      <c r="I247" s="17" t="s">
        <v>17678</v>
      </c>
      <c r="J247" s="17">
        <v>1</v>
      </c>
      <c r="K247" s="17">
        <v>0</v>
      </c>
      <c r="L247" s="17" t="s">
        <v>17679</v>
      </c>
      <c r="M247" s="19" t="s">
        <v>101</v>
      </c>
      <c r="N247" s="17" t="s">
        <v>507</v>
      </c>
      <c r="O247" s="17" t="s">
        <v>17680</v>
      </c>
      <c r="P247" s="17" t="str">
        <f>HYPERLINK("https://dexscreener.com/solana/CpaJQJEkYo81iih4ZLKyDAPEKdCPY6c4jor5KsQ6V9cn", "View")</f>
        <v>View</v>
      </c>
    </row>
    <row r="248" spans="1:16" x14ac:dyDescent="0.25">
      <c r="A248" s="13" t="s">
        <v>17681</v>
      </c>
      <c r="B248" s="14">
        <v>408067</v>
      </c>
      <c r="C248" s="14">
        <v>204034</v>
      </c>
      <c r="D248" s="14" t="s">
        <v>17682</v>
      </c>
      <c r="E248" s="14" t="s">
        <v>9395</v>
      </c>
      <c r="F248" s="14" t="s">
        <v>3645</v>
      </c>
      <c r="G248" s="20" t="s">
        <v>11304</v>
      </c>
      <c r="H248" s="20" t="s">
        <v>17683</v>
      </c>
      <c r="I248" s="14" t="s">
        <v>88</v>
      </c>
      <c r="J248" s="14">
        <v>1</v>
      </c>
      <c r="K248" s="14">
        <v>1</v>
      </c>
      <c r="L248" s="14" t="s">
        <v>17684</v>
      </c>
      <c r="M248" s="14" t="s">
        <v>1566</v>
      </c>
      <c r="N248" s="14" t="s">
        <v>17685</v>
      </c>
      <c r="O248" s="14" t="s">
        <v>17686</v>
      </c>
      <c r="P248" s="14" t="str">
        <f>HYPERLINK("https://dexscreener.com/solana/5QvHNdR5M1tUXJWc2uUUWEhLMXNGFrYD5ZFsVYdvnUm4", "View")</f>
        <v>View</v>
      </c>
    </row>
    <row r="249" spans="1:16" x14ac:dyDescent="0.25">
      <c r="A249" s="16" t="s">
        <v>17687</v>
      </c>
      <c r="B249" s="17">
        <v>6629411</v>
      </c>
      <c r="C249" s="17">
        <v>6629411</v>
      </c>
      <c r="D249" s="17" t="s">
        <v>17090</v>
      </c>
      <c r="E249" s="17" t="s">
        <v>4679</v>
      </c>
      <c r="F249" s="17" t="s">
        <v>16240</v>
      </c>
      <c r="G249" s="20" t="s">
        <v>13140</v>
      </c>
      <c r="H249" s="20" t="s">
        <v>17688</v>
      </c>
      <c r="I249" s="17" t="s">
        <v>88</v>
      </c>
      <c r="J249" s="17">
        <v>2</v>
      </c>
      <c r="K249" s="17">
        <v>1</v>
      </c>
      <c r="L249" s="17" t="s">
        <v>17689</v>
      </c>
      <c r="M249" s="17" t="s">
        <v>745</v>
      </c>
      <c r="N249" s="17" t="s">
        <v>17690</v>
      </c>
      <c r="O249" s="17" t="s">
        <v>17691</v>
      </c>
      <c r="P249" s="17" t="str">
        <f>HYPERLINK("https://dexscreener.com/solana/8qm33VtvhXmnGBa61CJmqxmgPPAdrMc95228Fgvrpump", "View")</f>
        <v>View</v>
      </c>
    </row>
    <row r="250" spans="1:16" x14ac:dyDescent="0.25">
      <c r="A250" s="13" t="s">
        <v>11036</v>
      </c>
      <c r="B250" s="14">
        <v>145830</v>
      </c>
      <c r="C250" s="14">
        <v>0</v>
      </c>
      <c r="D250" s="14" t="s">
        <v>4347</v>
      </c>
      <c r="E250" s="14" t="s">
        <v>5573</v>
      </c>
      <c r="F250" s="14" t="s">
        <v>96</v>
      </c>
      <c r="G250" s="18" t="s">
        <v>16660</v>
      </c>
      <c r="H250" s="18" t="s">
        <v>98</v>
      </c>
      <c r="I250" s="14" t="s">
        <v>17692</v>
      </c>
      <c r="J250" s="14">
        <v>1</v>
      </c>
      <c r="K250" s="14">
        <v>0</v>
      </c>
      <c r="L250" s="14" t="s">
        <v>17693</v>
      </c>
      <c r="M250" s="19" t="s">
        <v>101</v>
      </c>
      <c r="N250" s="14" t="s">
        <v>17694</v>
      </c>
      <c r="O250" s="14" t="s">
        <v>17695</v>
      </c>
      <c r="P250" s="14" t="str">
        <f>HYPERLINK("https://dexscreener.com/solana/8Pa281ygrppnAd3NGdJecGUva4WKPQ6QYgjW8hVRpump", "View")</f>
        <v>View</v>
      </c>
    </row>
    <row r="251" spans="1:16" x14ac:dyDescent="0.25">
      <c r="A251" s="16" t="s">
        <v>17696</v>
      </c>
      <c r="B251" s="17">
        <v>993250</v>
      </c>
      <c r="C251" s="17">
        <v>744938</v>
      </c>
      <c r="D251" s="17" t="s">
        <v>17332</v>
      </c>
      <c r="E251" s="17" t="s">
        <v>4396</v>
      </c>
      <c r="F251" s="17" t="s">
        <v>12743</v>
      </c>
      <c r="G251" s="20" t="s">
        <v>3388</v>
      </c>
      <c r="H251" s="20" t="s">
        <v>17697</v>
      </c>
      <c r="I251" s="17" t="s">
        <v>88</v>
      </c>
      <c r="J251" s="17">
        <v>1</v>
      </c>
      <c r="K251" s="17">
        <v>1</v>
      </c>
      <c r="L251" s="17" t="s">
        <v>17698</v>
      </c>
      <c r="M251" s="17" t="s">
        <v>1566</v>
      </c>
      <c r="N251" s="17" t="s">
        <v>507</v>
      </c>
      <c r="O251" s="17" t="s">
        <v>17699</v>
      </c>
      <c r="P251" s="17" t="str">
        <f>HYPERLINK("https://dexscreener.com/solana/5dkVqFj6bdGEqisDfz42czWqHowD25KC9ZuP99cMxY8H", "View")</f>
        <v>View</v>
      </c>
    </row>
    <row r="252" spans="1:16" x14ac:dyDescent="0.25">
      <c r="A252" s="13" t="s">
        <v>17700</v>
      </c>
      <c r="B252" s="14">
        <v>1463</v>
      </c>
      <c r="C252" s="14">
        <v>1372</v>
      </c>
      <c r="D252" s="14" t="s">
        <v>17090</v>
      </c>
      <c r="E252" s="14" t="s">
        <v>2200</v>
      </c>
      <c r="F252" s="14" t="s">
        <v>14473</v>
      </c>
      <c r="G252" s="21" t="s">
        <v>7742</v>
      </c>
      <c r="H252" s="21" t="s">
        <v>17701</v>
      </c>
      <c r="I252" s="14" t="s">
        <v>88</v>
      </c>
      <c r="J252" s="14">
        <v>1</v>
      </c>
      <c r="K252" s="14">
        <v>2</v>
      </c>
      <c r="L252" s="14" t="s">
        <v>17702</v>
      </c>
      <c r="M252" s="14" t="s">
        <v>3180</v>
      </c>
      <c r="N252" s="14" t="s">
        <v>507</v>
      </c>
      <c r="O252" s="14" t="s">
        <v>17703</v>
      </c>
      <c r="P252" s="14" t="str">
        <f>HYPERLINK("https://dexscreener.com/solana/4YWD14JtL35Po8AADwxyJgzPEVTxrYRFRSmmzabBaK3w", "View")</f>
        <v>View</v>
      </c>
    </row>
    <row r="253" spans="1:16" x14ac:dyDescent="0.25">
      <c r="A253" s="16" t="s">
        <v>17704</v>
      </c>
      <c r="B253" s="17">
        <v>32356</v>
      </c>
      <c r="C253" s="17">
        <v>24267</v>
      </c>
      <c r="D253" s="17" t="s">
        <v>17332</v>
      </c>
      <c r="E253" s="17" t="s">
        <v>5573</v>
      </c>
      <c r="F253" s="17" t="s">
        <v>11889</v>
      </c>
      <c r="G253" s="20" t="s">
        <v>3652</v>
      </c>
      <c r="H253" s="20" t="s">
        <v>17705</v>
      </c>
      <c r="I253" s="17" t="s">
        <v>88</v>
      </c>
      <c r="J253" s="17">
        <v>1</v>
      </c>
      <c r="K253" s="17">
        <v>1</v>
      </c>
      <c r="L253" s="17" t="s">
        <v>17706</v>
      </c>
      <c r="M253" s="17" t="s">
        <v>1957</v>
      </c>
      <c r="N253" s="17" t="s">
        <v>507</v>
      </c>
      <c r="O253" s="17" t="s">
        <v>17707</v>
      </c>
      <c r="P253" s="17" t="str">
        <f>HYPERLINK("https://dexscreener.com/solana/ADfJEv5ZMEHvoUJ5r2aCpRJFZiGrJBuBWd91MhSs3fhK", "View")</f>
        <v>View</v>
      </c>
    </row>
    <row r="254" spans="1:16" x14ac:dyDescent="0.25">
      <c r="A254" s="13" t="s">
        <v>17708</v>
      </c>
      <c r="B254" s="14">
        <v>24908043</v>
      </c>
      <c r="C254" s="14">
        <v>24908043</v>
      </c>
      <c r="D254" s="14" t="s">
        <v>832</v>
      </c>
      <c r="E254" s="14" t="s">
        <v>4396</v>
      </c>
      <c r="F254" s="14" t="s">
        <v>96</v>
      </c>
      <c r="G254" s="15" t="s">
        <v>15868</v>
      </c>
      <c r="H254" s="15" t="s">
        <v>22</v>
      </c>
      <c r="I254" s="14" t="s">
        <v>88</v>
      </c>
      <c r="J254" s="14">
        <v>1</v>
      </c>
      <c r="K254" s="14">
        <v>1</v>
      </c>
      <c r="L254" s="14" t="s">
        <v>17709</v>
      </c>
      <c r="M254" s="14" t="s">
        <v>117</v>
      </c>
      <c r="N254" s="14" t="s">
        <v>507</v>
      </c>
      <c r="O254" s="14" t="s">
        <v>17710</v>
      </c>
      <c r="P254" s="14" t="str">
        <f>HYPERLINK("https://dexscreener.com/solana/9jGDCkqp5GypieukZvnhbtZyRU6oyuPqeaetTNJkaFdn", "View")</f>
        <v>View</v>
      </c>
    </row>
    <row r="255" spans="1:16" x14ac:dyDescent="0.25">
      <c r="A255" s="16" t="s">
        <v>17711</v>
      </c>
      <c r="B255" s="17">
        <v>836731</v>
      </c>
      <c r="C255" s="17">
        <v>570731</v>
      </c>
      <c r="D255" s="17" t="s">
        <v>832</v>
      </c>
      <c r="E255" s="17" t="s">
        <v>5573</v>
      </c>
      <c r="F255" s="17" t="s">
        <v>2569</v>
      </c>
      <c r="G255" s="22" t="s">
        <v>5140</v>
      </c>
      <c r="H255" s="22" t="s">
        <v>17712</v>
      </c>
      <c r="I255" s="17" t="s">
        <v>88</v>
      </c>
      <c r="J255" s="17">
        <v>1</v>
      </c>
      <c r="K255" s="17">
        <v>1</v>
      </c>
      <c r="L255" s="17" t="s">
        <v>17713</v>
      </c>
      <c r="M255" s="17" t="s">
        <v>356</v>
      </c>
      <c r="N255" s="17" t="s">
        <v>17714</v>
      </c>
      <c r="O255" s="17" t="s">
        <v>17715</v>
      </c>
      <c r="P255" s="17" t="str">
        <f>HYPERLINK("https://dexscreener.com/solana/GU8QmVhkKoL7ATZvXycTsfma1a67g5AfxXF34Uatpump", "View")</f>
        <v>View</v>
      </c>
    </row>
    <row r="256" spans="1:16" x14ac:dyDescent="0.25">
      <c r="A256" s="13" t="s">
        <v>17716</v>
      </c>
      <c r="B256" s="14">
        <v>1994979</v>
      </c>
      <c r="C256" s="14">
        <v>1994979</v>
      </c>
      <c r="D256" s="14" t="s">
        <v>17532</v>
      </c>
      <c r="E256" s="14" t="s">
        <v>4396</v>
      </c>
      <c r="F256" s="14" t="s">
        <v>4108</v>
      </c>
      <c r="G256" s="22" t="s">
        <v>6156</v>
      </c>
      <c r="H256" s="22" t="s">
        <v>17717</v>
      </c>
      <c r="I256" s="14" t="s">
        <v>88</v>
      </c>
      <c r="J256" s="14">
        <v>1</v>
      </c>
      <c r="K256" s="14">
        <v>2</v>
      </c>
      <c r="L256" s="14" t="s">
        <v>17718</v>
      </c>
      <c r="M256" s="14" t="s">
        <v>179</v>
      </c>
      <c r="N256" s="14" t="s">
        <v>507</v>
      </c>
      <c r="O256" s="14" t="s">
        <v>17719</v>
      </c>
      <c r="P256" s="14" t="str">
        <f>HYPERLINK("https://dexscreener.com/solana/36veJrc8PLwcyrrYvhhqX31ecad828SuJqjY33ya4zf3", "View")</f>
        <v>View</v>
      </c>
    </row>
    <row r="257" spans="1:16" x14ac:dyDescent="0.25">
      <c r="A257" s="16" t="s">
        <v>17720</v>
      </c>
      <c r="B257" s="17">
        <v>7349</v>
      </c>
      <c r="C257" s="17">
        <v>0</v>
      </c>
      <c r="D257" s="17" t="s">
        <v>4347</v>
      </c>
      <c r="E257" s="17" t="s">
        <v>4396</v>
      </c>
      <c r="F257" s="17" t="s">
        <v>96</v>
      </c>
      <c r="G257" s="18" t="s">
        <v>4739</v>
      </c>
      <c r="H257" s="18" t="s">
        <v>98</v>
      </c>
      <c r="I257" s="17" t="s">
        <v>17721</v>
      </c>
      <c r="J257" s="17">
        <v>1</v>
      </c>
      <c r="K257" s="17">
        <v>0</v>
      </c>
      <c r="L257" s="17" t="s">
        <v>17722</v>
      </c>
      <c r="M257" s="19" t="s">
        <v>101</v>
      </c>
      <c r="N257" s="17" t="s">
        <v>507</v>
      </c>
      <c r="O257" s="17" t="s">
        <v>17723</v>
      </c>
      <c r="P257" s="17" t="str">
        <f>HYPERLINK("https://dexscreener.com/solana/Gg7rjb3ZKCiUu3kMcSRCzTATsADYA1nAja7cZZg6sYdX", "View")</f>
        <v>View</v>
      </c>
    </row>
    <row r="258" spans="1:16" x14ac:dyDescent="0.25">
      <c r="A258" s="13" t="s">
        <v>17724</v>
      </c>
      <c r="B258" s="14">
        <v>180516</v>
      </c>
      <c r="C258" s="14">
        <v>0</v>
      </c>
      <c r="D258" s="14" t="s">
        <v>4347</v>
      </c>
      <c r="E258" s="14" t="s">
        <v>4396</v>
      </c>
      <c r="F258" s="14" t="s">
        <v>96</v>
      </c>
      <c r="G258" s="18" t="s">
        <v>4739</v>
      </c>
      <c r="H258" s="18" t="s">
        <v>98</v>
      </c>
      <c r="I258" s="14" t="s">
        <v>17725</v>
      </c>
      <c r="J258" s="14">
        <v>1</v>
      </c>
      <c r="K258" s="14">
        <v>0</v>
      </c>
      <c r="L258" s="14" t="s">
        <v>17726</v>
      </c>
      <c r="M258" s="19" t="s">
        <v>101</v>
      </c>
      <c r="N258" s="14" t="s">
        <v>6245</v>
      </c>
      <c r="O258" s="14" t="s">
        <v>17727</v>
      </c>
      <c r="P258" s="14" t="str">
        <f>HYPERLINK("https://dexscreener.com/solana/3gax6jMdwWPya1ReRZGeCLZahZBVVcLqSyp5RapYpump", "View")</f>
        <v>View</v>
      </c>
    </row>
    <row r="259" spans="1:16" x14ac:dyDescent="0.25">
      <c r="A259" s="16" t="s">
        <v>12301</v>
      </c>
      <c r="B259" s="17">
        <v>383351</v>
      </c>
      <c r="C259" s="17">
        <v>0</v>
      </c>
      <c r="D259" s="17" t="s">
        <v>4347</v>
      </c>
      <c r="E259" s="17" t="s">
        <v>4396</v>
      </c>
      <c r="F259" s="17" t="s">
        <v>96</v>
      </c>
      <c r="G259" s="18" t="s">
        <v>4739</v>
      </c>
      <c r="H259" s="18" t="s">
        <v>98</v>
      </c>
      <c r="I259" s="17" t="s">
        <v>17728</v>
      </c>
      <c r="J259" s="17">
        <v>1</v>
      </c>
      <c r="K259" s="17">
        <v>0</v>
      </c>
      <c r="L259" s="17" t="s">
        <v>17729</v>
      </c>
      <c r="M259" s="19" t="s">
        <v>101</v>
      </c>
      <c r="N259" s="17" t="s">
        <v>4877</v>
      </c>
      <c r="O259" s="17" t="s">
        <v>17730</v>
      </c>
      <c r="P259" s="17" t="str">
        <f>HYPERLINK("https://dexscreener.com/solana/5Vz5YNiWkaczNDsQNLcrwrhBBfj7D7DHuRddyWZ9pump", "View")</f>
        <v>View</v>
      </c>
    </row>
    <row r="260" spans="1:16" x14ac:dyDescent="0.25">
      <c r="A260" s="13" t="s">
        <v>17731</v>
      </c>
      <c r="B260" s="14">
        <v>14179</v>
      </c>
      <c r="C260" s="14">
        <v>0</v>
      </c>
      <c r="D260" s="14" t="s">
        <v>4347</v>
      </c>
      <c r="E260" s="14" t="s">
        <v>4396</v>
      </c>
      <c r="F260" s="14" t="s">
        <v>96</v>
      </c>
      <c r="G260" s="18" t="s">
        <v>4739</v>
      </c>
      <c r="H260" s="18" t="s">
        <v>98</v>
      </c>
      <c r="I260" s="14" t="s">
        <v>17732</v>
      </c>
      <c r="J260" s="14">
        <v>1</v>
      </c>
      <c r="K260" s="14">
        <v>0</v>
      </c>
      <c r="L260" s="14" t="s">
        <v>17733</v>
      </c>
      <c r="M260" s="19" t="s">
        <v>101</v>
      </c>
      <c r="N260" s="14" t="s">
        <v>507</v>
      </c>
      <c r="O260" s="14" t="s">
        <v>17734</v>
      </c>
      <c r="P260" s="14" t="str">
        <f>HYPERLINK("https://dexscreener.com/solana/8K7YAPjJhwaSvUbDXqoUk6ywHqL8GVnMoEmB74jZpump", "View")</f>
        <v>View</v>
      </c>
    </row>
    <row r="261" spans="1:16" x14ac:dyDescent="0.25">
      <c r="A261" s="16" t="s">
        <v>17735</v>
      </c>
      <c r="B261" s="17">
        <v>115644</v>
      </c>
      <c r="C261" s="17">
        <v>0</v>
      </c>
      <c r="D261" s="17" t="s">
        <v>4347</v>
      </c>
      <c r="E261" s="17" t="s">
        <v>4396</v>
      </c>
      <c r="F261" s="17" t="s">
        <v>96</v>
      </c>
      <c r="G261" s="18" t="s">
        <v>4739</v>
      </c>
      <c r="H261" s="18" t="s">
        <v>98</v>
      </c>
      <c r="I261" s="17" t="s">
        <v>17736</v>
      </c>
      <c r="J261" s="17">
        <v>1</v>
      </c>
      <c r="K261" s="17">
        <v>0</v>
      </c>
      <c r="L261" s="17" t="s">
        <v>17737</v>
      </c>
      <c r="M261" s="19" t="s">
        <v>101</v>
      </c>
      <c r="N261" s="17" t="s">
        <v>11053</v>
      </c>
      <c r="O261" s="17" t="s">
        <v>17738</v>
      </c>
      <c r="P261" s="17" t="str">
        <f>HYPERLINK("https://dexscreener.com/solana/7fhdYnQZvymeeLtqwS5XhmSHXjGu3oVgXVJmSdD5vvhq", "View")</f>
        <v>View</v>
      </c>
    </row>
    <row r="262" spans="1:16" x14ac:dyDescent="0.25">
      <c r="A262" s="13" t="s">
        <v>17739</v>
      </c>
      <c r="B262" s="14">
        <v>382</v>
      </c>
      <c r="C262" s="14">
        <v>0</v>
      </c>
      <c r="D262" s="14" t="s">
        <v>4347</v>
      </c>
      <c r="E262" s="14" t="s">
        <v>4396</v>
      </c>
      <c r="F262" s="14" t="s">
        <v>96</v>
      </c>
      <c r="G262" s="18" t="s">
        <v>4739</v>
      </c>
      <c r="H262" s="18" t="s">
        <v>98</v>
      </c>
      <c r="I262" s="14" t="s">
        <v>17740</v>
      </c>
      <c r="J262" s="14">
        <v>1</v>
      </c>
      <c r="K262" s="14">
        <v>0</v>
      </c>
      <c r="L262" s="14" t="s">
        <v>17741</v>
      </c>
      <c r="M262" s="19" t="s">
        <v>101</v>
      </c>
      <c r="N262" s="14" t="s">
        <v>507</v>
      </c>
      <c r="O262" s="14" t="s">
        <v>17742</v>
      </c>
      <c r="P262" s="14" t="str">
        <f>HYPERLINK("https://dexscreener.com/solana/EscyQXJb8uNjF6pjFgurZcpH5djZ9g14xeWYkZdSqGd9", "View")</f>
        <v>View</v>
      </c>
    </row>
    <row r="263" spans="1:16" x14ac:dyDescent="0.25">
      <c r="A263" s="16" t="s">
        <v>11067</v>
      </c>
      <c r="B263" s="17">
        <v>58625</v>
      </c>
      <c r="C263" s="17">
        <v>0</v>
      </c>
      <c r="D263" s="17" t="s">
        <v>4347</v>
      </c>
      <c r="E263" s="17" t="s">
        <v>4665</v>
      </c>
      <c r="F263" s="17" t="s">
        <v>96</v>
      </c>
      <c r="G263" s="18" t="s">
        <v>4929</v>
      </c>
      <c r="H263" s="18" t="s">
        <v>98</v>
      </c>
      <c r="I263" s="17" t="s">
        <v>17743</v>
      </c>
      <c r="J263" s="17">
        <v>1</v>
      </c>
      <c r="K263" s="17">
        <v>0</v>
      </c>
      <c r="L263" s="17" t="s">
        <v>17744</v>
      </c>
      <c r="M263" s="19" t="s">
        <v>101</v>
      </c>
      <c r="N263" s="17" t="s">
        <v>507</v>
      </c>
      <c r="O263" s="17" t="s">
        <v>17745</v>
      </c>
      <c r="P263" s="17" t="str">
        <f>HYPERLINK("https://dexscreener.com/solana/xrxypnCvUytB6TxfQoth47AqEtFYVxRowhLBSk7pump", "View")</f>
        <v>View</v>
      </c>
    </row>
    <row r="264" spans="1:16" x14ac:dyDescent="0.25">
      <c r="A264" s="13" t="s">
        <v>17746</v>
      </c>
      <c r="B264" s="14">
        <v>1067403</v>
      </c>
      <c r="C264" s="14">
        <v>0</v>
      </c>
      <c r="D264" s="14" t="s">
        <v>4347</v>
      </c>
      <c r="E264" s="14" t="s">
        <v>4665</v>
      </c>
      <c r="F264" s="14" t="s">
        <v>96</v>
      </c>
      <c r="G264" s="18" t="s">
        <v>4929</v>
      </c>
      <c r="H264" s="18" t="s">
        <v>98</v>
      </c>
      <c r="I264" s="14" t="s">
        <v>17747</v>
      </c>
      <c r="J264" s="14">
        <v>1</v>
      </c>
      <c r="K264" s="14">
        <v>0</v>
      </c>
      <c r="L264" s="14" t="s">
        <v>17748</v>
      </c>
      <c r="M264" s="19" t="s">
        <v>101</v>
      </c>
      <c r="N264" s="14" t="s">
        <v>904</v>
      </c>
      <c r="O264" s="14" t="s">
        <v>17749</v>
      </c>
      <c r="P264" s="14" t="str">
        <f>HYPERLINK("https://dexscreener.com/solana/EupXP9QAfpoajRDTcW6TuvfXYT8UMxWwKjoxNMk5pump", "View")</f>
        <v>View</v>
      </c>
    </row>
    <row r="265" spans="1:16" x14ac:dyDescent="0.25">
      <c r="A265" s="16" t="s">
        <v>17750</v>
      </c>
      <c r="B265" s="17">
        <v>4710</v>
      </c>
      <c r="C265" s="17">
        <v>0</v>
      </c>
      <c r="D265" s="17" t="s">
        <v>4347</v>
      </c>
      <c r="E265" s="17" t="s">
        <v>4665</v>
      </c>
      <c r="F265" s="17" t="s">
        <v>96</v>
      </c>
      <c r="G265" s="18" t="s">
        <v>4929</v>
      </c>
      <c r="H265" s="18" t="s">
        <v>98</v>
      </c>
      <c r="I265" s="17" t="s">
        <v>17751</v>
      </c>
      <c r="J265" s="17">
        <v>1</v>
      </c>
      <c r="K265" s="17">
        <v>0</v>
      </c>
      <c r="L265" s="17" t="s">
        <v>17752</v>
      </c>
      <c r="M265" s="19" t="s">
        <v>101</v>
      </c>
      <c r="N265" s="17" t="s">
        <v>507</v>
      </c>
      <c r="O265" s="17" t="s">
        <v>17753</v>
      </c>
      <c r="P265" s="17" t="str">
        <f>HYPERLINK("https://dexscreener.com/solana/3EbJyCbVz4rSDwnnThrNdFbJbUbvhyZyij64TKoQ3sJQ", "View")</f>
        <v>View</v>
      </c>
    </row>
    <row r="266" spans="1:16" x14ac:dyDescent="0.25">
      <c r="A266" s="13" t="s">
        <v>17754</v>
      </c>
      <c r="B266" s="14">
        <v>5669</v>
      </c>
      <c r="C266" s="14">
        <v>0</v>
      </c>
      <c r="D266" s="14" t="s">
        <v>4347</v>
      </c>
      <c r="E266" s="14" t="s">
        <v>11780</v>
      </c>
      <c r="F266" s="14" t="s">
        <v>96</v>
      </c>
      <c r="G266" s="18" t="s">
        <v>4007</v>
      </c>
      <c r="H266" s="18" t="s">
        <v>98</v>
      </c>
      <c r="I266" s="14" t="s">
        <v>17755</v>
      </c>
      <c r="J266" s="14">
        <v>1</v>
      </c>
      <c r="K266" s="14">
        <v>0</v>
      </c>
      <c r="L266" s="14" t="s">
        <v>17756</v>
      </c>
      <c r="M266" s="19" t="s">
        <v>101</v>
      </c>
      <c r="N266" s="14" t="s">
        <v>17757</v>
      </c>
      <c r="O266" s="14" t="s">
        <v>17758</v>
      </c>
      <c r="P266" s="14" t="str">
        <f>HYPERLINK("https://dexscreener.com/solana/8apftsiLrdaQTjF2i7p31gxgpBFbW3Wzct4TBLHLpump", "View")</f>
        <v>View</v>
      </c>
    </row>
    <row r="267" spans="1:16" x14ac:dyDescent="0.25">
      <c r="A267" s="16" t="s">
        <v>17759</v>
      </c>
      <c r="B267" s="17">
        <v>679</v>
      </c>
      <c r="C267" s="17">
        <v>0</v>
      </c>
      <c r="D267" s="17" t="s">
        <v>4347</v>
      </c>
      <c r="E267" s="17" t="s">
        <v>5098</v>
      </c>
      <c r="F267" s="17" t="s">
        <v>96</v>
      </c>
      <c r="G267" s="18" t="s">
        <v>17051</v>
      </c>
      <c r="H267" s="18" t="s">
        <v>98</v>
      </c>
      <c r="I267" s="17" t="s">
        <v>17760</v>
      </c>
      <c r="J267" s="17">
        <v>1</v>
      </c>
      <c r="K267" s="17">
        <v>0</v>
      </c>
      <c r="L267" s="17" t="s">
        <v>17761</v>
      </c>
      <c r="M267" s="19" t="s">
        <v>101</v>
      </c>
      <c r="N267" s="17" t="s">
        <v>507</v>
      </c>
      <c r="O267" s="17" t="s">
        <v>17762</v>
      </c>
      <c r="P267" s="17" t="str">
        <f>HYPERLINK("https://dexscreener.com/solana/FmMevUz1pcWXxkvVQgVPCazu5s4E2yZYwmQvppfKpump", "View")</f>
        <v>View</v>
      </c>
    </row>
    <row r="268" spans="1:16" x14ac:dyDescent="0.25">
      <c r="A268" s="13" t="s">
        <v>4498</v>
      </c>
      <c r="B268" s="14">
        <v>650806</v>
      </c>
      <c r="C268" s="14">
        <v>0</v>
      </c>
      <c r="D268" s="14" t="s">
        <v>4738</v>
      </c>
      <c r="E268" s="14" t="s">
        <v>5460</v>
      </c>
      <c r="F268" s="14" t="s">
        <v>96</v>
      </c>
      <c r="G268" s="18" t="s">
        <v>3329</v>
      </c>
      <c r="H268" s="18" t="s">
        <v>98</v>
      </c>
      <c r="I268" s="14" t="s">
        <v>17763</v>
      </c>
      <c r="J268" s="14">
        <v>1</v>
      </c>
      <c r="K268" s="14">
        <v>0</v>
      </c>
      <c r="L268" s="14" t="s">
        <v>17764</v>
      </c>
      <c r="M268" s="19" t="s">
        <v>101</v>
      </c>
      <c r="N268" s="14" t="s">
        <v>507</v>
      </c>
      <c r="O268" s="14" t="s">
        <v>17765</v>
      </c>
      <c r="P268" s="14" t="str">
        <f>HYPERLINK("https://dexscreener.com/solana/5aZ8qZ2tLYfCeEwJaBJYQwajo8AnHRVpwFZ9bKdofPrk", "View")</f>
        <v>View</v>
      </c>
    </row>
    <row r="269" spans="1:16" x14ac:dyDescent="0.25">
      <c r="A269" s="16" t="s">
        <v>17766</v>
      </c>
      <c r="B269" s="17">
        <v>2006837</v>
      </c>
      <c r="C269" s="17">
        <v>2006837</v>
      </c>
      <c r="D269" s="17" t="s">
        <v>832</v>
      </c>
      <c r="E269" s="17" t="s">
        <v>4665</v>
      </c>
      <c r="F269" s="17" t="s">
        <v>96</v>
      </c>
      <c r="G269" s="15" t="s">
        <v>4929</v>
      </c>
      <c r="H269" s="15" t="s">
        <v>15963</v>
      </c>
      <c r="I269" s="17" t="s">
        <v>88</v>
      </c>
      <c r="J269" s="17">
        <v>1</v>
      </c>
      <c r="K269" s="17">
        <v>1</v>
      </c>
      <c r="L269" s="17" t="s">
        <v>17767</v>
      </c>
      <c r="M269" s="17" t="s">
        <v>788</v>
      </c>
      <c r="N269" s="17" t="s">
        <v>507</v>
      </c>
      <c r="O269" s="17" t="s">
        <v>17768</v>
      </c>
      <c r="P269" s="17" t="str">
        <f>HYPERLINK("https://dexscreener.com/solana/JEFQc82UMe7Dp7zoDPWH97jxcTLaM7oLq2AugmdhzqYd", "View")</f>
        <v>View</v>
      </c>
    </row>
    <row r="270" spans="1:16" x14ac:dyDescent="0.25">
      <c r="A270" s="13" t="s">
        <v>10986</v>
      </c>
      <c r="B270" s="14">
        <v>1319095</v>
      </c>
      <c r="C270" s="14">
        <v>1319095</v>
      </c>
      <c r="D270" s="14" t="s">
        <v>832</v>
      </c>
      <c r="E270" s="14" t="s">
        <v>4396</v>
      </c>
      <c r="F270" s="14" t="s">
        <v>4818</v>
      </c>
      <c r="G270" s="15" t="s">
        <v>4739</v>
      </c>
      <c r="H270" s="15" t="s">
        <v>17769</v>
      </c>
      <c r="I270" s="14" t="s">
        <v>88</v>
      </c>
      <c r="J270" s="14">
        <v>1</v>
      </c>
      <c r="K270" s="14">
        <v>1</v>
      </c>
      <c r="L270" s="14" t="s">
        <v>17770</v>
      </c>
      <c r="M270" s="14" t="s">
        <v>117</v>
      </c>
      <c r="N270" s="14" t="s">
        <v>507</v>
      </c>
      <c r="O270" s="14" t="s">
        <v>17771</v>
      </c>
      <c r="P270" s="14" t="str">
        <f>HYPERLINK("https://dexscreener.com/solana/DJRotK6Pg5zcetsyzoKfBuWDHY5ZpQ3GchNFoXqj2fB8", "View")</f>
        <v>View</v>
      </c>
    </row>
    <row r="271" spans="1:16" x14ac:dyDescent="0.25">
      <c r="A271" s="16" t="s">
        <v>17772</v>
      </c>
      <c r="B271" s="17">
        <v>212048</v>
      </c>
      <c r="C271" s="17">
        <v>159036</v>
      </c>
      <c r="D271" s="17" t="s">
        <v>17332</v>
      </c>
      <c r="E271" s="17" t="s">
        <v>8306</v>
      </c>
      <c r="F271" s="17" t="s">
        <v>11559</v>
      </c>
      <c r="G271" s="22" t="s">
        <v>6058</v>
      </c>
      <c r="H271" s="22" t="s">
        <v>4021</v>
      </c>
      <c r="I271" s="17" t="s">
        <v>88</v>
      </c>
      <c r="J271" s="17">
        <v>1</v>
      </c>
      <c r="K271" s="17">
        <v>1</v>
      </c>
      <c r="L271" s="17" t="s">
        <v>17773</v>
      </c>
      <c r="M271" s="17" t="s">
        <v>788</v>
      </c>
      <c r="N271" s="17" t="s">
        <v>507</v>
      </c>
      <c r="O271" s="17" t="s">
        <v>17774</v>
      </c>
      <c r="P271" s="17" t="str">
        <f>HYPERLINK("https://dexscreener.com/solana/CWtfgcNsK6kbKKx8UzAvkVA3XdyXvkCbpPFyqNL2oaNB", "View")</f>
        <v>View</v>
      </c>
    </row>
    <row r="272" spans="1:16" x14ac:dyDescent="0.25">
      <c r="A272" s="13" t="s">
        <v>17775</v>
      </c>
      <c r="B272" s="14">
        <v>2424631</v>
      </c>
      <c r="C272" s="14">
        <v>2424631</v>
      </c>
      <c r="D272" s="14" t="s">
        <v>832</v>
      </c>
      <c r="E272" s="14" t="s">
        <v>4396</v>
      </c>
      <c r="F272" s="14" t="s">
        <v>96</v>
      </c>
      <c r="G272" s="15" t="s">
        <v>15868</v>
      </c>
      <c r="H272" s="15" t="s">
        <v>16759</v>
      </c>
      <c r="I272" s="14" t="s">
        <v>88</v>
      </c>
      <c r="J272" s="14">
        <v>1</v>
      </c>
      <c r="K272" s="14">
        <v>1</v>
      </c>
      <c r="L272" s="14" t="s">
        <v>17776</v>
      </c>
      <c r="M272" s="14" t="s">
        <v>179</v>
      </c>
      <c r="N272" s="14" t="s">
        <v>507</v>
      </c>
      <c r="O272" s="14" t="s">
        <v>17777</v>
      </c>
      <c r="P272" s="14" t="str">
        <f>HYPERLINK("https://dexscreener.com/solana/13E4aP6ycQfLf8F6gknUK2yLvRuG2DZ2hDU9H9n2ZLdG", "View")</f>
        <v>View</v>
      </c>
    </row>
    <row r="273" spans="1:16" x14ac:dyDescent="0.25">
      <c r="A273" s="16" t="s">
        <v>17778</v>
      </c>
      <c r="B273" s="17">
        <v>847120</v>
      </c>
      <c r="C273" s="17">
        <v>847120</v>
      </c>
      <c r="D273" s="17" t="s">
        <v>832</v>
      </c>
      <c r="E273" s="17" t="s">
        <v>5573</v>
      </c>
      <c r="F273" s="17" t="s">
        <v>96</v>
      </c>
      <c r="G273" s="15" t="s">
        <v>10198</v>
      </c>
      <c r="H273" s="15" t="s">
        <v>22</v>
      </c>
      <c r="I273" s="17" t="s">
        <v>88</v>
      </c>
      <c r="J273" s="17">
        <v>1</v>
      </c>
      <c r="K273" s="17">
        <v>1</v>
      </c>
      <c r="L273" s="17" t="s">
        <v>17779</v>
      </c>
      <c r="M273" s="17" t="s">
        <v>179</v>
      </c>
      <c r="N273" s="17" t="s">
        <v>507</v>
      </c>
      <c r="O273" s="17" t="s">
        <v>17780</v>
      </c>
      <c r="P273" s="17" t="str">
        <f>HYPERLINK("https://dexscreener.com/solana/5Qrm8nGmMeBENtTq8LtcR8rHzdJ224kbPbo3d7aNNGwv", "View")</f>
        <v>View</v>
      </c>
    </row>
    <row r="274" spans="1:16" x14ac:dyDescent="0.25">
      <c r="A274" s="13" t="s">
        <v>17781</v>
      </c>
      <c r="B274" s="14">
        <v>131064</v>
      </c>
      <c r="C274" s="14">
        <v>0</v>
      </c>
      <c r="D274" s="14" t="s">
        <v>4347</v>
      </c>
      <c r="E274" s="14" t="s">
        <v>4665</v>
      </c>
      <c r="F274" s="14" t="s">
        <v>96</v>
      </c>
      <c r="G274" s="18" t="s">
        <v>4929</v>
      </c>
      <c r="H274" s="18" t="s">
        <v>98</v>
      </c>
      <c r="I274" s="14" t="s">
        <v>17782</v>
      </c>
      <c r="J274" s="14">
        <v>1</v>
      </c>
      <c r="K274" s="14">
        <v>0</v>
      </c>
      <c r="L274" s="14" t="s">
        <v>17783</v>
      </c>
      <c r="M274" s="19" t="s">
        <v>101</v>
      </c>
      <c r="N274" s="14" t="s">
        <v>17784</v>
      </c>
      <c r="O274" s="14" t="s">
        <v>17785</v>
      </c>
      <c r="P274" s="14" t="str">
        <f>HYPERLINK("https://dexscreener.com/solana/BdEVTSdqijPfb8TRQmMdDTo9CJsJsDFNhbD4o9yJpump", "View")</f>
        <v>View</v>
      </c>
    </row>
    <row r="275" spans="1:16" x14ac:dyDescent="0.25">
      <c r="A275" s="16" t="s">
        <v>17786</v>
      </c>
      <c r="B275" s="17">
        <v>1693177</v>
      </c>
      <c r="C275" s="17">
        <v>0</v>
      </c>
      <c r="D275" s="17" t="s">
        <v>4347</v>
      </c>
      <c r="E275" s="17" t="s">
        <v>4665</v>
      </c>
      <c r="F275" s="17" t="s">
        <v>96</v>
      </c>
      <c r="G275" s="18" t="s">
        <v>4929</v>
      </c>
      <c r="H275" s="18" t="s">
        <v>98</v>
      </c>
      <c r="I275" s="17" t="s">
        <v>17787</v>
      </c>
      <c r="J275" s="17">
        <v>1</v>
      </c>
      <c r="K275" s="17">
        <v>0</v>
      </c>
      <c r="L275" s="17" t="s">
        <v>17788</v>
      </c>
      <c r="M275" s="19" t="s">
        <v>101</v>
      </c>
      <c r="N275" s="17" t="s">
        <v>1208</v>
      </c>
      <c r="O275" s="17" t="s">
        <v>17789</v>
      </c>
      <c r="P275" s="17" t="str">
        <f>HYPERLINK("https://dexscreener.com/solana/7ThZbpzHqRGsVh87p3PmGqYtcypMSpSjJwp2h7qBpump", "View")</f>
        <v>View</v>
      </c>
    </row>
    <row r="276" spans="1:16" x14ac:dyDescent="0.25">
      <c r="A276" s="13" t="s">
        <v>17790</v>
      </c>
      <c r="B276" s="14">
        <v>479282</v>
      </c>
      <c r="C276" s="14">
        <v>0</v>
      </c>
      <c r="D276" s="14" t="s">
        <v>4347</v>
      </c>
      <c r="E276" s="14" t="s">
        <v>4665</v>
      </c>
      <c r="F276" s="14" t="s">
        <v>96</v>
      </c>
      <c r="G276" s="18" t="s">
        <v>4929</v>
      </c>
      <c r="H276" s="18" t="s">
        <v>98</v>
      </c>
      <c r="I276" s="14" t="s">
        <v>17791</v>
      </c>
      <c r="J276" s="14">
        <v>1</v>
      </c>
      <c r="K276" s="14">
        <v>0</v>
      </c>
      <c r="L276" s="14" t="s">
        <v>17792</v>
      </c>
      <c r="M276" s="19" t="s">
        <v>101</v>
      </c>
      <c r="N276" s="14" t="s">
        <v>5264</v>
      </c>
      <c r="O276" s="14" t="s">
        <v>17793</v>
      </c>
      <c r="P276" s="14" t="str">
        <f>HYPERLINK("https://dexscreener.com/solana/UqULLvAR8hiqSoHQefchCWDSYgyHYMKReLKNmwtpump", "View")</f>
        <v>View</v>
      </c>
    </row>
    <row r="277" spans="1:16" x14ac:dyDescent="0.25">
      <c r="A277" s="16" t="s">
        <v>17794</v>
      </c>
      <c r="B277" s="17">
        <v>244</v>
      </c>
      <c r="C277" s="17">
        <v>122</v>
      </c>
      <c r="D277" s="17" t="s">
        <v>17332</v>
      </c>
      <c r="E277" s="17" t="s">
        <v>4396</v>
      </c>
      <c r="F277" s="17" t="s">
        <v>3439</v>
      </c>
      <c r="G277" s="22" t="s">
        <v>3765</v>
      </c>
      <c r="H277" s="22" t="s">
        <v>17795</v>
      </c>
      <c r="I277" s="17" t="s">
        <v>88</v>
      </c>
      <c r="J277" s="17">
        <v>1</v>
      </c>
      <c r="K277" s="17">
        <v>1</v>
      </c>
      <c r="L277" s="17" t="s">
        <v>17796</v>
      </c>
      <c r="M277" s="17" t="s">
        <v>1705</v>
      </c>
      <c r="N277" s="17" t="s">
        <v>507</v>
      </c>
      <c r="O277" s="17" t="s">
        <v>17797</v>
      </c>
      <c r="P277" s="17" t="str">
        <f>HYPERLINK("https://dexscreener.com/solana/9jPnGiN3DUxr7PuJ44ueWWzUfAJkAAUDh6dXqHBWpump", "View")</f>
        <v>View</v>
      </c>
    </row>
    <row r="278" spans="1:16" x14ac:dyDescent="0.25">
      <c r="A278" s="13" t="s">
        <v>17798</v>
      </c>
      <c r="B278" s="14">
        <v>1154</v>
      </c>
      <c r="C278" s="14">
        <v>0</v>
      </c>
      <c r="D278" s="14" t="s">
        <v>4347</v>
      </c>
      <c r="E278" s="14" t="s">
        <v>5573</v>
      </c>
      <c r="F278" s="14" t="s">
        <v>96</v>
      </c>
      <c r="G278" s="18" t="s">
        <v>16660</v>
      </c>
      <c r="H278" s="18" t="s">
        <v>98</v>
      </c>
      <c r="I278" s="14" t="s">
        <v>17799</v>
      </c>
      <c r="J278" s="14">
        <v>1</v>
      </c>
      <c r="K278" s="14">
        <v>0</v>
      </c>
      <c r="L278" s="14" t="s">
        <v>17800</v>
      </c>
      <c r="M278" s="19" t="s">
        <v>101</v>
      </c>
      <c r="N278" s="14" t="s">
        <v>507</v>
      </c>
      <c r="O278" s="14" t="s">
        <v>17801</v>
      </c>
      <c r="P278" s="14" t="str">
        <f>HYPERLINK("https://dexscreener.com/solana/FeuqG6yGrfHJ1TifTp2V2zojMofHc5uu5Uk2Undnpump", "View")</f>
        <v>View</v>
      </c>
    </row>
    <row r="279" spans="1:16" x14ac:dyDescent="0.25">
      <c r="A279" s="16" t="s">
        <v>15302</v>
      </c>
      <c r="B279" s="17">
        <v>539</v>
      </c>
      <c r="C279" s="17">
        <v>137</v>
      </c>
      <c r="D279" s="17" t="s">
        <v>16054</v>
      </c>
      <c r="E279" s="17" t="s">
        <v>10388</v>
      </c>
      <c r="F279" s="17" t="s">
        <v>7894</v>
      </c>
      <c r="G279" s="20" t="s">
        <v>13902</v>
      </c>
      <c r="H279" s="20" t="s">
        <v>17802</v>
      </c>
      <c r="I279" s="17" t="s">
        <v>88</v>
      </c>
      <c r="J279" s="17">
        <v>2</v>
      </c>
      <c r="K279" s="17">
        <v>2</v>
      </c>
      <c r="L279" s="17" t="s">
        <v>17803</v>
      </c>
      <c r="M279" s="17" t="s">
        <v>179</v>
      </c>
      <c r="N279" s="17" t="s">
        <v>507</v>
      </c>
      <c r="O279" s="17" t="s">
        <v>17804</v>
      </c>
      <c r="P279" s="17" t="str">
        <f>HYPERLINK("https://dexscreener.com/solana/C5Nt4JVhUhm35NcBDXrpkQKDsJgot1svc9XTHA91Bj7C", "View")</f>
        <v>View</v>
      </c>
    </row>
    <row r="280" spans="1:16" x14ac:dyDescent="0.25">
      <c r="A280" s="13" t="s">
        <v>17805</v>
      </c>
      <c r="B280" s="14">
        <v>500997</v>
      </c>
      <c r="C280" s="14">
        <v>0</v>
      </c>
      <c r="D280" s="14" t="s">
        <v>4347</v>
      </c>
      <c r="E280" s="14" t="s">
        <v>4665</v>
      </c>
      <c r="F280" s="14" t="s">
        <v>96</v>
      </c>
      <c r="G280" s="18" t="s">
        <v>4929</v>
      </c>
      <c r="H280" s="18" t="s">
        <v>98</v>
      </c>
      <c r="I280" s="14" t="s">
        <v>17806</v>
      </c>
      <c r="J280" s="14">
        <v>1</v>
      </c>
      <c r="K280" s="14">
        <v>0</v>
      </c>
      <c r="L280" s="14" t="s">
        <v>17807</v>
      </c>
      <c r="M280" s="19" t="s">
        <v>101</v>
      </c>
      <c r="N280" s="14" t="s">
        <v>5090</v>
      </c>
      <c r="O280" s="14" t="s">
        <v>17808</v>
      </c>
      <c r="P280" s="14" t="str">
        <f>HYPERLINK("https://dexscreener.com/solana/GPMdgwKGLq9vQuboSh59k95Bqr64fBKoMfA1KhBLpump", "View")</f>
        <v>View</v>
      </c>
    </row>
    <row r="281" spans="1:16" x14ac:dyDescent="0.25">
      <c r="A281" s="16" t="s">
        <v>17809</v>
      </c>
      <c r="B281" s="17">
        <v>1211426</v>
      </c>
      <c r="C281" s="17">
        <v>0</v>
      </c>
      <c r="D281" s="17" t="s">
        <v>4738</v>
      </c>
      <c r="E281" s="17" t="s">
        <v>7344</v>
      </c>
      <c r="F281" s="17" t="s">
        <v>96</v>
      </c>
      <c r="G281" s="18" t="s">
        <v>16298</v>
      </c>
      <c r="H281" s="18" t="s">
        <v>98</v>
      </c>
      <c r="I281" s="17" t="s">
        <v>17810</v>
      </c>
      <c r="J281" s="17">
        <v>1</v>
      </c>
      <c r="K281" s="17">
        <v>0</v>
      </c>
      <c r="L281" s="17" t="s">
        <v>17811</v>
      </c>
      <c r="M281" s="19" t="s">
        <v>101</v>
      </c>
      <c r="N281" s="17" t="s">
        <v>507</v>
      </c>
      <c r="O281" s="17" t="s">
        <v>17812</v>
      </c>
      <c r="P281" s="17" t="str">
        <f>HYPERLINK("https://dexscreener.com/solana/8LKgBvz6g15YJyjtGx1sLaG1cMD6dDC9CDq5qxpyKXeS", "View")</f>
        <v>View</v>
      </c>
    </row>
    <row r="282" spans="1:16" x14ac:dyDescent="0.25">
      <c r="A282" s="13" t="s">
        <v>248</v>
      </c>
      <c r="B282" s="14">
        <v>768575</v>
      </c>
      <c r="C282" s="14">
        <v>0</v>
      </c>
      <c r="D282" s="14" t="s">
        <v>4738</v>
      </c>
      <c r="E282" s="14" t="s">
        <v>2456</v>
      </c>
      <c r="F282" s="14" t="s">
        <v>96</v>
      </c>
      <c r="G282" s="18" t="s">
        <v>17813</v>
      </c>
      <c r="H282" s="18" t="s">
        <v>98</v>
      </c>
      <c r="I282" s="14" t="s">
        <v>17814</v>
      </c>
      <c r="J282" s="14">
        <v>1</v>
      </c>
      <c r="K282" s="14">
        <v>0</v>
      </c>
      <c r="L282" s="14" t="s">
        <v>17815</v>
      </c>
      <c r="M282" s="19" t="s">
        <v>101</v>
      </c>
      <c r="N282" s="14" t="s">
        <v>17816</v>
      </c>
      <c r="O282" s="14" t="s">
        <v>17817</v>
      </c>
      <c r="P282" s="14" t="str">
        <f>HYPERLINK("https://dexscreener.com/solana/7WupcDqVeUQahV5ahfPoQH99vM2SKnH8oX9CHFCYJ1L4", "View")</f>
        <v>View</v>
      </c>
    </row>
    <row r="283" spans="1:16" x14ac:dyDescent="0.25">
      <c r="A283" s="16" t="s">
        <v>17818</v>
      </c>
      <c r="B283" s="17">
        <v>880381</v>
      </c>
      <c r="C283" s="17">
        <v>880381</v>
      </c>
      <c r="D283" s="17" t="s">
        <v>4324</v>
      </c>
      <c r="E283" s="17" t="s">
        <v>11889</v>
      </c>
      <c r="F283" s="17" t="s">
        <v>12544</v>
      </c>
      <c r="G283" s="21" t="s">
        <v>2456</v>
      </c>
      <c r="H283" s="21" t="s">
        <v>17819</v>
      </c>
      <c r="I283" s="17" t="s">
        <v>88</v>
      </c>
      <c r="J283" s="17">
        <v>1</v>
      </c>
      <c r="K283" s="17">
        <v>1</v>
      </c>
      <c r="L283" s="17" t="s">
        <v>17820</v>
      </c>
      <c r="M283" s="17" t="s">
        <v>160</v>
      </c>
      <c r="N283" s="17" t="s">
        <v>17821</v>
      </c>
      <c r="O283" s="17" t="s">
        <v>17822</v>
      </c>
      <c r="P283" s="17" t="str">
        <f>HYPERLINK("https://dexscreener.com/solana/AdguFkCYMQAsCM2Kchsq9GrvaaHFAVzY4ra6Ama8UzJW", "View")</f>
        <v>View</v>
      </c>
    </row>
    <row r="284" spans="1:16" x14ac:dyDescent="0.25">
      <c r="A284" s="13" t="s">
        <v>17823</v>
      </c>
      <c r="B284" s="14">
        <v>19362</v>
      </c>
      <c r="C284" s="14">
        <v>0</v>
      </c>
      <c r="D284" s="14" t="s">
        <v>4347</v>
      </c>
      <c r="E284" s="14" t="s">
        <v>4396</v>
      </c>
      <c r="F284" s="14" t="s">
        <v>96</v>
      </c>
      <c r="G284" s="18" t="s">
        <v>4739</v>
      </c>
      <c r="H284" s="18" t="s">
        <v>98</v>
      </c>
      <c r="I284" s="14" t="s">
        <v>17824</v>
      </c>
      <c r="J284" s="14">
        <v>1</v>
      </c>
      <c r="K284" s="14">
        <v>0</v>
      </c>
      <c r="L284" s="14" t="s">
        <v>17825</v>
      </c>
      <c r="M284" s="19" t="s">
        <v>101</v>
      </c>
      <c r="N284" s="14" t="s">
        <v>507</v>
      </c>
      <c r="O284" s="14" t="s">
        <v>17826</v>
      </c>
      <c r="P284" s="14" t="str">
        <f>HYPERLINK("https://dexscreener.com/solana/2YDyr39tphJqRYd5e3BQLE25nKAb3cwQDsVZYTt6LfzR", "View")</f>
        <v>View</v>
      </c>
    </row>
    <row r="285" spans="1:16" x14ac:dyDescent="0.25">
      <c r="A285" s="16" t="s">
        <v>17827</v>
      </c>
      <c r="B285" s="17">
        <v>94732</v>
      </c>
      <c r="C285" s="17">
        <v>0</v>
      </c>
      <c r="D285" s="17" t="s">
        <v>4347</v>
      </c>
      <c r="E285" s="17" t="s">
        <v>4396</v>
      </c>
      <c r="F285" s="17" t="s">
        <v>96</v>
      </c>
      <c r="G285" s="18" t="s">
        <v>4739</v>
      </c>
      <c r="H285" s="18" t="s">
        <v>98</v>
      </c>
      <c r="I285" s="17" t="s">
        <v>17828</v>
      </c>
      <c r="J285" s="17">
        <v>1</v>
      </c>
      <c r="K285" s="17">
        <v>0</v>
      </c>
      <c r="L285" s="17" t="s">
        <v>17829</v>
      </c>
      <c r="M285" s="19" t="s">
        <v>101</v>
      </c>
      <c r="N285" s="17" t="s">
        <v>17830</v>
      </c>
      <c r="O285" s="17" t="s">
        <v>17831</v>
      </c>
      <c r="P285" s="17" t="str">
        <f>HYPERLINK("https://dexscreener.com/solana/ExDyFTuBxKBmVTDDWJnd72HEHR2g3HpWuicbCZRBpump", "View")</f>
        <v>View</v>
      </c>
    </row>
    <row r="286" spans="1:16" x14ac:dyDescent="0.25">
      <c r="A286" s="13" t="s">
        <v>17832</v>
      </c>
      <c r="B286" s="14">
        <v>542417</v>
      </c>
      <c r="C286" s="14">
        <v>271208</v>
      </c>
      <c r="D286" s="14" t="s">
        <v>17332</v>
      </c>
      <c r="E286" s="14" t="s">
        <v>5573</v>
      </c>
      <c r="F286" s="14" t="s">
        <v>5860</v>
      </c>
      <c r="G286" s="22" t="s">
        <v>17833</v>
      </c>
      <c r="H286" s="22" t="s">
        <v>17834</v>
      </c>
      <c r="I286" s="14" t="s">
        <v>88</v>
      </c>
      <c r="J286" s="14">
        <v>1</v>
      </c>
      <c r="K286" s="14">
        <v>1</v>
      </c>
      <c r="L286" s="14" t="s">
        <v>17835</v>
      </c>
      <c r="M286" s="14" t="s">
        <v>602</v>
      </c>
      <c r="N286" s="14" t="s">
        <v>17836</v>
      </c>
      <c r="O286" s="14" t="s">
        <v>17837</v>
      </c>
      <c r="P286" s="14" t="str">
        <f>HYPERLINK("https://dexscreener.com/solana/CqYeGYDePJxpWrmt6udvrH13Pf7WuP5Dh6Dycg3vpump", "View")</f>
        <v>View</v>
      </c>
    </row>
    <row r="287" spans="1:16" x14ac:dyDescent="0.25">
      <c r="A287" s="16" t="s">
        <v>17838</v>
      </c>
      <c r="B287" s="17">
        <v>30126</v>
      </c>
      <c r="C287" s="17">
        <v>30126</v>
      </c>
      <c r="D287" s="17" t="s">
        <v>17332</v>
      </c>
      <c r="E287" s="17" t="s">
        <v>4396</v>
      </c>
      <c r="F287" s="17" t="s">
        <v>5058</v>
      </c>
      <c r="G287" s="22" t="s">
        <v>3047</v>
      </c>
      <c r="H287" s="22" t="s">
        <v>17839</v>
      </c>
      <c r="I287" s="17" t="s">
        <v>88</v>
      </c>
      <c r="J287" s="17">
        <v>1</v>
      </c>
      <c r="K287" s="17">
        <v>1</v>
      </c>
      <c r="L287" s="17" t="s">
        <v>17840</v>
      </c>
      <c r="M287" s="17" t="s">
        <v>1957</v>
      </c>
      <c r="N287" s="17" t="s">
        <v>507</v>
      </c>
      <c r="O287" s="17" t="s">
        <v>17841</v>
      </c>
      <c r="P287" s="17" t="str">
        <f>HYPERLINK("https://dexscreener.com/solana/cns3nnVHATcMZazUF2bmajDTGJx1wHYs2JZ9TeMpump", "View")</f>
        <v>View</v>
      </c>
    </row>
    <row r="288" spans="1:16" x14ac:dyDescent="0.25">
      <c r="A288" s="13" t="s">
        <v>17842</v>
      </c>
      <c r="B288" s="14">
        <v>288218</v>
      </c>
      <c r="C288" s="14">
        <v>0</v>
      </c>
      <c r="D288" s="14" t="s">
        <v>4347</v>
      </c>
      <c r="E288" s="14" t="s">
        <v>8306</v>
      </c>
      <c r="F288" s="14" t="s">
        <v>96</v>
      </c>
      <c r="G288" s="18" t="s">
        <v>4397</v>
      </c>
      <c r="H288" s="18" t="s">
        <v>98</v>
      </c>
      <c r="I288" s="14" t="s">
        <v>17843</v>
      </c>
      <c r="J288" s="14">
        <v>1</v>
      </c>
      <c r="K288" s="14">
        <v>0</v>
      </c>
      <c r="L288" s="14" t="s">
        <v>17844</v>
      </c>
      <c r="M288" s="19" t="s">
        <v>101</v>
      </c>
      <c r="N288" s="14" t="s">
        <v>5264</v>
      </c>
      <c r="O288" s="14" t="s">
        <v>17845</v>
      </c>
      <c r="P288" s="14" t="str">
        <f>HYPERLINK("https://dexscreener.com/solana/AUgwJmKWCWanKQEQotgR4967Fc4byn7iEduq6pXbpump", "View")</f>
        <v>View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7274-2BDB-4B3D-8583-4F039DAD8C9B}">
  <dimension ref="A1:P4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HYPERLINK("https://gmgn.ai/sol/address/FD5t6ogAKozFSUmTX55sW81oAsF8ZsURBVzDNoQtiPwz", "GMGN")</f>
        <v>GMGN</v>
      </c>
    </row>
    <row r="2" spans="1:14" x14ac:dyDescent="0.25">
      <c r="A2" s="3" t="s">
        <v>17846</v>
      </c>
      <c r="B2" s="3" t="s">
        <v>17847</v>
      </c>
      <c r="C2" s="3" t="s">
        <v>14693</v>
      </c>
      <c r="D2" s="3" t="s">
        <v>17848</v>
      </c>
      <c r="E2" s="3" t="s">
        <v>17849</v>
      </c>
      <c r="F2" s="3" t="s">
        <v>18</v>
      </c>
      <c r="G2" s="3" t="s">
        <v>18</v>
      </c>
      <c r="H2" s="3">
        <v>24</v>
      </c>
      <c r="I2" s="3">
        <v>0</v>
      </c>
      <c r="J2" s="3" t="s">
        <v>414</v>
      </c>
      <c r="K2" s="3" t="s">
        <v>1705</v>
      </c>
      <c r="L2" s="3">
        <v>16</v>
      </c>
      <c r="M2" s="3">
        <v>22</v>
      </c>
      <c r="N2" s="3" t="str">
        <f>HYPERLINK("https://solscan.io/account/FD5t6ogAKozFSUmTX55sW81oAsF8ZsURBVzDNoQtiPwz", "Solscan")</f>
        <v>Solscan</v>
      </c>
    </row>
    <row r="3" spans="1:14" x14ac:dyDescent="0.25">
      <c r="A3" s="1" t="s">
        <v>21</v>
      </c>
      <c r="B3" s="4" t="s">
        <v>17850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HYPERLINK("https://birdeye.so/profile/FD5t6ogAKozFSUmTX55sW81oAsF8ZsURBVzDNoQtiPwz", "Birdeye")</f>
        <v>Birdeye</v>
      </c>
    </row>
    <row r="4" spans="1:14" x14ac:dyDescent="0.25">
      <c r="A4" s="1" t="s">
        <v>25</v>
      </c>
      <c r="B4" s="3" t="s">
        <v>16590</v>
      </c>
      <c r="C4" s="3"/>
      <c r="D4" s="3" t="s">
        <v>17851</v>
      </c>
      <c r="E4" s="3" t="s">
        <v>17852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8461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4</v>
      </c>
      <c r="C10" s="1">
        <v>2</v>
      </c>
      <c r="D10" s="1">
        <v>1</v>
      </c>
      <c r="E10" s="1">
        <v>3</v>
      </c>
      <c r="F10" s="1">
        <v>5</v>
      </c>
      <c r="G10" s="1">
        <v>9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4363</v>
      </c>
      <c r="C11" s="1" t="s">
        <v>7500</v>
      </c>
      <c r="D11" s="1" t="s">
        <v>17853</v>
      </c>
      <c r="E11" s="1" t="s">
        <v>17854</v>
      </c>
      <c r="F11" s="1" t="s">
        <v>17855</v>
      </c>
      <c r="G11" s="1" t="s">
        <v>17856</v>
      </c>
      <c r="H11" s="3"/>
      <c r="I11" s="3" t="s">
        <v>50</v>
      </c>
      <c r="J11" s="3" t="s">
        <v>1792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17857</v>
      </c>
      <c r="C12" s="1" t="s">
        <v>17858</v>
      </c>
      <c r="D12" s="1" t="s">
        <v>32</v>
      </c>
      <c r="E12" s="1" t="s">
        <v>17859</v>
      </c>
      <c r="F12" s="1" t="s">
        <v>17860</v>
      </c>
      <c r="G12" s="1" t="s">
        <v>17861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17862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17863</v>
      </c>
      <c r="B20" s="14">
        <v>3271081</v>
      </c>
      <c r="C20" s="14">
        <v>0</v>
      </c>
      <c r="D20" s="14" t="s">
        <v>15708</v>
      </c>
      <c r="E20" s="14" t="s">
        <v>2546</v>
      </c>
      <c r="F20" s="14" t="s">
        <v>96</v>
      </c>
      <c r="G20" s="18" t="s">
        <v>10648</v>
      </c>
      <c r="H20" s="18" t="s">
        <v>98</v>
      </c>
      <c r="I20" s="14" t="s">
        <v>17864</v>
      </c>
      <c r="J20" s="14">
        <v>1</v>
      </c>
      <c r="K20" s="14">
        <v>0</v>
      </c>
      <c r="L20" s="14" t="s">
        <v>17865</v>
      </c>
      <c r="M20" s="19" t="s">
        <v>101</v>
      </c>
      <c r="N20" s="14" t="s">
        <v>17866</v>
      </c>
      <c r="O20" s="14" t="s">
        <v>17867</v>
      </c>
      <c r="P20" s="14" t="str">
        <f>HYPERLINK("https://dexscreener.com/solana/BuRic2sbA5zTbgXBgCbMmWjn1RCe1vyW5uosyj2spump", "View")</f>
        <v>View</v>
      </c>
    </row>
    <row r="21" spans="1:16" x14ac:dyDescent="0.25">
      <c r="A21" s="16" t="s">
        <v>9229</v>
      </c>
      <c r="B21" s="17">
        <v>20428778</v>
      </c>
      <c r="C21" s="17">
        <v>20428778</v>
      </c>
      <c r="D21" s="17" t="s">
        <v>16571</v>
      </c>
      <c r="E21" s="17" t="s">
        <v>12237</v>
      </c>
      <c r="F21" s="17" t="s">
        <v>5843</v>
      </c>
      <c r="G21" s="15" t="s">
        <v>5133</v>
      </c>
      <c r="H21" s="15" t="s">
        <v>17868</v>
      </c>
      <c r="I21" s="17" t="s">
        <v>88</v>
      </c>
      <c r="J21" s="17">
        <v>1</v>
      </c>
      <c r="K21" s="17">
        <v>1</v>
      </c>
      <c r="L21" s="17" t="s">
        <v>17869</v>
      </c>
      <c r="M21" s="17" t="s">
        <v>1434</v>
      </c>
      <c r="N21" s="17" t="s">
        <v>17870</v>
      </c>
      <c r="O21" s="17" t="s">
        <v>17871</v>
      </c>
      <c r="P21" s="17" t="str">
        <f>HYPERLINK("https://photon-sol.tinyastro.io/en/lp/438GdJseRDxJthNUYL94rvihgqkX32Da3PAY3SQwpump?handle=676050794bc1b1657a56b", "View")</f>
        <v>View</v>
      </c>
    </row>
    <row r="22" spans="1:16" x14ac:dyDescent="0.25">
      <c r="A22" s="13" t="s">
        <v>17872</v>
      </c>
      <c r="B22" s="14">
        <v>17769739</v>
      </c>
      <c r="C22" s="14">
        <v>17769739</v>
      </c>
      <c r="D22" s="14" t="s">
        <v>16571</v>
      </c>
      <c r="E22" s="14" t="s">
        <v>12237</v>
      </c>
      <c r="F22" s="14" t="s">
        <v>5036</v>
      </c>
      <c r="G22" s="15" t="s">
        <v>5133</v>
      </c>
      <c r="H22" s="15" t="s">
        <v>17873</v>
      </c>
      <c r="I22" s="14" t="s">
        <v>88</v>
      </c>
      <c r="J22" s="14">
        <v>1</v>
      </c>
      <c r="K22" s="14">
        <v>1</v>
      </c>
      <c r="L22" s="14" t="s">
        <v>17874</v>
      </c>
      <c r="M22" s="14" t="s">
        <v>1434</v>
      </c>
      <c r="N22" s="14" t="s">
        <v>17870</v>
      </c>
      <c r="O22" s="14" t="s">
        <v>17875</v>
      </c>
      <c r="P22" s="14" t="str">
        <f>HYPERLINK("https://photon-sol.tinyastro.io/en/lp/HruotNy9c5UuXdgaA9eHh7CpToBMS78TcHNCZZXipump?handle=676050794bc1b1657a56b", "View")</f>
        <v>View</v>
      </c>
    </row>
    <row r="23" spans="1:16" x14ac:dyDescent="0.25">
      <c r="A23" s="16" t="s">
        <v>17876</v>
      </c>
      <c r="B23" s="17">
        <v>20695581</v>
      </c>
      <c r="C23" s="17">
        <v>20695581</v>
      </c>
      <c r="D23" s="17" t="s">
        <v>16571</v>
      </c>
      <c r="E23" s="17" t="s">
        <v>12237</v>
      </c>
      <c r="F23" s="17" t="s">
        <v>5248</v>
      </c>
      <c r="G23" s="15" t="s">
        <v>5801</v>
      </c>
      <c r="H23" s="15" t="s">
        <v>17877</v>
      </c>
      <c r="I23" s="17" t="s">
        <v>88</v>
      </c>
      <c r="J23" s="17">
        <v>1</v>
      </c>
      <c r="K23" s="17">
        <v>1</v>
      </c>
      <c r="L23" s="17" t="s">
        <v>17878</v>
      </c>
      <c r="M23" s="17" t="s">
        <v>1434</v>
      </c>
      <c r="N23" s="17" t="s">
        <v>17870</v>
      </c>
      <c r="O23" s="17" t="s">
        <v>17879</v>
      </c>
      <c r="P23" s="17" t="str">
        <f>HYPERLINK("https://photon-sol.tinyastro.io/en/lp/G18FV2UdZQaGiMQtoptLxb1N8MYNbgDJJRFAmZhJpump?handle=676050794bc1b1657a56b", "View")</f>
        <v>View</v>
      </c>
    </row>
    <row r="24" spans="1:16" x14ac:dyDescent="0.25">
      <c r="A24" s="13" t="s">
        <v>17880</v>
      </c>
      <c r="B24" s="14">
        <v>19704176</v>
      </c>
      <c r="C24" s="14">
        <v>19704176</v>
      </c>
      <c r="D24" s="14" t="s">
        <v>16571</v>
      </c>
      <c r="E24" s="14" t="s">
        <v>12237</v>
      </c>
      <c r="F24" s="14" t="s">
        <v>17881</v>
      </c>
      <c r="G24" s="20" t="s">
        <v>4799</v>
      </c>
      <c r="H24" s="20" t="s">
        <v>17882</v>
      </c>
      <c r="I24" s="14" t="s">
        <v>88</v>
      </c>
      <c r="J24" s="14">
        <v>1</v>
      </c>
      <c r="K24" s="14">
        <v>1</v>
      </c>
      <c r="L24" s="14" t="s">
        <v>17883</v>
      </c>
      <c r="M24" s="14" t="s">
        <v>1705</v>
      </c>
      <c r="N24" s="14" t="s">
        <v>17884</v>
      </c>
      <c r="O24" s="14" t="s">
        <v>17885</v>
      </c>
      <c r="P24" s="14" t="str">
        <f>HYPERLINK("https://photon-sol.tinyastro.io/en/lp/EykkrFy4ZArwQnErTxGZuJxJQTv5qLP7WfV2mQ7jpump?handle=676050794bc1b1657a56b", "View")</f>
        <v>View</v>
      </c>
    </row>
    <row r="25" spans="1:16" x14ac:dyDescent="0.25">
      <c r="A25" s="16" t="s">
        <v>17886</v>
      </c>
      <c r="B25" s="17">
        <v>11586042</v>
      </c>
      <c r="C25" s="17">
        <v>11586041</v>
      </c>
      <c r="D25" s="17" t="s">
        <v>4347</v>
      </c>
      <c r="E25" s="17" t="s">
        <v>12237</v>
      </c>
      <c r="F25" s="17" t="s">
        <v>2220</v>
      </c>
      <c r="G25" s="21" t="s">
        <v>3344</v>
      </c>
      <c r="H25" s="21" t="s">
        <v>17887</v>
      </c>
      <c r="I25" s="17" t="s">
        <v>88</v>
      </c>
      <c r="J25" s="17">
        <v>1</v>
      </c>
      <c r="K25" s="17">
        <v>1</v>
      </c>
      <c r="L25" s="17" t="s">
        <v>17888</v>
      </c>
      <c r="M25" s="17" t="s">
        <v>1809</v>
      </c>
      <c r="N25" s="17" t="s">
        <v>17889</v>
      </c>
      <c r="O25" s="17" t="s">
        <v>17890</v>
      </c>
      <c r="P25" s="17" t="str">
        <f>HYPERLINK("https://photon-sol.tinyastro.io/en/lp/BrFH95ptgxMgcHGVaX3gAyHkrXsCgU6QKyPkhzRfpump?handle=676050794bc1b1657a56b", "View")</f>
        <v>View</v>
      </c>
    </row>
    <row r="26" spans="1:16" x14ac:dyDescent="0.25">
      <c r="A26" s="13" t="s">
        <v>182</v>
      </c>
      <c r="B26" s="14">
        <v>20220766</v>
      </c>
      <c r="C26" s="14">
        <v>20220766</v>
      </c>
      <c r="D26" s="14" t="s">
        <v>8478</v>
      </c>
      <c r="E26" s="14" t="s">
        <v>12237</v>
      </c>
      <c r="F26" s="14" t="s">
        <v>17891</v>
      </c>
      <c r="G26" s="21" t="s">
        <v>17892</v>
      </c>
      <c r="H26" s="21" t="s">
        <v>17893</v>
      </c>
      <c r="I26" s="14" t="s">
        <v>88</v>
      </c>
      <c r="J26" s="14">
        <v>1</v>
      </c>
      <c r="K26" s="14">
        <v>4</v>
      </c>
      <c r="L26" s="14" t="s">
        <v>17894</v>
      </c>
      <c r="M26" s="14" t="s">
        <v>317</v>
      </c>
      <c r="N26" s="14" t="s">
        <v>17895</v>
      </c>
      <c r="O26" s="14" t="s">
        <v>188</v>
      </c>
      <c r="P26" s="14" t="str">
        <f>HYPERLINK("https://photon-sol.tinyastro.io/en/lp/FofgVUkAzbffK3mw8ZEwMof8Lbpx59KkXRV4exhkpump?handle=676050794bc1b1657a56b", "View")</f>
        <v>View</v>
      </c>
    </row>
    <row r="27" spans="1:16" x14ac:dyDescent="0.25">
      <c r="A27" s="16" t="s">
        <v>4837</v>
      </c>
      <c r="B27" s="17">
        <v>19003747</v>
      </c>
      <c r="C27" s="17">
        <v>19003747</v>
      </c>
      <c r="D27" s="17" t="s">
        <v>16571</v>
      </c>
      <c r="E27" s="17" t="s">
        <v>1970</v>
      </c>
      <c r="F27" s="17" t="s">
        <v>4667</v>
      </c>
      <c r="G27" s="20" t="s">
        <v>4799</v>
      </c>
      <c r="H27" s="20" t="s">
        <v>17896</v>
      </c>
      <c r="I27" s="17" t="s">
        <v>88</v>
      </c>
      <c r="J27" s="17">
        <v>1</v>
      </c>
      <c r="K27" s="17">
        <v>1</v>
      </c>
      <c r="L27" s="17" t="s">
        <v>17897</v>
      </c>
      <c r="M27" s="17" t="s">
        <v>1957</v>
      </c>
      <c r="N27" s="17" t="s">
        <v>17870</v>
      </c>
      <c r="O27" s="17" t="s">
        <v>17898</v>
      </c>
      <c r="P27" s="17" t="str">
        <f>HYPERLINK("https://photon-sol.tinyastro.io/en/lp/BV4e4o46s68Yp7ZxEevHvdTBqbbsuRe9TsALAGtVpump?handle=676050794bc1b1657a56b", "View")</f>
        <v>View</v>
      </c>
    </row>
    <row r="28" spans="1:16" x14ac:dyDescent="0.25">
      <c r="A28" s="13" t="s">
        <v>9866</v>
      </c>
      <c r="B28" s="14">
        <v>9347776</v>
      </c>
      <c r="C28" s="14">
        <v>9347776</v>
      </c>
      <c r="D28" s="14" t="s">
        <v>16571</v>
      </c>
      <c r="E28" s="14" t="s">
        <v>12237</v>
      </c>
      <c r="F28" s="14" t="s">
        <v>17881</v>
      </c>
      <c r="G28" s="20" t="s">
        <v>3420</v>
      </c>
      <c r="H28" s="20" t="s">
        <v>17899</v>
      </c>
      <c r="I28" s="14" t="s">
        <v>88</v>
      </c>
      <c r="J28" s="14">
        <v>1</v>
      </c>
      <c r="K28" s="14">
        <v>1</v>
      </c>
      <c r="L28" s="14" t="s">
        <v>17900</v>
      </c>
      <c r="M28" s="14" t="s">
        <v>1434</v>
      </c>
      <c r="N28" s="14" t="s">
        <v>17901</v>
      </c>
      <c r="O28" s="14" t="s">
        <v>9869</v>
      </c>
      <c r="P28" s="14" t="str">
        <f>HYPERLINK("https://photon-sol.tinyastro.io/en/lp/EDDF6iM6Mgg4MntKTpkKQBBnZ8Up3ZtTxR6ijKocpump?handle=676050794bc1b1657a56b", "View")</f>
        <v>View</v>
      </c>
    </row>
    <row r="29" spans="1:16" x14ac:dyDescent="0.25">
      <c r="A29" s="16" t="s">
        <v>6322</v>
      </c>
      <c r="B29" s="17">
        <v>10009679</v>
      </c>
      <c r="C29" s="17">
        <v>10009679</v>
      </c>
      <c r="D29" s="17" t="s">
        <v>16571</v>
      </c>
      <c r="E29" s="17" t="s">
        <v>4667</v>
      </c>
      <c r="F29" s="17" t="s">
        <v>17881</v>
      </c>
      <c r="G29" s="20" t="s">
        <v>14444</v>
      </c>
      <c r="H29" s="20" t="s">
        <v>17902</v>
      </c>
      <c r="I29" s="17" t="s">
        <v>88</v>
      </c>
      <c r="J29" s="17">
        <v>1</v>
      </c>
      <c r="K29" s="17">
        <v>1</v>
      </c>
      <c r="L29" s="17" t="s">
        <v>17903</v>
      </c>
      <c r="M29" s="17" t="s">
        <v>1610</v>
      </c>
      <c r="N29" s="17" t="s">
        <v>17904</v>
      </c>
      <c r="O29" s="17" t="s">
        <v>17905</v>
      </c>
      <c r="P29" s="17" t="str">
        <f>HYPERLINK("https://photon-sol.tinyastro.io/en/lp/dLsp45Jc3MsWd9U6uWDSxyi5xoYeyVBVTBso4CPJCW9?handle=676050794bc1b1657a56b", "View")</f>
        <v>View</v>
      </c>
    </row>
    <row r="30" spans="1:16" x14ac:dyDescent="0.25">
      <c r="A30" s="13" t="s">
        <v>17906</v>
      </c>
      <c r="B30" s="14">
        <v>3712591</v>
      </c>
      <c r="C30" s="14">
        <v>0</v>
      </c>
      <c r="D30" s="14" t="s">
        <v>15708</v>
      </c>
      <c r="E30" s="14" t="s">
        <v>17907</v>
      </c>
      <c r="F30" s="14" t="s">
        <v>96</v>
      </c>
      <c r="G30" s="18" t="s">
        <v>17908</v>
      </c>
      <c r="H30" s="18" t="s">
        <v>98</v>
      </c>
      <c r="I30" s="14" t="s">
        <v>17909</v>
      </c>
      <c r="J30" s="14">
        <v>1</v>
      </c>
      <c r="K30" s="14">
        <v>0</v>
      </c>
      <c r="L30" s="14" t="s">
        <v>17910</v>
      </c>
      <c r="M30" s="19" t="s">
        <v>101</v>
      </c>
      <c r="N30" s="14" t="s">
        <v>1175</v>
      </c>
      <c r="O30" s="14" t="s">
        <v>17911</v>
      </c>
      <c r="P30" s="14" t="str">
        <f>HYPERLINK("https://dexscreener.com/solana/14mJzaZsFcdgHDB1njjz9qYbzgbXYAqzVLPJR6cLpump", "View")</f>
        <v>View</v>
      </c>
    </row>
    <row r="31" spans="1:16" x14ac:dyDescent="0.25">
      <c r="A31" s="16" t="s">
        <v>17912</v>
      </c>
      <c r="B31" s="17">
        <v>20595032</v>
      </c>
      <c r="C31" s="17">
        <v>20595032</v>
      </c>
      <c r="D31" s="17" t="s">
        <v>8478</v>
      </c>
      <c r="E31" s="17" t="s">
        <v>1970</v>
      </c>
      <c r="F31" s="17" t="s">
        <v>17913</v>
      </c>
      <c r="G31" s="21" t="s">
        <v>17914</v>
      </c>
      <c r="H31" s="21" t="s">
        <v>17915</v>
      </c>
      <c r="I31" s="17" t="s">
        <v>88</v>
      </c>
      <c r="J31" s="17">
        <v>1</v>
      </c>
      <c r="K31" s="17">
        <v>4</v>
      </c>
      <c r="L31" s="17" t="s">
        <v>17916</v>
      </c>
      <c r="M31" s="17" t="s">
        <v>2113</v>
      </c>
      <c r="N31" s="17" t="s">
        <v>17917</v>
      </c>
      <c r="O31" s="17" t="s">
        <v>17918</v>
      </c>
      <c r="P31" s="17" t="str">
        <f>HYPERLINK("https://photon-sol.tinyastro.io/en/lp/6PfemVoW14xgFywcnhc9zrAW9hV8gGZKCTSe3Ns3pump?handle=676050794bc1b1657a56b", "View")</f>
        <v>View</v>
      </c>
    </row>
    <row r="32" spans="1:16" x14ac:dyDescent="0.25">
      <c r="A32" s="13" t="s">
        <v>17919</v>
      </c>
      <c r="B32" s="14">
        <v>5534511</v>
      </c>
      <c r="C32" s="14">
        <v>5534511</v>
      </c>
      <c r="D32" s="14" t="s">
        <v>10737</v>
      </c>
      <c r="E32" s="14" t="s">
        <v>17920</v>
      </c>
      <c r="F32" s="14" t="s">
        <v>4196</v>
      </c>
      <c r="G32" s="15" t="s">
        <v>17921</v>
      </c>
      <c r="H32" s="15" t="s">
        <v>17922</v>
      </c>
      <c r="I32" s="14" t="s">
        <v>88</v>
      </c>
      <c r="J32" s="14">
        <v>2</v>
      </c>
      <c r="K32" s="14">
        <v>1</v>
      </c>
      <c r="L32" s="14" t="s">
        <v>17923</v>
      </c>
      <c r="M32" s="14" t="s">
        <v>1642</v>
      </c>
      <c r="N32" s="14" t="s">
        <v>17924</v>
      </c>
      <c r="O32" s="14" t="s">
        <v>17925</v>
      </c>
      <c r="P32" s="14" t="str">
        <f>HYPERLINK("https://dexscreener.com/solana/BxaRiJpUwPkiUfwUe7bXqMZV5EG8Xx5BZaY6QM3Jpump", "View")</f>
        <v>View</v>
      </c>
    </row>
    <row r="33" spans="1:16" x14ac:dyDescent="0.25">
      <c r="A33" s="16" t="s">
        <v>4967</v>
      </c>
      <c r="B33" s="17">
        <v>29031336</v>
      </c>
      <c r="C33" s="17">
        <v>29031336</v>
      </c>
      <c r="D33" s="17" t="s">
        <v>16571</v>
      </c>
      <c r="E33" s="17" t="s">
        <v>2546</v>
      </c>
      <c r="F33" s="17" t="s">
        <v>17926</v>
      </c>
      <c r="G33" s="22" t="s">
        <v>12036</v>
      </c>
      <c r="H33" s="22" t="s">
        <v>17927</v>
      </c>
      <c r="I33" s="17" t="s">
        <v>88</v>
      </c>
      <c r="J33" s="17">
        <v>1</v>
      </c>
      <c r="K33" s="17">
        <v>1</v>
      </c>
      <c r="L33" s="17" t="s">
        <v>17928</v>
      </c>
      <c r="M33" s="17" t="s">
        <v>1434</v>
      </c>
      <c r="N33" s="17" t="s">
        <v>12519</v>
      </c>
      <c r="O33" s="17" t="s">
        <v>4971</v>
      </c>
      <c r="P33" s="17" t="str">
        <f>HYPERLINK("https://dexscreener.com/solana/2GK7MQ5HpFY6NBYyNnoUMNwrt85doCeGg1qBLEhWpump", "View")</f>
        <v>View</v>
      </c>
    </row>
    <row r="34" spans="1:16" x14ac:dyDescent="0.25">
      <c r="A34" s="13" t="s">
        <v>320</v>
      </c>
      <c r="B34" s="14">
        <v>6898122</v>
      </c>
      <c r="C34" s="14">
        <v>6898122</v>
      </c>
      <c r="D34" s="14" t="s">
        <v>8478</v>
      </c>
      <c r="E34" s="14" t="s">
        <v>11148</v>
      </c>
      <c r="F34" s="14" t="s">
        <v>8278</v>
      </c>
      <c r="G34" s="21" t="s">
        <v>8722</v>
      </c>
      <c r="H34" s="21" t="s">
        <v>17929</v>
      </c>
      <c r="I34" s="14" t="s">
        <v>88</v>
      </c>
      <c r="J34" s="14">
        <v>1</v>
      </c>
      <c r="K34" s="14">
        <v>4</v>
      </c>
      <c r="L34" s="14" t="s">
        <v>17930</v>
      </c>
      <c r="M34" s="14" t="s">
        <v>937</v>
      </c>
      <c r="N34" s="14" t="s">
        <v>15749</v>
      </c>
      <c r="O34" s="14" t="s">
        <v>324</v>
      </c>
      <c r="P34" s="14" t="str">
        <f>HYPERLINK("https://dexscreener.com/solana/iByRAnwB6oHjphgaixPkKqno41ida9yqKwwmrsKpump", "View")</f>
        <v>View</v>
      </c>
    </row>
    <row r="35" spans="1:16" x14ac:dyDescent="0.25">
      <c r="A35" s="16" t="s">
        <v>17931</v>
      </c>
      <c r="B35" s="17">
        <v>11560273</v>
      </c>
      <c r="C35" s="17">
        <v>11560272</v>
      </c>
      <c r="D35" s="17" t="s">
        <v>913</v>
      </c>
      <c r="E35" s="17" t="s">
        <v>17932</v>
      </c>
      <c r="F35" s="17" t="s">
        <v>6226</v>
      </c>
      <c r="G35" s="15" t="s">
        <v>17933</v>
      </c>
      <c r="H35" s="15" t="s">
        <v>17934</v>
      </c>
      <c r="I35" s="17" t="s">
        <v>88</v>
      </c>
      <c r="J35" s="17">
        <v>1</v>
      </c>
      <c r="K35" s="17">
        <v>1</v>
      </c>
      <c r="L35" s="17" t="s">
        <v>17935</v>
      </c>
      <c r="M35" s="17" t="s">
        <v>4922</v>
      </c>
      <c r="N35" s="17" t="s">
        <v>14796</v>
      </c>
      <c r="O35" s="17" t="s">
        <v>17936</v>
      </c>
      <c r="P35" s="17" t="str">
        <f>HYPERLINK("https://photon-sol.tinyastro.io/en/lp/14jKhJoAw9UwgrRM2JTYmvJ3NTQYHktZ1EE4fPEDpump?handle=676050794bc1b1657a56b", "View")</f>
        <v>View</v>
      </c>
    </row>
    <row r="36" spans="1:16" x14ac:dyDescent="0.25">
      <c r="A36" s="13" t="s">
        <v>17937</v>
      </c>
      <c r="B36" s="14">
        <v>14809495</v>
      </c>
      <c r="C36" s="14">
        <v>14809495</v>
      </c>
      <c r="D36" s="14" t="s">
        <v>4301</v>
      </c>
      <c r="E36" s="14" t="s">
        <v>17938</v>
      </c>
      <c r="F36" s="14" t="s">
        <v>5036</v>
      </c>
      <c r="G36" s="15" t="s">
        <v>13059</v>
      </c>
      <c r="H36" s="15" t="s">
        <v>17939</v>
      </c>
      <c r="I36" s="14" t="s">
        <v>88</v>
      </c>
      <c r="J36" s="14">
        <v>1</v>
      </c>
      <c r="K36" s="14">
        <v>1</v>
      </c>
      <c r="L36" s="14" t="s">
        <v>17940</v>
      </c>
      <c r="M36" s="14" t="s">
        <v>1434</v>
      </c>
      <c r="N36" s="14" t="s">
        <v>17941</v>
      </c>
      <c r="O36" s="14" t="s">
        <v>17942</v>
      </c>
      <c r="P36" s="14" t="str">
        <f>HYPERLINK("https://photon-sol.tinyastro.io/en/lp/5UHS3CGAZpgYuBbd9nNqPTgC7Y3FLgUSoXYFJeX6pump?handle=676050794bc1b1657a56b", "View")</f>
        <v>View</v>
      </c>
    </row>
    <row r="37" spans="1:16" x14ac:dyDescent="0.25">
      <c r="A37" s="16" t="s">
        <v>17943</v>
      </c>
      <c r="B37" s="17">
        <v>2089864</v>
      </c>
      <c r="C37" s="17">
        <v>2089864</v>
      </c>
      <c r="D37" s="17" t="s">
        <v>16571</v>
      </c>
      <c r="E37" s="17" t="s">
        <v>2546</v>
      </c>
      <c r="F37" s="17" t="s">
        <v>17944</v>
      </c>
      <c r="G37" s="22" t="s">
        <v>3093</v>
      </c>
      <c r="H37" s="22" t="s">
        <v>2824</v>
      </c>
      <c r="I37" s="17" t="s">
        <v>88</v>
      </c>
      <c r="J37" s="17">
        <v>1</v>
      </c>
      <c r="K37" s="17">
        <v>1</v>
      </c>
      <c r="L37" s="17" t="s">
        <v>17945</v>
      </c>
      <c r="M37" s="17" t="s">
        <v>1809</v>
      </c>
      <c r="N37" s="17" t="s">
        <v>17946</v>
      </c>
      <c r="O37" s="17" t="s">
        <v>17947</v>
      </c>
      <c r="P37" s="17" t="str">
        <f>HYPERLINK("https://dexscreener.com/solana/9tfvk9yCRV2sjFmWJPsGWrKLh2kAxX4jka2oAnvGpump", "View")</f>
        <v>View</v>
      </c>
    </row>
    <row r="38" spans="1:16" x14ac:dyDescent="0.25">
      <c r="A38" s="13" t="s">
        <v>17948</v>
      </c>
      <c r="B38" s="14">
        <v>11611484</v>
      </c>
      <c r="C38" s="14">
        <v>11611483</v>
      </c>
      <c r="D38" s="14" t="s">
        <v>17949</v>
      </c>
      <c r="E38" s="14" t="s">
        <v>17950</v>
      </c>
      <c r="F38" s="14" t="s">
        <v>17951</v>
      </c>
      <c r="G38" s="22" t="s">
        <v>17952</v>
      </c>
      <c r="H38" s="22" t="s">
        <v>17953</v>
      </c>
      <c r="I38" s="14" t="s">
        <v>88</v>
      </c>
      <c r="J38" s="14">
        <v>1</v>
      </c>
      <c r="K38" s="14">
        <v>1</v>
      </c>
      <c r="L38" s="14" t="s">
        <v>17954</v>
      </c>
      <c r="M38" s="14" t="s">
        <v>788</v>
      </c>
      <c r="N38" s="14" t="s">
        <v>17955</v>
      </c>
      <c r="O38" s="14" t="s">
        <v>17956</v>
      </c>
      <c r="P38" s="14" t="str">
        <f>HYPERLINK("https://photon-sol.tinyastro.io/en/lp/EMFbqVHcFT5oTMVfbU3fgQZHn1QLqPUWJGXWWXQvpump?handle=676050794bc1b1657a56b", "View")</f>
        <v>View</v>
      </c>
    </row>
    <row r="39" spans="1:16" x14ac:dyDescent="0.25">
      <c r="A39" s="16" t="s">
        <v>5056</v>
      </c>
      <c r="B39" s="17">
        <v>1261733</v>
      </c>
      <c r="C39" s="17">
        <v>1261733</v>
      </c>
      <c r="D39" s="17" t="s">
        <v>10157</v>
      </c>
      <c r="E39" s="17" t="s">
        <v>15317</v>
      </c>
      <c r="F39" s="17" t="s">
        <v>17957</v>
      </c>
      <c r="G39" s="21" t="s">
        <v>17958</v>
      </c>
      <c r="H39" s="21" t="s">
        <v>17959</v>
      </c>
      <c r="I39" s="17" t="s">
        <v>88</v>
      </c>
      <c r="J39" s="17">
        <v>1</v>
      </c>
      <c r="K39" s="17">
        <v>1</v>
      </c>
      <c r="L39" s="17" t="s">
        <v>17960</v>
      </c>
      <c r="M39" s="17" t="s">
        <v>277</v>
      </c>
      <c r="N39" s="17" t="s">
        <v>17961</v>
      </c>
      <c r="O39" s="17" t="s">
        <v>5063</v>
      </c>
      <c r="P39" s="17" t="str">
        <f>HYPERLINK("https://dexscreener.com/solana/6QaZjD1aRmfyCWS31r4GTMq5ULKNLHDkPudUd3oYpump", "View")</f>
        <v>View</v>
      </c>
    </row>
    <row r="40" spans="1:16" x14ac:dyDescent="0.25">
      <c r="A40" s="13" t="s">
        <v>382</v>
      </c>
      <c r="B40" s="14">
        <v>2666456</v>
      </c>
      <c r="C40" s="14">
        <v>2666456</v>
      </c>
      <c r="D40" s="14" t="s">
        <v>17962</v>
      </c>
      <c r="E40" s="14" t="s">
        <v>17963</v>
      </c>
      <c r="F40" s="14" t="s">
        <v>8032</v>
      </c>
      <c r="G40" s="21" t="s">
        <v>17964</v>
      </c>
      <c r="H40" s="21" t="s">
        <v>17965</v>
      </c>
      <c r="I40" s="14" t="s">
        <v>88</v>
      </c>
      <c r="J40" s="14">
        <v>1</v>
      </c>
      <c r="K40" s="14">
        <v>3</v>
      </c>
      <c r="L40" s="14" t="s">
        <v>17966</v>
      </c>
      <c r="M40" s="14" t="s">
        <v>117</v>
      </c>
      <c r="N40" s="14" t="s">
        <v>17967</v>
      </c>
      <c r="O40" s="14" t="s">
        <v>386</v>
      </c>
      <c r="P40" s="14" t="str">
        <f>HYPERLINK("https://dexscreener.com/solana/3T557L68ZgBvjvuSuNQXcxH9JkJZieSEggdtWDf2pump", "View")</f>
        <v>View</v>
      </c>
    </row>
    <row r="41" spans="1:16" x14ac:dyDescent="0.25">
      <c r="A41" s="16" t="s">
        <v>2519</v>
      </c>
      <c r="B41" s="17">
        <v>3856051</v>
      </c>
      <c r="C41" s="17">
        <v>3856051</v>
      </c>
      <c r="D41" s="17" t="s">
        <v>16571</v>
      </c>
      <c r="E41" s="17" t="s">
        <v>4667</v>
      </c>
      <c r="F41" s="17" t="s">
        <v>4818</v>
      </c>
      <c r="G41" s="15" t="s">
        <v>5801</v>
      </c>
      <c r="H41" s="15" t="s">
        <v>17968</v>
      </c>
      <c r="I41" s="17" t="s">
        <v>88</v>
      </c>
      <c r="J41" s="17">
        <v>1</v>
      </c>
      <c r="K41" s="17">
        <v>1</v>
      </c>
      <c r="L41" s="17" t="s">
        <v>17969</v>
      </c>
      <c r="M41" s="17" t="s">
        <v>745</v>
      </c>
      <c r="N41" s="17" t="s">
        <v>17870</v>
      </c>
      <c r="O41" s="17" t="s">
        <v>17970</v>
      </c>
      <c r="P41" s="17" t="str">
        <f>HYPERLINK("https://photon-sol.tinyastro.io/en/lp/J9i5JaL2HDj5UgjgbB7Y84sWqRHZPFYxtRHycSTcpump?handle=676050794bc1b1657a56b", "View")</f>
        <v>View</v>
      </c>
    </row>
    <row r="42" spans="1:16" x14ac:dyDescent="0.25">
      <c r="A42" s="13" t="s">
        <v>17971</v>
      </c>
      <c r="B42" s="14">
        <v>13276989</v>
      </c>
      <c r="C42" s="14">
        <v>13276989</v>
      </c>
      <c r="D42" s="14" t="s">
        <v>4324</v>
      </c>
      <c r="E42" s="14" t="s">
        <v>17972</v>
      </c>
      <c r="F42" s="14" t="s">
        <v>2530</v>
      </c>
      <c r="G42" s="20" t="s">
        <v>17973</v>
      </c>
      <c r="H42" s="20" t="s">
        <v>17974</v>
      </c>
      <c r="I42" s="14" t="s">
        <v>88</v>
      </c>
      <c r="J42" s="14">
        <v>1</v>
      </c>
      <c r="K42" s="14">
        <v>1</v>
      </c>
      <c r="L42" s="14" t="s">
        <v>17975</v>
      </c>
      <c r="M42" s="14" t="s">
        <v>602</v>
      </c>
      <c r="N42" s="14" t="s">
        <v>7082</v>
      </c>
      <c r="O42" s="14" t="s">
        <v>17976</v>
      </c>
      <c r="P42" s="14" t="str">
        <f>HYPERLINK("https://photon-sol.tinyastro.io/en/lp/3pHJLsdXEv1fUr8fH5vnDVGWEJrWBT1JReAGhUfkpump?handle=676050794bc1b1657a56b", "View")</f>
        <v>View</v>
      </c>
    </row>
    <row r="43" spans="1:16" x14ac:dyDescent="0.25">
      <c r="A43" s="16" t="s">
        <v>17977</v>
      </c>
      <c r="B43" s="17">
        <v>24039963</v>
      </c>
      <c r="C43" s="17">
        <v>24039963</v>
      </c>
      <c r="D43" s="17" t="s">
        <v>17978</v>
      </c>
      <c r="E43" s="17" t="s">
        <v>17979</v>
      </c>
      <c r="F43" s="17" t="s">
        <v>17980</v>
      </c>
      <c r="G43" s="21" t="s">
        <v>12242</v>
      </c>
      <c r="H43" s="21" t="s">
        <v>17981</v>
      </c>
      <c r="I43" s="17" t="s">
        <v>88</v>
      </c>
      <c r="J43" s="17">
        <v>1</v>
      </c>
      <c r="K43" s="17">
        <v>2</v>
      </c>
      <c r="L43" s="17" t="s">
        <v>17982</v>
      </c>
      <c r="M43" s="17" t="s">
        <v>2789</v>
      </c>
      <c r="N43" s="17" t="s">
        <v>8275</v>
      </c>
      <c r="O43" s="17" t="s">
        <v>17983</v>
      </c>
      <c r="P43" s="17" t="str">
        <f>HYPERLINK("https://photon-sol.tinyastro.io/en/lp/GtNTAeZ8131TcXR1AmZsAuN6oXNNingkuDX3ehETpump?handle=676050794bc1b1657a56b", "View")</f>
        <v>View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289C-A2E7-4B77-A785-D66B72FBF56D}">
  <dimension ref="A1:P4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HYPERLINK("https://gmgn.ai/sol/address/5XSSvhmYL8bCuE5MPdbzC3XaZPmMM6zPdC3acVz1W5KC", "GMGN")</f>
        <v>GMGN</v>
      </c>
    </row>
    <row r="2" spans="1:14" x14ac:dyDescent="0.25">
      <c r="A2" s="3" t="s">
        <v>17984</v>
      </c>
      <c r="B2" s="3" t="s">
        <v>17985</v>
      </c>
      <c r="C2" s="3" t="s">
        <v>1562</v>
      </c>
      <c r="D2" s="3" t="s">
        <v>17986</v>
      </c>
      <c r="E2" s="3" t="s">
        <v>17987</v>
      </c>
      <c r="F2" s="3" t="s">
        <v>17988</v>
      </c>
      <c r="G2" s="3" t="s">
        <v>18</v>
      </c>
      <c r="H2" s="3">
        <v>23</v>
      </c>
      <c r="I2" s="3">
        <v>0</v>
      </c>
      <c r="J2" s="3" t="s">
        <v>699</v>
      </c>
      <c r="K2" s="3" t="s">
        <v>5501</v>
      </c>
      <c r="L2" s="3">
        <v>15</v>
      </c>
      <c r="M2" s="3">
        <v>5</v>
      </c>
      <c r="N2" s="3" t="str">
        <f>HYPERLINK("https://solscan.io/account/5XSSvhmYL8bCuE5MPdbzC3XaZPmMM6zPdC3acVz1W5KC", "Solscan")</f>
        <v>Solscan</v>
      </c>
    </row>
    <row r="3" spans="1:14" x14ac:dyDescent="0.25">
      <c r="A3" s="1" t="s">
        <v>21</v>
      </c>
      <c r="B3" s="4" t="s">
        <v>17989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HYPERLINK("https://birdeye.so/profile/5XSSvhmYL8bCuE5MPdbzC3XaZPmMM6zPdC3acVz1W5KC", "Birdeye")</f>
        <v>Birdeye</v>
      </c>
    </row>
    <row r="4" spans="1:14" x14ac:dyDescent="0.25">
      <c r="A4" s="1" t="s">
        <v>25</v>
      </c>
      <c r="B4" s="3" t="s">
        <v>4270</v>
      </c>
      <c r="C4" s="3"/>
      <c r="D4" s="3" t="s">
        <v>17990</v>
      </c>
      <c r="E4" s="3" t="s">
        <v>17991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8461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4</v>
      </c>
      <c r="D10" s="1">
        <v>2</v>
      </c>
      <c r="E10" s="1">
        <v>3</v>
      </c>
      <c r="F10" s="1">
        <v>11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46</v>
      </c>
      <c r="C11" s="1" t="s">
        <v>1574</v>
      </c>
      <c r="D11" s="1" t="s">
        <v>1573</v>
      </c>
      <c r="E11" s="1" t="s">
        <v>1572</v>
      </c>
      <c r="F11" s="1" t="s">
        <v>1575</v>
      </c>
      <c r="G11" s="1" t="s">
        <v>1573</v>
      </c>
      <c r="H11" s="3"/>
      <c r="I11" s="3" t="s">
        <v>50</v>
      </c>
      <c r="J11" s="3" t="s">
        <v>2023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8464</v>
      </c>
      <c r="C12" s="1" t="s">
        <v>17992</v>
      </c>
      <c r="D12" s="1" t="s">
        <v>9493</v>
      </c>
      <c r="E12" s="1" t="s">
        <v>15658</v>
      </c>
      <c r="F12" s="1" t="s">
        <v>17993</v>
      </c>
      <c r="G12" s="1" t="s">
        <v>17994</v>
      </c>
      <c r="H12" s="3"/>
      <c r="I12" s="3" t="s">
        <v>59</v>
      </c>
      <c r="J12" s="3" t="s">
        <v>8461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2024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17995</v>
      </c>
      <c r="B20" s="14">
        <v>28342451</v>
      </c>
      <c r="C20" s="14">
        <v>25114068</v>
      </c>
      <c r="D20" s="14" t="s">
        <v>17996</v>
      </c>
      <c r="E20" s="14" t="s">
        <v>15599</v>
      </c>
      <c r="F20" s="14" t="s">
        <v>17997</v>
      </c>
      <c r="G20" s="21" t="s">
        <v>17998</v>
      </c>
      <c r="H20" s="21" t="s">
        <v>17999</v>
      </c>
      <c r="I20" s="14" t="s">
        <v>88</v>
      </c>
      <c r="J20" s="14">
        <v>1</v>
      </c>
      <c r="K20" s="14">
        <v>6</v>
      </c>
      <c r="L20" s="14" t="s">
        <v>18000</v>
      </c>
      <c r="M20" s="14" t="s">
        <v>5061</v>
      </c>
      <c r="N20" s="14" t="s">
        <v>18001</v>
      </c>
      <c r="O20" s="14" t="s">
        <v>18002</v>
      </c>
      <c r="P20" s="14" t="str">
        <f>HYPERLINK("https://photon-sol.tinyastro.io/en/lp/5xuMTSrhURRr3Ymp7k1QVBAWHxD3H79upnwv3JuApump?handle=676050794bc1b1657a56b", "View")</f>
        <v>View</v>
      </c>
    </row>
    <row r="21" spans="1:16" x14ac:dyDescent="0.25">
      <c r="A21" s="16" t="s">
        <v>18003</v>
      </c>
      <c r="B21" s="17">
        <v>30193260</v>
      </c>
      <c r="C21" s="17">
        <v>30193260</v>
      </c>
      <c r="D21" s="17" t="s">
        <v>18004</v>
      </c>
      <c r="E21" s="17" t="s">
        <v>18005</v>
      </c>
      <c r="F21" s="17" t="s">
        <v>9286</v>
      </c>
      <c r="G21" s="20" t="s">
        <v>11509</v>
      </c>
      <c r="H21" s="20" t="s">
        <v>18006</v>
      </c>
      <c r="I21" s="17" t="s">
        <v>88</v>
      </c>
      <c r="J21" s="17">
        <v>3</v>
      </c>
      <c r="K21" s="17">
        <v>3</v>
      </c>
      <c r="L21" s="17" t="s">
        <v>18007</v>
      </c>
      <c r="M21" s="17" t="s">
        <v>304</v>
      </c>
      <c r="N21" s="17" t="s">
        <v>18008</v>
      </c>
      <c r="O21" s="17" t="s">
        <v>18009</v>
      </c>
      <c r="P21" s="17" t="str">
        <f>HYPERLINK("https://photon-sol.tinyastro.io/en/lp/DVEnxHEAWtSvG4qkCTZZfgVes4sPL2HiHeozQWzpump?handle=676050794bc1b1657a56b", "View")</f>
        <v>View</v>
      </c>
    </row>
    <row r="22" spans="1:16" x14ac:dyDescent="0.25">
      <c r="A22" s="13" t="s">
        <v>172</v>
      </c>
      <c r="B22" s="14">
        <v>1708210</v>
      </c>
      <c r="C22" s="14">
        <v>1708210</v>
      </c>
      <c r="D22" s="14" t="s">
        <v>17996</v>
      </c>
      <c r="E22" s="14" t="s">
        <v>1267</v>
      </c>
      <c r="F22" s="14" t="s">
        <v>18010</v>
      </c>
      <c r="G22" s="21" t="s">
        <v>18011</v>
      </c>
      <c r="H22" s="21" t="s">
        <v>18012</v>
      </c>
      <c r="I22" s="14" t="s">
        <v>88</v>
      </c>
      <c r="J22" s="14">
        <v>2</v>
      </c>
      <c r="K22" s="14">
        <v>5</v>
      </c>
      <c r="L22" s="14" t="s">
        <v>18013</v>
      </c>
      <c r="M22" s="14" t="s">
        <v>379</v>
      </c>
      <c r="N22" s="14" t="s">
        <v>18014</v>
      </c>
      <c r="O22" s="14" t="s">
        <v>181</v>
      </c>
      <c r="P22" s="14" t="str">
        <f>HYPERLINK("https://dexscreener.com/solana/5pQSTDfeUppb6tV415RWygL8n3ctyakBTV7QzBn5pump", "View")</f>
        <v>View</v>
      </c>
    </row>
    <row r="23" spans="1:16" x14ac:dyDescent="0.25">
      <c r="A23" s="16" t="s">
        <v>18015</v>
      </c>
      <c r="B23" s="17">
        <v>5962820</v>
      </c>
      <c r="C23" s="17">
        <v>5962820</v>
      </c>
      <c r="D23" s="17" t="s">
        <v>13323</v>
      </c>
      <c r="E23" s="17" t="s">
        <v>1007</v>
      </c>
      <c r="F23" s="17" t="s">
        <v>2416</v>
      </c>
      <c r="G23" s="22" t="s">
        <v>12202</v>
      </c>
      <c r="H23" s="22" t="s">
        <v>4087</v>
      </c>
      <c r="I23" s="17" t="s">
        <v>88</v>
      </c>
      <c r="J23" s="17">
        <v>1</v>
      </c>
      <c r="K23" s="17">
        <v>1</v>
      </c>
      <c r="L23" s="17" t="s">
        <v>18016</v>
      </c>
      <c r="M23" s="17" t="s">
        <v>1448</v>
      </c>
      <c r="N23" s="17" t="s">
        <v>4313</v>
      </c>
      <c r="O23" s="17" t="s">
        <v>18017</v>
      </c>
      <c r="P23" s="17" t="str">
        <f>HYPERLINK("https://dexscreener.com/solana/CenjrcM7xBVGR66EZQVs5puKGgZokKe9feoNqNdepump", "View")</f>
        <v>View</v>
      </c>
    </row>
    <row r="24" spans="1:16" x14ac:dyDescent="0.25">
      <c r="A24" s="13" t="s">
        <v>18018</v>
      </c>
      <c r="B24" s="14">
        <v>15091622</v>
      </c>
      <c r="C24" s="14">
        <v>15091622</v>
      </c>
      <c r="D24" s="14" t="s">
        <v>13323</v>
      </c>
      <c r="E24" s="14" t="s">
        <v>15599</v>
      </c>
      <c r="F24" s="14" t="s">
        <v>18019</v>
      </c>
      <c r="G24" s="20" t="s">
        <v>18020</v>
      </c>
      <c r="H24" s="20" t="s">
        <v>18021</v>
      </c>
      <c r="I24" s="14" t="s">
        <v>88</v>
      </c>
      <c r="J24" s="14">
        <v>1</v>
      </c>
      <c r="K24" s="14">
        <v>1</v>
      </c>
      <c r="L24" s="14" t="s">
        <v>18022</v>
      </c>
      <c r="M24" s="14" t="s">
        <v>5501</v>
      </c>
      <c r="N24" s="14" t="s">
        <v>2608</v>
      </c>
      <c r="O24" s="14" t="s">
        <v>18023</v>
      </c>
      <c r="P24" s="14" t="str">
        <f>HYPERLINK("https://photon-sol.tinyastro.io/en/lp/6hXSEF9L2cMwKGDVyZNRgQmtL979FVJZjxTxNpp5pump?handle=676050794bc1b1657a56b", "View")</f>
        <v>View</v>
      </c>
    </row>
    <row r="25" spans="1:16" x14ac:dyDescent="0.25">
      <c r="A25" s="16" t="s">
        <v>18024</v>
      </c>
      <c r="B25" s="17">
        <v>1498176</v>
      </c>
      <c r="C25" s="17">
        <v>1498176</v>
      </c>
      <c r="D25" s="17" t="s">
        <v>13323</v>
      </c>
      <c r="E25" s="17" t="s">
        <v>1007</v>
      </c>
      <c r="F25" s="17" t="s">
        <v>5497</v>
      </c>
      <c r="G25" s="15" t="s">
        <v>18025</v>
      </c>
      <c r="H25" s="15" t="s">
        <v>18026</v>
      </c>
      <c r="I25" s="17" t="s">
        <v>88</v>
      </c>
      <c r="J25" s="17">
        <v>1</v>
      </c>
      <c r="K25" s="17">
        <v>1</v>
      </c>
      <c r="L25" s="17" t="s">
        <v>18027</v>
      </c>
      <c r="M25" s="17" t="s">
        <v>1566</v>
      </c>
      <c r="N25" s="17" t="s">
        <v>18028</v>
      </c>
      <c r="O25" s="17" t="s">
        <v>18029</v>
      </c>
      <c r="P25" s="17" t="str">
        <f>HYPERLINK("https://dexscreener.com/solana/GyGYxT6XVwtAuEEVSn2V6YZ7bgkCxkjVzyWt8ogtpump", "View")</f>
        <v>View</v>
      </c>
    </row>
    <row r="26" spans="1:16" x14ac:dyDescent="0.25">
      <c r="A26" s="13" t="s">
        <v>3334</v>
      </c>
      <c r="B26" s="14">
        <v>11639012</v>
      </c>
      <c r="C26" s="14">
        <v>11639012</v>
      </c>
      <c r="D26" s="14" t="s">
        <v>13323</v>
      </c>
      <c r="E26" s="14" t="s">
        <v>18030</v>
      </c>
      <c r="F26" s="14" t="s">
        <v>18031</v>
      </c>
      <c r="G26" s="20" t="s">
        <v>2959</v>
      </c>
      <c r="H26" s="20" t="s">
        <v>18032</v>
      </c>
      <c r="I26" s="14" t="s">
        <v>88</v>
      </c>
      <c r="J26" s="14">
        <v>1</v>
      </c>
      <c r="K26" s="14">
        <v>1</v>
      </c>
      <c r="L26" s="14" t="s">
        <v>18033</v>
      </c>
      <c r="M26" s="14" t="s">
        <v>117</v>
      </c>
      <c r="N26" s="14" t="s">
        <v>2585</v>
      </c>
      <c r="O26" s="14" t="s">
        <v>18034</v>
      </c>
      <c r="P26" s="14" t="str">
        <f>HYPERLINK("https://photon-sol.tinyastro.io/en/lp/6upvcTw6UExfyDnLbqN8ZzbNHg8akixmaHMmrac2pump?handle=676050794bc1b1657a56b", "View")</f>
        <v>View</v>
      </c>
    </row>
    <row r="27" spans="1:16" x14ac:dyDescent="0.25">
      <c r="A27" s="16" t="s">
        <v>9856</v>
      </c>
      <c r="B27" s="17">
        <v>6741079</v>
      </c>
      <c r="C27" s="17">
        <v>6741079</v>
      </c>
      <c r="D27" s="17" t="s">
        <v>13948</v>
      </c>
      <c r="E27" s="17" t="s">
        <v>569</v>
      </c>
      <c r="F27" s="17" t="s">
        <v>18035</v>
      </c>
      <c r="G27" s="20" t="s">
        <v>18036</v>
      </c>
      <c r="H27" s="20" t="s">
        <v>18037</v>
      </c>
      <c r="I27" s="17" t="s">
        <v>88</v>
      </c>
      <c r="J27" s="17">
        <v>2</v>
      </c>
      <c r="K27" s="17">
        <v>2</v>
      </c>
      <c r="L27" s="17" t="s">
        <v>18038</v>
      </c>
      <c r="M27" s="17" t="s">
        <v>2789</v>
      </c>
      <c r="N27" s="17" t="s">
        <v>18039</v>
      </c>
      <c r="O27" s="17" t="s">
        <v>9860</v>
      </c>
      <c r="P27" s="17" t="str">
        <f>HYPERLINK("https://dexscreener.com/solana/AcR5GTb5YFrCXCbPBZBNwyJhcN1VjUokPwhL87wupump", "View")</f>
        <v>View</v>
      </c>
    </row>
    <row r="28" spans="1:16" x14ac:dyDescent="0.25">
      <c r="A28" s="13" t="s">
        <v>18040</v>
      </c>
      <c r="B28" s="14">
        <v>36539683</v>
      </c>
      <c r="C28" s="14">
        <v>36539683</v>
      </c>
      <c r="D28" s="14" t="s">
        <v>18041</v>
      </c>
      <c r="E28" s="14" t="s">
        <v>13540</v>
      </c>
      <c r="F28" s="14" t="s">
        <v>18042</v>
      </c>
      <c r="G28" s="20" t="s">
        <v>16316</v>
      </c>
      <c r="H28" s="20" t="s">
        <v>18043</v>
      </c>
      <c r="I28" s="14" t="s">
        <v>88</v>
      </c>
      <c r="J28" s="14">
        <v>3</v>
      </c>
      <c r="K28" s="14">
        <v>2</v>
      </c>
      <c r="L28" s="14" t="s">
        <v>18044</v>
      </c>
      <c r="M28" s="14" t="s">
        <v>379</v>
      </c>
      <c r="N28" s="14" t="s">
        <v>3598</v>
      </c>
      <c r="O28" s="14" t="s">
        <v>18045</v>
      </c>
      <c r="P28" s="14" t="str">
        <f>HYPERLINK("https://photon-sol.tinyastro.io/en/lp/Gc4PPs6qD45c3iaPH7fGKXhCoRN8VLrq6ejJxPDWpump?handle=676050794bc1b1657a56b", "View")</f>
        <v>View</v>
      </c>
    </row>
    <row r="29" spans="1:16" x14ac:dyDescent="0.25">
      <c r="A29" s="16" t="s">
        <v>18046</v>
      </c>
      <c r="B29" s="17">
        <v>9147186</v>
      </c>
      <c r="C29" s="17">
        <v>9147186</v>
      </c>
      <c r="D29" s="17" t="s">
        <v>13323</v>
      </c>
      <c r="E29" s="17" t="s">
        <v>13588</v>
      </c>
      <c r="F29" s="17" t="s">
        <v>11760</v>
      </c>
      <c r="G29" s="20" t="s">
        <v>15942</v>
      </c>
      <c r="H29" s="20" t="s">
        <v>18047</v>
      </c>
      <c r="I29" s="17" t="s">
        <v>88</v>
      </c>
      <c r="J29" s="17">
        <v>1</v>
      </c>
      <c r="K29" s="17">
        <v>1</v>
      </c>
      <c r="L29" s="17" t="s">
        <v>18048</v>
      </c>
      <c r="M29" s="17" t="s">
        <v>1610</v>
      </c>
      <c r="N29" s="17" t="s">
        <v>3935</v>
      </c>
      <c r="O29" s="17" t="s">
        <v>18049</v>
      </c>
      <c r="P29" s="17" t="str">
        <f>HYPERLINK("https://photon-sol.tinyastro.io/en/lp/J7Dd8Xmm1d1KHpYJenWYyfWpfpXD8unF7x5MPhtUpump?handle=676050794bc1b1657a56b", "View")</f>
        <v>View</v>
      </c>
    </row>
    <row r="30" spans="1:16" x14ac:dyDescent="0.25">
      <c r="A30" s="13" t="s">
        <v>18050</v>
      </c>
      <c r="B30" s="14">
        <v>14099776</v>
      </c>
      <c r="C30" s="14">
        <v>14099776</v>
      </c>
      <c r="D30" s="14" t="s">
        <v>13323</v>
      </c>
      <c r="E30" s="14" t="s">
        <v>18030</v>
      </c>
      <c r="F30" s="14" t="s">
        <v>18051</v>
      </c>
      <c r="G30" s="22" t="s">
        <v>3126</v>
      </c>
      <c r="H30" s="22" t="s">
        <v>18052</v>
      </c>
      <c r="I30" s="14" t="s">
        <v>88</v>
      </c>
      <c r="J30" s="14">
        <v>1</v>
      </c>
      <c r="K30" s="14">
        <v>1</v>
      </c>
      <c r="L30" s="14" t="s">
        <v>18053</v>
      </c>
      <c r="M30" s="14" t="s">
        <v>1610</v>
      </c>
      <c r="N30" s="14" t="s">
        <v>18054</v>
      </c>
      <c r="O30" s="14" t="s">
        <v>18055</v>
      </c>
      <c r="P30" s="14" t="str">
        <f>HYPERLINK("https://photon-sol.tinyastro.io/en/lp/EW2nnFQyAvxAnfpmdhwWCyH5GnMo2HHa5mGsnxY4pump?handle=676050794bc1b1657a56b", "View")</f>
        <v>View</v>
      </c>
    </row>
    <row r="31" spans="1:16" x14ac:dyDescent="0.25">
      <c r="A31" s="16" t="s">
        <v>18056</v>
      </c>
      <c r="B31" s="17">
        <v>6453532</v>
      </c>
      <c r="C31" s="17">
        <v>6453532</v>
      </c>
      <c r="D31" s="17" t="s">
        <v>13323</v>
      </c>
      <c r="E31" s="17" t="s">
        <v>18030</v>
      </c>
      <c r="F31" s="17" t="s">
        <v>5641</v>
      </c>
      <c r="G31" s="20" t="s">
        <v>1977</v>
      </c>
      <c r="H31" s="20" t="s">
        <v>18057</v>
      </c>
      <c r="I31" s="17" t="s">
        <v>88</v>
      </c>
      <c r="J31" s="17">
        <v>1</v>
      </c>
      <c r="K31" s="17">
        <v>1</v>
      </c>
      <c r="L31" s="17" t="s">
        <v>18058</v>
      </c>
      <c r="M31" s="17" t="s">
        <v>937</v>
      </c>
      <c r="N31" s="17" t="s">
        <v>18059</v>
      </c>
      <c r="O31" s="17" t="s">
        <v>18060</v>
      </c>
      <c r="P31" s="17" t="str">
        <f>HYPERLINK("https://photon-sol.tinyastro.io/en/lp/5ooHrhrkoFQfpzazdhYEFn2jpb9BfnSSSAyiX5jNpump?handle=676050794bc1b1657a56b", "View")</f>
        <v>View</v>
      </c>
    </row>
    <row r="32" spans="1:16" x14ac:dyDescent="0.25">
      <c r="A32" s="13" t="s">
        <v>18061</v>
      </c>
      <c r="B32" s="14">
        <v>12096032</v>
      </c>
      <c r="C32" s="14">
        <v>12096032</v>
      </c>
      <c r="D32" s="14" t="s">
        <v>13948</v>
      </c>
      <c r="E32" s="14" t="s">
        <v>18062</v>
      </c>
      <c r="F32" s="14" t="s">
        <v>18063</v>
      </c>
      <c r="G32" s="21" t="s">
        <v>13994</v>
      </c>
      <c r="H32" s="21" t="s">
        <v>18064</v>
      </c>
      <c r="I32" s="14" t="s">
        <v>88</v>
      </c>
      <c r="J32" s="14">
        <v>1</v>
      </c>
      <c r="K32" s="14">
        <v>3</v>
      </c>
      <c r="L32" s="14" t="s">
        <v>18065</v>
      </c>
      <c r="M32" s="14" t="s">
        <v>680</v>
      </c>
      <c r="N32" s="14" t="s">
        <v>955</v>
      </c>
      <c r="O32" s="14" t="s">
        <v>18066</v>
      </c>
      <c r="P32" s="14" t="str">
        <f>HYPERLINK("https://photon-sol.tinyastro.io/en/lp/3uZjHzG6yB64tNMWw9qwM7ZDSTnEnQtwdMMyZ9JApump?handle=676050794bc1b1657a56b", "View")</f>
        <v>View</v>
      </c>
    </row>
    <row r="33" spans="1:16" x14ac:dyDescent="0.25">
      <c r="A33" s="16" t="s">
        <v>18067</v>
      </c>
      <c r="B33" s="17">
        <v>3674197</v>
      </c>
      <c r="C33" s="17">
        <v>3674197</v>
      </c>
      <c r="D33" s="17" t="s">
        <v>13323</v>
      </c>
      <c r="E33" s="17" t="s">
        <v>1457</v>
      </c>
      <c r="F33" s="17" t="s">
        <v>4146</v>
      </c>
      <c r="G33" s="15" t="s">
        <v>18068</v>
      </c>
      <c r="H33" s="15" t="s">
        <v>18069</v>
      </c>
      <c r="I33" s="17" t="s">
        <v>88</v>
      </c>
      <c r="J33" s="17">
        <v>1</v>
      </c>
      <c r="K33" s="17">
        <v>1</v>
      </c>
      <c r="L33" s="17" t="s">
        <v>18070</v>
      </c>
      <c r="M33" s="17" t="s">
        <v>1448</v>
      </c>
      <c r="N33" s="17" t="s">
        <v>18071</v>
      </c>
      <c r="O33" s="17" t="s">
        <v>18072</v>
      </c>
      <c r="P33" s="17" t="str">
        <f>HYPERLINK("https://dexscreener.com/solana/GcP5RKfcNHoweAKz1D2nQ3MUwug3FGSKceacK88Epump", "View")</f>
        <v>View</v>
      </c>
    </row>
    <row r="34" spans="1:16" x14ac:dyDescent="0.25">
      <c r="A34" s="13" t="s">
        <v>5131</v>
      </c>
      <c r="B34" s="14">
        <v>2364374</v>
      </c>
      <c r="C34" s="14">
        <v>2364374</v>
      </c>
      <c r="D34" s="14" t="s">
        <v>13323</v>
      </c>
      <c r="E34" s="14" t="s">
        <v>1007</v>
      </c>
      <c r="F34" s="14" t="s">
        <v>9237</v>
      </c>
      <c r="G34" s="21" t="s">
        <v>16967</v>
      </c>
      <c r="H34" s="21" t="s">
        <v>18073</v>
      </c>
      <c r="I34" s="14" t="s">
        <v>88</v>
      </c>
      <c r="J34" s="14">
        <v>1</v>
      </c>
      <c r="K34" s="14">
        <v>1</v>
      </c>
      <c r="L34" s="14" t="s">
        <v>18074</v>
      </c>
      <c r="M34" s="14" t="s">
        <v>602</v>
      </c>
      <c r="N34" s="14" t="s">
        <v>18075</v>
      </c>
      <c r="O34" s="14" t="s">
        <v>5148</v>
      </c>
      <c r="P34" s="14" t="str">
        <f>HYPERLINK("https://dexscreener.com/solana/ACro3rVwnm78KTw2ZChs3xP9Z5VEzMaS3r9PZR2DFEuL", "View")</f>
        <v>View</v>
      </c>
    </row>
    <row r="35" spans="1:16" x14ac:dyDescent="0.25">
      <c r="A35" s="16" t="s">
        <v>18076</v>
      </c>
      <c r="B35" s="17">
        <v>14023109</v>
      </c>
      <c r="C35" s="17">
        <v>14023109</v>
      </c>
      <c r="D35" s="17" t="s">
        <v>13323</v>
      </c>
      <c r="E35" s="17" t="s">
        <v>18030</v>
      </c>
      <c r="F35" s="17" t="s">
        <v>18077</v>
      </c>
      <c r="G35" s="20" t="s">
        <v>12441</v>
      </c>
      <c r="H35" s="20" t="s">
        <v>18078</v>
      </c>
      <c r="I35" s="17" t="s">
        <v>88</v>
      </c>
      <c r="J35" s="17">
        <v>1</v>
      </c>
      <c r="K35" s="17">
        <v>1</v>
      </c>
      <c r="L35" s="17" t="s">
        <v>18079</v>
      </c>
      <c r="M35" s="17" t="s">
        <v>680</v>
      </c>
      <c r="N35" s="17" t="s">
        <v>507</v>
      </c>
      <c r="O35" s="17" t="s">
        <v>18080</v>
      </c>
      <c r="P35" s="17" t="str">
        <f>HYPERLINK("https://photon-sol.tinyastro.io/en/lp/WSZcqtWHPeWNFfoScMnPMyoRGbYVCuSTcFoVCjvpump?handle=676050794bc1b1657a56b", "View")</f>
        <v>View</v>
      </c>
    </row>
    <row r="36" spans="1:16" x14ac:dyDescent="0.25">
      <c r="A36" s="13" t="s">
        <v>2835</v>
      </c>
      <c r="B36" s="14">
        <v>5246887</v>
      </c>
      <c r="C36" s="14">
        <v>5246887</v>
      </c>
      <c r="D36" s="14" t="s">
        <v>13948</v>
      </c>
      <c r="E36" s="14" t="s">
        <v>1007</v>
      </c>
      <c r="F36" s="14" t="s">
        <v>18081</v>
      </c>
      <c r="G36" s="21" t="s">
        <v>18082</v>
      </c>
      <c r="H36" s="21" t="s">
        <v>18083</v>
      </c>
      <c r="I36" s="14" t="s">
        <v>88</v>
      </c>
      <c r="J36" s="14">
        <v>1</v>
      </c>
      <c r="K36" s="14">
        <v>3</v>
      </c>
      <c r="L36" s="14" t="s">
        <v>18084</v>
      </c>
      <c r="M36" s="14" t="s">
        <v>2047</v>
      </c>
      <c r="N36" s="14" t="s">
        <v>18085</v>
      </c>
      <c r="O36" s="14" t="s">
        <v>2841</v>
      </c>
      <c r="P36" s="14" t="str">
        <f>HYPERLINK("https://dexscreener.com/solana/7FS4iUbG1KpTA7xzG4Er7H6Nj22PZgonY8N9ERZbpump", "View")</f>
        <v>View</v>
      </c>
    </row>
    <row r="37" spans="1:16" x14ac:dyDescent="0.25">
      <c r="A37" s="16" t="s">
        <v>18086</v>
      </c>
      <c r="B37" s="17">
        <v>8195890</v>
      </c>
      <c r="C37" s="17">
        <v>8195890</v>
      </c>
      <c r="D37" s="17" t="s">
        <v>13948</v>
      </c>
      <c r="E37" s="17" t="s">
        <v>3110</v>
      </c>
      <c r="F37" s="17" t="s">
        <v>1735</v>
      </c>
      <c r="G37" s="21" t="s">
        <v>18087</v>
      </c>
      <c r="H37" s="21" t="s">
        <v>18088</v>
      </c>
      <c r="I37" s="17" t="s">
        <v>88</v>
      </c>
      <c r="J37" s="17">
        <v>1</v>
      </c>
      <c r="K37" s="17">
        <v>3</v>
      </c>
      <c r="L37" s="17" t="s">
        <v>18089</v>
      </c>
      <c r="M37" s="17" t="s">
        <v>117</v>
      </c>
      <c r="N37" s="17" t="s">
        <v>18090</v>
      </c>
      <c r="O37" s="17" t="s">
        <v>18091</v>
      </c>
      <c r="P37" s="17" t="str">
        <f>HYPERLINK("https://photon-sol.tinyastro.io/en/lp/FnGjU9ZEyEehQhoBVmA8NdBHokGm6MiBQNbnUfewpump?handle=676050794bc1b1657a56b", "View")</f>
        <v>View</v>
      </c>
    </row>
    <row r="38" spans="1:16" x14ac:dyDescent="0.25">
      <c r="A38" s="13" t="s">
        <v>18092</v>
      </c>
      <c r="B38" s="14">
        <v>5960134</v>
      </c>
      <c r="C38" s="14">
        <v>5960134</v>
      </c>
      <c r="D38" s="14" t="s">
        <v>13323</v>
      </c>
      <c r="E38" s="14" t="s">
        <v>18030</v>
      </c>
      <c r="F38" s="14" t="s">
        <v>3554</v>
      </c>
      <c r="G38" s="22" t="s">
        <v>5024</v>
      </c>
      <c r="H38" s="22" t="s">
        <v>18093</v>
      </c>
      <c r="I38" s="14" t="s">
        <v>88</v>
      </c>
      <c r="J38" s="14">
        <v>1</v>
      </c>
      <c r="K38" s="14">
        <v>1</v>
      </c>
      <c r="L38" s="14" t="s">
        <v>18094</v>
      </c>
      <c r="M38" s="14" t="s">
        <v>1566</v>
      </c>
      <c r="N38" s="14" t="s">
        <v>11628</v>
      </c>
      <c r="O38" s="14" t="s">
        <v>18095</v>
      </c>
      <c r="P38" s="14" t="str">
        <f>HYPERLINK("https://photon-sol.tinyastro.io/en/lp/9N1913MK7yCyyzy72gWEndfhG6M5dWzZYJS2Mz1Bpump?handle=676050794bc1b1657a56b", "View")</f>
        <v>View</v>
      </c>
    </row>
    <row r="39" spans="1:16" x14ac:dyDescent="0.25">
      <c r="A39" s="16" t="s">
        <v>18096</v>
      </c>
      <c r="B39" s="17">
        <v>1928454</v>
      </c>
      <c r="C39" s="17">
        <v>1928454</v>
      </c>
      <c r="D39" s="17" t="s">
        <v>13323</v>
      </c>
      <c r="E39" s="17" t="s">
        <v>4679</v>
      </c>
      <c r="F39" s="17" t="s">
        <v>7738</v>
      </c>
      <c r="G39" s="21" t="s">
        <v>7844</v>
      </c>
      <c r="H39" s="21" t="s">
        <v>18097</v>
      </c>
      <c r="I39" s="17" t="s">
        <v>88</v>
      </c>
      <c r="J39" s="17">
        <v>1</v>
      </c>
      <c r="K39" s="17">
        <v>1</v>
      </c>
      <c r="L39" s="17" t="s">
        <v>18098</v>
      </c>
      <c r="M39" s="17" t="s">
        <v>3462</v>
      </c>
      <c r="N39" s="17" t="s">
        <v>18099</v>
      </c>
      <c r="O39" s="17" t="s">
        <v>18100</v>
      </c>
      <c r="P39" s="17" t="str">
        <f>HYPERLINK("https://dexscreener.com/solana/E43RfRz9toQWpFBuqRHX11chqDzjchq2WpMRa76apump", "View")</f>
        <v>View</v>
      </c>
    </row>
    <row r="40" spans="1:16" x14ac:dyDescent="0.25">
      <c r="A40" s="13" t="s">
        <v>3233</v>
      </c>
      <c r="B40" s="14">
        <v>10587492</v>
      </c>
      <c r="C40" s="14">
        <v>10587492</v>
      </c>
      <c r="D40" s="14" t="s">
        <v>13323</v>
      </c>
      <c r="E40" s="14" t="s">
        <v>5467</v>
      </c>
      <c r="F40" s="14" t="s">
        <v>3805</v>
      </c>
      <c r="G40" s="20" t="s">
        <v>3728</v>
      </c>
      <c r="H40" s="20" t="s">
        <v>18101</v>
      </c>
      <c r="I40" s="14" t="s">
        <v>88</v>
      </c>
      <c r="J40" s="14">
        <v>1</v>
      </c>
      <c r="K40" s="14">
        <v>1</v>
      </c>
      <c r="L40" s="14" t="s">
        <v>18102</v>
      </c>
      <c r="M40" s="14" t="s">
        <v>1448</v>
      </c>
      <c r="N40" s="14" t="s">
        <v>2308</v>
      </c>
      <c r="O40" s="14" t="s">
        <v>18103</v>
      </c>
      <c r="P40" s="14" t="str">
        <f>HYPERLINK("https://photon-sol.tinyastro.io/en/lp/fsKY1WmZXFhXHBVRUW7khAK4BMgfP9BHfToJJMdpump?handle=676050794bc1b1657a56b", "View")</f>
        <v>View</v>
      </c>
    </row>
    <row r="41" spans="1:16" x14ac:dyDescent="0.25">
      <c r="A41" s="16" t="s">
        <v>18104</v>
      </c>
      <c r="B41" s="17">
        <v>8693511</v>
      </c>
      <c r="C41" s="17">
        <v>8693511</v>
      </c>
      <c r="D41" s="17" t="s">
        <v>13323</v>
      </c>
      <c r="E41" s="17" t="s">
        <v>5467</v>
      </c>
      <c r="F41" s="17" t="s">
        <v>16352</v>
      </c>
      <c r="G41" s="20" t="s">
        <v>6297</v>
      </c>
      <c r="H41" s="20" t="s">
        <v>17989</v>
      </c>
      <c r="I41" s="17" t="s">
        <v>88</v>
      </c>
      <c r="J41" s="17">
        <v>1</v>
      </c>
      <c r="K41" s="17">
        <v>1</v>
      </c>
      <c r="L41" s="17" t="s">
        <v>18105</v>
      </c>
      <c r="M41" s="19" t="s">
        <v>2486</v>
      </c>
      <c r="N41" s="17" t="s">
        <v>2585</v>
      </c>
      <c r="O41" s="17" t="s">
        <v>18106</v>
      </c>
      <c r="P41" s="17" t="str">
        <f>HYPERLINK("https://photon-sol.tinyastro.io/en/lp/9SWfo6TYEj4QvJmHpoiHpx3vjiG4Lr7R3admshWpump?handle=676050794bc1b1657a56b", "View")</f>
        <v>View</v>
      </c>
    </row>
    <row r="42" spans="1:16" x14ac:dyDescent="0.25">
      <c r="A42" s="13" t="s">
        <v>1859</v>
      </c>
      <c r="B42" s="14">
        <v>33675163</v>
      </c>
      <c r="C42" s="14">
        <v>33675163</v>
      </c>
      <c r="D42" s="14" t="s">
        <v>13323</v>
      </c>
      <c r="E42" s="14" t="s">
        <v>15599</v>
      </c>
      <c r="F42" s="14" t="s">
        <v>2416</v>
      </c>
      <c r="G42" s="20" t="s">
        <v>4799</v>
      </c>
      <c r="H42" s="20" t="s">
        <v>18107</v>
      </c>
      <c r="I42" s="14" t="s">
        <v>88</v>
      </c>
      <c r="J42" s="14">
        <v>1</v>
      </c>
      <c r="K42" s="14">
        <v>1</v>
      </c>
      <c r="L42" s="14" t="s">
        <v>18108</v>
      </c>
      <c r="M42" s="14" t="s">
        <v>7381</v>
      </c>
      <c r="N42" s="14" t="s">
        <v>2308</v>
      </c>
      <c r="O42" s="14" t="s">
        <v>18109</v>
      </c>
      <c r="P42" s="14" t="str">
        <f>HYPERLINK("https://photon-sol.tinyastro.io/en/lp/BELrzwH96sHKAS8hTbvk8F4WDDVT3S4Z9w6k1LkciUGn?handle=676050794bc1b1657a56b", "View")</f>
        <v>View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D234-7996-40A4-B12A-F037B7347868}">
  <dimension ref="A1:P20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HYPERLINK("https://gmgn.ai/sol/address/3rZTHyQBBU6dGDJikpSKRGzWi1TfGh1VZdkeGnZdfqFB", "GMGN")</f>
        <v>GMGN</v>
      </c>
    </row>
    <row r="2" spans="1:14" x14ac:dyDescent="0.25">
      <c r="A2" s="3" t="s">
        <v>18110</v>
      </c>
      <c r="B2" s="3" t="s">
        <v>18111</v>
      </c>
      <c r="C2" s="3" t="s">
        <v>15647</v>
      </c>
      <c r="D2" s="3" t="s">
        <v>18112</v>
      </c>
      <c r="E2" s="3" t="s">
        <v>18113</v>
      </c>
      <c r="F2" s="3" t="s">
        <v>18</v>
      </c>
      <c r="G2" s="3" t="s">
        <v>18114</v>
      </c>
      <c r="H2" s="3">
        <v>187</v>
      </c>
      <c r="I2" s="3">
        <v>47</v>
      </c>
      <c r="J2" s="3" t="s">
        <v>18115</v>
      </c>
      <c r="K2" s="3" t="s">
        <v>18116</v>
      </c>
      <c r="L2" s="3">
        <v>10</v>
      </c>
      <c r="M2" s="3">
        <v>134</v>
      </c>
      <c r="N2" s="3" t="str">
        <f>HYPERLINK("https://solscan.io/account/3rZTHyQBBU6dGDJikpSKRGzWi1TfGh1VZdkeGnZdfqFB",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HYPERLINK("https://birdeye.so/profile/3rZTHyQBBU6dGDJikpSKRGzWi1TfGh1VZdkeGnZdfqFB", "Birdeye")</f>
        <v>Birdeye</v>
      </c>
    </row>
    <row r="4" spans="1:14" x14ac:dyDescent="0.25">
      <c r="A4" s="1" t="s">
        <v>25</v>
      </c>
      <c r="B4" s="3" t="s">
        <v>26</v>
      </c>
      <c r="C4" s="3"/>
      <c r="D4" s="3" t="s">
        <v>18117</v>
      </c>
      <c r="E4" s="3" t="s">
        <v>18118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15661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4273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7</v>
      </c>
      <c r="C10" s="1">
        <v>11</v>
      </c>
      <c r="D10" s="1">
        <v>5</v>
      </c>
      <c r="E10" s="1">
        <v>10</v>
      </c>
      <c r="F10" s="1">
        <v>11</v>
      </c>
      <c r="G10" s="1">
        <v>143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6317</v>
      </c>
      <c r="C11" s="1" t="s">
        <v>16597</v>
      </c>
      <c r="D11" s="1" t="s">
        <v>2008</v>
      </c>
      <c r="E11" s="1" t="s">
        <v>8328</v>
      </c>
      <c r="F11" s="1" t="s">
        <v>16597</v>
      </c>
      <c r="G11" s="1" t="s">
        <v>18119</v>
      </c>
      <c r="H11" s="3"/>
      <c r="I11" s="3" t="s">
        <v>50</v>
      </c>
      <c r="J11" s="3" t="s">
        <v>12318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18120</v>
      </c>
      <c r="C12" s="1" t="s">
        <v>18121</v>
      </c>
      <c r="D12" s="1" t="s">
        <v>15567</v>
      </c>
      <c r="E12" s="1" t="s">
        <v>4360</v>
      </c>
      <c r="F12" s="1" t="s">
        <v>13990</v>
      </c>
      <c r="G12" s="1" t="s">
        <v>18122</v>
      </c>
      <c r="H12" s="3"/>
      <c r="I12" s="3" t="s">
        <v>59</v>
      </c>
      <c r="J12" s="3" t="s">
        <v>6322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18123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18124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18125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2191</v>
      </c>
      <c r="B20" s="14">
        <v>1612040</v>
      </c>
      <c r="C20" s="14">
        <v>1612040</v>
      </c>
      <c r="D20" s="14" t="s">
        <v>18126</v>
      </c>
      <c r="E20" s="14" t="s">
        <v>18127</v>
      </c>
      <c r="F20" s="14" t="s">
        <v>11534</v>
      </c>
      <c r="G20" s="15" t="s">
        <v>14239</v>
      </c>
      <c r="H20" s="15" t="s">
        <v>18128</v>
      </c>
      <c r="I20" s="14" t="s">
        <v>88</v>
      </c>
      <c r="J20" s="14">
        <v>2</v>
      </c>
      <c r="K20" s="14">
        <v>1</v>
      </c>
      <c r="L20" s="14" t="s">
        <v>18129</v>
      </c>
      <c r="M20" s="14" t="s">
        <v>364</v>
      </c>
      <c r="N20" s="14" t="s">
        <v>18130</v>
      </c>
      <c r="O20" s="14" t="s">
        <v>18131</v>
      </c>
      <c r="P20" s="14" t="str">
        <f>HYPERLINK("https://dexscreener.com/solana/4ByRBMVPVRX9ebXy7AqwjjHC1iKgY3ZgfhPvYDptkHC3", "View")</f>
        <v>View</v>
      </c>
    </row>
    <row r="21" spans="1:16" x14ac:dyDescent="0.25">
      <c r="A21" s="16" t="s">
        <v>18132</v>
      </c>
      <c r="B21" s="17">
        <v>2002232</v>
      </c>
      <c r="C21" s="17">
        <v>2002232</v>
      </c>
      <c r="D21" s="17" t="s">
        <v>16473</v>
      </c>
      <c r="E21" s="17" t="s">
        <v>16263</v>
      </c>
      <c r="F21" s="17" t="s">
        <v>18133</v>
      </c>
      <c r="G21" s="20" t="s">
        <v>5370</v>
      </c>
      <c r="H21" s="20" t="s">
        <v>18134</v>
      </c>
      <c r="I21" s="17" t="s">
        <v>88</v>
      </c>
      <c r="J21" s="17">
        <v>1</v>
      </c>
      <c r="K21" s="17">
        <v>1</v>
      </c>
      <c r="L21" s="17" t="s">
        <v>18135</v>
      </c>
      <c r="M21" s="17" t="s">
        <v>364</v>
      </c>
      <c r="N21" s="17" t="s">
        <v>507</v>
      </c>
      <c r="O21" s="17" t="s">
        <v>18136</v>
      </c>
      <c r="P21" s="17" t="str">
        <f>HYPERLINK("https://photon-sol.tinyastro.io/en/lp/J4ZKbJ33KMDwx68334gztYRT9HF5xSatzuirWY4pS4DQ?handle=676050794bc1b1657a56b", "View")</f>
        <v>View</v>
      </c>
    </row>
    <row r="22" spans="1:16" x14ac:dyDescent="0.25">
      <c r="A22" s="13" t="s">
        <v>18137</v>
      </c>
      <c r="B22" s="14">
        <v>697276</v>
      </c>
      <c r="C22" s="14">
        <v>0</v>
      </c>
      <c r="D22" s="14" t="s">
        <v>16473</v>
      </c>
      <c r="E22" s="14" t="s">
        <v>18127</v>
      </c>
      <c r="F22" s="14" t="s">
        <v>96</v>
      </c>
      <c r="G22" s="18" t="s">
        <v>18138</v>
      </c>
      <c r="H22" s="18" t="s">
        <v>98</v>
      </c>
      <c r="I22" s="14" t="s">
        <v>18139</v>
      </c>
      <c r="J22" s="14">
        <v>2</v>
      </c>
      <c r="K22" s="14">
        <v>0</v>
      </c>
      <c r="L22" s="14" t="s">
        <v>18140</v>
      </c>
      <c r="M22" s="14" t="s">
        <v>788</v>
      </c>
      <c r="N22" s="14" t="s">
        <v>18141</v>
      </c>
      <c r="O22" s="14" t="s">
        <v>18142</v>
      </c>
      <c r="P22" s="14" t="str">
        <f>HYPERLINK("https://dexscreener.com/solana/41g7KyGh4u6QFkZAEEK1cLYjHfg6TMWECE1YTc5apump", "View")</f>
        <v>View</v>
      </c>
    </row>
    <row r="23" spans="1:16" x14ac:dyDescent="0.25">
      <c r="A23" s="16" t="s">
        <v>4816</v>
      </c>
      <c r="B23" s="17">
        <v>1022019</v>
      </c>
      <c r="C23" s="17">
        <v>0</v>
      </c>
      <c r="D23" s="17" t="s">
        <v>16473</v>
      </c>
      <c r="E23" s="17" t="s">
        <v>18127</v>
      </c>
      <c r="F23" s="17" t="s">
        <v>96</v>
      </c>
      <c r="G23" s="18" t="s">
        <v>18138</v>
      </c>
      <c r="H23" s="18" t="s">
        <v>98</v>
      </c>
      <c r="I23" s="17" t="s">
        <v>18143</v>
      </c>
      <c r="J23" s="17">
        <v>2</v>
      </c>
      <c r="K23" s="17">
        <v>0</v>
      </c>
      <c r="L23" s="17" t="s">
        <v>18144</v>
      </c>
      <c r="M23" s="17" t="s">
        <v>656</v>
      </c>
      <c r="N23" s="17" t="s">
        <v>18145</v>
      </c>
      <c r="O23" s="17" t="s">
        <v>4822</v>
      </c>
      <c r="P23" s="17" t="str">
        <f>HYPERLINK("https://dexscreener.com/solana/DZNk7E8KdF9vRpP2Hk5gR9CtkkjTteA2FDFw3wUvpump", "View")</f>
        <v>View</v>
      </c>
    </row>
    <row r="24" spans="1:16" x14ac:dyDescent="0.25">
      <c r="A24" s="13" t="s">
        <v>18146</v>
      </c>
      <c r="B24" s="14">
        <v>370604</v>
      </c>
      <c r="C24" s="14">
        <v>0</v>
      </c>
      <c r="D24" s="14" t="s">
        <v>2050</v>
      </c>
      <c r="E24" s="14" t="s">
        <v>11453</v>
      </c>
      <c r="F24" s="14" t="s">
        <v>96</v>
      </c>
      <c r="G24" s="18" t="s">
        <v>8972</v>
      </c>
      <c r="H24" s="18" t="s">
        <v>98</v>
      </c>
      <c r="I24" s="14" t="s">
        <v>18147</v>
      </c>
      <c r="J24" s="14">
        <v>4</v>
      </c>
      <c r="K24" s="14">
        <v>0</v>
      </c>
      <c r="L24" s="14" t="s">
        <v>18148</v>
      </c>
      <c r="M24" s="14" t="s">
        <v>4385</v>
      </c>
      <c r="N24" s="14" t="s">
        <v>18149</v>
      </c>
      <c r="O24" s="14" t="s">
        <v>18150</v>
      </c>
      <c r="P24" s="14" t="str">
        <f>HYPERLINK("https://dexscreener.com/solana/DqwYJXj2oDY545oAQgfh6x6cMKqEM97BoErdF3hSpump", "View")</f>
        <v>View</v>
      </c>
    </row>
    <row r="25" spans="1:16" x14ac:dyDescent="0.25">
      <c r="A25" s="16" t="s">
        <v>18151</v>
      </c>
      <c r="B25" s="17">
        <v>1497469</v>
      </c>
      <c r="C25" s="17">
        <v>1497469</v>
      </c>
      <c r="D25" s="17" t="s">
        <v>18126</v>
      </c>
      <c r="E25" s="17" t="s">
        <v>18127</v>
      </c>
      <c r="F25" s="17" t="s">
        <v>4874</v>
      </c>
      <c r="G25" s="15" t="s">
        <v>18152</v>
      </c>
      <c r="H25" s="15" t="s">
        <v>18153</v>
      </c>
      <c r="I25" s="17" t="s">
        <v>88</v>
      </c>
      <c r="J25" s="17">
        <v>2</v>
      </c>
      <c r="K25" s="17">
        <v>1</v>
      </c>
      <c r="L25" s="17" t="s">
        <v>18154</v>
      </c>
      <c r="M25" s="17" t="s">
        <v>745</v>
      </c>
      <c r="N25" s="17" t="s">
        <v>18155</v>
      </c>
      <c r="O25" s="17" t="s">
        <v>18156</v>
      </c>
      <c r="P25" s="17" t="str">
        <f>HYPERLINK("https://dexscreener.com/solana/FqLemyT8ZJsxYC8PWskxXSbUdrD46HMZnGq2Vg2ppump", "View")</f>
        <v>View</v>
      </c>
    </row>
    <row r="26" spans="1:16" x14ac:dyDescent="0.25">
      <c r="A26" s="13" t="s">
        <v>125</v>
      </c>
      <c r="B26" s="14">
        <v>411558</v>
      </c>
      <c r="C26" s="14">
        <v>297753</v>
      </c>
      <c r="D26" s="14" t="s">
        <v>18157</v>
      </c>
      <c r="E26" s="14" t="s">
        <v>3045</v>
      </c>
      <c r="F26" s="14" t="s">
        <v>18158</v>
      </c>
      <c r="G26" s="21" t="s">
        <v>18159</v>
      </c>
      <c r="H26" s="21" t="s">
        <v>18160</v>
      </c>
      <c r="I26" s="14" t="s">
        <v>88</v>
      </c>
      <c r="J26" s="14">
        <v>2</v>
      </c>
      <c r="K26" s="14">
        <v>8</v>
      </c>
      <c r="L26" s="14" t="s">
        <v>18161</v>
      </c>
      <c r="M26" s="14" t="s">
        <v>132</v>
      </c>
      <c r="N26" s="14" t="s">
        <v>18162</v>
      </c>
      <c r="O26" s="14" t="s">
        <v>134</v>
      </c>
      <c r="P26" s="14" t="str">
        <f>HYPERLINK("https://dexscreener.com/solana/CBdCxKo9QavR9hfShgpEBG3zekorAeD7W1jfq2o3pump", "View")</f>
        <v>View</v>
      </c>
    </row>
    <row r="27" spans="1:16" x14ac:dyDescent="0.25">
      <c r="A27" s="16" t="s">
        <v>18163</v>
      </c>
      <c r="B27" s="17">
        <v>2491947</v>
      </c>
      <c r="C27" s="17">
        <v>2491947</v>
      </c>
      <c r="D27" s="17" t="s">
        <v>2050</v>
      </c>
      <c r="E27" s="17" t="s">
        <v>18164</v>
      </c>
      <c r="F27" s="17" t="s">
        <v>5076</v>
      </c>
      <c r="G27" s="15" t="s">
        <v>18165</v>
      </c>
      <c r="H27" s="15" t="s">
        <v>18166</v>
      </c>
      <c r="I27" s="17" t="s">
        <v>88</v>
      </c>
      <c r="J27" s="17">
        <v>3</v>
      </c>
      <c r="K27" s="17">
        <v>1</v>
      </c>
      <c r="L27" s="17" t="s">
        <v>18167</v>
      </c>
      <c r="M27" s="17" t="s">
        <v>6257</v>
      </c>
      <c r="N27" s="17" t="s">
        <v>18168</v>
      </c>
      <c r="O27" s="17" t="s">
        <v>18169</v>
      </c>
      <c r="P27" s="17" t="str">
        <f>HYPERLINK("https://dexscreener.com/solana/EP1ZtieVMnrXozqUNkqc55rmBTAWaTuNHxAAbkcppump", "View")</f>
        <v>View</v>
      </c>
    </row>
    <row r="28" spans="1:16" x14ac:dyDescent="0.25">
      <c r="A28" s="13" t="s">
        <v>297</v>
      </c>
      <c r="B28" s="14">
        <v>508885</v>
      </c>
      <c r="C28" s="14">
        <v>348876</v>
      </c>
      <c r="D28" s="14" t="s">
        <v>18170</v>
      </c>
      <c r="E28" s="14" t="s">
        <v>1989</v>
      </c>
      <c r="F28" s="14" t="s">
        <v>18171</v>
      </c>
      <c r="G28" s="21" t="s">
        <v>18172</v>
      </c>
      <c r="H28" s="21" t="s">
        <v>18173</v>
      </c>
      <c r="I28" s="14" t="s">
        <v>88</v>
      </c>
      <c r="J28" s="14">
        <v>6</v>
      </c>
      <c r="K28" s="14">
        <v>5</v>
      </c>
      <c r="L28" s="14" t="s">
        <v>18174</v>
      </c>
      <c r="M28" s="14" t="s">
        <v>132</v>
      </c>
      <c r="N28" s="14" t="s">
        <v>18175</v>
      </c>
      <c r="O28" s="14" t="s">
        <v>306</v>
      </c>
      <c r="P28" s="14" t="str">
        <f>HYPERLINK("https://dexscreener.com/solana/yG6bXPEFaUnGAEHHqH9H7t1VSfaK7YrggCqHy35pump", "View")</f>
        <v>View</v>
      </c>
    </row>
    <row r="29" spans="1:16" x14ac:dyDescent="0.25">
      <c r="A29" s="16" t="s">
        <v>5394</v>
      </c>
      <c r="B29" s="17">
        <v>3257250</v>
      </c>
      <c r="C29" s="17">
        <v>0</v>
      </c>
      <c r="D29" s="17" t="s">
        <v>2050</v>
      </c>
      <c r="E29" s="17" t="s">
        <v>11453</v>
      </c>
      <c r="F29" s="17" t="s">
        <v>96</v>
      </c>
      <c r="G29" s="18" t="s">
        <v>8972</v>
      </c>
      <c r="H29" s="18" t="s">
        <v>98</v>
      </c>
      <c r="I29" s="17" t="s">
        <v>18176</v>
      </c>
      <c r="J29" s="17">
        <v>4</v>
      </c>
      <c r="K29" s="17">
        <v>0</v>
      </c>
      <c r="L29" s="17" t="s">
        <v>18177</v>
      </c>
      <c r="M29" s="17" t="s">
        <v>1957</v>
      </c>
      <c r="N29" s="17" t="s">
        <v>18178</v>
      </c>
      <c r="O29" s="17" t="s">
        <v>18179</v>
      </c>
      <c r="P29" s="17" t="str">
        <f>HYPERLINK("https://dexscreener.com/solana/EH7x3FBdJfdpPRwvYaFoHBBJWWzqC7XWczDG96tJpump", "View")</f>
        <v>View</v>
      </c>
    </row>
    <row r="30" spans="1:16" x14ac:dyDescent="0.25">
      <c r="A30" s="13" t="s">
        <v>1716</v>
      </c>
      <c r="B30" s="14">
        <v>402638</v>
      </c>
      <c r="C30" s="14">
        <v>0</v>
      </c>
      <c r="D30" s="14" t="s">
        <v>17043</v>
      </c>
      <c r="E30" s="14" t="s">
        <v>6107</v>
      </c>
      <c r="F30" s="14" t="s">
        <v>96</v>
      </c>
      <c r="G30" s="18" t="s">
        <v>18180</v>
      </c>
      <c r="H30" s="18" t="s">
        <v>98</v>
      </c>
      <c r="I30" s="14" t="s">
        <v>18181</v>
      </c>
      <c r="J30" s="14">
        <v>1</v>
      </c>
      <c r="K30" s="14">
        <v>0</v>
      </c>
      <c r="L30" s="14" t="s">
        <v>18182</v>
      </c>
      <c r="M30" s="19" t="s">
        <v>101</v>
      </c>
      <c r="N30" s="14" t="s">
        <v>18183</v>
      </c>
      <c r="O30" s="14" t="s">
        <v>1723</v>
      </c>
      <c r="P30" s="14" t="str">
        <f>HYPERLINK("https://dexscreener.com/solana/J82NaLpNXmBHgHQ229jko8mtPLyxCaRK7Wq6ZTGcpump", "View")</f>
        <v>View</v>
      </c>
    </row>
    <row r="31" spans="1:16" x14ac:dyDescent="0.25">
      <c r="A31" s="16" t="s">
        <v>18184</v>
      </c>
      <c r="B31" s="17">
        <v>1378358</v>
      </c>
      <c r="C31" s="17">
        <v>0</v>
      </c>
      <c r="D31" s="17" t="s">
        <v>16473</v>
      </c>
      <c r="E31" s="17" t="s">
        <v>18127</v>
      </c>
      <c r="F31" s="17" t="s">
        <v>96</v>
      </c>
      <c r="G31" s="18" t="s">
        <v>18138</v>
      </c>
      <c r="H31" s="18" t="s">
        <v>98</v>
      </c>
      <c r="I31" s="17" t="s">
        <v>18185</v>
      </c>
      <c r="J31" s="17">
        <v>2</v>
      </c>
      <c r="K31" s="17">
        <v>0</v>
      </c>
      <c r="L31" s="17" t="s">
        <v>18186</v>
      </c>
      <c r="M31" s="17" t="s">
        <v>179</v>
      </c>
      <c r="N31" s="17" t="s">
        <v>18187</v>
      </c>
      <c r="O31" s="17" t="s">
        <v>18188</v>
      </c>
      <c r="P31" s="17" t="str">
        <f>HYPERLINK("https://dexscreener.com/solana/8NsqoB57Mf2Fa9py1eC6LJtuNnP1Gyrq5oN64nv2Zr6Y", "View")</f>
        <v>View</v>
      </c>
    </row>
    <row r="32" spans="1:16" x14ac:dyDescent="0.25">
      <c r="A32" s="13" t="s">
        <v>1794</v>
      </c>
      <c r="B32" s="14">
        <v>230124</v>
      </c>
      <c r="C32" s="14">
        <v>0</v>
      </c>
      <c r="D32" s="14" t="s">
        <v>16473</v>
      </c>
      <c r="E32" s="14" t="s">
        <v>18127</v>
      </c>
      <c r="F32" s="14" t="s">
        <v>96</v>
      </c>
      <c r="G32" s="18" t="s">
        <v>18138</v>
      </c>
      <c r="H32" s="18" t="s">
        <v>98</v>
      </c>
      <c r="I32" s="14" t="s">
        <v>18189</v>
      </c>
      <c r="J32" s="14">
        <v>2</v>
      </c>
      <c r="K32" s="14">
        <v>0</v>
      </c>
      <c r="L32" s="14" t="s">
        <v>18190</v>
      </c>
      <c r="M32" s="14" t="s">
        <v>1986</v>
      </c>
      <c r="N32" s="14" t="s">
        <v>18191</v>
      </c>
      <c r="O32" s="14" t="s">
        <v>1802</v>
      </c>
      <c r="P32" s="14" t="str">
        <f>HYPERLINK("https://dexscreener.com/solana/WziqSdg6EGYooGBmoxeUWLe2Czwk7AsEH2J42cepump", "View")</f>
        <v>View</v>
      </c>
    </row>
    <row r="33" spans="1:16" x14ac:dyDescent="0.25">
      <c r="A33" s="16" t="s">
        <v>6178</v>
      </c>
      <c r="B33" s="17">
        <v>534627</v>
      </c>
      <c r="C33" s="17">
        <v>0</v>
      </c>
      <c r="D33" s="17" t="s">
        <v>17043</v>
      </c>
      <c r="E33" s="17" t="s">
        <v>6107</v>
      </c>
      <c r="F33" s="17" t="s">
        <v>96</v>
      </c>
      <c r="G33" s="18" t="s">
        <v>18180</v>
      </c>
      <c r="H33" s="18" t="s">
        <v>98</v>
      </c>
      <c r="I33" s="17" t="s">
        <v>18192</v>
      </c>
      <c r="J33" s="17">
        <v>1</v>
      </c>
      <c r="K33" s="17">
        <v>0</v>
      </c>
      <c r="L33" s="17" t="s">
        <v>18193</v>
      </c>
      <c r="M33" s="19" t="s">
        <v>101</v>
      </c>
      <c r="N33" s="17" t="s">
        <v>18194</v>
      </c>
      <c r="O33" s="17" t="s">
        <v>18195</v>
      </c>
      <c r="P33" s="17" t="str">
        <f>HYPERLINK("https://dexscreener.com/solana/7aJjN1NYcCoUeavKcDfY8rsGZXyF1RoYg9fDqtbepump", "View")</f>
        <v>View</v>
      </c>
    </row>
    <row r="34" spans="1:16" x14ac:dyDescent="0.25">
      <c r="A34" s="13" t="s">
        <v>18196</v>
      </c>
      <c r="B34" s="14">
        <v>3055437</v>
      </c>
      <c r="C34" s="14">
        <v>0</v>
      </c>
      <c r="D34" s="14" t="s">
        <v>17043</v>
      </c>
      <c r="E34" s="14" t="s">
        <v>6107</v>
      </c>
      <c r="F34" s="14" t="s">
        <v>96</v>
      </c>
      <c r="G34" s="18" t="s">
        <v>18180</v>
      </c>
      <c r="H34" s="18" t="s">
        <v>98</v>
      </c>
      <c r="I34" s="14" t="s">
        <v>18197</v>
      </c>
      <c r="J34" s="14">
        <v>1</v>
      </c>
      <c r="K34" s="14">
        <v>0</v>
      </c>
      <c r="L34" s="14" t="s">
        <v>8521</v>
      </c>
      <c r="M34" s="19" t="s">
        <v>101</v>
      </c>
      <c r="N34" s="14" t="s">
        <v>10912</v>
      </c>
      <c r="O34" s="14" t="s">
        <v>18198</v>
      </c>
      <c r="P34" s="14" t="str">
        <f>HYPERLINK("https://dexscreener.com/solana/AdCYzsjWeK9KrBeFgpkXTpGqajSMLJXnhgoUj55Av9dg", "View")</f>
        <v>View</v>
      </c>
    </row>
    <row r="35" spans="1:16" x14ac:dyDescent="0.25">
      <c r="A35" s="16" t="s">
        <v>18199</v>
      </c>
      <c r="B35" s="17">
        <v>1317370</v>
      </c>
      <c r="C35" s="17">
        <v>0</v>
      </c>
      <c r="D35" s="17" t="s">
        <v>18126</v>
      </c>
      <c r="E35" s="17" t="s">
        <v>13772</v>
      </c>
      <c r="F35" s="17" t="s">
        <v>96</v>
      </c>
      <c r="G35" s="18" t="s">
        <v>18200</v>
      </c>
      <c r="H35" s="18" t="s">
        <v>98</v>
      </c>
      <c r="I35" s="17" t="s">
        <v>18201</v>
      </c>
      <c r="J35" s="17">
        <v>3</v>
      </c>
      <c r="K35" s="17">
        <v>0</v>
      </c>
      <c r="L35" s="17" t="s">
        <v>18202</v>
      </c>
      <c r="M35" s="17" t="s">
        <v>9948</v>
      </c>
      <c r="N35" s="17" t="s">
        <v>18203</v>
      </c>
      <c r="O35" s="17" t="s">
        <v>18204</v>
      </c>
      <c r="P35" s="17" t="str">
        <f>HYPERLINK("https://dexscreener.com/solana/6UmGJtWHW13YLJCrdk9jEAnHeSgARTJEfCVV1sX4pump", "View")</f>
        <v>View</v>
      </c>
    </row>
    <row r="36" spans="1:16" x14ac:dyDescent="0.25">
      <c r="A36" s="13" t="s">
        <v>18205</v>
      </c>
      <c r="B36" s="14">
        <v>1009214</v>
      </c>
      <c r="C36" s="14">
        <v>0</v>
      </c>
      <c r="D36" s="14" t="s">
        <v>16473</v>
      </c>
      <c r="E36" s="14" t="s">
        <v>18127</v>
      </c>
      <c r="F36" s="14" t="s">
        <v>96</v>
      </c>
      <c r="G36" s="18" t="s">
        <v>18138</v>
      </c>
      <c r="H36" s="18" t="s">
        <v>98</v>
      </c>
      <c r="I36" s="14" t="s">
        <v>18206</v>
      </c>
      <c r="J36" s="14">
        <v>2</v>
      </c>
      <c r="K36" s="14">
        <v>0</v>
      </c>
      <c r="L36" s="14" t="s">
        <v>18207</v>
      </c>
      <c r="M36" s="14" t="s">
        <v>179</v>
      </c>
      <c r="N36" s="14" t="s">
        <v>18208</v>
      </c>
      <c r="O36" s="14" t="s">
        <v>18209</v>
      </c>
      <c r="P36" s="14" t="str">
        <f>HYPERLINK("https://dexscreener.com/solana/GsthSaaJHAeCGq5bzCwxUDFP42oagtt6Y6ZC6Exnpump", "View")</f>
        <v>View</v>
      </c>
    </row>
    <row r="37" spans="1:16" x14ac:dyDescent="0.25">
      <c r="A37" s="16" t="s">
        <v>11333</v>
      </c>
      <c r="B37" s="17">
        <v>2695408</v>
      </c>
      <c r="C37" s="17">
        <v>673852</v>
      </c>
      <c r="D37" s="17" t="s">
        <v>10436</v>
      </c>
      <c r="E37" s="17" t="s">
        <v>10388</v>
      </c>
      <c r="F37" s="17" t="s">
        <v>2952</v>
      </c>
      <c r="G37" s="15" t="s">
        <v>18210</v>
      </c>
      <c r="H37" s="15" t="s">
        <v>18211</v>
      </c>
      <c r="I37" s="17" t="s">
        <v>88</v>
      </c>
      <c r="J37" s="17">
        <v>4</v>
      </c>
      <c r="K37" s="17">
        <v>1</v>
      </c>
      <c r="L37" s="17" t="s">
        <v>18212</v>
      </c>
      <c r="M37" s="17" t="s">
        <v>287</v>
      </c>
      <c r="N37" s="17" t="s">
        <v>18213</v>
      </c>
      <c r="O37" s="17" t="s">
        <v>18214</v>
      </c>
      <c r="P37" s="17" t="str">
        <f>HYPERLINK("https://dexscreener.com/solana/5cdU1CWGFxcgAG3vLbrTi48AsH1ZL2oMRAGDJLrWpump", "View")</f>
        <v>View</v>
      </c>
    </row>
    <row r="38" spans="1:16" x14ac:dyDescent="0.25">
      <c r="A38" s="13" t="s">
        <v>18215</v>
      </c>
      <c r="B38" s="14">
        <v>1735464</v>
      </c>
      <c r="C38" s="14">
        <v>0</v>
      </c>
      <c r="D38" s="14" t="s">
        <v>17043</v>
      </c>
      <c r="E38" s="14" t="s">
        <v>6107</v>
      </c>
      <c r="F38" s="14" t="s">
        <v>96</v>
      </c>
      <c r="G38" s="18" t="s">
        <v>18180</v>
      </c>
      <c r="H38" s="18" t="s">
        <v>98</v>
      </c>
      <c r="I38" s="14" t="s">
        <v>18216</v>
      </c>
      <c r="J38" s="14">
        <v>1</v>
      </c>
      <c r="K38" s="14">
        <v>0</v>
      </c>
      <c r="L38" s="14" t="s">
        <v>18217</v>
      </c>
      <c r="M38" s="19" t="s">
        <v>101</v>
      </c>
      <c r="N38" s="14" t="s">
        <v>16062</v>
      </c>
      <c r="O38" s="14" t="s">
        <v>18218</v>
      </c>
      <c r="P38" s="14" t="str">
        <f>HYPERLINK("https://dexscreener.com/solana/DyjxrHGPiZYeanHJpSQS8gENSPfZgaqh1MdR4AoFpump", "View")</f>
        <v>View</v>
      </c>
    </row>
    <row r="39" spans="1:16" x14ac:dyDescent="0.25">
      <c r="A39" s="16" t="s">
        <v>18219</v>
      </c>
      <c r="B39" s="17">
        <v>3455524</v>
      </c>
      <c r="C39" s="17">
        <v>3122475</v>
      </c>
      <c r="D39" s="17" t="s">
        <v>18220</v>
      </c>
      <c r="E39" s="17" t="s">
        <v>15317</v>
      </c>
      <c r="F39" s="17" t="s">
        <v>18221</v>
      </c>
      <c r="G39" s="21" t="s">
        <v>18222</v>
      </c>
      <c r="H39" s="21" t="s">
        <v>18223</v>
      </c>
      <c r="I39" s="17" t="s">
        <v>88</v>
      </c>
      <c r="J39" s="17">
        <v>3</v>
      </c>
      <c r="K39" s="17">
        <v>3</v>
      </c>
      <c r="L39" s="17" t="s">
        <v>18224</v>
      </c>
      <c r="M39" s="17" t="s">
        <v>680</v>
      </c>
      <c r="N39" s="17" t="s">
        <v>18225</v>
      </c>
      <c r="O39" s="17" t="s">
        <v>18226</v>
      </c>
      <c r="P39" s="17" t="str">
        <f>HYPERLINK("https://photon-sol.tinyastro.io/en/lp/4LzqcMvVM56wSDVpnRfK6VwLKyxJkcDCJuQMaEDkpump?handle=676050794bc1b1657a56b", "View")</f>
        <v>View</v>
      </c>
    </row>
    <row r="40" spans="1:16" x14ac:dyDescent="0.25">
      <c r="A40" s="13" t="s">
        <v>18227</v>
      </c>
      <c r="B40" s="14">
        <v>1164184</v>
      </c>
      <c r="C40" s="14">
        <v>0</v>
      </c>
      <c r="D40" s="14" t="s">
        <v>16473</v>
      </c>
      <c r="E40" s="14" t="s">
        <v>18127</v>
      </c>
      <c r="F40" s="14" t="s">
        <v>96</v>
      </c>
      <c r="G40" s="18" t="s">
        <v>18138</v>
      </c>
      <c r="H40" s="18" t="s">
        <v>98</v>
      </c>
      <c r="I40" s="14" t="s">
        <v>18228</v>
      </c>
      <c r="J40" s="14">
        <v>2</v>
      </c>
      <c r="K40" s="14">
        <v>0</v>
      </c>
      <c r="L40" s="14" t="s">
        <v>18229</v>
      </c>
      <c r="M40" s="14" t="s">
        <v>2113</v>
      </c>
      <c r="N40" s="14" t="s">
        <v>18230</v>
      </c>
      <c r="O40" s="14" t="s">
        <v>18231</v>
      </c>
      <c r="P40" s="14" t="str">
        <f>HYPERLINK("https://dexscreener.com/solana/9AFJZo69ATfqf6qms3kd2hyDg7wKt1MHhr6dg8Tspump", "View")</f>
        <v>View</v>
      </c>
    </row>
    <row r="41" spans="1:16" x14ac:dyDescent="0.25">
      <c r="A41" s="16" t="s">
        <v>18232</v>
      </c>
      <c r="B41" s="17">
        <v>914832</v>
      </c>
      <c r="C41" s="17">
        <v>0</v>
      </c>
      <c r="D41" s="17" t="s">
        <v>17043</v>
      </c>
      <c r="E41" s="17" t="s">
        <v>16263</v>
      </c>
      <c r="F41" s="17" t="s">
        <v>96</v>
      </c>
      <c r="G41" s="18" t="s">
        <v>16303</v>
      </c>
      <c r="H41" s="18" t="s">
        <v>98</v>
      </c>
      <c r="I41" s="17" t="s">
        <v>18233</v>
      </c>
      <c r="J41" s="17">
        <v>1</v>
      </c>
      <c r="K41" s="17">
        <v>0</v>
      </c>
      <c r="L41" s="17" t="s">
        <v>18234</v>
      </c>
      <c r="M41" s="19" t="s">
        <v>101</v>
      </c>
      <c r="N41" s="17" t="s">
        <v>5597</v>
      </c>
      <c r="O41" s="17" t="s">
        <v>18235</v>
      </c>
      <c r="P41" s="17" t="str">
        <f>HYPERLINK("https://photon-sol.tinyastro.io/en/lp/Mi4HNi4W2S5yniCxq1t8mA4rWHgMnZbV9izRtMapump?handle=676050794bc1b1657a56b", "View")</f>
        <v>View</v>
      </c>
    </row>
    <row r="42" spans="1:16" x14ac:dyDescent="0.25">
      <c r="A42" s="13" t="s">
        <v>6587</v>
      </c>
      <c r="B42" s="14">
        <v>423589</v>
      </c>
      <c r="C42" s="14">
        <v>105855</v>
      </c>
      <c r="D42" s="14" t="s">
        <v>10436</v>
      </c>
      <c r="E42" s="14" t="s">
        <v>10388</v>
      </c>
      <c r="F42" s="14" t="s">
        <v>5982</v>
      </c>
      <c r="G42" s="20" t="s">
        <v>3623</v>
      </c>
      <c r="H42" s="20" t="s">
        <v>18236</v>
      </c>
      <c r="I42" s="14" t="s">
        <v>88</v>
      </c>
      <c r="J42" s="14">
        <v>4</v>
      </c>
      <c r="K42" s="14">
        <v>1</v>
      </c>
      <c r="L42" s="14" t="s">
        <v>18237</v>
      </c>
      <c r="M42" s="14" t="s">
        <v>672</v>
      </c>
      <c r="N42" s="14" t="s">
        <v>18238</v>
      </c>
      <c r="O42" s="14" t="s">
        <v>6595</v>
      </c>
      <c r="P42" s="14" t="str">
        <f>HYPERLINK("https://dexscreener.com/solana/Fof1DyVSYiQGCnT3uTbmq8kQMPdwL35x1bD82NaTs9mM", "View")</f>
        <v>View</v>
      </c>
    </row>
    <row r="43" spans="1:16" x14ac:dyDescent="0.25">
      <c r="A43" s="16" t="s">
        <v>5561</v>
      </c>
      <c r="B43" s="17">
        <v>72813</v>
      </c>
      <c r="C43" s="17">
        <v>0</v>
      </c>
      <c r="D43" s="17" t="s">
        <v>18126</v>
      </c>
      <c r="E43" s="17" t="s">
        <v>1989</v>
      </c>
      <c r="F43" s="17" t="s">
        <v>96</v>
      </c>
      <c r="G43" s="18" t="s">
        <v>18239</v>
      </c>
      <c r="H43" s="18" t="s">
        <v>98</v>
      </c>
      <c r="I43" s="17" t="s">
        <v>18240</v>
      </c>
      <c r="J43" s="17">
        <v>3</v>
      </c>
      <c r="K43" s="17">
        <v>0</v>
      </c>
      <c r="L43" s="17" t="s">
        <v>18241</v>
      </c>
      <c r="M43" s="17" t="s">
        <v>132</v>
      </c>
      <c r="N43" s="17" t="s">
        <v>11964</v>
      </c>
      <c r="O43" s="17" t="s">
        <v>18242</v>
      </c>
      <c r="P43" s="17" t="str">
        <f>HYPERLINK("https://dexscreener.com/solana/CefZxozhhxK88XPJoeWBczYSaBPd35tsKnziTH6Cpump", "View")</f>
        <v>View</v>
      </c>
    </row>
    <row r="44" spans="1:16" x14ac:dyDescent="0.25">
      <c r="A44" s="13" t="s">
        <v>4879</v>
      </c>
      <c r="B44" s="14">
        <v>2003960</v>
      </c>
      <c r="C44" s="14">
        <v>2003960</v>
      </c>
      <c r="D44" s="14" t="s">
        <v>2050</v>
      </c>
      <c r="E44" s="14" t="s">
        <v>12242</v>
      </c>
      <c r="F44" s="14" t="s">
        <v>5139</v>
      </c>
      <c r="G44" s="15" t="s">
        <v>9925</v>
      </c>
      <c r="H44" s="15" t="s">
        <v>18243</v>
      </c>
      <c r="I44" s="14" t="s">
        <v>88</v>
      </c>
      <c r="J44" s="14">
        <v>3</v>
      </c>
      <c r="K44" s="14">
        <v>1</v>
      </c>
      <c r="L44" s="14" t="s">
        <v>18244</v>
      </c>
      <c r="M44" s="14" t="s">
        <v>179</v>
      </c>
      <c r="N44" s="14" t="s">
        <v>18245</v>
      </c>
      <c r="O44" s="14" t="s">
        <v>4884</v>
      </c>
      <c r="P44" s="14" t="str">
        <f>HYPERLINK("https://dexscreener.com/solana/EegQmCFNWdhZsh75XUdW2TaM8S13LAGf6JzNgHpxpump", "View")</f>
        <v>View</v>
      </c>
    </row>
    <row r="45" spans="1:16" x14ac:dyDescent="0.25">
      <c r="A45" s="16" t="s">
        <v>2642</v>
      </c>
      <c r="B45" s="17">
        <v>245365</v>
      </c>
      <c r="C45" s="17">
        <v>245365</v>
      </c>
      <c r="D45" s="17" t="s">
        <v>2050</v>
      </c>
      <c r="E45" s="17" t="s">
        <v>13772</v>
      </c>
      <c r="F45" s="17" t="s">
        <v>1361</v>
      </c>
      <c r="G45" s="22" t="s">
        <v>4806</v>
      </c>
      <c r="H45" s="22" t="s">
        <v>18246</v>
      </c>
      <c r="I45" s="17" t="s">
        <v>88</v>
      </c>
      <c r="J45" s="17">
        <v>2</v>
      </c>
      <c r="K45" s="17">
        <v>2</v>
      </c>
      <c r="L45" s="17" t="s">
        <v>18247</v>
      </c>
      <c r="M45" s="17" t="s">
        <v>179</v>
      </c>
      <c r="N45" s="17" t="s">
        <v>18248</v>
      </c>
      <c r="O45" s="17" t="s">
        <v>2650</v>
      </c>
      <c r="P45" s="17" t="str">
        <f>HYPERLINK("https://dexscreener.com/solana/9Z3LF3ymEVwCPLd9uBda9ieySYKVK7MzukPRGHDPpump", "View")</f>
        <v>View</v>
      </c>
    </row>
    <row r="46" spans="1:16" x14ac:dyDescent="0.25">
      <c r="A46" s="13" t="s">
        <v>1637</v>
      </c>
      <c r="B46" s="14">
        <v>2631030</v>
      </c>
      <c r="C46" s="14">
        <v>0</v>
      </c>
      <c r="D46" s="14" t="s">
        <v>18126</v>
      </c>
      <c r="E46" s="14" t="s">
        <v>7803</v>
      </c>
      <c r="F46" s="14" t="s">
        <v>96</v>
      </c>
      <c r="G46" s="18" t="s">
        <v>18249</v>
      </c>
      <c r="H46" s="18" t="s">
        <v>98</v>
      </c>
      <c r="I46" s="14" t="s">
        <v>18250</v>
      </c>
      <c r="J46" s="14">
        <v>3</v>
      </c>
      <c r="K46" s="14">
        <v>0</v>
      </c>
      <c r="L46" s="14" t="s">
        <v>18251</v>
      </c>
      <c r="M46" s="14" t="s">
        <v>680</v>
      </c>
      <c r="N46" s="14" t="s">
        <v>18252</v>
      </c>
      <c r="O46" s="14" t="s">
        <v>1644</v>
      </c>
      <c r="P46" s="14" t="str">
        <f>HYPERLINK("https://dexscreener.com/solana/GYCvL5ikdJbTq6b2DDq8DffYwFNbs4hWySMUiqfHpump", "View")</f>
        <v>View</v>
      </c>
    </row>
    <row r="47" spans="1:16" x14ac:dyDescent="0.25">
      <c r="A47" s="16" t="s">
        <v>18253</v>
      </c>
      <c r="B47" s="17">
        <v>1170345</v>
      </c>
      <c r="C47" s="17">
        <v>0</v>
      </c>
      <c r="D47" s="17" t="s">
        <v>17043</v>
      </c>
      <c r="E47" s="17" t="s">
        <v>16263</v>
      </c>
      <c r="F47" s="17" t="s">
        <v>96</v>
      </c>
      <c r="G47" s="18" t="s">
        <v>16303</v>
      </c>
      <c r="H47" s="18" t="s">
        <v>98</v>
      </c>
      <c r="I47" s="17" t="s">
        <v>18254</v>
      </c>
      <c r="J47" s="17">
        <v>1</v>
      </c>
      <c r="K47" s="17">
        <v>0</v>
      </c>
      <c r="L47" s="17" t="s">
        <v>18255</v>
      </c>
      <c r="M47" s="19" t="s">
        <v>101</v>
      </c>
      <c r="N47" s="17" t="s">
        <v>16185</v>
      </c>
      <c r="O47" s="17" t="s">
        <v>18256</v>
      </c>
      <c r="P47" s="17" t="str">
        <f>HYPERLINK("https://photon-sol.tinyastro.io/en/lp/9WMEaYeaWTHB3HZD2dPocwD3c7wtw3tgtBSdZcEcpump?handle=676050794bc1b1657a56b", "View")</f>
        <v>View</v>
      </c>
    </row>
    <row r="48" spans="1:16" x14ac:dyDescent="0.25">
      <c r="A48" s="13" t="s">
        <v>3804</v>
      </c>
      <c r="B48" s="14">
        <v>365494</v>
      </c>
      <c r="C48" s="14">
        <v>0</v>
      </c>
      <c r="D48" s="14" t="s">
        <v>17043</v>
      </c>
      <c r="E48" s="14" t="s">
        <v>11792</v>
      </c>
      <c r="F48" s="14" t="s">
        <v>96</v>
      </c>
      <c r="G48" s="18" t="s">
        <v>18257</v>
      </c>
      <c r="H48" s="18" t="s">
        <v>98</v>
      </c>
      <c r="I48" s="14" t="s">
        <v>18258</v>
      </c>
      <c r="J48" s="14">
        <v>1</v>
      </c>
      <c r="K48" s="14">
        <v>0</v>
      </c>
      <c r="L48" s="14" t="s">
        <v>18259</v>
      </c>
      <c r="M48" s="19" t="s">
        <v>101</v>
      </c>
      <c r="N48" s="14" t="s">
        <v>18260</v>
      </c>
      <c r="O48" s="14" t="s">
        <v>11332</v>
      </c>
      <c r="P48" s="14" t="str">
        <f>HYPERLINK("https://dexscreener.com/solana/5pKzD7VCY27no9cN31dYvgzZMAWRPUUHL4xK75FYpump", "View")</f>
        <v>View</v>
      </c>
    </row>
    <row r="49" spans="1:16" x14ac:dyDescent="0.25">
      <c r="A49" s="16" t="s">
        <v>1110</v>
      </c>
      <c r="B49" s="17">
        <v>5047497</v>
      </c>
      <c r="C49" s="17">
        <v>5047497</v>
      </c>
      <c r="D49" s="17" t="s">
        <v>10436</v>
      </c>
      <c r="E49" s="17" t="s">
        <v>10388</v>
      </c>
      <c r="F49" s="17" t="s">
        <v>3221</v>
      </c>
      <c r="G49" s="20" t="s">
        <v>3846</v>
      </c>
      <c r="H49" s="20" t="s">
        <v>18261</v>
      </c>
      <c r="I49" s="17" t="s">
        <v>88</v>
      </c>
      <c r="J49" s="17">
        <v>4</v>
      </c>
      <c r="K49" s="17">
        <v>1</v>
      </c>
      <c r="L49" s="17" t="s">
        <v>18262</v>
      </c>
      <c r="M49" s="17" t="s">
        <v>4385</v>
      </c>
      <c r="N49" s="17" t="s">
        <v>18263</v>
      </c>
      <c r="O49" s="17" t="s">
        <v>1116</v>
      </c>
      <c r="P49" s="17" t="str">
        <f>HYPERLINK("https://dexscreener.com/solana/FLuxaik9EoUh4ZwTT8ZhMmNh27XbTcabTMRGSXHvpump", "View")</f>
        <v>View</v>
      </c>
    </row>
    <row r="50" spans="1:16" x14ac:dyDescent="0.25">
      <c r="A50" s="13" t="s">
        <v>18264</v>
      </c>
      <c r="B50" s="14">
        <v>455290</v>
      </c>
      <c r="C50" s="14">
        <v>0</v>
      </c>
      <c r="D50" s="14" t="s">
        <v>17043</v>
      </c>
      <c r="E50" s="14" t="s">
        <v>2580</v>
      </c>
      <c r="F50" s="14" t="s">
        <v>96</v>
      </c>
      <c r="G50" s="18" t="s">
        <v>18265</v>
      </c>
      <c r="H50" s="18" t="s">
        <v>98</v>
      </c>
      <c r="I50" s="14" t="s">
        <v>18266</v>
      </c>
      <c r="J50" s="14">
        <v>1</v>
      </c>
      <c r="K50" s="14">
        <v>0</v>
      </c>
      <c r="L50" s="14" t="s">
        <v>18267</v>
      </c>
      <c r="M50" s="19" t="s">
        <v>101</v>
      </c>
      <c r="N50" s="14" t="s">
        <v>1033</v>
      </c>
      <c r="O50" s="14" t="s">
        <v>18268</v>
      </c>
      <c r="P50" s="14" t="str">
        <f>HYPERLINK("https://dexscreener.com/solana/BrgsAX2nx5tT3VxCPvmUu1yWKguFw58Kjqz4vAWQpump", "View")</f>
        <v>View</v>
      </c>
    </row>
    <row r="51" spans="1:16" x14ac:dyDescent="0.25">
      <c r="A51" s="16" t="s">
        <v>18269</v>
      </c>
      <c r="B51" s="17">
        <v>2415949</v>
      </c>
      <c r="C51" s="17">
        <v>0</v>
      </c>
      <c r="D51" s="17" t="s">
        <v>18126</v>
      </c>
      <c r="E51" s="17" t="s">
        <v>18270</v>
      </c>
      <c r="F51" s="17" t="s">
        <v>96</v>
      </c>
      <c r="G51" s="18" t="s">
        <v>18271</v>
      </c>
      <c r="H51" s="18" t="s">
        <v>98</v>
      </c>
      <c r="I51" s="17" t="s">
        <v>18272</v>
      </c>
      <c r="J51" s="17">
        <v>3</v>
      </c>
      <c r="K51" s="17">
        <v>0</v>
      </c>
      <c r="L51" s="17" t="s">
        <v>18273</v>
      </c>
      <c r="M51" s="17" t="s">
        <v>132</v>
      </c>
      <c r="N51" s="17" t="s">
        <v>18274</v>
      </c>
      <c r="O51" s="17" t="s">
        <v>18275</v>
      </c>
      <c r="P51" s="17" t="str">
        <f>HYPERLINK("https://dexscreener.com/solana/aLaZ7pqNznDjDUw6D15r4VCmogF8cKtYTaKaUGipump", "View")</f>
        <v>View</v>
      </c>
    </row>
    <row r="52" spans="1:16" x14ac:dyDescent="0.25">
      <c r="A52" s="13" t="s">
        <v>271</v>
      </c>
      <c r="B52" s="14">
        <v>1028060</v>
      </c>
      <c r="C52" s="14">
        <v>379583</v>
      </c>
      <c r="D52" s="14" t="s">
        <v>18276</v>
      </c>
      <c r="E52" s="14" t="s">
        <v>3045</v>
      </c>
      <c r="F52" s="14" t="s">
        <v>18277</v>
      </c>
      <c r="G52" s="21" t="s">
        <v>18278</v>
      </c>
      <c r="H52" s="21" t="s">
        <v>18279</v>
      </c>
      <c r="I52" s="14" t="s">
        <v>88</v>
      </c>
      <c r="J52" s="14">
        <v>2</v>
      </c>
      <c r="K52" s="14">
        <v>3</v>
      </c>
      <c r="L52" s="14" t="s">
        <v>18280</v>
      </c>
      <c r="M52" s="14" t="s">
        <v>5061</v>
      </c>
      <c r="N52" s="14" t="s">
        <v>18281</v>
      </c>
      <c r="O52" s="14" t="s">
        <v>279</v>
      </c>
      <c r="P52" s="14" t="str">
        <f>HYPERLINK("https://dexscreener.com/solana/8x5VqbHA8D7NkD52uNuS5nnt3PwA8pLD34ymskeSo2Wn", "View")</f>
        <v>View</v>
      </c>
    </row>
    <row r="53" spans="1:16" x14ac:dyDescent="0.25">
      <c r="A53" s="16" t="s">
        <v>18056</v>
      </c>
      <c r="B53" s="17">
        <v>2851540</v>
      </c>
      <c r="C53" s="17">
        <v>2049330</v>
      </c>
      <c r="D53" s="17" t="s">
        <v>10436</v>
      </c>
      <c r="E53" s="17" t="s">
        <v>3387</v>
      </c>
      <c r="F53" s="17" t="s">
        <v>18282</v>
      </c>
      <c r="G53" s="21" t="s">
        <v>18283</v>
      </c>
      <c r="H53" s="21" t="s">
        <v>18284</v>
      </c>
      <c r="I53" s="17" t="s">
        <v>88</v>
      </c>
      <c r="J53" s="17">
        <v>2</v>
      </c>
      <c r="K53" s="17">
        <v>3</v>
      </c>
      <c r="L53" s="17" t="s">
        <v>18285</v>
      </c>
      <c r="M53" s="17" t="s">
        <v>179</v>
      </c>
      <c r="N53" s="17" t="s">
        <v>18286</v>
      </c>
      <c r="O53" s="17" t="s">
        <v>18287</v>
      </c>
      <c r="P53" s="17" t="str">
        <f>HYPERLINK("https://photon-sol.tinyastro.io/en/lp/59LjgLwuWGnvW2rBZqCyt1JZETj3U2Yajb2uqUbmpump?handle=676050794bc1b1657a56b", "View")</f>
        <v>View</v>
      </c>
    </row>
    <row r="54" spans="1:16" x14ac:dyDescent="0.25">
      <c r="A54" s="13" t="s">
        <v>297</v>
      </c>
      <c r="B54" s="14">
        <v>103169</v>
      </c>
      <c r="C54" s="14">
        <v>0</v>
      </c>
      <c r="D54" s="14" t="s">
        <v>17043</v>
      </c>
      <c r="E54" s="14" t="s">
        <v>2580</v>
      </c>
      <c r="F54" s="14" t="s">
        <v>96</v>
      </c>
      <c r="G54" s="18" t="s">
        <v>18265</v>
      </c>
      <c r="H54" s="18" t="s">
        <v>98</v>
      </c>
      <c r="I54" s="14" t="s">
        <v>18288</v>
      </c>
      <c r="J54" s="14">
        <v>1</v>
      </c>
      <c r="K54" s="14">
        <v>0</v>
      </c>
      <c r="L54" s="14" t="s">
        <v>18289</v>
      </c>
      <c r="M54" s="19" t="s">
        <v>101</v>
      </c>
      <c r="N54" s="14" t="s">
        <v>18290</v>
      </c>
      <c r="O54" s="14" t="s">
        <v>333</v>
      </c>
      <c r="P54" s="14" t="str">
        <f>HYPERLINK("https://dexscreener.com/solana/GqfGQEhQXpKEnsc33fJo8RLjeQBkYvFzgLPDdBwZpump", "View")</f>
        <v>View</v>
      </c>
    </row>
    <row r="55" spans="1:16" x14ac:dyDescent="0.25">
      <c r="A55" s="16" t="s">
        <v>18291</v>
      </c>
      <c r="B55" s="17">
        <v>7394151</v>
      </c>
      <c r="C55" s="17">
        <v>0</v>
      </c>
      <c r="D55" s="17" t="s">
        <v>18126</v>
      </c>
      <c r="E55" s="17" t="s">
        <v>11302</v>
      </c>
      <c r="F55" s="17" t="s">
        <v>96</v>
      </c>
      <c r="G55" s="18" t="s">
        <v>18292</v>
      </c>
      <c r="H55" s="18" t="s">
        <v>98</v>
      </c>
      <c r="I55" s="17" t="s">
        <v>18293</v>
      </c>
      <c r="J55" s="17">
        <v>3</v>
      </c>
      <c r="K55" s="17">
        <v>0</v>
      </c>
      <c r="L55" s="17" t="s">
        <v>18294</v>
      </c>
      <c r="M55" s="17" t="s">
        <v>179</v>
      </c>
      <c r="N55" s="17" t="s">
        <v>18295</v>
      </c>
      <c r="O55" s="17" t="s">
        <v>18296</v>
      </c>
      <c r="P55" s="17" t="str">
        <f>HYPERLINK("https://dexscreener.com/solana/6UvCcz8f5PpdezoqEwxiiqmYQjE1XZ84A4BwxhScpump", "View")</f>
        <v>View</v>
      </c>
    </row>
    <row r="56" spans="1:16" x14ac:dyDescent="0.25">
      <c r="A56" s="13" t="s">
        <v>18297</v>
      </c>
      <c r="B56" s="14">
        <v>527551</v>
      </c>
      <c r="C56" s="14">
        <v>0</v>
      </c>
      <c r="D56" s="14" t="s">
        <v>10436</v>
      </c>
      <c r="E56" s="14" t="s">
        <v>18270</v>
      </c>
      <c r="F56" s="14" t="s">
        <v>96</v>
      </c>
      <c r="G56" s="18" t="s">
        <v>18298</v>
      </c>
      <c r="H56" s="18" t="s">
        <v>98</v>
      </c>
      <c r="I56" s="14" t="s">
        <v>18299</v>
      </c>
      <c r="J56" s="14">
        <v>5</v>
      </c>
      <c r="K56" s="14">
        <v>0</v>
      </c>
      <c r="L56" s="14" t="s">
        <v>18300</v>
      </c>
      <c r="M56" s="14" t="s">
        <v>117</v>
      </c>
      <c r="N56" s="14" t="s">
        <v>18301</v>
      </c>
      <c r="O56" s="14" t="s">
        <v>18302</v>
      </c>
      <c r="P56" s="14" t="str">
        <f>HYPERLINK("https://dexscreener.com/solana/GSxmz5QR42Btg691U8gpDiRRpFmpBrJ6xdCHLcJSpump", "View")</f>
        <v>View</v>
      </c>
    </row>
    <row r="57" spans="1:16" x14ac:dyDescent="0.25">
      <c r="A57" s="16" t="s">
        <v>18303</v>
      </c>
      <c r="B57" s="17">
        <v>541156</v>
      </c>
      <c r="C57" s="17">
        <v>0</v>
      </c>
      <c r="D57" s="17" t="s">
        <v>2050</v>
      </c>
      <c r="E57" s="17" t="s">
        <v>10388</v>
      </c>
      <c r="F57" s="17" t="s">
        <v>96</v>
      </c>
      <c r="G57" s="18" t="s">
        <v>18304</v>
      </c>
      <c r="H57" s="18" t="s">
        <v>98</v>
      </c>
      <c r="I57" s="17" t="s">
        <v>18305</v>
      </c>
      <c r="J57" s="17">
        <v>4</v>
      </c>
      <c r="K57" s="17">
        <v>0</v>
      </c>
      <c r="L57" s="17" t="s">
        <v>18306</v>
      </c>
      <c r="M57" s="17" t="s">
        <v>117</v>
      </c>
      <c r="N57" s="17" t="s">
        <v>18307</v>
      </c>
      <c r="O57" s="17" t="s">
        <v>18308</v>
      </c>
      <c r="P57" s="17" t="str">
        <f>HYPERLINK("https://dexscreener.com/solana/E8XbEd58s12PzTyCWmFpWTTrmr46AhT8beVhdps3pump", "View")</f>
        <v>View</v>
      </c>
    </row>
    <row r="58" spans="1:16" x14ac:dyDescent="0.25">
      <c r="A58" s="13" t="s">
        <v>18309</v>
      </c>
      <c r="B58" s="14">
        <v>2856548</v>
      </c>
      <c r="C58" s="14">
        <v>2856548</v>
      </c>
      <c r="D58" s="14" t="s">
        <v>18126</v>
      </c>
      <c r="E58" s="14" t="s">
        <v>3387</v>
      </c>
      <c r="F58" s="14" t="s">
        <v>3805</v>
      </c>
      <c r="G58" s="20" t="s">
        <v>18310</v>
      </c>
      <c r="H58" s="20" t="s">
        <v>18311</v>
      </c>
      <c r="I58" s="14" t="s">
        <v>88</v>
      </c>
      <c r="J58" s="14">
        <v>2</v>
      </c>
      <c r="K58" s="14">
        <v>1</v>
      </c>
      <c r="L58" s="14" t="s">
        <v>18312</v>
      </c>
      <c r="M58" s="14" t="s">
        <v>179</v>
      </c>
      <c r="N58" s="14" t="s">
        <v>2217</v>
      </c>
      <c r="O58" s="14" t="s">
        <v>18313</v>
      </c>
      <c r="P58" s="14" t="str">
        <f>HYPERLINK("https://photon-sol.tinyastro.io/en/lp/kMgYLBuBbgYTjMcq7F1UtZK1kv4cuPyttrPTpYXpump?handle=676050794bc1b1657a56b", "View")</f>
        <v>View</v>
      </c>
    </row>
    <row r="59" spans="1:16" x14ac:dyDescent="0.25">
      <c r="A59" s="16" t="s">
        <v>1057</v>
      </c>
      <c r="B59" s="17">
        <v>25200</v>
      </c>
      <c r="C59" s="17">
        <v>32906</v>
      </c>
      <c r="D59" s="17" t="s">
        <v>18314</v>
      </c>
      <c r="E59" s="17" t="s">
        <v>6107</v>
      </c>
      <c r="F59" s="17" t="s">
        <v>18315</v>
      </c>
      <c r="G59" s="22" t="s">
        <v>4818</v>
      </c>
      <c r="H59" s="22" t="s">
        <v>18316</v>
      </c>
      <c r="I59" s="17" t="s">
        <v>88</v>
      </c>
      <c r="J59" s="17">
        <v>3</v>
      </c>
      <c r="K59" s="17">
        <v>13</v>
      </c>
      <c r="L59" s="17" t="s">
        <v>18317</v>
      </c>
      <c r="M59" s="17" t="s">
        <v>4558</v>
      </c>
      <c r="N59" s="17" t="s">
        <v>18318</v>
      </c>
      <c r="O59" s="17" t="s">
        <v>1061</v>
      </c>
      <c r="P59" s="17" t="str">
        <f>HYPERLINK("https://dexscreener.com/solana/HeCFQ5hiDZRKVYEuDF1LYBfbYfqAg98CQtbrTR7ipump", "View")</f>
        <v>View</v>
      </c>
    </row>
    <row r="60" spans="1:16" x14ac:dyDescent="0.25">
      <c r="A60" s="13" t="s">
        <v>3650</v>
      </c>
      <c r="B60" s="14">
        <v>830971</v>
      </c>
      <c r="C60" s="14">
        <v>0</v>
      </c>
      <c r="D60" s="14" t="s">
        <v>16473</v>
      </c>
      <c r="E60" s="14" t="s">
        <v>3045</v>
      </c>
      <c r="F60" s="14" t="s">
        <v>96</v>
      </c>
      <c r="G60" s="18" t="s">
        <v>18319</v>
      </c>
      <c r="H60" s="18" t="s">
        <v>98</v>
      </c>
      <c r="I60" s="14" t="s">
        <v>18320</v>
      </c>
      <c r="J60" s="14">
        <v>2</v>
      </c>
      <c r="K60" s="14">
        <v>0</v>
      </c>
      <c r="L60" s="14" t="s">
        <v>18321</v>
      </c>
      <c r="M60" s="14" t="s">
        <v>1526</v>
      </c>
      <c r="N60" s="14" t="s">
        <v>18322</v>
      </c>
      <c r="O60" s="14" t="s">
        <v>3656</v>
      </c>
      <c r="P60" s="14" t="str">
        <f>HYPERLINK("https://dexscreener.com/solana/8uccgTVU9bdjfZagdGzchrPS7j8F4kk6PYKZaK6Hpump", "View")</f>
        <v>View</v>
      </c>
    </row>
    <row r="61" spans="1:16" x14ac:dyDescent="0.25">
      <c r="A61" s="16" t="s">
        <v>11291</v>
      </c>
      <c r="B61" s="17">
        <v>2254830</v>
      </c>
      <c r="C61" s="17">
        <v>0</v>
      </c>
      <c r="D61" s="17" t="s">
        <v>16473</v>
      </c>
      <c r="E61" s="17" t="s">
        <v>3387</v>
      </c>
      <c r="F61" s="17" t="s">
        <v>96</v>
      </c>
      <c r="G61" s="18" t="s">
        <v>16399</v>
      </c>
      <c r="H61" s="18" t="s">
        <v>98</v>
      </c>
      <c r="I61" s="17" t="s">
        <v>18323</v>
      </c>
      <c r="J61" s="17">
        <v>2</v>
      </c>
      <c r="K61" s="17">
        <v>0</v>
      </c>
      <c r="L61" s="17" t="s">
        <v>18324</v>
      </c>
      <c r="M61" s="19" t="s">
        <v>1688</v>
      </c>
      <c r="N61" s="17" t="s">
        <v>18325</v>
      </c>
      <c r="O61" s="17" t="s">
        <v>18326</v>
      </c>
      <c r="P61" s="17" t="str">
        <f>HYPERLINK("https://photon-sol.tinyastro.io/en/lp/Fd1MDcNFVr68mgraB2t2q8o1XsCseFt5nwnEHDtMpump?handle=676050794bc1b1657a56b", "View")</f>
        <v>View</v>
      </c>
    </row>
    <row r="62" spans="1:16" x14ac:dyDescent="0.25">
      <c r="A62" s="13" t="s">
        <v>346</v>
      </c>
      <c r="B62" s="14">
        <v>602000</v>
      </c>
      <c r="C62" s="14">
        <v>0</v>
      </c>
      <c r="D62" s="14" t="s">
        <v>18126</v>
      </c>
      <c r="E62" s="14" t="s">
        <v>11302</v>
      </c>
      <c r="F62" s="14" t="s">
        <v>96</v>
      </c>
      <c r="G62" s="18" t="s">
        <v>18292</v>
      </c>
      <c r="H62" s="18" t="s">
        <v>98</v>
      </c>
      <c r="I62" s="14" t="s">
        <v>18327</v>
      </c>
      <c r="J62" s="14">
        <v>3</v>
      </c>
      <c r="K62" s="14">
        <v>0</v>
      </c>
      <c r="L62" s="14" t="s">
        <v>18328</v>
      </c>
      <c r="M62" s="14" t="s">
        <v>1526</v>
      </c>
      <c r="N62" s="14" t="s">
        <v>18329</v>
      </c>
      <c r="O62" s="14" t="s">
        <v>350</v>
      </c>
      <c r="P62" s="14" t="str">
        <f>HYPERLINK("https://dexscreener.com/solana/51Di9FPc2ZGtJ5UkynkY34QGsXVXyPW8JnmBL6Ljpump", "View")</f>
        <v>View</v>
      </c>
    </row>
    <row r="63" spans="1:16" x14ac:dyDescent="0.25">
      <c r="A63" s="16" t="s">
        <v>9106</v>
      </c>
      <c r="B63" s="17">
        <v>356243</v>
      </c>
      <c r="C63" s="17">
        <v>0</v>
      </c>
      <c r="D63" s="17" t="s">
        <v>17043</v>
      </c>
      <c r="E63" s="17" t="s">
        <v>2580</v>
      </c>
      <c r="F63" s="17" t="s">
        <v>96</v>
      </c>
      <c r="G63" s="18" t="s">
        <v>18265</v>
      </c>
      <c r="H63" s="18" t="s">
        <v>98</v>
      </c>
      <c r="I63" s="17" t="s">
        <v>18330</v>
      </c>
      <c r="J63" s="17">
        <v>1</v>
      </c>
      <c r="K63" s="17">
        <v>0</v>
      </c>
      <c r="L63" s="17" t="s">
        <v>18331</v>
      </c>
      <c r="M63" s="19" t="s">
        <v>101</v>
      </c>
      <c r="N63" s="17" t="s">
        <v>10493</v>
      </c>
      <c r="O63" s="17" t="s">
        <v>18332</v>
      </c>
      <c r="P63" s="17" t="str">
        <f>HYPERLINK("https://dexscreener.com/solana/GF43cKkRpMsPAyjMzQJm9YwHqAMPfVA7P79JuHrYpump", "View")</f>
        <v>View</v>
      </c>
    </row>
    <row r="64" spans="1:16" x14ac:dyDescent="0.25">
      <c r="A64" s="13" t="s">
        <v>18333</v>
      </c>
      <c r="B64" s="14">
        <v>14200</v>
      </c>
      <c r="C64" s="14">
        <v>14200</v>
      </c>
      <c r="D64" s="14" t="s">
        <v>18334</v>
      </c>
      <c r="E64" s="14" t="s">
        <v>18335</v>
      </c>
      <c r="F64" s="14" t="s">
        <v>18336</v>
      </c>
      <c r="G64" s="22" t="s">
        <v>18337</v>
      </c>
      <c r="H64" s="22" t="s">
        <v>18338</v>
      </c>
      <c r="I64" s="14" t="s">
        <v>88</v>
      </c>
      <c r="J64" s="14">
        <v>4</v>
      </c>
      <c r="K64" s="14">
        <v>10</v>
      </c>
      <c r="L64" s="14" t="s">
        <v>18339</v>
      </c>
      <c r="M64" s="14" t="s">
        <v>538</v>
      </c>
      <c r="N64" s="14" t="s">
        <v>18340</v>
      </c>
      <c r="O64" s="14" t="s">
        <v>18341</v>
      </c>
      <c r="P64" s="14" t="str">
        <f>HYPERLINK("https://dexscreener.com/solana/6yjNqPzTSanBWSa6dxVEgTjePXBrZ2FoHLDQwYwEsyM6", "View")</f>
        <v>View</v>
      </c>
    </row>
    <row r="65" spans="1:16" x14ac:dyDescent="0.25">
      <c r="A65" s="16" t="s">
        <v>8581</v>
      </c>
      <c r="B65" s="17">
        <v>411664</v>
      </c>
      <c r="C65" s="17">
        <v>0</v>
      </c>
      <c r="D65" s="17" t="s">
        <v>17043</v>
      </c>
      <c r="E65" s="17" t="s">
        <v>2580</v>
      </c>
      <c r="F65" s="17" t="s">
        <v>96</v>
      </c>
      <c r="G65" s="18" t="s">
        <v>18265</v>
      </c>
      <c r="H65" s="18" t="s">
        <v>98</v>
      </c>
      <c r="I65" s="17" t="s">
        <v>18342</v>
      </c>
      <c r="J65" s="17">
        <v>1</v>
      </c>
      <c r="K65" s="17">
        <v>0</v>
      </c>
      <c r="L65" s="17" t="s">
        <v>18343</v>
      </c>
      <c r="M65" s="19" t="s">
        <v>101</v>
      </c>
      <c r="N65" s="17" t="s">
        <v>5830</v>
      </c>
      <c r="O65" s="17" t="s">
        <v>8586</v>
      </c>
      <c r="P65" s="17" t="str">
        <f>HYPERLINK("https://dexscreener.com/solana/GJmxFKMcQVVLmMuzUUaAC2izAQVjoW3McbjJu3V3pump", "View")</f>
        <v>View</v>
      </c>
    </row>
    <row r="66" spans="1:16" x14ac:dyDescent="0.25">
      <c r="A66" s="13" t="s">
        <v>18344</v>
      </c>
      <c r="B66" s="14">
        <v>304938</v>
      </c>
      <c r="C66" s="14">
        <v>75806</v>
      </c>
      <c r="D66" s="14" t="s">
        <v>18126</v>
      </c>
      <c r="E66" s="14" t="s">
        <v>6107</v>
      </c>
      <c r="F66" s="14" t="s">
        <v>15974</v>
      </c>
      <c r="G66" s="15" t="s">
        <v>18345</v>
      </c>
      <c r="H66" s="15" t="s">
        <v>18346</v>
      </c>
      <c r="I66" s="14" t="s">
        <v>88</v>
      </c>
      <c r="J66" s="14">
        <v>2</v>
      </c>
      <c r="K66" s="14">
        <v>1</v>
      </c>
      <c r="L66" s="14" t="s">
        <v>18347</v>
      </c>
      <c r="M66" s="14" t="s">
        <v>150</v>
      </c>
      <c r="N66" s="14" t="s">
        <v>18348</v>
      </c>
      <c r="O66" s="14" t="s">
        <v>18349</v>
      </c>
      <c r="P66" s="14" t="str">
        <f>HYPERLINK("https://dexscreener.com/solana/9uPSeiN816ZsGbobMGFE51eaehkPMcMt3SjtK8hNpump", "View")</f>
        <v>View</v>
      </c>
    </row>
    <row r="67" spans="1:16" x14ac:dyDescent="0.25">
      <c r="A67" s="16" t="s">
        <v>18350</v>
      </c>
      <c r="B67" s="17">
        <v>555759</v>
      </c>
      <c r="C67" s="17">
        <v>0</v>
      </c>
      <c r="D67" s="17" t="s">
        <v>17043</v>
      </c>
      <c r="E67" s="17" t="s">
        <v>2580</v>
      </c>
      <c r="F67" s="17" t="s">
        <v>96</v>
      </c>
      <c r="G67" s="18" t="s">
        <v>18265</v>
      </c>
      <c r="H67" s="18" t="s">
        <v>98</v>
      </c>
      <c r="I67" s="17" t="s">
        <v>18351</v>
      </c>
      <c r="J67" s="17">
        <v>1</v>
      </c>
      <c r="K67" s="17">
        <v>0</v>
      </c>
      <c r="L67" s="17" t="s">
        <v>18352</v>
      </c>
      <c r="M67" s="19" t="s">
        <v>101</v>
      </c>
      <c r="N67" s="17" t="s">
        <v>18353</v>
      </c>
      <c r="O67" s="17" t="s">
        <v>18354</v>
      </c>
      <c r="P67" s="17" t="str">
        <f>HYPERLINK("https://dexscreener.com/solana/2ohcFFWe9vV16snU71JZME7esJMSksf2BHfYxBKhpump", "View")</f>
        <v>View</v>
      </c>
    </row>
    <row r="68" spans="1:16" x14ac:dyDescent="0.25">
      <c r="A68" s="13" t="s">
        <v>18355</v>
      </c>
      <c r="B68" s="14">
        <v>377852</v>
      </c>
      <c r="C68" s="14">
        <v>377852</v>
      </c>
      <c r="D68" s="14" t="s">
        <v>16473</v>
      </c>
      <c r="E68" s="14" t="s">
        <v>2580</v>
      </c>
      <c r="F68" s="14" t="s">
        <v>3979</v>
      </c>
      <c r="G68" s="15" t="s">
        <v>18356</v>
      </c>
      <c r="H68" s="15" t="s">
        <v>6666</v>
      </c>
      <c r="I68" s="14" t="s">
        <v>88</v>
      </c>
      <c r="J68" s="14">
        <v>1</v>
      </c>
      <c r="K68" s="14">
        <v>1</v>
      </c>
      <c r="L68" s="14" t="s">
        <v>18357</v>
      </c>
      <c r="M68" s="14" t="s">
        <v>1696</v>
      </c>
      <c r="N68" s="14" t="s">
        <v>544</v>
      </c>
      <c r="O68" s="14" t="s">
        <v>18358</v>
      </c>
      <c r="P68" s="14" t="str">
        <f>HYPERLINK("https://dexscreener.com/solana/9RDrYyYn6f1zPXWdTpyUk4m5omwDcn6ZySZgp5NZsqkz", "View")</f>
        <v>View</v>
      </c>
    </row>
    <row r="69" spans="1:16" x14ac:dyDescent="0.25">
      <c r="A69" s="16" t="s">
        <v>18359</v>
      </c>
      <c r="B69" s="17">
        <v>409932</v>
      </c>
      <c r="C69" s="17">
        <v>0</v>
      </c>
      <c r="D69" s="17" t="s">
        <v>17043</v>
      </c>
      <c r="E69" s="17" t="s">
        <v>2580</v>
      </c>
      <c r="F69" s="17" t="s">
        <v>96</v>
      </c>
      <c r="G69" s="18" t="s">
        <v>18265</v>
      </c>
      <c r="H69" s="18" t="s">
        <v>98</v>
      </c>
      <c r="I69" s="17" t="s">
        <v>18360</v>
      </c>
      <c r="J69" s="17">
        <v>1</v>
      </c>
      <c r="K69" s="17">
        <v>0</v>
      </c>
      <c r="L69" s="17" t="s">
        <v>18361</v>
      </c>
      <c r="M69" s="19" t="s">
        <v>101</v>
      </c>
      <c r="N69" s="17" t="s">
        <v>18362</v>
      </c>
      <c r="O69" s="17" t="s">
        <v>18363</v>
      </c>
      <c r="P69" s="17" t="str">
        <f>HYPERLINK("https://dexscreener.com/solana/GjXpowEmJecAxHaMgYrxrTsWfuPR7DyLxwe8z2v4YvKW", "View")</f>
        <v>View</v>
      </c>
    </row>
    <row r="70" spans="1:16" x14ac:dyDescent="0.25">
      <c r="A70" s="13" t="s">
        <v>18364</v>
      </c>
      <c r="B70" s="14">
        <v>80257</v>
      </c>
      <c r="C70" s="14">
        <v>80257</v>
      </c>
      <c r="D70" s="14" t="s">
        <v>13924</v>
      </c>
      <c r="E70" s="14" t="s">
        <v>5242</v>
      </c>
      <c r="F70" s="14" t="s">
        <v>14653</v>
      </c>
      <c r="G70" s="21" t="s">
        <v>18365</v>
      </c>
      <c r="H70" s="21" t="s">
        <v>18366</v>
      </c>
      <c r="I70" s="14" t="s">
        <v>88</v>
      </c>
      <c r="J70" s="14">
        <v>2</v>
      </c>
      <c r="K70" s="14">
        <v>5</v>
      </c>
      <c r="L70" s="14" t="s">
        <v>18367</v>
      </c>
      <c r="M70" s="14" t="s">
        <v>4558</v>
      </c>
      <c r="N70" s="14" t="s">
        <v>18368</v>
      </c>
      <c r="O70" s="14" t="s">
        <v>18369</v>
      </c>
      <c r="P70" s="14" t="str">
        <f>HYPERLINK("https://dexscreener.com/solana/GqmEdRD3zGUZdYPeuDeXxCc8Cj1DBmGSYK97TCwSpump", "View")</f>
        <v>View</v>
      </c>
    </row>
    <row r="71" spans="1:16" x14ac:dyDescent="0.25">
      <c r="A71" s="16" t="s">
        <v>12388</v>
      </c>
      <c r="B71" s="17">
        <v>804850</v>
      </c>
      <c r="C71" s="17">
        <v>261443</v>
      </c>
      <c r="D71" s="17" t="s">
        <v>10236</v>
      </c>
      <c r="E71" s="17" t="s">
        <v>10388</v>
      </c>
      <c r="F71" s="17" t="s">
        <v>18370</v>
      </c>
      <c r="G71" s="22" t="s">
        <v>4086</v>
      </c>
      <c r="H71" s="22" t="s">
        <v>18371</v>
      </c>
      <c r="I71" s="17" t="s">
        <v>88</v>
      </c>
      <c r="J71" s="17">
        <v>4</v>
      </c>
      <c r="K71" s="17">
        <v>2</v>
      </c>
      <c r="L71" s="17" t="s">
        <v>18372</v>
      </c>
      <c r="M71" s="17" t="s">
        <v>699</v>
      </c>
      <c r="N71" s="17" t="s">
        <v>18373</v>
      </c>
      <c r="O71" s="17" t="s">
        <v>12395</v>
      </c>
      <c r="P71" s="17" t="str">
        <f>HYPERLINK("https://dexscreener.com/solana/6Xx8p2WmY1Uk2GD35uxhEyuniNrVEeSu3CUThb8Upump", "View")</f>
        <v>View</v>
      </c>
    </row>
    <row r="72" spans="1:16" x14ac:dyDescent="0.25">
      <c r="A72" s="13" t="s">
        <v>367</v>
      </c>
      <c r="B72" s="14">
        <v>406038</v>
      </c>
      <c r="C72" s="14">
        <v>0</v>
      </c>
      <c r="D72" s="14" t="s">
        <v>2050</v>
      </c>
      <c r="E72" s="14" t="s">
        <v>10388</v>
      </c>
      <c r="F72" s="14" t="s">
        <v>96</v>
      </c>
      <c r="G72" s="18" t="s">
        <v>18304</v>
      </c>
      <c r="H72" s="18" t="s">
        <v>98</v>
      </c>
      <c r="I72" s="14" t="s">
        <v>18374</v>
      </c>
      <c r="J72" s="14">
        <v>4</v>
      </c>
      <c r="K72" s="14">
        <v>0</v>
      </c>
      <c r="L72" s="14" t="s">
        <v>18375</v>
      </c>
      <c r="M72" s="14" t="s">
        <v>179</v>
      </c>
      <c r="N72" s="14" t="s">
        <v>18376</v>
      </c>
      <c r="O72" s="14" t="s">
        <v>372</v>
      </c>
      <c r="P72" s="14" t="str">
        <f>HYPERLINK("https://dexscreener.com/solana/Z5qTBYTgbK9nezJPSLxuJEpEhDimcJKLq9xN6MF2sh1", "View")</f>
        <v>View</v>
      </c>
    </row>
    <row r="73" spans="1:16" x14ac:dyDescent="0.25">
      <c r="A73" s="16" t="s">
        <v>9544</v>
      </c>
      <c r="B73" s="17">
        <v>322903</v>
      </c>
      <c r="C73" s="17">
        <v>0</v>
      </c>
      <c r="D73" s="17" t="s">
        <v>18126</v>
      </c>
      <c r="E73" s="17" t="s">
        <v>11302</v>
      </c>
      <c r="F73" s="17" t="s">
        <v>96</v>
      </c>
      <c r="G73" s="18" t="s">
        <v>18292</v>
      </c>
      <c r="H73" s="18" t="s">
        <v>98</v>
      </c>
      <c r="I73" s="17" t="s">
        <v>18377</v>
      </c>
      <c r="J73" s="17">
        <v>3</v>
      </c>
      <c r="K73" s="17">
        <v>0</v>
      </c>
      <c r="L73" s="17" t="s">
        <v>18378</v>
      </c>
      <c r="M73" s="17" t="s">
        <v>3269</v>
      </c>
      <c r="N73" s="17" t="s">
        <v>18379</v>
      </c>
      <c r="O73" s="17" t="s">
        <v>9550</v>
      </c>
      <c r="P73" s="17" t="str">
        <f>HYPERLINK("https://dexscreener.com/solana/4QeK5x94xw6PrqJE6jjsVhswXN8qvsgCeqVyfokgpump", "View")</f>
        <v>View</v>
      </c>
    </row>
    <row r="74" spans="1:16" x14ac:dyDescent="0.25">
      <c r="A74" s="13" t="s">
        <v>8230</v>
      </c>
      <c r="B74" s="14">
        <v>151138</v>
      </c>
      <c r="C74" s="14">
        <v>151138</v>
      </c>
      <c r="D74" s="14" t="s">
        <v>2050</v>
      </c>
      <c r="E74" s="14" t="s">
        <v>3045</v>
      </c>
      <c r="F74" s="14" t="s">
        <v>18380</v>
      </c>
      <c r="G74" s="21" t="s">
        <v>18381</v>
      </c>
      <c r="H74" s="21" t="s">
        <v>18382</v>
      </c>
      <c r="I74" s="14" t="s">
        <v>88</v>
      </c>
      <c r="J74" s="14">
        <v>2</v>
      </c>
      <c r="K74" s="14">
        <v>2</v>
      </c>
      <c r="L74" s="14" t="s">
        <v>18383</v>
      </c>
      <c r="M74" s="14" t="s">
        <v>414</v>
      </c>
      <c r="N74" s="14" t="s">
        <v>18384</v>
      </c>
      <c r="O74" s="14" t="s">
        <v>18385</v>
      </c>
      <c r="P74" s="14" t="str">
        <f>HYPERLINK("https://dexscreener.com/solana/8SgNwESovnbG1oNEaPVhg6CR9mTMSK7jPvcYRe3wpump", "View")</f>
        <v>View</v>
      </c>
    </row>
    <row r="75" spans="1:16" x14ac:dyDescent="0.25">
      <c r="A75" s="16" t="s">
        <v>2875</v>
      </c>
      <c r="B75" s="17">
        <v>287111</v>
      </c>
      <c r="C75" s="17">
        <v>0</v>
      </c>
      <c r="D75" s="17" t="s">
        <v>17043</v>
      </c>
      <c r="E75" s="17" t="s">
        <v>2580</v>
      </c>
      <c r="F75" s="17" t="s">
        <v>96</v>
      </c>
      <c r="G75" s="18" t="s">
        <v>18265</v>
      </c>
      <c r="H75" s="18" t="s">
        <v>98</v>
      </c>
      <c r="I75" s="17" t="s">
        <v>18386</v>
      </c>
      <c r="J75" s="17">
        <v>1</v>
      </c>
      <c r="K75" s="17">
        <v>0</v>
      </c>
      <c r="L75" s="17" t="s">
        <v>18387</v>
      </c>
      <c r="M75" s="19" t="s">
        <v>101</v>
      </c>
      <c r="N75" s="17" t="s">
        <v>18388</v>
      </c>
      <c r="O75" s="17" t="s">
        <v>18389</v>
      </c>
      <c r="P75" s="17" t="str">
        <f>HYPERLINK("https://dexscreener.com/solana/Do3aZ2zeTYFVZg2d473PvkEvw6QtmYc3gUUugoQQEMbo", "View")</f>
        <v>View</v>
      </c>
    </row>
    <row r="76" spans="1:16" x14ac:dyDescent="0.25">
      <c r="A76" s="13" t="s">
        <v>18390</v>
      </c>
      <c r="B76" s="14">
        <v>402670</v>
      </c>
      <c r="C76" s="14">
        <v>0</v>
      </c>
      <c r="D76" s="14" t="s">
        <v>17043</v>
      </c>
      <c r="E76" s="14" t="s">
        <v>2580</v>
      </c>
      <c r="F76" s="14" t="s">
        <v>96</v>
      </c>
      <c r="G76" s="18" t="s">
        <v>18265</v>
      </c>
      <c r="H76" s="18" t="s">
        <v>98</v>
      </c>
      <c r="I76" s="14" t="s">
        <v>18391</v>
      </c>
      <c r="J76" s="14">
        <v>1</v>
      </c>
      <c r="K76" s="14">
        <v>0</v>
      </c>
      <c r="L76" s="14" t="s">
        <v>18392</v>
      </c>
      <c r="M76" s="19" t="s">
        <v>101</v>
      </c>
      <c r="N76" s="14" t="s">
        <v>18393</v>
      </c>
      <c r="O76" s="14" t="s">
        <v>18394</v>
      </c>
      <c r="P76" s="14" t="str">
        <f>HYPERLINK("https://dexscreener.com/solana/39mp4M95uDVfRjzmiKxfjvcyviGsEUbBxqpUTPUupump", "View")</f>
        <v>View</v>
      </c>
    </row>
    <row r="77" spans="1:16" x14ac:dyDescent="0.25">
      <c r="A77" s="16" t="s">
        <v>12957</v>
      </c>
      <c r="B77" s="17">
        <v>1614961</v>
      </c>
      <c r="C77" s="17">
        <v>1614961</v>
      </c>
      <c r="D77" s="17" t="s">
        <v>18126</v>
      </c>
      <c r="E77" s="17" t="s">
        <v>3045</v>
      </c>
      <c r="F77" s="17" t="s">
        <v>10691</v>
      </c>
      <c r="G77" s="15" t="s">
        <v>16339</v>
      </c>
      <c r="H77" s="15" t="s">
        <v>18395</v>
      </c>
      <c r="I77" s="17" t="s">
        <v>88</v>
      </c>
      <c r="J77" s="17">
        <v>2</v>
      </c>
      <c r="K77" s="17">
        <v>1</v>
      </c>
      <c r="L77" s="17" t="s">
        <v>18396</v>
      </c>
      <c r="M77" s="17" t="s">
        <v>3136</v>
      </c>
      <c r="N77" s="17" t="s">
        <v>18397</v>
      </c>
      <c r="O77" s="17" t="s">
        <v>18398</v>
      </c>
      <c r="P77" s="17" t="str">
        <f>HYPERLINK("https://dexscreener.com/solana/2kwdLvRrSmLk5YSnBwdNLAH6sZ1WYdRDrLWLawTjpump", "View")</f>
        <v>View</v>
      </c>
    </row>
    <row r="78" spans="1:16" x14ac:dyDescent="0.25">
      <c r="A78" s="13" t="s">
        <v>5138</v>
      </c>
      <c r="B78" s="14">
        <v>147156</v>
      </c>
      <c r="C78" s="14">
        <v>0</v>
      </c>
      <c r="D78" s="14" t="s">
        <v>17043</v>
      </c>
      <c r="E78" s="14" t="s">
        <v>2580</v>
      </c>
      <c r="F78" s="14" t="s">
        <v>96</v>
      </c>
      <c r="G78" s="18" t="s">
        <v>18265</v>
      </c>
      <c r="H78" s="18" t="s">
        <v>98</v>
      </c>
      <c r="I78" s="14" t="s">
        <v>18399</v>
      </c>
      <c r="J78" s="14">
        <v>1</v>
      </c>
      <c r="K78" s="14">
        <v>0</v>
      </c>
      <c r="L78" s="14" t="s">
        <v>18400</v>
      </c>
      <c r="M78" s="19" t="s">
        <v>101</v>
      </c>
      <c r="N78" s="14" t="s">
        <v>18401</v>
      </c>
      <c r="O78" s="14" t="s">
        <v>5144</v>
      </c>
      <c r="P78" s="14" t="str">
        <f>HYPERLINK("https://dexscreener.com/solana/ABSLrvYqSfJKhXJGnigaNaEB7rmgsGQH4VZY8Nf2pump", "View")</f>
        <v>View</v>
      </c>
    </row>
    <row r="79" spans="1:16" x14ac:dyDescent="0.25">
      <c r="A79" s="16" t="s">
        <v>18402</v>
      </c>
      <c r="B79" s="17">
        <v>302976</v>
      </c>
      <c r="C79" s="17">
        <v>0</v>
      </c>
      <c r="D79" s="17" t="s">
        <v>17043</v>
      </c>
      <c r="E79" s="17" t="s">
        <v>2580</v>
      </c>
      <c r="F79" s="17" t="s">
        <v>96</v>
      </c>
      <c r="G79" s="18" t="s">
        <v>18265</v>
      </c>
      <c r="H79" s="18" t="s">
        <v>98</v>
      </c>
      <c r="I79" s="17" t="s">
        <v>18403</v>
      </c>
      <c r="J79" s="17">
        <v>1</v>
      </c>
      <c r="K79" s="17">
        <v>0</v>
      </c>
      <c r="L79" s="17" t="s">
        <v>18404</v>
      </c>
      <c r="M79" s="19" t="s">
        <v>101</v>
      </c>
      <c r="N79" s="17" t="s">
        <v>18405</v>
      </c>
      <c r="O79" s="17" t="s">
        <v>18406</v>
      </c>
      <c r="P79" s="17" t="str">
        <f>HYPERLINK("https://dexscreener.com/solana/CaVkp932yfdhZLafw28jmCeCjqUMfVUSpVGhK5xwpump", "View")</f>
        <v>View</v>
      </c>
    </row>
    <row r="80" spans="1:16" x14ac:dyDescent="0.25">
      <c r="A80" s="13" t="s">
        <v>14393</v>
      </c>
      <c r="B80" s="14">
        <v>584968</v>
      </c>
      <c r="C80" s="14">
        <v>0</v>
      </c>
      <c r="D80" s="14" t="s">
        <v>18126</v>
      </c>
      <c r="E80" s="14" t="s">
        <v>11302</v>
      </c>
      <c r="F80" s="14" t="s">
        <v>96</v>
      </c>
      <c r="G80" s="18" t="s">
        <v>18292</v>
      </c>
      <c r="H80" s="18" t="s">
        <v>98</v>
      </c>
      <c r="I80" s="14" t="s">
        <v>18407</v>
      </c>
      <c r="J80" s="14">
        <v>3</v>
      </c>
      <c r="K80" s="14">
        <v>0</v>
      </c>
      <c r="L80" s="14" t="s">
        <v>18408</v>
      </c>
      <c r="M80" s="19" t="s">
        <v>2350</v>
      </c>
      <c r="N80" s="14" t="s">
        <v>18409</v>
      </c>
      <c r="O80" s="14" t="s">
        <v>14398</v>
      </c>
      <c r="P80" s="14" t="str">
        <f>HYPERLINK("https://dexscreener.com/solana/9J7WDmBYY7ikgLi1mo6utpEPo5WEhkQsCxTvDPfnpump", "View")</f>
        <v>View</v>
      </c>
    </row>
    <row r="81" spans="1:16" x14ac:dyDescent="0.25">
      <c r="A81" s="16" t="s">
        <v>6807</v>
      </c>
      <c r="B81" s="17">
        <v>84621</v>
      </c>
      <c r="C81" s="17">
        <v>84621</v>
      </c>
      <c r="D81" s="17" t="s">
        <v>18126</v>
      </c>
      <c r="E81" s="17" t="s">
        <v>10388</v>
      </c>
      <c r="F81" s="17" t="s">
        <v>6383</v>
      </c>
      <c r="G81" s="15" t="s">
        <v>18410</v>
      </c>
      <c r="H81" s="15" t="s">
        <v>18411</v>
      </c>
      <c r="I81" s="17" t="s">
        <v>88</v>
      </c>
      <c r="J81" s="17">
        <v>2</v>
      </c>
      <c r="K81" s="17">
        <v>1</v>
      </c>
      <c r="L81" s="17" t="s">
        <v>18412</v>
      </c>
      <c r="M81" s="17" t="s">
        <v>277</v>
      </c>
      <c r="N81" s="17" t="s">
        <v>18413</v>
      </c>
      <c r="O81" s="17" t="s">
        <v>18414</v>
      </c>
      <c r="P81" s="17" t="str">
        <f>HYPERLINK("https://dexscreener.com/solana/2kaRSuDcz1V1kqq1sDmP23Wy98jutHQQgr5fGDWRpump", "View")</f>
        <v>View</v>
      </c>
    </row>
    <row r="82" spans="1:16" x14ac:dyDescent="0.25">
      <c r="A82" s="13" t="s">
        <v>18415</v>
      </c>
      <c r="B82" s="14">
        <v>390064</v>
      </c>
      <c r="C82" s="14">
        <v>195032</v>
      </c>
      <c r="D82" s="14" t="s">
        <v>16451</v>
      </c>
      <c r="E82" s="14" t="s">
        <v>3045</v>
      </c>
      <c r="F82" s="14" t="s">
        <v>18416</v>
      </c>
      <c r="G82" s="21" t="s">
        <v>5652</v>
      </c>
      <c r="H82" s="21" t="s">
        <v>18417</v>
      </c>
      <c r="I82" s="14" t="s">
        <v>88</v>
      </c>
      <c r="J82" s="14">
        <v>1</v>
      </c>
      <c r="K82" s="14">
        <v>1</v>
      </c>
      <c r="L82" s="14" t="s">
        <v>18418</v>
      </c>
      <c r="M82" s="14" t="s">
        <v>132</v>
      </c>
      <c r="N82" s="14" t="s">
        <v>18419</v>
      </c>
      <c r="O82" s="14" t="s">
        <v>18420</v>
      </c>
      <c r="P82" s="14" t="str">
        <f>HYPERLINK("https://dexscreener.com/solana/DZSs9nHSr9BBunLNWd6PDstesJ4PBLMFVK1GbZ9urYNZ", "View")</f>
        <v>View</v>
      </c>
    </row>
    <row r="83" spans="1:16" x14ac:dyDescent="0.25">
      <c r="A83" s="16" t="s">
        <v>497</v>
      </c>
      <c r="B83" s="17">
        <v>1340403</v>
      </c>
      <c r="C83" s="17">
        <v>0</v>
      </c>
      <c r="D83" s="17" t="s">
        <v>16473</v>
      </c>
      <c r="E83" s="17" t="s">
        <v>10388</v>
      </c>
      <c r="F83" s="17" t="s">
        <v>96</v>
      </c>
      <c r="G83" s="18" t="s">
        <v>10648</v>
      </c>
      <c r="H83" s="18" t="s">
        <v>98</v>
      </c>
      <c r="I83" s="17" t="s">
        <v>18421</v>
      </c>
      <c r="J83" s="17">
        <v>2</v>
      </c>
      <c r="K83" s="17">
        <v>0</v>
      </c>
      <c r="L83" s="17" t="s">
        <v>18422</v>
      </c>
      <c r="M83" s="17" t="s">
        <v>745</v>
      </c>
      <c r="N83" s="17" t="s">
        <v>18423</v>
      </c>
      <c r="O83" s="17" t="s">
        <v>501</v>
      </c>
      <c r="P83" s="17" t="str">
        <f>HYPERLINK("https://dexscreener.com/solana/7xn2T1x7xw5quHmzy2YvFWyFUNwp75fsw5bxiXGRpump", "View")</f>
        <v>View</v>
      </c>
    </row>
    <row r="84" spans="1:16" x14ac:dyDescent="0.25">
      <c r="A84" s="13" t="s">
        <v>9071</v>
      </c>
      <c r="B84" s="14">
        <v>1228845</v>
      </c>
      <c r="C84" s="14">
        <v>0</v>
      </c>
      <c r="D84" s="14" t="s">
        <v>16473</v>
      </c>
      <c r="E84" s="14" t="s">
        <v>10388</v>
      </c>
      <c r="F84" s="14" t="s">
        <v>96</v>
      </c>
      <c r="G84" s="18" t="s">
        <v>10648</v>
      </c>
      <c r="H84" s="18" t="s">
        <v>98</v>
      </c>
      <c r="I84" s="14" t="s">
        <v>18424</v>
      </c>
      <c r="J84" s="14">
        <v>2</v>
      </c>
      <c r="K84" s="14">
        <v>0</v>
      </c>
      <c r="L84" s="14" t="s">
        <v>18425</v>
      </c>
      <c r="M84" s="19" t="s">
        <v>2239</v>
      </c>
      <c r="N84" s="14" t="s">
        <v>18426</v>
      </c>
      <c r="O84" s="14" t="s">
        <v>9078</v>
      </c>
      <c r="P84" s="14" t="str">
        <f>HYPERLINK("https://dexscreener.com/solana/7FisD5QTeFBCd2vbAVs5PQ89vefLqz9Qhaqja6XRpump", "View")</f>
        <v>View</v>
      </c>
    </row>
    <row r="85" spans="1:16" x14ac:dyDescent="0.25">
      <c r="A85" s="16" t="s">
        <v>18427</v>
      </c>
      <c r="B85" s="17">
        <v>91716</v>
      </c>
      <c r="C85" s="17">
        <v>0</v>
      </c>
      <c r="D85" s="17" t="s">
        <v>16473</v>
      </c>
      <c r="E85" s="17" t="s">
        <v>10388</v>
      </c>
      <c r="F85" s="17" t="s">
        <v>96</v>
      </c>
      <c r="G85" s="18" t="s">
        <v>10648</v>
      </c>
      <c r="H85" s="18" t="s">
        <v>98</v>
      </c>
      <c r="I85" s="17" t="s">
        <v>18428</v>
      </c>
      <c r="J85" s="17">
        <v>2</v>
      </c>
      <c r="K85" s="17">
        <v>0</v>
      </c>
      <c r="L85" s="17" t="s">
        <v>18429</v>
      </c>
      <c r="M85" s="17" t="s">
        <v>179</v>
      </c>
      <c r="N85" s="17" t="s">
        <v>17385</v>
      </c>
      <c r="O85" s="17" t="s">
        <v>18430</v>
      </c>
      <c r="P85" s="17" t="str">
        <f>HYPERLINK("https://dexscreener.com/solana/2xtF1kZQQ14dvVjTsAASPM5Jxax9Gpat8tMETegqpump", "View")</f>
        <v>View</v>
      </c>
    </row>
    <row r="86" spans="1:16" x14ac:dyDescent="0.25">
      <c r="A86" s="13" t="s">
        <v>18431</v>
      </c>
      <c r="B86" s="14">
        <v>823394</v>
      </c>
      <c r="C86" s="14">
        <v>0</v>
      </c>
      <c r="D86" s="14" t="s">
        <v>16473</v>
      </c>
      <c r="E86" s="14" t="s">
        <v>10388</v>
      </c>
      <c r="F86" s="14" t="s">
        <v>96</v>
      </c>
      <c r="G86" s="18" t="s">
        <v>10648</v>
      </c>
      <c r="H86" s="18" t="s">
        <v>98</v>
      </c>
      <c r="I86" s="14" t="s">
        <v>18432</v>
      </c>
      <c r="J86" s="14">
        <v>2</v>
      </c>
      <c r="K86" s="14">
        <v>0</v>
      </c>
      <c r="L86" s="14" t="s">
        <v>18433</v>
      </c>
      <c r="M86" s="14" t="s">
        <v>602</v>
      </c>
      <c r="N86" s="14" t="s">
        <v>18434</v>
      </c>
      <c r="O86" s="14" t="s">
        <v>18435</v>
      </c>
      <c r="P86" s="14" t="str">
        <f>HYPERLINK("https://dexscreener.com/solana/GfHbuqhdpgBE2taZxcGuDf81TSZcWkyKuRwTfTpRGz2f", "View")</f>
        <v>View</v>
      </c>
    </row>
    <row r="87" spans="1:16" x14ac:dyDescent="0.25">
      <c r="A87" s="16" t="s">
        <v>18436</v>
      </c>
      <c r="B87" s="17">
        <v>1923386</v>
      </c>
      <c r="C87" s="17">
        <v>0</v>
      </c>
      <c r="D87" s="17" t="s">
        <v>17043</v>
      </c>
      <c r="E87" s="17" t="s">
        <v>3045</v>
      </c>
      <c r="F87" s="17" t="s">
        <v>96</v>
      </c>
      <c r="G87" s="18" t="s">
        <v>18437</v>
      </c>
      <c r="H87" s="18" t="s">
        <v>98</v>
      </c>
      <c r="I87" s="17" t="s">
        <v>18438</v>
      </c>
      <c r="J87" s="17">
        <v>1</v>
      </c>
      <c r="K87" s="17">
        <v>0</v>
      </c>
      <c r="L87" s="17" t="s">
        <v>18439</v>
      </c>
      <c r="M87" s="19" t="s">
        <v>101</v>
      </c>
      <c r="N87" s="17" t="s">
        <v>18440</v>
      </c>
      <c r="O87" s="17" t="s">
        <v>18441</v>
      </c>
      <c r="P87" s="17" t="str">
        <f>HYPERLINK("https://dexscreener.com/solana/4z3r3HzPNanqEgKf1mkZNKz8VrZwTn8XPMfaARxbYj7X", "View")</f>
        <v>View</v>
      </c>
    </row>
    <row r="88" spans="1:16" x14ac:dyDescent="0.25">
      <c r="A88" s="13" t="s">
        <v>9977</v>
      </c>
      <c r="B88" s="14">
        <v>1459315</v>
      </c>
      <c r="C88" s="14">
        <v>0</v>
      </c>
      <c r="D88" s="14" t="s">
        <v>2050</v>
      </c>
      <c r="E88" s="14" t="s">
        <v>6581</v>
      </c>
      <c r="F88" s="14" t="s">
        <v>96</v>
      </c>
      <c r="G88" s="18" t="s">
        <v>18442</v>
      </c>
      <c r="H88" s="18" t="s">
        <v>98</v>
      </c>
      <c r="I88" s="14" t="s">
        <v>18443</v>
      </c>
      <c r="J88" s="14">
        <v>4</v>
      </c>
      <c r="K88" s="14">
        <v>0</v>
      </c>
      <c r="L88" s="14" t="s">
        <v>18444</v>
      </c>
      <c r="M88" s="14" t="s">
        <v>117</v>
      </c>
      <c r="N88" s="14" t="s">
        <v>18445</v>
      </c>
      <c r="O88" s="14" t="s">
        <v>9982</v>
      </c>
      <c r="P88" s="14" t="str">
        <f>HYPERLINK("https://dexscreener.com/solana/GhnSqjk15XH7m1inUgK9Lpw4CpyHAvghLniCYbikpump", "View")</f>
        <v>View</v>
      </c>
    </row>
    <row r="89" spans="1:16" x14ac:dyDescent="0.25">
      <c r="A89" s="16" t="s">
        <v>18446</v>
      </c>
      <c r="B89" s="17">
        <v>240908</v>
      </c>
      <c r="C89" s="17">
        <v>0</v>
      </c>
      <c r="D89" s="17" t="s">
        <v>17043</v>
      </c>
      <c r="E89" s="17" t="s">
        <v>2580</v>
      </c>
      <c r="F89" s="17" t="s">
        <v>96</v>
      </c>
      <c r="G89" s="18" t="s">
        <v>18265</v>
      </c>
      <c r="H89" s="18" t="s">
        <v>98</v>
      </c>
      <c r="I89" s="17" t="s">
        <v>18447</v>
      </c>
      <c r="J89" s="17">
        <v>1</v>
      </c>
      <c r="K89" s="17">
        <v>0</v>
      </c>
      <c r="L89" s="17" t="s">
        <v>18448</v>
      </c>
      <c r="M89" s="19" t="s">
        <v>101</v>
      </c>
      <c r="N89" s="17" t="s">
        <v>11477</v>
      </c>
      <c r="O89" s="17" t="s">
        <v>18449</v>
      </c>
      <c r="P89" s="17" t="str">
        <f>HYPERLINK("https://dexscreener.com/solana/DFCpcqhV1nUTASKnmfvPnYqWFvb9CaH97BED68jgpump", "View")</f>
        <v>View</v>
      </c>
    </row>
    <row r="90" spans="1:16" x14ac:dyDescent="0.25">
      <c r="A90" s="13" t="s">
        <v>18450</v>
      </c>
      <c r="B90" s="14">
        <v>1120898</v>
      </c>
      <c r="C90" s="14">
        <v>0</v>
      </c>
      <c r="D90" s="14" t="s">
        <v>16473</v>
      </c>
      <c r="E90" s="14" t="s">
        <v>3045</v>
      </c>
      <c r="F90" s="14" t="s">
        <v>96</v>
      </c>
      <c r="G90" s="18" t="s">
        <v>18319</v>
      </c>
      <c r="H90" s="18" t="s">
        <v>98</v>
      </c>
      <c r="I90" s="14" t="s">
        <v>18451</v>
      </c>
      <c r="J90" s="14">
        <v>2</v>
      </c>
      <c r="K90" s="14">
        <v>0</v>
      </c>
      <c r="L90" s="14" t="s">
        <v>18452</v>
      </c>
      <c r="M90" s="14" t="s">
        <v>1957</v>
      </c>
      <c r="N90" s="14" t="s">
        <v>18453</v>
      </c>
      <c r="O90" s="14" t="s">
        <v>18454</v>
      </c>
      <c r="P90" s="14" t="str">
        <f>HYPERLINK("https://dexscreener.com/solana/CvARs26ujuCphpnFQZ1Lxsk5R6YaHZ5uKUJoRnoLpump", "View")</f>
        <v>View</v>
      </c>
    </row>
    <row r="91" spans="1:16" x14ac:dyDescent="0.25">
      <c r="A91" s="16" t="s">
        <v>18455</v>
      </c>
      <c r="B91" s="17">
        <v>17967</v>
      </c>
      <c r="C91" s="17">
        <v>17967</v>
      </c>
      <c r="D91" s="17" t="s">
        <v>16473</v>
      </c>
      <c r="E91" s="17" t="s">
        <v>5919</v>
      </c>
      <c r="F91" s="17" t="s">
        <v>5843</v>
      </c>
      <c r="G91" s="15" t="s">
        <v>5231</v>
      </c>
      <c r="H91" s="15" t="s">
        <v>18456</v>
      </c>
      <c r="I91" s="17" t="s">
        <v>88</v>
      </c>
      <c r="J91" s="17">
        <v>1</v>
      </c>
      <c r="K91" s="17">
        <v>1</v>
      </c>
      <c r="L91" s="17" t="s">
        <v>18457</v>
      </c>
      <c r="M91" s="17" t="s">
        <v>538</v>
      </c>
      <c r="N91" s="17" t="s">
        <v>18458</v>
      </c>
      <c r="O91" s="17" t="s">
        <v>18459</v>
      </c>
      <c r="P91" s="17" t="str">
        <f>HYPERLINK("https://dexscreener.com/solana/CK8jBy1R7JKr6FMSmaHJGi8GS3XPryWFJ1ebX3Uvpump", "View")</f>
        <v>View</v>
      </c>
    </row>
    <row r="92" spans="1:16" x14ac:dyDescent="0.25">
      <c r="A92" s="13" t="s">
        <v>18460</v>
      </c>
      <c r="B92" s="14">
        <v>136306</v>
      </c>
      <c r="C92" s="14">
        <v>136306</v>
      </c>
      <c r="D92" s="14" t="s">
        <v>16473</v>
      </c>
      <c r="E92" s="14" t="s">
        <v>2580</v>
      </c>
      <c r="F92" s="14" t="s">
        <v>5311</v>
      </c>
      <c r="G92" s="15" t="s">
        <v>3683</v>
      </c>
      <c r="H92" s="15" t="s">
        <v>18461</v>
      </c>
      <c r="I92" s="14" t="s">
        <v>88</v>
      </c>
      <c r="J92" s="14">
        <v>1</v>
      </c>
      <c r="K92" s="14">
        <v>1</v>
      </c>
      <c r="L92" s="14" t="s">
        <v>18462</v>
      </c>
      <c r="M92" s="14" t="s">
        <v>179</v>
      </c>
      <c r="N92" s="14" t="s">
        <v>18463</v>
      </c>
      <c r="O92" s="14" t="s">
        <v>18464</v>
      </c>
      <c r="P92" s="14" t="str">
        <f>HYPERLINK("https://dexscreener.com/solana/6KsoyYgg2youiScXnpYP4rtHNHZwAiGN5bcB3iN3pump", "View")</f>
        <v>View</v>
      </c>
    </row>
    <row r="93" spans="1:16" x14ac:dyDescent="0.25">
      <c r="A93" s="16" t="s">
        <v>18465</v>
      </c>
      <c r="B93" s="17">
        <v>507220</v>
      </c>
      <c r="C93" s="17">
        <v>507220</v>
      </c>
      <c r="D93" s="17" t="s">
        <v>18126</v>
      </c>
      <c r="E93" s="17" t="s">
        <v>3045</v>
      </c>
      <c r="F93" s="17" t="s">
        <v>4679</v>
      </c>
      <c r="G93" s="20" t="s">
        <v>3683</v>
      </c>
      <c r="H93" s="20" t="s">
        <v>18466</v>
      </c>
      <c r="I93" s="17" t="s">
        <v>88</v>
      </c>
      <c r="J93" s="17">
        <v>2</v>
      </c>
      <c r="K93" s="17">
        <v>1</v>
      </c>
      <c r="L93" s="17" t="s">
        <v>18467</v>
      </c>
      <c r="M93" s="17" t="s">
        <v>317</v>
      </c>
      <c r="N93" s="17" t="s">
        <v>18468</v>
      </c>
      <c r="O93" s="17" t="s">
        <v>18469</v>
      </c>
      <c r="P93" s="17" t="str">
        <f>HYPERLINK("https://dexscreener.com/solana/HDsU3aMuvVAXLf6jR78UmgwBdZ6hKP9VHAjN3vUqpump", "View")</f>
        <v>View</v>
      </c>
    </row>
    <row r="94" spans="1:16" x14ac:dyDescent="0.25">
      <c r="A94" s="13" t="s">
        <v>18470</v>
      </c>
      <c r="B94" s="14">
        <v>517296</v>
      </c>
      <c r="C94" s="14">
        <v>517296</v>
      </c>
      <c r="D94" s="14" t="s">
        <v>16473</v>
      </c>
      <c r="E94" s="14" t="s">
        <v>2580</v>
      </c>
      <c r="F94" s="14" t="s">
        <v>6111</v>
      </c>
      <c r="G94" s="15" t="s">
        <v>6747</v>
      </c>
      <c r="H94" s="15" t="s">
        <v>18471</v>
      </c>
      <c r="I94" s="14" t="s">
        <v>88</v>
      </c>
      <c r="J94" s="14">
        <v>1</v>
      </c>
      <c r="K94" s="14">
        <v>1</v>
      </c>
      <c r="L94" s="14" t="s">
        <v>18472</v>
      </c>
      <c r="M94" s="14" t="s">
        <v>179</v>
      </c>
      <c r="N94" s="14" t="s">
        <v>18473</v>
      </c>
      <c r="O94" s="14" t="s">
        <v>18474</v>
      </c>
      <c r="P94" s="14" t="str">
        <f>HYPERLINK("https://dexscreener.com/solana/7cZEmUR8rAyBSqPMUdHQzLuiPE7L4HuXiJGiecEFpump", "View")</f>
        <v>View</v>
      </c>
    </row>
    <row r="95" spans="1:16" x14ac:dyDescent="0.25">
      <c r="A95" s="16" t="s">
        <v>7715</v>
      </c>
      <c r="B95" s="17">
        <v>290218</v>
      </c>
      <c r="C95" s="17">
        <v>0</v>
      </c>
      <c r="D95" s="17" t="s">
        <v>18126</v>
      </c>
      <c r="E95" s="17" t="s">
        <v>18270</v>
      </c>
      <c r="F95" s="17" t="s">
        <v>96</v>
      </c>
      <c r="G95" s="18" t="s">
        <v>18271</v>
      </c>
      <c r="H95" s="18" t="s">
        <v>98</v>
      </c>
      <c r="I95" s="17" t="s">
        <v>18475</v>
      </c>
      <c r="J95" s="17">
        <v>3</v>
      </c>
      <c r="K95" s="17">
        <v>0</v>
      </c>
      <c r="L95" s="17" t="s">
        <v>18476</v>
      </c>
      <c r="M95" s="17" t="s">
        <v>117</v>
      </c>
      <c r="N95" s="17" t="s">
        <v>18477</v>
      </c>
      <c r="O95" s="17" t="s">
        <v>7721</v>
      </c>
      <c r="P95" s="17" t="str">
        <f>HYPERLINK("https://dexscreener.com/solana/E7MzhPoCdDZuLUmwckqVkCtyWNpP1q3iEnn3vE3npump", "View")</f>
        <v>View</v>
      </c>
    </row>
    <row r="96" spans="1:16" x14ac:dyDescent="0.25">
      <c r="A96" s="13" t="s">
        <v>16288</v>
      </c>
      <c r="B96" s="14">
        <v>2116161</v>
      </c>
      <c r="C96" s="14">
        <v>0</v>
      </c>
      <c r="D96" s="14" t="s">
        <v>18126</v>
      </c>
      <c r="E96" s="14" t="s">
        <v>1989</v>
      </c>
      <c r="F96" s="14" t="s">
        <v>96</v>
      </c>
      <c r="G96" s="18" t="s">
        <v>18239</v>
      </c>
      <c r="H96" s="18" t="s">
        <v>98</v>
      </c>
      <c r="I96" s="14" t="s">
        <v>18478</v>
      </c>
      <c r="J96" s="14">
        <v>3</v>
      </c>
      <c r="K96" s="14">
        <v>0</v>
      </c>
      <c r="L96" s="14" t="s">
        <v>18479</v>
      </c>
      <c r="M96" s="14" t="s">
        <v>2715</v>
      </c>
      <c r="N96" s="14" t="s">
        <v>18480</v>
      </c>
      <c r="O96" s="14" t="s">
        <v>16296</v>
      </c>
      <c r="P96" s="14" t="str">
        <f>HYPERLINK("https://dexscreener.com/solana/DyvXbodEXuM4Uv9WR6GymGB9fwBakwe6R6g1dcfKpump", "View")</f>
        <v>View</v>
      </c>
    </row>
    <row r="97" spans="1:16" x14ac:dyDescent="0.25">
      <c r="A97" s="16" t="s">
        <v>5408</v>
      </c>
      <c r="B97" s="17">
        <v>904818</v>
      </c>
      <c r="C97" s="17">
        <v>904818</v>
      </c>
      <c r="D97" s="17" t="s">
        <v>2843</v>
      </c>
      <c r="E97" s="17" t="s">
        <v>1989</v>
      </c>
      <c r="F97" s="17" t="s">
        <v>18481</v>
      </c>
      <c r="G97" s="22" t="s">
        <v>18482</v>
      </c>
      <c r="H97" s="22" t="s">
        <v>11455</v>
      </c>
      <c r="I97" s="17" t="s">
        <v>88</v>
      </c>
      <c r="J97" s="17">
        <v>3</v>
      </c>
      <c r="K97" s="17">
        <v>2</v>
      </c>
      <c r="L97" s="17" t="s">
        <v>18483</v>
      </c>
      <c r="M97" s="17" t="s">
        <v>9534</v>
      </c>
      <c r="N97" s="17" t="s">
        <v>18484</v>
      </c>
      <c r="O97" s="17" t="s">
        <v>5412</v>
      </c>
      <c r="P97" s="17" t="str">
        <f>HYPERLINK("https://dexscreener.com/solana/2TXwAQ3jCicGS4SdoS1huXT3hEk64ybREaqT1jtkpump", "View")</f>
        <v>View</v>
      </c>
    </row>
    <row r="98" spans="1:16" x14ac:dyDescent="0.25">
      <c r="A98" s="13" t="s">
        <v>18485</v>
      </c>
      <c r="B98" s="14">
        <v>4093313</v>
      </c>
      <c r="C98" s="14">
        <v>0</v>
      </c>
      <c r="D98" s="14" t="s">
        <v>16473</v>
      </c>
      <c r="E98" s="14" t="s">
        <v>10388</v>
      </c>
      <c r="F98" s="14" t="s">
        <v>96</v>
      </c>
      <c r="G98" s="18" t="s">
        <v>10648</v>
      </c>
      <c r="H98" s="18" t="s">
        <v>98</v>
      </c>
      <c r="I98" s="14" t="s">
        <v>18486</v>
      </c>
      <c r="J98" s="14">
        <v>2</v>
      </c>
      <c r="K98" s="14">
        <v>0</v>
      </c>
      <c r="L98" s="14" t="s">
        <v>18487</v>
      </c>
      <c r="M98" s="14" t="s">
        <v>1566</v>
      </c>
      <c r="N98" s="14" t="s">
        <v>18488</v>
      </c>
      <c r="O98" s="14" t="s">
        <v>18489</v>
      </c>
      <c r="P98" s="14" t="str">
        <f>HYPERLINK("https://dexscreener.com/solana/E6L9YxLdB2MkKMZXYc9aziSV4EUPp4G1bbYqA2TTpump", "View")</f>
        <v>View</v>
      </c>
    </row>
    <row r="99" spans="1:16" x14ac:dyDescent="0.25">
      <c r="A99" s="16" t="s">
        <v>15446</v>
      </c>
      <c r="B99" s="17">
        <v>18757</v>
      </c>
      <c r="C99" s="17">
        <v>9049</v>
      </c>
      <c r="D99" s="17" t="s">
        <v>16473</v>
      </c>
      <c r="E99" s="17" t="s">
        <v>5534</v>
      </c>
      <c r="F99" s="17" t="s">
        <v>18490</v>
      </c>
      <c r="G99" s="21" t="s">
        <v>11559</v>
      </c>
      <c r="H99" s="21" t="s">
        <v>18491</v>
      </c>
      <c r="I99" s="17" t="s">
        <v>88</v>
      </c>
      <c r="J99" s="17">
        <v>1</v>
      </c>
      <c r="K99" s="17">
        <v>1</v>
      </c>
      <c r="L99" s="17" t="s">
        <v>18492</v>
      </c>
      <c r="M99" s="17" t="s">
        <v>1478</v>
      </c>
      <c r="N99" s="17" t="s">
        <v>18493</v>
      </c>
      <c r="O99" s="17" t="s">
        <v>15454</v>
      </c>
      <c r="P99" s="17" t="str">
        <f>HYPERLINK("https://dexscreener.com/solana/34a8ALsPmbWxp7D3bQ6erERrCLz1ahr6u6o66Udmpump", "View")</f>
        <v>View</v>
      </c>
    </row>
    <row r="100" spans="1:16" x14ac:dyDescent="0.25">
      <c r="A100" s="13" t="s">
        <v>18494</v>
      </c>
      <c r="B100" s="14">
        <v>548462</v>
      </c>
      <c r="C100" s="14">
        <v>0</v>
      </c>
      <c r="D100" s="14" t="s">
        <v>17043</v>
      </c>
      <c r="E100" s="14" t="s">
        <v>2580</v>
      </c>
      <c r="F100" s="14" t="s">
        <v>96</v>
      </c>
      <c r="G100" s="18" t="s">
        <v>18265</v>
      </c>
      <c r="H100" s="18" t="s">
        <v>98</v>
      </c>
      <c r="I100" s="14" t="s">
        <v>18495</v>
      </c>
      <c r="J100" s="14">
        <v>1</v>
      </c>
      <c r="K100" s="14">
        <v>0</v>
      </c>
      <c r="L100" s="14" t="s">
        <v>18496</v>
      </c>
      <c r="M100" s="19" t="s">
        <v>101</v>
      </c>
      <c r="N100" s="14" t="s">
        <v>18497</v>
      </c>
      <c r="O100" s="14" t="s">
        <v>18498</v>
      </c>
      <c r="P100" s="14" t="str">
        <f>HYPERLINK("https://dexscreener.com/solana/3UTbU5UUMmwNHS5aDAtu2UWND22BP7FW5MMSdVAdpump", "View")</f>
        <v>View</v>
      </c>
    </row>
    <row r="101" spans="1:16" x14ac:dyDescent="0.25">
      <c r="A101" s="16" t="s">
        <v>10981</v>
      </c>
      <c r="B101" s="17">
        <v>324503</v>
      </c>
      <c r="C101" s="17">
        <v>0</v>
      </c>
      <c r="D101" s="17" t="s">
        <v>17043</v>
      </c>
      <c r="E101" s="17" t="s">
        <v>2580</v>
      </c>
      <c r="F101" s="17" t="s">
        <v>96</v>
      </c>
      <c r="G101" s="18" t="s">
        <v>18265</v>
      </c>
      <c r="H101" s="18" t="s">
        <v>98</v>
      </c>
      <c r="I101" s="17" t="s">
        <v>18499</v>
      </c>
      <c r="J101" s="17">
        <v>1</v>
      </c>
      <c r="K101" s="17">
        <v>0</v>
      </c>
      <c r="L101" s="17" t="s">
        <v>18500</v>
      </c>
      <c r="M101" s="19" t="s">
        <v>101</v>
      </c>
      <c r="N101" s="17" t="s">
        <v>5489</v>
      </c>
      <c r="O101" s="17" t="s">
        <v>16430</v>
      </c>
      <c r="P101" s="17" t="str">
        <f>HYPERLINK("https://dexscreener.com/solana/Ff6rTQ3RqJKogvpqcdvBmTcpYPFoAt2J6nBHtkJnpump", "View")</f>
        <v>View</v>
      </c>
    </row>
    <row r="102" spans="1:16" x14ac:dyDescent="0.25">
      <c r="A102" s="13" t="s">
        <v>18501</v>
      </c>
      <c r="B102" s="14">
        <v>204325</v>
      </c>
      <c r="C102" s="14">
        <v>204325</v>
      </c>
      <c r="D102" s="14" t="s">
        <v>16473</v>
      </c>
      <c r="E102" s="14" t="s">
        <v>7291</v>
      </c>
      <c r="F102" s="14" t="s">
        <v>2554</v>
      </c>
      <c r="G102" s="15" t="s">
        <v>7875</v>
      </c>
      <c r="H102" s="15" t="s">
        <v>18502</v>
      </c>
      <c r="I102" s="14" t="s">
        <v>88</v>
      </c>
      <c r="J102" s="14">
        <v>1</v>
      </c>
      <c r="K102" s="14">
        <v>1</v>
      </c>
      <c r="L102" s="14" t="s">
        <v>18503</v>
      </c>
      <c r="M102" s="14" t="s">
        <v>2145</v>
      </c>
      <c r="N102" s="14" t="s">
        <v>16185</v>
      </c>
      <c r="O102" s="14" t="s">
        <v>18504</v>
      </c>
      <c r="P102" s="14" t="str">
        <f>HYPERLINK("https://photon-sol.tinyastro.io/en/lp/2hWZg4Q78b3c5FvEsQ9DbjrxF79EL2rDtuBB13Tupump?handle=676050794bc1b1657a56b", "View")</f>
        <v>View</v>
      </c>
    </row>
    <row r="103" spans="1:16" x14ac:dyDescent="0.25">
      <c r="A103" s="16" t="s">
        <v>7942</v>
      </c>
      <c r="B103" s="17">
        <v>501928</v>
      </c>
      <c r="C103" s="17">
        <v>501928</v>
      </c>
      <c r="D103" s="17" t="s">
        <v>18505</v>
      </c>
      <c r="E103" s="17" t="s">
        <v>11534</v>
      </c>
      <c r="F103" s="17" t="s">
        <v>4673</v>
      </c>
      <c r="G103" s="22" t="s">
        <v>4989</v>
      </c>
      <c r="H103" s="22" t="s">
        <v>18506</v>
      </c>
      <c r="I103" s="17" t="s">
        <v>88</v>
      </c>
      <c r="J103" s="17">
        <v>3</v>
      </c>
      <c r="K103" s="17">
        <v>1</v>
      </c>
      <c r="L103" s="17" t="s">
        <v>18507</v>
      </c>
      <c r="M103" s="17" t="s">
        <v>150</v>
      </c>
      <c r="N103" s="17" t="s">
        <v>18508</v>
      </c>
      <c r="O103" s="17" t="s">
        <v>7946</v>
      </c>
      <c r="P103" s="17" t="str">
        <f>HYPERLINK("https://dexscreener.com/solana/ARygRrYJhXq7srvGyNV5ZKqH3VK3Yybce2Z6nreBpump", "View")</f>
        <v>View</v>
      </c>
    </row>
    <row r="104" spans="1:16" x14ac:dyDescent="0.25">
      <c r="A104" s="13" t="s">
        <v>683</v>
      </c>
      <c r="B104" s="14">
        <v>86559</v>
      </c>
      <c r="C104" s="14">
        <v>86559</v>
      </c>
      <c r="D104" s="14" t="s">
        <v>18505</v>
      </c>
      <c r="E104" s="14" t="s">
        <v>11534</v>
      </c>
      <c r="F104" s="14" t="s">
        <v>2677</v>
      </c>
      <c r="G104" s="21" t="s">
        <v>5894</v>
      </c>
      <c r="H104" s="21" t="s">
        <v>18509</v>
      </c>
      <c r="I104" s="14" t="s">
        <v>88</v>
      </c>
      <c r="J104" s="14">
        <v>3</v>
      </c>
      <c r="K104" s="14">
        <v>1</v>
      </c>
      <c r="L104" s="14" t="s">
        <v>18510</v>
      </c>
      <c r="M104" s="14" t="s">
        <v>240</v>
      </c>
      <c r="N104" s="14" t="s">
        <v>18511</v>
      </c>
      <c r="O104" s="14" t="s">
        <v>692</v>
      </c>
      <c r="P104" s="14" t="str">
        <f>HYPERLINK("https://dexscreener.com/solana/Ci6Y1UX8bY4jxn6YiogJmdCxFEu2jmZhCcG65PStpump", "View")</f>
        <v>View</v>
      </c>
    </row>
    <row r="105" spans="1:16" x14ac:dyDescent="0.25">
      <c r="A105" s="16" t="s">
        <v>18512</v>
      </c>
      <c r="B105" s="17">
        <v>5660</v>
      </c>
      <c r="C105" s="17">
        <v>5660</v>
      </c>
      <c r="D105" s="17" t="s">
        <v>18513</v>
      </c>
      <c r="E105" s="17" t="s">
        <v>6107</v>
      </c>
      <c r="F105" s="17" t="s">
        <v>3773</v>
      </c>
      <c r="G105" s="15" t="s">
        <v>3406</v>
      </c>
      <c r="H105" s="15" t="s">
        <v>18514</v>
      </c>
      <c r="I105" s="17" t="s">
        <v>88</v>
      </c>
      <c r="J105" s="17">
        <v>2</v>
      </c>
      <c r="K105" s="17">
        <v>1</v>
      </c>
      <c r="L105" s="17" t="s">
        <v>18515</v>
      </c>
      <c r="M105" s="17" t="s">
        <v>538</v>
      </c>
      <c r="N105" s="17" t="s">
        <v>18516</v>
      </c>
      <c r="O105" s="17" t="s">
        <v>18517</v>
      </c>
      <c r="P105" s="17" t="str">
        <f>HYPERLINK("https://dexscreener.com/solana/DDti34vnkrCehR8fih6dTGpPuc3w8tL4XQ4QLQhc3xPa", "View")</f>
        <v>View</v>
      </c>
    </row>
    <row r="106" spans="1:16" x14ac:dyDescent="0.25">
      <c r="A106" s="13" t="s">
        <v>3071</v>
      </c>
      <c r="B106" s="14">
        <v>2894605</v>
      </c>
      <c r="C106" s="14">
        <v>2894605</v>
      </c>
      <c r="D106" s="14" t="s">
        <v>474</v>
      </c>
      <c r="E106" s="14" t="s">
        <v>3045</v>
      </c>
      <c r="F106" s="14" t="s">
        <v>5860</v>
      </c>
      <c r="G106" s="20" t="s">
        <v>1945</v>
      </c>
      <c r="H106" s="20" t="s">
        <v>18518</v>
      </c>
      <c r="I106" s="14" t="s">
        <v>88</v>
      </c>
      <c r="J106" s="14">
        <v>1</v>
      </c>
      <c r="K106" s="14">
        <v>1</v>
      </c>
      <c r="L106" s="14" t="s">
        <v>18519</v>
      </c>
      <c r="M106" s="14" t="s">
        <v>117</v>
      </c>
      <c r="N106" s="14" t="s">
        <v>18520</v>
      </c>
      <c r="O106" s="14" t="s">
        <v>18521</v>
      </c>
      <c r="P106" s="14" t="str">
        <f>HYPERLINK("https://dexscreener.com/solana/27vMFjJerzLd5iZX2tRWL4eHUTr5Lfh5YWdakU3Zpump", "View")</f>
        <v>View</v>
      </c>
    </row>
    <row r="107" spans="1:16" x14ac:dyDescent="0.25">
      <c r="A107" s="16" t="s">
        <v>18522</v>
      </c>
      <c r="B107" s="17">
        <v>89381</v>
      </c>
      <c r="C107" s="17">
        <v>89381</v>
      </c>
      <c r="D107" s="17" t="s">
        <v>18523</v>
      </c>
      <c r="E107" s="17" t="s">
        <v>18164</v>
      </c>
      <c r="F107" s="17" t="s">
        <v>14371</v>
      </c>
      <c r="G107" s="22" t="s">
        <v>5588</v>
      </c>
      <c r="H107" s="22" t="s">
        <v>18524</v>
      </c>
      <c r="I107" s="17" t="s">
        <v>88</v>
      </c>
      <c r="J107" s="17">
        <v>6</v>
      </c>
      <c r="K107" s="17">
        <v>4</v>
      </c>
      <c r="L107" s="17" t="s">
        <v>18525</v>
      </c>
      <c r="M107" s="17" t="s">
        <v>690</v>
      </c>
      <c r="N107" s="17" t="s">
        <v>18526</v>
      </c>
      <c r="O107" s="17" t="s">
        <v>18527</v>
      </c>
      <c r="P107" s="17" t="str">
        <f>HYPERLINK("https://dexscreener.com/solana/9bxaVJmUwSc71j8Z2pvUL3UAr1s5fCnwUpvYhqV9jtmw", "View")</f>
        <v>View</v>
      </c>
    </row>
    <row r="108" spans="1:16" x14ac:dyDescent="0.25">
      <c r="A108" s="13" t="s">
        <v>3663</v>
      </c>
      <c r="B108" s="14">
        <v>1175535</v>
      </c>
      <c r="C108" s="14">
        <v>1175535</v>
      </c>
      <c r="D108" s="14" t="s">
        <v>16545</v>
      </c>
      <c r="E108" s="14" t="s">
        <v>10388</v>
      </c>
      <c r="F108" s="14" t="s">
        <v>6282</v>
      </c>
      <c r="G108" s="15" t="s">
        <v>18528</v>
      </c>
      <c r="H108" s="15" t="s">
        <v>18529</v>
      </c>
      <c r="I108" s="14" t="s">
        <v>88</v>
      </c>
      <c r="J108" s="14">
        <v>2</v>
      </c>
      <c r="K108" s="14">
        <v>1</v>
      </c>
      <c r="L108" s="14" t="s">
        <v>18530</v>
      </c>
      <c r="M108" s="14" t="s">
        <v>179</v>
      </c>
      <c r="N108" s="14" t="s">
        <v>18531</v>
      </c>
      <c r="O108" s="14" t="s">
        <v>3668</v>
      </c>
      <c r="P108" s="14" t="str">
        <f>HYPERLINK("https://dexscreener.com/solana/9FKppQRvBe1KLCzL5Kr7mFagN6xL86CVdij7EfUPpump", "View")</f>
        <v>View</v>
      </c>
    </row>
    <row r="109" spans="1:16" x14ac:dyDescent="0.25">
      <c r="A109" s="16" t="s">
        <v>15804</v>
      </c>
      <c r="B109" s="17">
        <v>5818</v>
      </c>
      <c r="C109" s="17">
        <v>6760</v>
      </c>
      <c r="D109" s="17" t="s">
        <v>2050</v>
      </c>
      <c r="E109" s="17" t="s">
        <v>6107</v>
      </c>
      <c r="F109" s="17" t="s">
        <v>18532</v>
      </c>
      <c r="G109" s="21" t="s">
        <v>9517</v>
      </c>
      <c r="H109" s="21" t="s">
        <v>17327</v>
      </c>
      <c r="I109" s="17" t="s">
        <v>88</v>
      </c>
      <c r="J109" s="17">
        <v>2</v>
      </c>
      <c r="K109" s="17">
        <v>2</v>
      </c>
      <c r="L109" s="17" t="s">
        <v>18533</v>
      </c>
      <c r="M109" s="17" t="s">
        <v>132</v>
      </c>
      <c r="N109" s="17" t="s">
        <v>18534</v>
      </c>
      <c r="O109" s="17" t="s">
        <v>15808</v>
      </c>
      <c r="P109" s="17" t="str">
        <f>HYPERLINK("https://dexscreener.com/solana/3HYx6a9whu5a4dnzE62WNXg46MrEmu9LFxutR2YBpump", "View")</f>
        <v>View</v>
      </c>
    </row>
    <row r="110" spans="1:16" x14ac:dyDescent="0.25">
      <c r="A110" s="13" t="s">
        <v>5561</v>
      </c>
      <c r="B110" s="14">
        <v>517493</v>
      </c>
      <c r="C110" s="14">
        <v>0</v>
      </c>
      <c r="D110" s="14" t="s">
        <v>16473</v>
      </c>
      <c r="E110" s="14" t="s">
        <v>10388</v>
      </c>
      <c r="F110" s="14" t="s">
        <v>96</v>
      </c>
      <c r="G110" s="18" t="s">
        <v>10648</v>
      </c>
      <c r="H110" s="18" t="s">
        <v>98</v>
      </c>
      <c r="I110" s="14" t="s">
        <v>18535</v>
      </c>
      <c r="J110" s="14">
        <v>2</v>
      </c>
      <c r="K110" s="14">
        <v>0</v>
      </c>
      <c r="L110" s="14" t="s">
        <v>18536</v>
      </c>
      <c r="M110" s="14" t="s">
        <v>602</v>
      </c>
      <c r="N110" s="14" t="s">
        <v>18537</v>
      </c>
      <c r="O110" s="14" t="s">
        <v>18538</v>
      </c>
      <c r="P110" s="14" t="str">
        <f>HYPERLINK("https://dexscreener.com/solana/VCujxXUKyAHzEWBNDtek7Ho37a5fmRjHS7HKM2tpump", "View")</f>
        <v>View</v>
      </c>
    </row>
    <row r="111" spans="1:16" x14ac:dyDescent="0.25">
      <c r="A111" s="16" t="s">
        <v>18539</v>
      </c>
      <c r="B111" s="17">
        <v>1281431</v>
      </c>
      <c r="C111" s="17">
        <v>1281431</v>
      </c>
      <c r="D111" s="17" t="s">
        <v>18540</v>
      </c>
      <c r="E111" s="17" t="s">
        <v>14394</v>
      </c>
      <c r="F111" s="17" t="s">
        <v>3757</v>
      </c>
      <c r="G111" s="15" t="s">
        <v>18541</v>
      </c>
      <c r="H111" s="15" t="s">
        <v>18542</v>
      </c>
      <c r="I111" s="17" t="s">
        <v>88</v>
      </c>
      <c r="J111" s="17">
        <v>3</v>
      </c>
      <c r="K111" s="17">
        <v>1</v>
      </c>
      <c r="L111" s="17" t="s">
        <v>18543</v>
      </c>
      <c r="M111" s="17" t="s">
        <v>2617</v>
      </c>
      <c r="N111" s="17" t="s">
        <v>18544</v>
      </c>
      <c r="O111" s="17" t="s">
        <v>18545</v>
      </c>
      <c r="P111" s="17" t="str">
        <f>HYPERLINK("https://dexscreener.com/solana/CPfsUf8nXXKZC2VBPTYb7Cnt6GJi934kJvp2odSXpump", "View")</f>
        <v>View</v>
      </c>
    </row>
    <row r="112" spans="1:16" x14ac:dyDescent="0.25">
      <c r="A112" s="13" t="s">
        <v>15958</v>
      </c>
      <c r="B112" s="14">
        <v>665806</v>
      </c>
      <c r="C112" s="14">
        <v>0</v>
      </c>
      <c r="D112" s="14" t="s">
        <v>17043</v>
      </c>
      <c r="E112" s="14" t="s">
        <v>3045</v>
      </c>
      <c r="F112" s="14" t="s">
        <v>96</v>
      </c>
      <c r="G112" s="18" t="s">
        <v>18437</v>
      </c>
      <c r="H112" s="18" t="s">
        <v>98</v>
      </c>
      <c r="I112" s="14" t="s">
        <v>18546</v>
      </c>
      <c r="J112" s="14">
        <v>1</v>
      </c>
      <c r="K112" s="14">
        <v>0</v>
      </c>
      <c r="L112" s="14" t="s">
        <v>18547</v>
      </c>
      <c r="M112" s="19" t="s">
        <v>101</v>
      </c>
      <c r="N112" s="14" t="s">
        <v>18548</v>
      </c>
      <c r="O112" s="14" t="s">
        <v>15960</v>
      </c>
      <c r="P112" s="14" t="str">
        <f>HYPERLINK("https://dexscreener.com/solana/4NJg5b3YSyj1rapAmyqmJoT3eamQFL1AZFiH4Wfrpump", "View")</f>
        <v>View</v>
      </c>
    </row>
    <row r="113" spans="1:16" x14ac:dyDescent="0.25">
      <c r="A113" s="16" t="s">
        <v>13038</v>
      </c>
      <c r="B113" s="17">
        <v>2283620</v>
      </c>
      <c r="C113" s="17">
        <v>1712715</v>
      </c>
      <c r="D113" s="17" t="s">
        <v>18549</v>
      </c>
      <c r="E113" s="17" t="s">
        <v>6581</v>
      </c>
      <c r="F113" s="17" t="s">
        <v>18550</v>
      </c>
      <c r="G113" s="21" t="s">
        <v>18551</v>
      </c>
      <c r="H113" s="21" t="s">
        <v>18552</v>
      </c>
      <c r="I113" s="17" t="s">
        <v>88</v>
      </c>
      <c r="J113" s="17">
        <v>4</v>
      </c>
      <c r="K113" s="17">
        <v>2</v>
      </c>
      <c r="L113" s="17" t="s">
        <v>18553</v>
      </c>
      <c r="M113" s="17" t="s">
        <v>117</v>
      </c>
      <c r="N113" s="17" t="s">
        <v>18554</v>
      </c>
      <c r="O113" s="17" t="s">
        <v>18555</v>
      </c>
      <c r="P113" s="17" t="str">
        <f>HYPERLINK("https://dexscreener.com/solana/AdKzRJoVKdJ8BNwPy2DiYiujimLr9GQQdc32sQhHpump", "View")</f>
        <v>View</v>
      </c>
    </row>
    <row r="114" spans="1:16" x14ac:dyDescent="0.25">
      <c r="A114" s="13" t="s">
        <v>18556</v>
      </c>
      <c r="B114" s="14">
        <v>1240726</v>
      </c>
      <c r="C114" s="14">
        <v>0</v>
      </c>
      <c r="D114" s="14" t="s">
        <v>17043</v>
      </c>
      <c r="E114" s="14" t="s">
        <v>3045</v>
      </c>
      <c r="F114" s="14" t="s">
        <v>96</v>
      </c>
      <c r="G114" s="18" t="s">
        <v>18437</v>
      </c>
      <c r="H114" s="18" t="s">
        <v>98</v>
      </c>
      <c r="I114" s="14" t="s">
        <v>18557</v>
      </c>
      <c r="J114" s="14">
        <v>1</v>
      </c>
      <c r="K114" s="14">
        <v>0</v>
      </c>
      <c r="L114" s="14" t="s">
        <v>18558</v>
      </c>
      <c r="M114" s="19" t="s">
        <v>101</v>
      </c>
      <c r="N114" s="14" t="s">
        <v>16927</v>
      </c>
      <c r="O114" s="14" t="s">
        <v>18559</v>
      </c>
      <c r="P114" s="14" t="str">
        <f>HYPERLINK("https://dexscreener.com/solana/wGVjXYciac5tNkq1sPreutUTYwTAkkwxnsLKkjTpump", "View")</f>
        <v>View</v>
      </c>
    </row>
    <row r="115" spans="1:16" x14ac:dyDescent="0.25">
      <c r="A115" s="16" t="s">
        <v>14918</v>
      </c>
      <c r="B115" s="17">
        <v>90498</v>
      </c>
      <c r="C115" s="17">
        <v>0</v>
      </c>
      <c r="D115" s="17" t="s">
        <v>17043</v>
      </c>
      <c r="E115" s="17" t="s">
        <v>3045</v>
      </c>
      <c r="F115" s="17" t="s">
        <v>96</v>
      </c>
      <c r="G115" s="18" t="s">
        <v>18437</v>
      </c>
      <c r="H115" s="18" t="s">
        <v>98</v>
      </c>
      <c r="I115" s="17" t="s">
        <v>18560</v>
      </c>
      <c r="J115" s="17">
        <v>1</v>
      </c>
      <c r="K115" s="17">
        <v>0</v>
      </c>
      <c r="L115" s="17" t="s">
        <v>18561</v>
      </c>
      <c r="M115" s="19" t="s">
        <v>101</v>
      </c>
      <c r="N115" s="17" t="s">
        <v>18562</v>
      </c>
      <c r="O115" s="17" t="s">
        <v>14925</v>
      </c>
      <c r="P115" s="17" t="str">
        <f>HYPERLINK("https://dexscreener.com/solana/D4N5vcpdxysThXZqT1VEJYcQzvp59Eff4fHQvbL9pump", "View")</f>
        <v>View</v>
      </c>
    </row>
    <row r="116" spans="1:16" x14ac:dyDescent="0.25">
      <c r="A116" s="13" t="s">
        <v>18563</v>
      </c>
      <c r="B116" s="14">
        <v>2137119</v>
      </c>
      <c r="C116" s="14">
        <v>0</v>
      </c>
      <c r="D116" s="14" t="s">
        <v>17043</v>
      </c>
      <c r="E116" s="14" t="s">
        <v>6029</v>
      </c>
      <c r="F116" s="14" t="s">
        <v>96</v>
      </c>
      <c r="G116" s="18" t="s">
        <v>2201</v>
      </c>
      <c r="H116" s="18" t="s">
        <v>98</v>
      </c>
      <c r="I116" s="14" t="s">
        <v>18564</v>
      </c>
      <c r="J116" s="14">
        <v>1</v>
      </c>
      <c r="K116" s="14">
        <v>0</v>
      </c>
      <c r="L116" s="14" t="s">
        <v>18565</v>
      </c>
      <c r="M116" s="19" t="s">
        <v>101</v>
      </c>
      <c r="N116" s="14" t="s">
        <v>5283</v>
      </c>
      <c r="O116" s="14" t="s">
        <v>18566</v>
      </c>
      <c r="P116" s="14" t="str">
        <f>HYPERLINK("https://photon-sol.tinyastro.io/en/lp/2FKV6CcGiMqtyRC3D6Huv41p7266nWfkYgLpS9Y5pump?handle=676050794bc1b1657a56b", "View")</f>
        <v>View</v>
      </c>
    </row>
    <row r="117" spans="1:16" x14ac:dyDescent="0.25">
      <c r="A117" s="16" t="s">
        <v>18567</v>
      </c>
      <c r="B117" s="17">
        <v>299840</v>
      </c>
      <c r="C117" s="17">
        <v>0</v>
      </c>
      <c r="D117" s="17" t="s">
        <v>17043</v>
      </c>
      <c r="E117" s="17" t="s">
        <v>3045</v>
      </c>
      <c r="F117" s="17" t="s">
        <v>96</v>
      </c>
      <c r="G117" s="18" t="s">
        <v>18437</v>
      </c>
      <c r="H117" s="18" t="s">
        <v>98</v>
      </c>
      <c r="I117" s="17" t="s">
        <v>18568</v>
      </c>
      <c r="J117" s="17">
        <v>1</v>
      </c>
      <c r="K117" s="17">
        <v>0</v>
      </c>
      <c r="L117" s="17" t="s">
        <v>18569</v>
      </c>
      <c r="M117" s="19" t="s">
        <v>101</v>
      </c>
      <c r="N117" s="17" t="s">
        <v>18570</v>
      </c>
      <c r="O117" s="17" t="s">
        <v>18571</v>
      </c>
      <c r="P117" s="17" t="str">
        <f>HYPERLINK("https://dexscreener.com/solana/EsQH1EH1L8HYzargwnarSA8AwAywWPrGNLWbZQ6dpump", "View")</f>
        <v>View</v>
      </c>
    </row>
    <row r="118" spans="1:16" x14ac:dyDescent="0.25">
      <c r="A118" s="13" t="s">
        <v>10703</v>
      </c>
      <c r="B118" s="14">
        <v>53422</v>
      </c>
      <c r="C118" s="14">
        <v>0</v>
      </c>
      <c r="D118" s="14" t="s">
        <v>16473</v>
      </c>
      <c r="E118" s="14" t="s">
        <v>5242</v>
      </c>
      <c r="F118" s="14" t="s">
        <v>96</v>
      </c>
      <c r="G118" s="18" t="s">
        <v>18572</v>
      </c>
      <c r="H118" s="18" t="s">
        <v>98</v>
      </c>
      <c r="I118" s="14" t="s">
        <v>18573</v>
      </c>
      <c r="J118" s="14">
        <v>2</v>
      </c>
      <c r="K118" s="14">
        <v>0</v>
      </c>
      <c r="L118" s="14" t="s">
        <v>18574</v>
      </c>
      <c r="M118" s="14" t="s">
        <v>414</v>
      </c>
      <c r="N118" s="14" t="s">
        <v>18575</v>
      </c>
      <c r="O118" s="14" t="s">
        <v>10709</v>
      </c>
      <c r="P118" s="14" t="str">
        <f>HYPERLINK("https://dexscreener.com/solana/CUzSRjBvqFFq45mg6j9oyQrDxyUTHEKM2xqKzDkZpump", "View")</f>
        <v>View</v>
      </c>
    </row>
    <row r="119" spans="1:16" x14ac:dyDescent="0.25">
      <c r="A119" s="16" t="s">
        <v>18576</v>
      </c>
      <c r="B119" s="17">
        <v>1357322</v>
      </c>
      <c r="C119" s="17">
        <v>0</v>
      </c>
      <c r="D119" s="17" t="s">
        <v>17043</v>
      </c>
      <c r="E119" s="17" t="s">
        <v>3045</v>
      </c>
      <c r="F119" s="17" t="s">
        <v>96</v>
      </c>
      <c r="G119" s="18" t="s">
        <v>18437</v>
      </c>
      <c r="H119" s="18" t="s">
        <v>98</v>
      </c>
      <c r="I119" s="17" t="s">
        <v>18577</v>
      </c>
      <c r="J119" s="17">
        <v>1</v>
      </c>
      <c r="K119" s="17">
        <v>0</v>
      </c>
      <c r="L119" s="17" t="s">
        <v>18578</v>
      </c>
      <c r="M119" s="19" t="s">
        <v>101</v>
      </c>
      <c r="N119" s="17" t="s">
        <v>9994</v>
      </c>
      <c r="O119" s="17" t="s">
        <v>18579</v>
      </c>
      <c r="P119" s="17" t="str">
        <f>HYPERLINK("https://dexscreener.com/solana/6pi9bTkTMsVD1iRB3VuSGANWZdaHDvr42g9Sy8X3pump", "View")</f>
        <v>View</v>
      </c>
    </row>
    <row r="120" spans="1:16" x14ac:dyDescent="0.25">
      <c r="A120" s="13" t="s">
        <v>18580</v>
      </c>
      <c r="B120" s="14">
        <v>123</v>
      </c>
      <c r="C120" s="14">
        <v>185</v>
      </c>
      <c r="D120" s="14" t="s">
        <v>15962</v>
      </c>
      <c r="E120" s="14" t="s">
        <v>10121</v>
      </c>
      <c r="F120" s="14" t="s">
        <v>7925</v>
      </c>
      <c r="G120" s="21" t="s">
        <v>1639</v>
      </c>
      <c r="H120" s="21" t="s">
        <v>18581</v>
      </c>
      <c r="I120" s="14" t="s">
        <v>88</v>
      </c>
      <c r="J120" s="14">
        <v>2</v>
      </c>
      <c r="K120" s="14">
        <v>1</v>
      </c>
      <c r="L120" s="14" t="s">
        <v>18582</v>
      </c>
      <c r="M120" s="14" t="s">
        <v>17039</v>
      </c>
      <c r="N120" s="14" t="s">
        <v>18583</v>
      </c>
      <c r="O120" s="14" t="s">
        <v>18584</v>
      </c>
      <c r="P120" s="14" t="str">
        <f>HYPERLINK("https://dexscreener.com/solana/5mbK36SZ7J19An8jFochhQS4of8g6BwUjbeCSxBSoWdp", "View")</f>
        <v>View</v>
      </c>
    </row>
    <row r="121" spans="1:16" x14ac:dyDescent="0.25">
      <c r="A121" s="16" t="s">
        <v>15071</v>
      </c>
      <c r="B121" s="17">
        <v>336</v>
      </c>
      <c r="C121" s="17">
        <v>0</v>
      </c>
      <c r="D121" s="17" t="s">
        <v>16473</v>
      </c>
      <c r="E121" s="17" t="s">
        <v>11534</v>
      </c>
      <c r="F121" s="17" t="s">
        <v>96</v>
      </c>
      <c r="G121" s="18" t="s">
        <v>2959</v>
      </c>
      <c r="H121" s="18" t="s">
        <v>98</v>
      </c>
      <c r="I121" s="17" t="s">
        <v>18585</v>
      </c>
      <c r="J121" s="17">
        <v>2</v>
      </c>
      <c r="K121" s="17">
        <v>0</v>
      </c>
      <c r="L121" s="17" t="s">
        <v>18586</v>
      </c>
      <c r="M121" s="17" t="s">
        <v>231</v>
      </c>
      <c r="N121" s="17" t="s">
        <v>18587</v>
      </c>
      <c r="O121" s="17" t="s">
        <v>15079</v>
      </c>
      <c r="P121" s="17" t="str">
        <f>HYPERLINK("https://dexscreener.com/solana/HeJUFDxfJSzYFUuHLxkMqCgytU31G6mjP4wKviwqpump", "View")</f>
        <v>View</v>
      </c>
    </row>
    <row r="122" spans="1:16" x14ac:dyDescent="0.25">
      <c r="A122" s="13" t="s">
        <v>18588</v>
      </c>
      <c r="B122" s="14">
        <v>43532</v>
      </c>
      <c r="C122" s="14">
        <v>43532</v>
      </c>
      <c r="D122" s="14" t="s">
        <v>16545</v>
      </c>
      <c r="E122" s="14" t="s">
        <v>5534</v>
      </c>
      <c r="F122" s="14" t="s">
        <v>18133</v>
      </c>
      <c r="G122" s="21" t="s">
        <v>5140</v>
      </c>
      <c r="H122" s="21" t="s">
        <v>18589</v>
      </c>
      <c r="I122" s="14" t="s">
        <v>88</v>
      </c>
      <c r="J122" s="14">
        <v>2</v>
      </c>
      <c r="K122" s="14">
        <v>1</v>
      </c>
      <c r="L122" s="14" t="s">
        <v>18590</v>
      </c>
      <c r="M122" s="14" t="s">
        <v>179</v>
      </c>
      <c r="N122" s="14" t="s">
        <v>18591</v>
      </c>
      <c r="O122" s="14" t="s">
        <v>18592</v>
      </c>
      <c r="P122" s="14" t="str">
        <f>HYPERLINK("https://dexscreener.com/solana/HcD1UJc2KK48DfuYCi1wh4Ccn4d7L19gt661SMgQpump", "View")</f>
        <v>View</v>
      </c>
    </row>
    <row r="123" spans="1:16" x14ac:dyDescent="0.25">
      <c r="A123" s="16" t="s">
        <v>895</v>
      </c>
      <c r="B123" s="17">
        <v>10438</v>
      </c>
      <c r="C123" s="17">
        <v>0</v>
      </c>
      <c r="D123" s="17" t="s">
        <v>17043</v>
      </c>
      <c r="E123" s="17" t="s">
        <v>5919</v>
      </c>
      <c r="F123" s="17" t="s">
        <v>96</v>
      </c>
      <c r="G123" s="18" t="s">
        <v>2760</v>
      </c>
      <c r="H123" s="18" t="s">
        <v>98</v>
      </c>
      <c r="I123" s="17" t="s">
        <v>18593</v>
      </c>
      <c r="J123" s="17">
        <v>1</v>
      </c>
      <c r="K123" s="17">
        <v>0</v>
      </c>
      <c r="L123" s="17" t="s">
        <v>18594</v>
      </c>
      <c r="M123" s="19" t="s">
        <v>101</v>
      </c>
      <c r="N123" s="17" t="s">
        <v>18595</v>
      </c>
      <c r="O123" s="17" t="s">
        <v>900</v>
      </c>
      <c r="P123" s="17" t="str">
        <f>HYPERLINK("https://dexscreener.com/solana/C3YBjaivX99gzMdeQ1PCpVP3o5kNoaKkT2yAKFqRpump", "View")</f>
        <v>View</v>
      </c>
    </row>
    <row r="124" spans="1:16" x14ac:dyDescent="0.25">
      <c r="A124" s="13" t="s">
        <v>18596</v>
      </c>
      <c r="B124" s="14">
        <v>114985</v>
      </c>
      <c r="C124" s="14">
        <v>103877</v>
      </c>
      <c r="D124" s="14" t="s">
        <v>18597</v>
      </c>
      <c r="E124" s="14" t="s">
        <v>5534</v>
      </c>
      <c r="F124" s="14" t="s">
        <v>18598</v>
      </c>
      <c r="G124" s="21" t="s">
        <v>4409</v>
      </c>
      <c r="H124" s="21" t="s">
        <v>18599</v>
      </c>
      <c r="I124" s="14" t="s">
        <v>88</v>
      </c>
      <c r="J124" s="14">
        <v>2</v>
      </c>
      <c r="K124" s="14">
        <v>3</v>
      </c>
      <c r="L124" s="14" t="s">
        <v>18600</v>
      </c>
      <c r="M124" s="14" t="s">
        <v>117</v>
      </c>
      <c r="N124" s="14" t="s">
        <v>18601</v>
      </c>
      <c r="O124" s="14" t="s">
        <v>18602</v>
      </c>
      <c r="P124" s="14" t="str">
        <f>HYPERLINK("https://dexscreener.com/solana/8Z2h8VsYqUoExZNwrtGQ1LQiHru6nnUsPSpvCwNapump", "View")</f>
        <v>View</v>
      </c>
    </row>
    <row r="125" spans="1:16" x14ac:dyDescent="0.25">
      <c r="A125" s="16" t="s">
        <v>18603</v>
      </c>
      <c r="B125" s="17">
        <v>182005</v>
      </c>
      <c r="C125" s="17">
        <v>0</v>
      </c>
      <c r="D125" s="17" t="s">
        <v>10436</v>
      </c>
      <c r="E125" s="17" t="s">
        <v>2580</v>
      </c>
      <c r="F125" s="17" t="s">
        <v>96</v>
      </c>
      <c r="G125" s="18" t="s">
        <v>16715</v>
      </c>
      <c r="H125" s="18" t="s">
        <v>98</v>
      </c>
      <c r="I125" s="17" t="s">
        <v>18604</v>
      </c>
      <c r="J125" s="17">
        <v>5</v>
      </c>
      <c r="K125" s="17">
        <v>0</v>
      </c>
      <c r="L125" s="17" t="s">
        <v>18605</v>
      </c>
      <c r="M125" s="17" t="s">
        <v>179</v>
      </c>
      <c r="N125" s="17" t="s">
        <v>18606</v>
      </c>
      <c r="O125" s="17" t="s">
        <v>18607</v>
      </c>
      <c r="P125" s="17" t="str">
        <f>HYPERLINK("https://dexscreener.com/solana/6SH9YZqVXfEmb1bV4ZHWtxUAaR4ua9bKjkd6z1ELpump", "View")</f>
        <v>View</v>
      </c>
    </row>
    <row r="126" spans="1:16" x14ac:dyDescent="0.25">
      <c r="A126" s="13" t="s">
        <v>18608</v>
      </c>
      <c r="B126" s="14">
        <v>14366</v>
      </c>
      <c r="C126" s="14">
        <v>0</v>
      </c>
      <c r="D126" s="14" t="s">
        <v>17043</v>
      </c>
      <c r="E126" s="14" t="s">
        <v>5919</v>
      </c>
      <c r="F126" s="14" t="s">
        <v>96</v>
      </c>
      <c r="G126" s="18" t="s">
        <v>2760</v>
      </c>
      <c r="H126" s="18" t="s">
        <v>98</v>
      </c>
      <c r="I126" s="14" t="s">
        <v>18609</v>
      </c>
      <c r="J126" s="14">
        <v>1</v>
      </c>
      <c r="K126" s="14">
        <v>0</v>
      </c>
      <c r="L126" s="14" t="s">
        <v>18610</v>
      </c>
      <c r="M126" s="19" t="s">
        <v>101</v>
      </c>
      <c r="N126" s="14" t="s">
        <v>18611</v>
      </c>
      <c r="O126" s="14" t="s">
        <v>18612</v>
      </c>
      <c r="P126" s="14" t="str">
        <f>HYPERLINK("https://dexscreener.com/solana/9dV5wyv4U9MHtz8r28JNmkVimrE7mAGDiddyK9e3pump", "View")</f>
        <v>View</v>
      </c>
    </row>
    <row r="127" spans="1:16" x14ac:dyDescent="0.25">
      <c r="A127" s="16" t="s">
        <v>11443</v>
      </c>
      <c r="B127" s="17">
        <v>4364</v>
      </c>
      <c r="C127" s="17">
        <v>0</v>
      </c>
      <c r="D127" s="17" t="s">
        <v>17043</v>
      </c>
      <c r="E127" s="17" t="s">
        <v>5919</v>
      </c>
      <c r="F127" s="17" t="s">
        <v>96</v>
      </c>
      <c r="G127" s="18" t="s">
        <v>2760</v>
      </c>
      <c r="H127" s="18" t="s">
        <v>98</v>
      </c>
      <c r="I127" s="17" t="s">
        <v>18613</v>
      </c>
      <c r="J127" s="17">
        <v>1</v>
      </c>
      <c r="K127" s="17">
        <v>0</v>
      </c>
      <c r="L127" s="17" t="s">
        <v>18614</v>
      </c>
      <c r="M127" s="19" t="s">
        <v>101</v>
      </c>
      <c r="N127" s="17" t="s">
        <v>18615</v>
      </c>
      <c r="O127" s="17" t="s">
        <v>11447</v>
      </c>
      <c r="P127" s="17" t="str">
        <f>HYPERLINK("https://dexscreener.com/solana/4HEN6QcmzjGfhSgpyyfTsE7ohdamb5jMPHRg2RXapump", "View")</f>
        <v>View</v>
      </c>
    </row>
    <row r="128" spans="1:16" x14ac:dyDescent="0.25">
      <c r="A128" s="13" t="s">
        <v>18616</v>
      </c>
      <c r="B128" s="14">
        <v>96577</v>
      </c>
      <c r="C128" s="14">
        <v>0</v>
      </c>
      <c r="D128" s="14" t="s">
        <v>16473</v>
      </c>
      <c r="E128" s="14" t="s">
        <v>5534</v>
      </c>
      <c r="F128" s="14" t="s">
        <v>96</v>
      </c>
      <c r="G128" s="18" t="s">
        <v>15868</v>
      </c>
      <c r="H128" s="18" t="s">
        <v>98</v>
      </c>
      <c r="I128" s="14" t="s">
        <v>18617</v>
      </c>
      <c r="J128" s="14">
        <v>2</v>
      </c>
      <c r="K128" s="14">
        <v>0</v>
      </c>
      <c r="L128" s="14" t="s">
        <v>18618</v>
      </c>
      <c r="M128" s="19" t="s">
        <v>2955</v>
      </c>
      <c r="N128" s="14" t="s">
        <v>18619</v>
      </c>
      <c r="O128" s="14" t="s">
        <v>18620</v>
      </c>
      <c r="P128" s="14" t="str">
        <f>HYPERLINK("https://dexscreener.com/solana/ApwHnYXaohxasWhLafDiKKzwkJJApHzphmynFJfKtrp5", "View")</f>
        <v>View</v>
      </c>
    </row>
    <row r="129" spans="1:16" x14ac:dyDescent="0.25">
      <c r="A129" s="16" t="s">
        <v>975</v>
      </c>
      <c r="B129" s="17">
        <v>15729</v>
      </c>
      <c r="C129" s="17">
        <v>0</v>
      </c>
      <c r="D129" s="17" t="s">
        <v>17043</v>
      </c>
      <c r="E129" s="17" t="s">
        <v>5919</v>
      </c>
      <c r="F129" s="17" t="s">
        <v>96</v>
      </c>
      <c r="G129" s="18" t="s">
        <v>2760</v>
      </c>
      <c r="H129" s="18" t="s">
        <v>98</v>
      </c>
      <c r="I129" s="17" t="s">
        <v>18621</v>
      </c>
      <c r="J129" s="17">
        <v>1</v>
      </c>
      <c r="K129" s="17">
        <v>0</v>
      </c>
      <c r="L129" s="17" t="s">
        <v>18622</v>
      </c>
      <c r="M129" s="19" t="s">
        <v>101</v>
      </c>
      <c r="N129" s="17" t="s">
        <v>18623</v>
      </c>
      <c r="O129" s="17" t="s">
        <v>982</v>
      </c>
      <c r="P129" s="17" t="str">
        <f>HYPERLINK("https://dexscreener.com/solana/PeSuezqPQbB5k8F4Ew2hWoSjZxf1qKdEbri35s1pump", "View")</f>
        <v>View</v>
      </c>
    </row>
    <row r="130" spans="1:16" x14ac:dyDescent="0.25">
      <c r="A130" s="13" t="s">
        <v>9235</v>
      </c>
      <c r="B130" s="14">
        <v>172358</v>
      </c>
      <c r="C130" s="14">
        <v>0</v>
      </c>
      <c r="D130" s="14" t="s">
        <v>16466</v>
      </c>
      <c r="E130" s="14" t="s">
        <v>9376</v>
      </c>
      <c r="F130" s="14" t="s">
        <v>96</v>
      </c>
      <c r="G130" s="18" t="s">
        <v>18624</v>
      </c>
      <c r="H130" s="18" t="s">
        <v>98</v>
      </c>
      <c r="I130" s="14" t="s">
        <v>18625</v>
      </c>
      <c r="J130" s="14">
        <v>1</v>
      </c>
      <c r="K130" s="14">
        <v>0</v>
      </c>
      <c r="L130" s="14" t="s">
        <v>18626</v>
      </c>
      <c r="M130" s="19" t="s">
        <v>101</v>
      </c>
      <c r="N130" s="14" t="s">
        <v>18627</v>
      </c>
      <c r="O130" s="14" t="s">
        <v>9242</v>
      </c>
      <c r="P130" s="14" t="str">
        <f>HYPERLINK("https://dexscreener.com/solana/3xhDkG9BgTBnwM5D3PACpJxwtmJ1Py9LzpvmkD67pump", "View")</f>
        <v>View</v>
      </c>
    </row>
    <row r="131" spans="1:16" x14ac:dyDescent="0.25">
      <c r="A131" s="16" t="s">
        <v>12077</v>
      </c>
      <c r="B131" s="17">
        <v>151767</v>
      </c>
      <c r="C131" s="17">
        <v>0</v>
      </c>
      <c r="D131" s="17" t="s">
        <v>10436</v>
      </c>
      <c r="E131" s="17" t="s">
        <v>2580</v>
      </c>
      <c r="F131" s="17" t="s">
        <v>96</v>
      </c>
      <c r="G131" s="18" t="s">
        <v>16715</v>
      </c>
      <c r="H131" s="18" t="s">
        <v>98</v>
      </c>
      <c r="I131" s="17" t="s">
        <v>18628</v>
      </c>
      <c r="J131" s="17">
        <v>5</v>
      </c>
      <c r="K131" s="17">
        <v>0</v>
      </c>
      <c r="L131" s="17" t="s">
        <v>18629</v>
      </c>
      <c r="M131" s="17" t="s">
        <v>179</v>
      </c>
      <c r="N131" s="17" t="s">
        <v>18630</v>
      </c>
      <c r="O131" s="17" t="s">
        <v>18631</v>
      </c>
      <c r="P131" s="17" t="str">
        <f>HYPERLINK("https://dexscreener.com/solana/X8szRJUVDNKBegUsJbE2pjkhNbrZFHFHvuwcbeZpump", "View")</f>
        <v>View</v>
      </c>
    </row>
    <row r="132" spans="1:16" x14ac:dyDescent="0.25">
      <c r="A132" s="13" t="s">
        <v>18632</v>
      </c>
      <c r="B132" s="14">
        <v>96094</v>
      </c>
      <c r="C132" s="14">
        <v>0</v>
      </c>
      <c r="D132" s="14" t="s">
        <v>18126</v>
      </c>
      <c r="E132" s="14" t="s">
        <v>11534</v>
      </c>
      <c r="F132" s="14" t="s">
        <v>96</v>
      </c>
      <c r="G132" s="18" t="s">
        <v>3209</v>
      </c>
      <c r="H132" s="18" t="s">
        <v>98</v>
      </c>
      <c r="I132" s="14" t="s">
        <v>18633</v>
      </c>
      <c r="J132" s="14">
        <v>3</v>
      </c>
      <c r="K132" s="14">
        <v>0</v>
      </c>
      <c r="L132" s="14" t="s">
        <v>18634</v>
      </c>
      <c r="M132" s="14" t="s">
        <v>602</v>
      </c>
      <c r="N132" s="14" t="s">
        <v>18635</v>
      </c>
      <c r="O132" s="14" t="s">
        <v>18636</v>
      </c>
      <c r="P132" s="14" t="str">
        <f>HYPERLINK("https://dexscreener.com/solana/Ffju557FLtavTnLpMKaRMZNsiiAoxeQmsxStpwnKpump", "View")</f>
        <v>View</v>
      </c>
    </row>
    <row r="133" spans="1:16" x14ac:dyDescent="0.25">
      <c r="A133" s="16" t="s">
        <v>4518</v>
      </c>
      <c r="B133" s="17">
        <v>21768</v>
      </c>
      <c r="C133" s="17">
        <v>20492</v>
      </c>
      <c r="D133" s="17" t="s">
        <v>18637</v>
      </c>
      <c r="E133" s="17" t="s">
        <v>2580</v>
      </c>
      <c r="F133" s="17" t="s">
        <v>18638</v>
      </c>
      <c r="G133" s="21" t="s">
        <v>7148</v>
      </c>
      <c r="H133" s="21" t="s">
        <v>18639</v>
      </c>
      <c r="I133" s="17" t="s">
        <v>88</v>
      </c>
      <c r="J133" s="17">
        <v>3</v>
      </c>
      <c r="K133" s="17">
        <v>2</v>
      </c>
      <c r="L133" s="17" t="s">
        <v>18640</v>
      </c>
      <c r="M133" s="17" t="s">
        <v>414</v>
      </c>
      <c r="N133" s="17" t="s">
        <v>18641</v>
      </c>
      <c r="O133" s="17" t="s">
        <v>4525</v>
      </c>
      <c r="P133" s="17" t="str">
        <f>HYPERLINK("https://dexscreener.com/solana/FqvtZ2UFR9we82Ni4LeacC1zyTiQ77usDo31DUokpump", "View")</f>
        <v>View</v>
      </c>
    </row>
    <row r="134" spans="1:16" x14ac:dyDescent="0.25">
      <c r="A134" s="13" t="s">
        <v>748</v>
      </c>
      <c r="B134" s="14">
        <v>65973</v>
      </c>
      <c r="C134" s="14">
        <v>65973</v>
      </c>
      <c r="D134" s="14" t="s">
        <v>18126</v>
      </c>
      <c r="E134" s="14" t="s">
        <v>6107</v>
      </c>
      <c r="F134" s="14" t="s">
        <v>3845</v>
      </c>
      <c r="G134" s="15" t="s">
        <v>12840</v>
      </c>
      <c r="H134" s="15" t="s">
        <v>18642</v>
      </c>
      <c r="I134" s="14" t="s">
        <v>88</v>
      </c>
      <c r="J134" s="14">
        <v>2</v>
      </c>
      <c r="K134" s="14">
        <v>1</v>
      </c>
      <c r="L134" s="14" t="s">
        <v>18643</v>
      </c>
      <c r="M134" s="14" t="s">
        <v>672</v>
      </c>
      <c r="N134" s="14" t="s">
        <v>18644</v>
      </c>
      <c r="O134" s="14" t="s">
        <v>754</v>
      </c>
      <c r="P134" s="14" t="str">
        <f>HYPERLINK("https://dexscreener.com/solana/5qmL9rCSfZ7pBYAsaoeG8SP76ZELeRCK8XtMmYZvpump", "View")</f>
        <v>View</v>
      </c>
    </row>
    <row r="135" spans="1:16" x14ac:dyDescent="0.25">
      <c r="A135" s="16" t="s">
        <v>4583</v>
      </c>
      <c r="B135" s="17">
        <v>0</v>
      </c>
      <c r="C135" s="17">
        <v>0</v>
      </c>
      <c r="D135" s="17" t="s">
        <v>16473</v>
      </c>
      <c r="E135" s="17" t="s">
        <v>96</v>
      </c>
      <c r="F135" s="17" t="s">
        <v>96</v>
      </c>
      <c r="G135" s="18" t="s">
        <v>14444</v>
      </c>
      <c r="H135" s="18" t="s">
        <v>22</v>
      </c>
      <c r="I135" s="17" t="s">
        <v>43</v>
      </c>
      <c r="J135" s="17">
        <v>1</v>
      </c>
      <c r="K135" s="17">
        <v>1</v>
      </c>
      <c r="L135" s="17" t="s">
        <v>18645</v>
      </c>
      <c r="M135" s="17" t="s">
        <v>414</v>
      </c>
      <c r="N135" s="17" t="s">
        <v>18646</v>
      </c>
      <c r="O135" s="17" t="s">
        <v>4588</v>
      </c>
      <c r="P135" s="17" t="str">
        <f>HYPERLINK("https://dexscreener.com/solana/5LafQUrVco6o7KMz42eqVEJ9LW31StPyGjeeu5sKoMtA", "View")</f>
        <v>View</v>
      </c>
    </row>
    <row r="136" spans="1:16" x14ac:dyDescent="0.25">
      <c r="A136" s="13" t="s">
        <v>16966</v>
      </c>
      <c r="B136" s="14">
        <v>2375</v>
      </c>
      <c r="C136" s="14">
        <v>0</v>
      </c>
      <c r="D136" s="14" t="s">
        <v>17043</v>
      </c>
      <c r="E136" s="14" t="s">
        <v>5919</v>
      </c>
      <c r="F136" s="14" t="s">
        <v>96</v>
      </c>
      <c r="G136" s="18" t="s">
        <v>2760</v>
      </c>
      <c r="H136" s="18" t="s">
        <v>98</v>
      </c>
      <c r="I136" s="14" t="s">
        <v>18647</v>
      </c>
      <c r="J136" s="14">
        <v>1</v>
      </c>
      <c r="K136" s="14">
        <v>0</v>
      </c>
      <c r="L136" s="14" t="s">
        <v>18648</v>
      </c>
      <c r="M136" s="19" t="s">
        <v>101</v>
      </c>
      <c r="N136" s="14" t="s">
        <v>18649</v>
      </c>
      <c r="O136" s="14" t="s">
        <v>16971</v>
      </c>
      <c r="P136" s="14" t="str">
        <f>HYPERLINK("https://dexscreener.com/solana/Du1AQPxZjWQRRjVg5DBcR6ezfHU7RMpD7SsSX1YLpump", "View")</f>
        <v>View</v>
      </c>
    </row>
    <row r="137" spans="1:16" x14ac:dyDescent="0.25">
      <c r="A137" s="16" t="s">
        <v>18650</v>
      </c>
      <c r="B137" s="17">
        <v>146149</v>
      </c>
      <c r="C137" s="17">
        <v>146149</v>
      </c>
      <c r="D137" s="17" t="s">
        <v>16473</v>
      </c>
      <c r="E137" s="17" t="s">
        <v>7291</v>
      </c>
      <c r="F137" s="17" t="s">
        <v>5843</v>
      </c>
      <c r="G137" s="15" t="s">
        <v>3885</v>
      </c>
      <c r="H137" s="15" t="s">
        <v>18651</v>
      </c>
      <c r="I137" s="17" t="s">
        <v>88</v>
      </c>
      <c r="J137" s="17">
        <v>1</v>
      </c>
      <c r="K137" s="17">
        <v>1</v>
      </c>
      <c r="L137" s="17" t="s">
        <v>18652</v>
      </c>
      <c r="M137" s="17" t="s">
        <v>179</v>
      </c>
      <c r="N137" s="17" t="s">
        <v>2271</v>
      </c>
      <c r="O137" s="17" t="s">
        <v>18653</v>
      </c>
      <c r="P137" s="17" t="str">
        <f>HYPERLINK("https://photon-sol.tinyastro.io/en/lp/8wNBLSSG1kZTihhQ2rRy7A1tgNAgENoYzZvUerD9pump?handle=676050794bc1b1657a56b", "View")</f>
        <v>View</v>
      </c>
    </row>
    <row r="138" spans="1:16" x14ac:dyDescent="0.25">
      <c r="A138" s="13" t="s">
        <v>18654</v>
      </c>
      <c r="B138" s="14">
        <v>22852</v>
      </c>
      <c r="C138" s="14">
        <v>0</v>
      </c>
      <c r="D138" s="14" t="s">
        <v>17043</v>
      </c>
      <c r="E138" s="14" t="s">
        <v>5919</v>
      </c>
      <c r="F138" s="14" t="s">
        <v>96</v>
      </c>
      <c r="G138" s="18" t="s">
        <v>2760</v>
      </c>
      <c r="H138" s="18" t="s">
        <v>98</v>
      </c>
      <c r="I138" s="14" t="s">
        <v>18655</v>
      </c>
      <c r="J138" s="14">
        <v>1</v>
      </c>
      <c r="K138" s="14">
        <v>0</v>
      </c>
      <c r="L138" s="14" t="s">
        <v>18656</v>
      </c>
      <c r="M138" s="19" t="s">
        <v>101</v>
      </c>
      <c r="N138" s="14" t="s">
        <v>18657</v>
      </c>
      <c r="O138" s="14" t="s">
        <v>18658</v>
      </c>
      <c r="P138" s="14" t="str">
        <f>HYPERLINK("https://dexscreener.com/solana/4weXPAD4eYv9tPShCPnRrKUUdaEUTzomCRALZsPrBBGR", "View")</f>
        <v>View</v>
      </c>
    </row>
    <row r="139" spans="1:16" x14ac:dyDescent="0.25">
      <c r="A139" s="16" t="s">
        <v>18659</v>
      </c>
      <c r="B139" s="17">
        <v>22986</v>
      </c>
      <c r="C139" s="17">
        <v>0</v>
      </c>
      <c r="D139" s="17" t="s">
        <v>17043</v>
      </c>
      <c r="E139" s="17" t="s">
        <v>5919</v>
      </c>
      <c r="F139" s="17" t="s">
        <v>96</v>
      </c>
      <c r="G139" s="18" t="s">
        <v>2760</v>
      </c>
      <c r="H139" s="18" t="s">
        <v>98</v>
      </c>
      <c r="I139" s="17" t="s">
        <v>18660</v>
      </c>
      <c r="J139" s="17">
        <v>1</v>
      </c>
      <c r="K139" s="17">
        <v>0</v>
      </c>
      <c r="L139" s="17" t="s">
        <v>18661</v>
      </c>
      <c r="M139" s="19" t="s">
        <v>101</v>
      </c>
      <c r="N139" s="17" t="s">
        <v>18662</v>
      </c>
      <c r="O139" s="17" t="s">
        <v>18663</v>
      </c>
      <c r="P139" s="17" t="str">
        <f>HYPERLINK("https://dexscreener.com/solana/C82w36a9CtjYeHJqMPXNwEMFwtuu43kpnjym6dBApump", "View")</f>
        <v>View</v>
      </c>
    </row>
    <row r="140" spans="1:16" x14ac:dyDescent="0.25">
      <c r="A140" s="13" t="s">
        <v>18664</v>
      </c>
      <c r="B140" s="14">
        <v>37884</v>
      </c>
      <c r="C140" s="14">
        <v>0</v>
      </c>
      <c r="D140" s="14" t="s">
        <v>16473</v>
      </c>
      <c r="E140" s="14" t="s">
        <v>5534</v>
      </c>
      <c r="F140" s="14" t="s">
        <v>96</v>
      </c>
      <c r="G140" s="18" t="s">
        <v>15868</v>
      </c>
      <c r="H140" s="18" t="s">
        <v>98</v>
      </c>
      <c r="I140" s="14" t="s">
        <v>18665</v>
      </c>
      <c r="J140" s="14">
        <v>2</v>
      </c>
      <c r="K140" s="14">
        <v>0</v>
      </c>
      <c r="L140" s="14" t="s">
        <v>18666</v>
      </c>
      <c r="M140" s="14" t="s">
        <v>980</v>
      </c>
      <c r="N140" s="14" t="s">
        <v>18667</v>
      </c>
      <c r="O140" s="14" t="s">
        <v>18668</v>
      </c>
      <c r="P140" s="14" t="str">
        <f>HYPERLINK("https://dexscreener.com/solana/GyCd6rPZ4QToVHU6tFfhdnNG9ftqEinJAifL6DK1pump", "View")</f>
        <v>View</v>
      </c>
    </row>
    <row r="141" spans="1:16" x14ac:dyDescent="0.25">
      <c r="A141" s="16" t="s">
        <v>18669</v>
      </c>
      <c r="B141" s="17">
        <v>697320</v>
      </c>
      <c r="C141" s="17">
        <v>697320</v>
      </c>
      <c r="D141" s="17" t="s">
        <v>18126</v>
      </c>
      <c r="E141" s="17" t="s">
        <v>5534</v>
      </c>
      <c r="F141" s="17" t="s">
        <v>6137</v>
      </c>
      <c r="G141" s="15" t="s">
        <v>4134</v>
      </c>
      <c r="H141" s="15" t="s">
        <v>18670</v>
      </c>
      <c r="I141" s="17" t="s">
        <v>88</v>
      </c>
      <c r="J141" s="17">
        <v>2</v>
      </c>
      <c r="K141" s="17">
        <v>1</v>
      </c>
      <c r="L141" s="17" t="s">
        <v>18671</v>
      </c>
      <c r="M141" s="17" t="s">
        <v>150</v>
      </c>
      <c r="N141" s="17" t="s">
        <v>18672</v>
      </c>
      <c r="O141" s="17" t="s">
        <v>18673</v>
      </c>
      <c r="P141" s="17" t="str">
        <f>HYPERLINK("https://dexscreener.com/solana/GSFxdxAGfBHZGUDeFZUADkZCNSrhTZzket4DC79Cpump", "View")</f>
        <v>View</v>
      </c>
    </row>
    <row r="142" spans="1:16" x14ac:dyDescent="0.25">
      <c r="A142" s="13" t="s">
        <v>16950</v>
      </c>
      <c r="B142" s="14">
        <v>35226</v>
      </c>
      <c r="C142" s="14">
        <v>0</v>
      </c>
      <c r="D142" s="14" t="s">
        <v>17043</v>
      </c>
      <c r="E142" s="14" t="s">
        <v>5919</v>
      </c>
      <c r="F142" s="14" t="s">
        <v>96</v>
      </c>
      <c r="G142" s="18" t="s">
        <v>2760</v>
      </c>
      <c r="H142" s="18" t="s">
        <v>98</v>
      </c>
      <c r="I142" s="14" t="s">
        <v>18674</v>
      </c>
      <c r="J142" s="14">
        <v>1</v>
      </c>
      <c r="K142" s="14">
        <v>0</v>
      </c>
      <c r="L142" s="14" t="s">
        <v>18675</v>
      </c>
      <c r="M142" s="19" t="s">
        <v>101</v>
      </c>
      <c r="N142" s="14" t="s">
        <v>18676</v>
      </c>
      <c r="O142" s="14" t="s">
        <v>16954</v>
      </c>
      <c r="P142" s="14" t="str">
        <f>HYPERLINK("https://dexscreener.com/solana/reAZwormetQAZ91WX1iaLRCYAKgKKu2w2uJS2qCpump", "View")</f>
        <v>View</v>
      </c>
    </row>
    <row r="143" spans="1:16" x14ac:dyDescent="0.25">
      <c r="A143" s="16" t="s">
        <v>10480</v>
      </c>
      <c r="B143" s="17">
        <v>231810</v>
      </c>
      <c r="C143" s="17">
        <v>0</v>
      </c>
      <c r="D143" s="17" t="s">
        <v>18126</v>
      </c>
      <c r="E143" s="17" t="s">
        <v>11534</v>
      </c>
      <c r="F143" s="17" t="s">
        <v>96</v>
      </c>
      <c r="G143" s="18" t="s">
        <v>3209</v>
      </c>
      <c r="H143" s="18" t="s">
        <v>98</v>
      </c>
      <c r="I143" s="17" t="s">
        <v>18677</v>
      </c>
      <c r="J143" s="17">
        <v>3</v>
      </c>
      <c r="K143" s="17">
        <v>0</v>
      </c>
      <c r="L143" s="17" t="s">
        <v>18678</v>
      </c>
      <c r="M143" s="17" t="s">
        <v>414</v>
      </c>
      <c r="N143" s="17" t="s">
        <v>18679</v>
      </c>
      <c r="O143" s="17" t="s">
        <v>10484</v>
      </c>
      <c r="P143" s="17" t="str">
        <f>HYPERLINK("https://dexscreener.com/solana/4ytpWfVCpJ2nSjahbioPkejnLVBsc7FGZi2hCojppump", "View")</f>
        <v>View</v>
      </c>
    </row>
    <row r="144" spans="1:16" x14ac:dyDescent="0.25">
      <c r="A144" s="13" t="s">
        <v>15064</v>
      </c>
      <c r="B144" s="14">
        <v>9236</v>
      </c>
      <c r="C144" s="14">
        <v>5772</v>
      </c>
      <c r="D144" s="14" t="s">
        <v>18505</v>
      </c>
      <c r="E144" s="14" t="s">
        <v>5534</v>
      </c>
      <c r="F144" s="14" t="s">
        <v>5822</v>
      </c>
      <c r="G144" s="21" t="s">
        <v>2623</v>
      </c>
      <c r="H144" s="21" t="s">
        <v>18680</v>
      </c>
      <c r="I144" s="14" t="s">
        <v>88</v>
      </c>
      <c r="J144" s="14">
        <v>2</v>
      </c>
      <c r="K144" s="14">
        <v>2</v>
      </c>
      <c r="L144" s="14" t="s">
        <v>18681</v>
      </c>
      <c r="M144" s="14" t="s">
        <v>479</v>
      </c>
      <c r="N144" s="14" t="s">
        <v>18682</v>
      </c>
      <c r="O144" s="14" t="s">
        <v>15070</v>
      </c>
      <c r="P144" s="14" t="str">
        <f>HYPERLINK("https://dexscreener.com/solana/2KgAN8nLAU74wjiyKi85m4ZT6Z9MtqrUTGfse8Xapump", "View")</f>
        <v>View</v>
      </c>
    </row>
    <row r="145" spans="1:16" x14ac:dyDescent="0.25">
      <c r="A145" s="16" t="s">
        <v>7423</v>
      </c>
      <c r="B145" s="17">
        <v>4852</v>
      </c>
      <c r="C145" s="17">
        <v>6358</v>
      </c>
      <c r="D145" s="17" t="s">
        <v>18683</v>
      </c>
      <c r="E145" s="17" t="s">
        <v>3682</v>
      </c>
      <c r="F145" s="17" t="s">
        <v>18684</v>
      </c>
      <c r="G145" s="21" t="s">
        <v>18685</v>
      </c>
      <c r="H145" s="21" t="s">
        <v>18686</v>
      </c>
      <c r="I145" s="17" t="s">
        <v>88</v>
      </c>
      <c r="J145" s="17">
        <v>3</v>
      </c>
      <c r="K145" s="17">
        <v>33</v>
      </c>
      <c r="L145" s="17" t="s">
        <v>18687</v>
      </c>
      <c r="M145" s="17" t="s">
        <v>4413</v>
      </c>
      <c r="N145" s="17" t="s">
        <v>18688</v>
      </c>
      <c r="O145" s="17" t="s">
        <v>7430</v>
      </c>
      <c r="P145" s="17" t="str">
        <f>HYPERLINK("https://dexscreener.com/solana/CzLSujWBLFsSjncfkh59rUFqvafWcY5tzedWJSuypump", "View")</f>
        <v>View</v>
      </c>
    </row>
    <row r="146" spans="1:16" x14ac:dyDescent="0.25">
      <c r="A146" s="13" t="s">
        <v>18689</v>
      </c>
      <c r="B146" s="14">
        <v>39720</v>
      </c>
      <c r="C146" s="14">
        <v>0</v>
      </c>
      <c r="D146" s="14" t="s">
        <v>17043</v>
      </c>
      <c r="E146" s="14" t="s">
        <v>5919</v>
      </c>
      <c r="F146" s="14" t="s">
        <v>96</v>
      </c>
      <c r="G146" s="18" t="s">
        <v>2760</v>
      </c>
      <c r="H146" s="18" t="s">
        <v>98</v>
      </c>
      <c r="I146" s="14" t="s">
        <v>18690</v>
      </c>
      <c r="J146" s="14">
        <v>1</v>
      </c>
      <c r="K146" s="14">
        <v>0</v>
      </c>
      <c r="L146" s="14" t="s">
        <v>18691</v>
      </c>
      <c r="M146" s="19" t="s">
        <v>101</v>
      </c>
      <c r="N146" s="14" t="s">
        <v>18692</v>
      </c>
      <c r="O146" s="14" t="s">
        <v>18693</v>
      </c>
      <c r="P146" s="14" t="str">
        <f>HYPERLINK("https://dexscreener.com/solana/9J5mJ9z67MrzqdpwXKJUKqkyutZDSBkJmJgCob7dpump", "View")</f>
        <v>View</v>
      </c>
    </row>
    <row r="147" spans="1:16" x14ac:dyDescent="0.25">
      <c r="A147" s="16" t="s">
        <v>13190</v>
      </c>
      <c r="B147" s="17">
        <v>80757</v>
      </c>
      <c r="C147" s="17">
        <v>0</v>
      </c>
      <c r="D147" s="17" t="s">
        <v>17043</v>
      </c>
      <c r="E147" s="17" t="s">
        <v>5919</v>
      </c>
      <c r="F147" s="17" t="s">
        <v>96</v>
      </c>
      <c r="G147" s="18" t="s">
        <v>2760</v>
      </c>
      <c r="H147" s="18" t="s">
        <v>98</v>
      </c>
      <c r="I147" s="17" t="s">
        <v>18694</v>
      </c>
      <c r="J147" s="17">
        <v>1</v>
      </c>
      <c r="K147" s="17">
        <v>0</v>
      </c>
      <c r="L147" s="17" t="s">
        <v>18695</v>
      </c>
      <c r="M147" s="19" t="s">
        <v>101</v>
      </c>
      <c r="N147" s="17" t="s">
        <v>18696</v>
      </c>
      <c r="O147" s="17" t="s">
        <v>18697</v>
      </c>
      <c r="P147" s="17" t="str">
        <f>HYPERLINK("https://dexscreener.com/solana/9kG8CWxdNeZzg8PLHTaFYmH6ihD1JMegRE1y6G8Dpump", "View")</f>
        <v>View</v>
      </c>
    </row>
    <row r="148" spans="1:16" x14ac:dyDescent="0.25">
      <c r="A148" s="13" t="s">
        <v>18698</v>
      </c>
      <c r="B148" s="14">
        <v>260431</v>
      </c>
      <c r="C148" s="14">
        <v>0</v>
      </c>
      <c r="D148" s="14" t="s">
        <v>16473</v>
      </c>
      <c r="E148" s="14" t="s">
        <v>5534</v>
      </c>
      <c r="F148" s="14" t="s">
        <v>96</v>
      </c>
      <c r="G148" s="18" t="s">
        <v>15868</v>
      </c>
      <c r="H148" s="18" t="s">
        <v>98</v>
      </c>
      <c r="I148" s="14" t="s">
        <v>18699</v>
      </c>
      <c r="J148" s="14">
        <v>2</v>
      </c>
      <c r="K148" s="14">
        <v>0</v>
      </c>
      <c r="L148" s="14" t="s">
        <v>18700</v>
      </c>
      <c r="M148" s="14" t="s">
        <v>1434</v>
      </c>
      <c r="N148" s="14" t="s">
        <v>18701</v>
      </c>
      <c r="O148" s="14" t="s">
        <v>18702</v>
      </c>
      <c r="P148" s="14" t="str">
        <f>HYPERLINK("https://dexscreener.com/solana/369pXXK8TCby1xLse25b6u1Y5MbfXcG2d6YKXnk2pump", "View")</f>
        <v>View</v>
      </c>
    </row>
    <row r="149" spans="1:16" x14ac:dyDescent="0.25">
      <c r="A149" s="16" t="s">
        <v>18703</v>
      </c>
      <c r="B149" s="17">
        <v>773</v>
      </c>
      <c r="C149" s="17">
        <v>139</v>
      </c>
      <c r="D149" s="17" t="s">
        <v>18704</v>
      </c>
      <c r="E149" s="17" t="s">
        <v>18164</v>
      </c>
      <c r="F149" s="17" t="s">
        <v>16874</v>
      </c>
      <c r="G149" s="15" t="s">
        <v>18705</v>
      </c>
      <c r="H149" s="15" t="s">
        <v>10643</v>
      </c>
      <c r="I149" s="17" t="s">
        <v>88</v>
      </c>
      <c r="J149" s="17">
        <v>6</v>
      </c>
      <c r="K149" s="17">
        <v>3</v>
      </c>
      <c r="L149" s="17" t="s">
        <v>18706</v>
      </c>
      <c r="M149" s="17" t="s">
        <v>240</v>
      </c>
      <c r="N149" s="17" t="s">
        <v>18707</v>
      </c>
      <c r="O149" s="17" t="s">
        <v>18708</v>
      </c>
      <c r="P149" s="17" t="str">
        <f>HYPERLINK("https://dexscreener.com/solana/A8C3xuqscfmyLrte3VmTqrAq8kgMASius9AFNANwpump", "View")</f>
        <v>View</v>
      </c>
    </row>
    <row r="150" spans="1:16" x14ac:dyDescent="0.25">
      <c r="A150" s="13" t="s">
        <v>18709</v>
      </c>
      <c r="B150" s="14">
        <v>187968</v>
      </c>
      <c r="C150" s="14">
        <v>0</v>
      </c>
      <c r="D150" s="14" t="s">
        <v>16473</v>
      </c>
      <c r="E150" s="14" t="s">
        <v>5534</v>
      </c>
      <c r="F150" s="14" t="s">
        <v>96</v>
      </c>
      <c r="G150" s="18" t="s">
        <v>15868</v>
      </c>
      <c r="H150" s="18" t="s">
        <v>98</v>
      </c>
      <c r="I150" s="14" t="s">
        <v>18710</v>
      </c>
      <c r="J150" s="14">
        <v>2</v>
      </c>
      <c r="K150" s="14">
        <v>0</v>
      </c>
      <c r="L150" s="14" t="s">
        <v>18711</v>
      </c>
      <c r="M150" s="14" t="s">
        <v>538</v>
      </c>
      <c r="N150" s="14" t="s">
        <v>18712</v>
      </c>
      <c r="O150" s="14" t="s">
        <v>18713</v>
      </c>
      <c r="P150" s="14" t="str">
        <f>HYPERLINK("https://dexscreener.com/solana/GevMhaMtYtvv44pnkaoyBewrTuAK9x532xo55MTjpump", "View")</f>
        <v>View</v>
      </c>
    </row>
    <row r="151" spans="1:16" x14ac:dyDescent="0.25">
      <c r="A151" s="16" t="s">
        <v>18714</v>
      </c>
      <c r="B151" s="17">
        <v>201997</v>
      </c>
      <c r="C151" s="17">
        <v>0</v>
      </c>
      <c r="D151" s="17" t="s">
        <v>17043</v>
      </c>
      <c r="E151" s="17" t="s">
        <v>5919</v>
      </c>
      <c r="F151" s="17" t="s">
        <v>96</v>
      </c>
      <c r="G151" s="18" t="s">
        <v>2760</v>
      </c>
      <c r="H151" s="18" t="s">
        <v>98</v>
      </c>
      <c r="I151" s="17" t="s">
        <v>18715</v>
      </c>
      <c r="J151" s="17">
        <v>1</v>
      </c>
      <c r="K151" s="17">
        <v>0</v>
      </c>
      <c r="L151" s="17" t="s">
        <v>18716</v>
      </c>
      <c r="M151" s="19" t="s">
        <v>101</v>
      </c>
      <c r="N151" s="17" t="s">
        <v>16756</v>
      </c>
      <c r="O151" s="17" t="s">
        <v>18717</v>
      </c>
      <c r="P151" s="17" t="str">
        <f>HYPERLINK("https://dexscreener.com/solana/FQeGyoEJ8FGJxPKiWtyV4gnAxr7gU6GeL8u5iEDmpump", "View")</f>
        <v>View</v>
      </c>
    </row>
    <row r="152" spans="1:16" x14ac:dyDescent="0.25">
      <c r="A152" s="13" t="s">
        <v>18718</v>
      </c>
      <c r="B152" s="14">
        <v>290785</v>
      </c>
      <c r="C152" s="14">
        <v>0</v>
      </c>
      <c r="D152" s="14" t="s">
        <v>10436</v>
      </c>
      <c r="E152" s="14" t="s">
        <v>2580</v>
      </c>
      <c r="F152" s="14" t="s">
        <v>96</v>
      </c>
      <c r="G152" s="18" t="s">
        <v>16715</v>
      </c>
      <c r="H152" s="18" t="s">
        <v>98</v>
      </c>
      <c r="I152" s="14" t="s">
        <v>18719</v>
      </c>
      <c r="J152" s="14">
        <v>5</v>
      </c>
      <c r="K152" s="14">
        <v>0</v>
      </c>
      <c r="L152" s="14" t="s">
        <v>18720</v>
      </c>
      <c r="M152" s="14" t="s">
        <v>1957</v>
      </c>
      <c r="N152" s="14" t="s">
        <v>18721</v>
      </c>
      <c r="O152" s="14" t="s">
        <v>18722</v>
      </c>
      <c r="P152" s="14" t="str">
        <f>HYPERLINK("https://dexscreener.com/solana/9LhZ3R1CzRCjXJpZRk62Jiq7tcPgjz7SNCWYsR78pump", "View")</f>
        <v>View</v>
      </c>
    </row>
    <row r="153" spans="1:16" x14ac:dyDescent="0.25">
      <c r="A153" s="16" t="s">
        <v>18723</v>
      </c>
      <c r="B153" s="17">
        <v>143514</v>
      </c>
      <c r="C153" s="17">
        <v>143514</v>
      </c>
      <c r="D153" s="17" t="s">
        <v>18724</v>
      </c>
      <c r="E153" s="17" t="s">
        <v>10121</v>
      </c>
      <c r="F153" s="17" t="s">
        <v>4072</v>
      </c>
      <c r="G153" s="21" t="s">
        <v>18725</v>
      </c>
      <c r="H153" s="21" t="s">
        <v>18726</v>
      </c>
      <c r="I153" s="17" t="s">
        <v>88</v>
      </c>
      <c r="J153" s="17">
        <v>2</v>
      </c>
      <c r="K153" s="17">
        <v>12</v>
      </c>
      <c r="L153" s="17" t="s">
        <v>18727</v>
      </c>
      <c r="M153" s="17" t="s">
        <v>150</v>
      </c>
      <c r="N153" s="17" t="s">
        <v>18728</v>
      </c>
      <c r="O153" s="17" t="s">
        <v>18729</v>
      </c>
      <c r="P153" s="17" t="str">
        <f>HYPERLINK("https://dexscreener.com/solana/658gVRm3K3kGTwKyGhsJ2akKgE7zjDFHTDsscaWtpump", "View")</f>
        <v>View</v>
      </c>
    </row>
    <row r="154" spans="1:16" x14ac:dyDescent="0.25">
      <c r="A154" s="13" t="s">
        <v>11577</v>
      </c>
      <c r="B154" s="14">
        <v>30798</v>
      </c>
      <c r="C154" s="14">
        <v>30798</v>
      </c>
      <c r="D154" s="14" t="s">
        <v>7100</v>
      </c>
      <c r="E154" s="14" t="s">
        <v>11534</v>
      </c>
      <c r="F154" s="14" t="s">
        <v>14564</v>
      </c>
      <c r="G154" s="21" t="s">
        <v>18730</v>
      </c>
      <c r="H154" s="21" t="s">
        <v>18731</v>
      </c>
      <c r="I154" s="14" t="s">
        <v>88</v>
      </c>
      <c r="J154" s="14">
        <v>1</v>
      </c>
      <c r="K154" s="14">
        <v>7</v>
      </c>
      <c r="L154" s="14" t="s">
        <v>18732</v>
      </c>
      <c r="M154" s="14" t="s">
        <v>1159</v>
      </c>
      <c r="N154" s="14" t="s">
        <v>18733</v>
      </c>
      <c r="O154" s="14" t="s">
        <v>11581</v>
      </c>
      <c r="P154" s="14" t="str">
        <f>HYPERLINK("https://dexscreener.com/solana/GJAFwWjJ3vnTsrQVabjBVK2TYB1YtRCQXRDfDgUnpump", "View")</f>
        <v>View</v>
      </c>
    </row>
    <row r="155" spans="1:16" x14ac:dyDescent="0.25">
      <c r="A155" s="16" t="s">
        <v>10585</v>
      </c>
      <c r="B155" s="17">
        <v>75561</v>
      </c>
      <c r="C155" s="17">
        <v>75561</v>
      </c>
      <c r="D155" s="17" t="s">
        <v>18126</v>
      </c>
      <c r="E155" s="17" t="s">
        <v>6107</v>
      </c>
      <c r="F155" s="17" t="s">
        <v>2890</v>
      </c>
      <c r="G155" s="15" t="s">
        <v>17465</v>
      </c>
      <c r="H155" s="15" t="s">
        <v>18734</v>
      </c>
      <c r="I155" s="17" t="s">
        <v>88</v>
      </c>
      <c r="J155" s="17">
        <v>2</v>
      </c>
      <c r="K155" s="17">
        <v>1</v>
      </c>
      <c r="L155" s="17" t="s">
        <v>18735</v>
      </c>
      <c r="M155" s="17" t="s">
        <v>179</v>
      </c>
      <c r="N155" s="17" t="s">
        <v>18736</v>
      </c>
      <c r="O155" s="17" t="s">
        <v>10591</v>
      </c>
      <c r="P155" s="17" t="str">
        <f>HYPERLINK("https://dexscreener.com/solana/BfUfnLMCNwKYamhJXzaxgUmFjrGFHdkjRLAxeaxqpump", "View")</f>
        <v>View</v>
      </c>
    </row>
    <row r="156" spans="1:16" x14ac:dyDescent="0.25">
      <c r="A156" s="13" t="s">
        <v>10542</v>
      </c>
      <c r="B156" s="14">
        <v>8515</v>
      </c>
      <c r="C156" s="14">
        <v>0</v>
      </c>
      <c r="D156" s="14" t="s">
        <v>17043</v>
      </c>
      <c r="E156" s="14" t="s">
        <v>11534</v>
      </c>
      <c r="F156" s="14" t="s">
        <v>96</v>
      </c>
      <c r="G156" s="18" t="s">
        <v>5370</v>
      </c>
      <c r="H156" s="18" t="s">
        <v>98</v>
      </c>
      <c r="I156" s="14" t="s">
        <v>18737</v>
      </c>
      <c r="J156" s="14">
        <v>1</v>
      </c>
      <c r="K156" s="14">
        <v>0</v>
      </c>
      <c r="L156" s="14" t="s">
        <v>18738</v>
      </c>
      <c r="M156" s="19" t="s">
        <v>101</v>
      </c>
      <c r="N156" s="14" t="s">
        <v>18739</v>
      </c>
      <c r="O156" s="14" t="s">
        <v>10549</v>
      </c>
      <c r="P156" s="14" t="str">
        <f>HYPERLINK("https://dexscreener.com/solana/D57CP6MA7G5idNmxAuigU6W8uPeiGvDVuuwh4z2ypump", "View")</f>
        <v>View</v>
      </c>
    </row>
    <row r="157" spans="1:16" x14ac:dyDescent="0.25">
      <c r="A157" s="16" t="s">
        <v>18740</v>
      </c>
      <c r="B157" s="17">
        <v>184309</v>
      </c>
      <c r="C157" s="17">
        <v>0</v>
      </c>
      <c r="D157" s="17" t="s">
        <v>17043</v>
      </c>
      <c r="E157" s="17" t="s">
        <v>5919</v>
      </c>
      <c r="F157" s="17" t="s">
        <v>96</v>
      </c>
      <c r="G157" s="18" t="s">
        <v>2760</v>
      </c>
      <c r="H157" s="18" t="s">
        <v>98</v>
      </c>
      <c r="I157" s="17" t="s">
        <v>18741</v>
      </c>
      <c r="J157" s="17">
        <v>1</v>
      </c>
      <c r="K157" s="17">
        <v>0</v>
      </c>
      <c r="L157" s="17" t="s">
        <v>18742</v>
      </c>
      <c r="M157" s="19" t="s">
        <v>101</v>
      </c>
      <c r="N157" s="17" t="s">
        <v>775</v>
      </c>
      <c r="O157" s="17" t="s">
        <v>18743</v>
      </c>
      <c r="P157" s="17" t="str">
        <f>HYPERLINK("https://dexscreener.com/solana/FbvoiCGJQg1F9myTJYgC76ybiDJMLNCvmvb6eAKyUNKZ", "View")</f>
        <v>View</v>
      </c>
    </row>
    <row r="158" spans="1:16" x14ac:dyDescent="0.25">
      <c r="A158" s="13" t="s">
        <v>18744</v>
      </c>
      <c r="B158" s="14">
        <v>139633</v>
      </c>
      <c r="C158" s="14">
        <v>0</v>
      </c>
      <c r="D158" s="14" t="s">
        <v>17043</v>
      </c>
      <c r="E158" s="14" t="s">
        <v>5919</v>
      </c>
      <c r="F158" s="14" t="s">
        <v>96</v>
      </c>
      <c r="G158" s="18" t="s">
        <v>2760</v>
      </c>
      <c r="H158" s="18" t="s">
        <v>98</v>
      </c>
      <c r="I158" s="14" t="s">
        <v>18745</v>
      </c>
      <c r="J158" s="14">
        <v>1</v>
      </c>
      <c r="K158" s="14">
        <v>0</v>
      </c>
      <c r="L158" s="14" t="s">
        <v>18746</v>
      </c>
      <c r="M158" s="19" t="s">
        <v>101</v>
      </c>
      <c r="N158" s="14" t="s">
        <v>18747</v>
      </c>
      <c r="O158" s="14" t="s">
        <v>18748</v>
      </c>
      <c r="P158" s="14" t="str">
        <f>HYPERLINK("https://dexscreener.com/solana/AapWLqfNfuTpGXXMHSYJhM6uFKjyEZMpVjgPPfofpump", "View")</f>
        <v>View</v>
      </c>
    </row>
    <row r="159" spans="1:16" x14ac:dyDescent="0.25">
      <c r="A159" s="16" t="s">
        <v>18749</v>
      </c>
      <c r="B159" s="17">
        <v>63843</v>
      </c>
      <c r="C159" s="17">
        <v>0</v>
      </c>
      <c r="D159" s="17" t="s">
        <v>17043</v>
      </c>
      <c r="E159" s="17" t="s">
        <v>5919</v>
      </c>
      <c r="F159" s="17" t="s">
        <v>96</v>
      </c>
      <c r="G159" s="18" t="s">
        <v>2760</v>
      </c>
      <c r="H159" s="18" t="s">
        <v>98</v>
      </c>
      <c r="I159" s="17" t="s">
        <v>18750</v>
      </c>
      <c r="J159" s="17">
        <v>1</v>
      </c>
      <c r="K159" s="17">
        <v>0</v>
      </c>
      <c r="L159" s="17" t="s">
        <v>18751</v>
      </c>
      <c r="M159" s="19" t="s">
        <v>101</v>
      </c>
      <c r="N159" s="17" t="s">
        <v>1016</v>
      </c>
      <c r="O159" s="17" t="s">
        <v>18752</v>
      </c>
      <c r="P159" s="17" t="str">
        <f>HYPERLINK("https://dexscreener.com/solana/Ct9U34iTxLqByBnTznM367Dwn3o5XVZjwcPrJVXSpump", "View")</f>
        <v>View</v>
      </c>
    </row>
    <row r="160" spans="1:16" x14ac:dyDescent="0.25">
      <c r="A160" s="13" t="s">
        <v>18753</v>
      </c>
      <c r="B160" s="14">
        <v>177177</v>
      </c>
      <c r="C160" s="14">
        <v>0</v>
      </c>
      <c r="D160" s="14" t="s">
        <v>17043</v>
      </c>
      <c r="E160" s="14" t="s">
        <v>5919</v>
      </c>
      <c r="F160" s="14" t="s">
        <v>96</v>
      </c>
      <c r="G160" s="18" t="s">
        <v>2760</v>
      </c>
      <c r="H160" s="18" t="s">
        <v>98</v>
      </c>
      <c r="I160" s="14" t="s">
        <v>18754</v>
      </c>
      <c r="J160" s="14">
        <v>1</v>
      </c>
      <c r="K160" s="14">
        <v>0</v>
      </c>
      <c r="L160" s="14" t="s">
        <v>18755</v>
      </c>
      <c r="M160" s="19" t="s">
        <v>101</v>
      </c>
      <c r="N160" s="14" t="s">
        <v>18756</v>
      </c>
      <c r="O160" s="14" t="s">
        <v>18757</v>
      </c>
      <c r="P160" s="14" t="str">
        <f>HYPERLINK("https://dexscreener.com/solana/E7rM21f6RhcYbhBwKBhnQQccmgN6H7Ls5PRtGMj9pump", "View")</f>
        <v>View</v>
      </c>
    </row>
    <row r="161" spans="1:16" x14ac:dyDescent="0.25">
      <c r="A161" s="16" t="s">
        <v>18758</v>
      </c>
      <c r="B161" s="17">
        <v>204617</v>
      </c>
      <c r="C161" s="17">
        <v>0</v>
      </c>
      <c r="D161" s="17" t="s">
        <v>16473</v>
      </c>
      <c r="E161" s="17" t="s">
        <v>5534</v>
      </c>
      <c r="F161" s="17" t="s">
        <v>96</v>
      </c>
      <c r="G161" s="18" t="s">
        <v>15868</v>
      </c>
      <c r="H161" s="18" t="s">
        <v>98</v>
      </c>
      <c r="I161" s="17" t="s">
        <v>18759</v>
      </c>
      <c r="J161" s="17">
        <v>2</v>
      </c>
      <c r="K161" s="17">
        <v>0</v>
      </c>
      <c r="L161" s="17" t="s">
        <v>18760</v>
      </c>
      <c r="M161" s="17" t="s">
        <v>1434</v>
      </c>
      <c r="N161" s="17" t="s">
        <v>18761</v>
      </c>
      <c r="O161" s="17" t="s">
        <v>18762</v>
      </c>
      <c r="P161" s="17" t="str">
        <f>HYPERLINK("https://dexscreener.com/solana/HvNiAvQNhY1rDQzMh16bY99VFBH5oiYAk2KsriqFpump", "View")</f>
        <v>View</v>
      </c>
    </row>
    <row r="162" spans="1:16" x14ac:dyDescent="0.25">
      <c r="A162" s="13" t="s">
        <v>82</v>
      </c>
      <c r="B162" s="14">
        <v>60053</v>
      </c>
      <c r="C162" s="14">
        <v>0</v>
      </c>
      <c r="D162" s="14" t="s">
        <v>16473</v>
      </c>
      <c r="E162" s="14" t="s">
        <v>5534</v>
      </c>
      <c r="F162" s="14" t="s">
        <v>96</v>
      </c>
      <c r="G162" s="18" t="s">
        <v>15868</v>
      </c>
      <c r="H162" s="18" t="s">
        <v>98</v>
      </c>
      <c r="I162" s="14" t="s">
        <v>18763</v>
      </c>
      <c r="J162" s="14">
        <v>2</v>
      </c>
      <c r="K162" s="14">
        <v>0</v>
      </c>
      <c r="L162" s="14" t="s">
        <v>18764</v>
      </c>
      <c r="M162" s="14" t="s">
        <v>3304</v>
      </c>
      <c r="N162" s="14" t="s">
        <v>18765</v>
      </c>
      <c r="O162" s="14" t="s">
        <v>17106</v>
      </c>
      <c r="P162" s="14" t="str">
        <f>HYPERLINK("https://dexscreener.com/solana/7VQnrD2345cCND6t85AqtZkpuos5xdjo5qbP88H4pump", "View")</f>
        <v>View</v>
      </c>
    </row>
    <row r="163" spans="1:16" x14ac:dyDescent="0.25">
      <c r="A163" s="16" t="s">
        <v>18766</v>
      </c>
      <c r="B163" s="17">
        <v>49054</v>
      </c>
      <c r="C163" s="17">
        <v>0</v>
      </c>
      <c r="D163" s="17" t="s">
        <v>17043</v>
      </c>
      <c r="E163" s="17" t="s">
        <v>5919</v>
      </c>
      <c r="F163" s="17" t="s">
        <v>96</v>
      </c>
      <c r="G163" s="18" t="s">
        <v>2760</v>
      </c>
      <c r="H163" s="18" t="s">
        <v>98</v>
      </c>
      <c r="I163" s="17" t="s">
        <v>18767</v>
      </c>
      <c r="J163" s="17">
        <v>1</v>
      </c>
      <c r="K163" s="17">
        <v>0</v>
      </c>
      <c r="L163" s="17" t="s">
        <v>18768</v>
      </c>
      <c r="M163" s="19" t="s">
        <v>101</v>
      </c>
      <c r="N163" s="17" t="s">
        <v>18769</v>
      </c>
      <c r="O163" s="17" t="s">
        <v>18770</v>
      </c>
      <c r="P163" s="17" t="str">
        <f>HYPERLINK("https://dexscreener.com/solana/4BJ1aXPzYhiV3TDPdyfg63cgrVuLbRh2DvejCzS7pump", "View")</f>
        <v>View</v>
      </c>
    </row>
    <row r="164" spans="1:16" x14ac:dyDescent="0.25">
      <c r="A164" s="13" t="s">
        <v>13335</v>
      </c>
      <c r="B164" s="14">
        <v>26861</v>
      </c>
      <c r="C164" s="14">
        <v>26861</v>
      </c>
      <c r="D164" s="14" t="s">
        <v>10436</v>
      </c>
      <c r="E164" s="14" t="s">
        <v>5534</v>
      </c>
      <c r="F164" s="14" t="s">
        <v>2890</v>
      </c>
      <c r="G164" s="22" t="s">
        <v>5705</v>
      </c>
      <c r="H164" s="22" t="s">
        <v>18771</v>
      </c>
      <c r="I164" s="14" t="s">
        <v>88</v>
      </c>
      <c r="J164" s="14">
        <v>1</v>
      </c>
      <c r="K164" s="14">
        <v>4</v>
      </c>
      <c r="L164" s="14" t="s">
        <v>18772</v>
      </c>
      <c r="M164" s="14" t="s">
        <v>414</v>
      </c>
      <c r="N164" s="14" t="s">
        <v>18773</v>
      </c>
      <c r="O164" s="14" t="s">
        <v>18774</v>
      </c>
      <c r="P164" s="14" t="str">
        <f>HYPERLINK("https://dexscreener.com/solana/DHoadXCbf6TcadkcMGJ8kFRdDa2sXPQ1KrgodUDRpump", "View")</f>
        <v>View</v>
      </c>
    </row>
    <row r="165" spans="1:16" x14ac:dyDescent="0.25">
      <c r="A165" s="16" t="s">
        <v>18775</v>
      </c>
      <c r="B165" s="17">
        <v>85370</v>
      </c>
      <c r="C165" s="17">
        <v>0</v>
      </c>
      <c r="D165" s="17" t="s">
        <v>17043</v>
      </c>
      <c r="E165" s="17" t="s">
        <v>5919</v>
      </c>
      <c r="F165" s="17" t="s">
        <v>96</v>
      </c>
      <c r="G165" s="18" t="s">
        <v>2760</v>
      </c>
      <c r="H165" s="18" t="s">
        <v>98</v>
      </c>
      <c r="I165" s="17" t="s">
        <v>18776</v>
      </c>
      <c r="J165" s="17">
        <v>1</v>
      </c>
      <c r="K165" s="17">
        <v>0</v>
      </c>
      <c r="L165" s="17" t="s">
        <v>18777</v>
      </c>
      <c r="M165" s="19" t="s">
        <v>101</v>
      </c>
      <c r="N165" s="17" t="s">
        <v>18778</v>
      </c>
      <c r="O165" s="17" t="s">
        <v>18779</v>
      </c>
      <c r="P165" s="17" t="str">
        <f>HYPERLINK("https://dexscreener.com/solana/6j7Nz72bD6PQKLVTQ4wKH1cweQHoPvsYR7qh2capump", "View")</f>
        <v>View</v>
      </c>
    </row>
    <row r="166" spans="1:16" x14ac:dyDescent="0.25">
      <c r="A166" s="13" t="s">
        <v>17274</v>
      </c>
      <c r="B166" s="14">
        <v>354600</v>
      </c>
      <c r="C166" s="14">
        <v>88615</v>
      </c>
      <c r="D166" s="14" t="s">
        <v>2050</v>
      </c>
      <c r="E166" s="14" t="s">
        <v>11534</v>
      </c>
      <c r="F166" s="14" t="s">
        <v>2890</v>
      </c>
      <c r="G166" s="20" t="s">
        <v>7810</v>
      </c>
      <c r="H166" s="20" t="s">
        <v>18780</v>
      </c>
      <c r="I166" s="14" t="s">
        <v>88</v>
      </c>
      <c r="J166" s="14">
        <v>3</v>
      </c>
      <c r="K166" s="14">
        <v>1</v>
      </c>
      <c r="L166" s="14" t="s">
        <v>18781</v>
      </c>
      <c r="M166" s="14" t="s">
        <v>680</v>
      </c>
      <c r="N166" s="14" t="s">
        <v>18782</v>
      </c>
      <c r="O166" s="14" t="s">
        <v>17278</v>
      </c>
      <c r="P166" s="14" t="str">
        <f>HYPERLINK("https://dexscreener.com/solana/AxR6xWdfa1EYSuog8qxi3o4zu4jLJHFe8uWQR8Dfpump", "View")</f>
        <v>View</v>
      </c>
    </row>
    <row r="167" spans="1:16" x14ac:dyDescent="0.25">
      <c r="A167" s="16" t="s">
        <v>18783</v>
      </c>
      <c r="B167" s="17">
        <v>135271</v>
      </c>
      <c r="C167" s="17">
        <v>135271</v>
      </c>
      <c r="D167" s="17" t="s">
        <v>18784</v>
      </c>
      <c r="E167" s="17" t="s">
        <v>11534</v>
      </c>
      <c r="F167" s="17" t="s">
        <v>15641</v>
      </c>
      <c r="G167" s="21" t="s">
        <v>4381</v>
      </c>
      <c r="H167" s="21" t="s">
        <v>18785</v>
      </c>
      <c r="I167" s="17" t="s">
        <v>88</v>
      </c>
      <c r="J167" s="17">
        <v>3</v>
      </c>
      <c r="K167" s="17">
        <v>1</v>
      </c>
      <c r="L167" s="17" t="s">
        <v>1258</v>
      </c>
      <c r="M167" s="17" t="s">
        <v>414</v>
      </c>
      <c r="N167" s="17" t="s">
        <v>18786</v>
      </c>
      <c r="O167" s="17" t="s">
        <v>18787</v>
      </c>
      <c r="P167" s="17" t="str">
        <f>HYPERLINK("https://dexscreener.com/solana/2TYhhwG6zCYMue6QHmcxEHnt8tMhnyq8hbXNUbdrpump", "View")</f>
        <v>View</v>
      </c>
    </row>
    <row r="168" spans="1:16" x14ac:dyDescent="0.25">
      <c r="A168" s="13" t="s">
        <v>18788</v>
      </c>
      <c r="B168" s="14">
        <v>82099</v>
      </c>
      <c r="C168" s="14">
        <v>0</v>
      </c>
      <c r="D168" s="14" t="s">
        <v>16473</v>
      </c>
      <c r="E168" s="14" t="s">
        <v>5534</v>
      </c>
      <c r="F168" s="14" t="s">
        <v>96</v>
      </c>
      <c r="G168" s="18" t="s">
        <v>15868</v>
      </c>
      <c r="H168" s="18" t="s">
        <v>98</v>
      </c>
      <c r="I168" s="14" t="s">
        <v>18789</v>
      </c>
      <c r="J168" s="14">
        <v>2</v>
      </c>
      <c r="K168" s="14">
        <v>0</v>
      </c>
      <c r="L168" s="14" t="s">
        <v>18790</v>
      </c>
      <c r="M168" s="14" t="s">
        <v>1986</v>
      </c>
      <c r="N168" s="14" t="s">
        <v>18791</v>
      </c>
      <c r="O168" s="14" t="s">
        <v>18792</v>
      </c>
      <c r="P168" s="14" t="str">
        <f>HYPERLINK("https://dexscreener.com/solana/8ypJK8k7mYR14sfmiQzuF68mvamu84KtMn1tvcrjpump", "View")</f>
        <v>View</v>
      </c>
    </row>
    <row r="169" spans="1:16" x14ac:dyDescent="0.25">
      <c r="A169" s="16" t="s">
        <v>18793</v>
      </c>
      <c r="B169" s="17">
        <v>235895</v>
      </c>
      <c r="C169" s="17">
        <v>0</v>
      </c>
      <c r="D169" s="17" t="s">
        <v>17043</v>
      </c>
      <c r="E169" s="17" t="s">
        <v>5919</v>
      </c>
      <c r="F169" s="17" t="s">
        <v>96</v>
      </c>
      <c r="G169" s="18" t="s">
        <v>2760</v>
      </c>
      <c r="H169" s="18" t="s">
        <v>98</v>
      </c>
      <c r="I169" s="17" t="s">
        <v>18794</v>
      </c>
      <c r="J169" s="17">
        <v>1</v>
      </c>
      <c r="K169" s="17">
        <v>0</v>
      </c>
      <c r="L169" s="17" t="s">
        <v>18795</v>
      </c>
      <c r="M169" s="19" t="s">
        <v>101</v>
      </c>
      <c r="N169" s="17" t="s">
        <v>10090</v>
      </c>
      <c r="O169" s="17" t="s">
        <v>18796</v>
      </c>
      <c r="P169" s="17" t="str">
        <f>HYPERLINK("https://dexscreener.com/solana/BqeLFSM4P7AMjkwhGMHiccubk2g8os61HPkUePeKpump", "View")</f>
        <v>View</v>
      </c>
    </row>
    <row r="170" spans="1:16" x14ac:dyDescent="0.25">
      <c r="A170" s="13" t="s">
        <v>18797</v>
      </c>
      <c r="B170" s="14">
        <v>2286</v>
      </c>
      <c r="C170" s="14">
        <v>0</v>
      </c>
      <c r="D170" s="14" t="s">
        <v>17043</v>
      </c>
      <c r="E170" s="14" t="s">
        <v>5919</v>
      </c>
      <c r="F170" s="14" t="s">
        <v>96</v>
      </c>
      <c r="G170" s="18" t="s">
        <v>2760</v>
      </c>
      <c r="H170" s="18" t="s">
        <v>98</v>
      </c>
      <c r="I170" s="14" t="s">
        <v>18798</v>
      </c>
      <c r="J170" s="14">
        <v>1</v>
      </c>
      <c r="K170" s="14">
        <v>0</v>
      </c>
      <c r="L170" s="14" t="s">
        <v>18799</v>
      </c>
      <c r="M170" s="19" t="s">
        <v>101</v>
      </c>
      <c r="N170" s="14" t="s">
        <v>18800</v>
      </c>
      <c r="O170" s="14" t="s">
        <v>18801</v>
      </c>
      <c r="P170" s="14" t="str">
        <f>HYPERLINK("https://dexscreener.com/solana/EdaG8TKn36DnrXkVrJ3oSR9qw5hrUXrXS21n84B7AdLP", "View")</f>
        <v>View</v>
      </c>
    </row>
    <row r="171" spans="1:16" x14ac:dyDescent="0.25">
      <c r="A171" s="16" t="s">
        <v>18802</v>
      </c>
      <c r="B171" s="17">
        <v>74605</v>
      </c>
      <c r="C171" s="17">
        <v>74605</v>
      </c>
      <c r="D171" s="17" t="s">
        <v>145</v>
      </c>
      <c r="E171" s="17" t="s">
        <v>11534</v>
      </c>
      <c r="F171" s="17" t="s">
        <v>18803</v>
      </c>
      <c r="G171" s="21" t="s">
        <v>3836</v>
      </c>
      <c r="H171" s="21" t="s">
        <v>18804</v>
      </c>
      <c r="I171" s="17" t="s">
        <v>88</v>
      </c>
      <c r="J171" s="17">
        <v>3</v>
      </c>
      <c r="K171" s="17">
        <v>3</v>
      </c>
      <c r="L171" s="17" t="s">
        <v>18805</v>
      </c>
      <c r="M171" s="17" t="s">
        <v>150</v>
      </c>
      <c r="N171" s="17" t="s">
        <v>18806</v>
      </c>
      <c r="O171" s="17" t="s">
        <v>18807</v>
      </c>
      <c r="P171" s="17" t="str">
        <f>HYPERLINK("https://dexscreener.com/solana/6iezmEdeiUCzGGq4kjgyWvFDuajTPNWZqjzV3G2Qpump", "View")</f>
        <v>View</v>
      </c>
    </row>
    <row r="172" spans="1:16" x14ac:dyDescent="0.25">
      <c r="A172" s="13" t="s">
        <v>18808</v>
      </c>
      <c r="B172" s="14">
        <v>30452</v>
      </c>
      <c r="C172" s="14">
        <v>30452</v>
      </c>
      <c r="D172" s="14" t="s">
        <v>10517</v>
      </c>
      <c r="E172" s="14" t="s">
        <v>5919</v>
      </c>
      <c r="F172" s="14" t="s">
        <v>3845</v>
      </c>
      <c r="G172" s="21" t="s">
        <v>5746</v>
      </c>
      <c r="H172" s="21" t="s">
        <v>18809</v>
      </c>
      <c r="I172" s="14" t="s">
        <v>88</v>
      </c>
      <c r="J172" s="14">
        <v>1</v>
      </c>
      <c r="K172" s="14">
        <v>1</v>
      </c>
      <c r="L172" s="14" t="s">
        <v>18810</v>
      </c>
      <c r="M172" s="14" t="s">
        <v>132</v>
      </c>
      <c r="N172" s="14" t="s">
        <v>18811</v>
      </c>
      <c r="O172" s="14" t="s">
        <v>18812</v>
      </c>
      <c r="P172" s="14" t="str">
        <f>HYPERLINK("https://dexscreener.com/solana/4dx69VLhJGpswMGdVb2thWsuykyhWRZrrVjLZ1mgpump", "View")</f>
        <v>View</v>
      </c>
    </row>
    <row r="173" spans="1:16" x14ac:dyDescent="0.25">
      <c r="A173" s="16" t="s">
        <v>18813</v>
      </c>
      <c r="B173" s="17">
        <v>74217</v>
      </c>
      <c r="C173" s="17">
        <v>74217</v>
      </c>
      <c r="D173" s="17" t="s">
        <v>18814</v>
      </c>
      <c r="E173" s="17" t="s">
        <v>11792</v>
      </c>
      <c r="F173" s="17" t="s">
        <v>5380</v>
      </c>
      <c r="G173" s="15" t="s">
        <v>2400</v>
      </c>
      <c r="H173" s="15" t="s">
        <v>18815</v>
      </c>
      <c r="I173" s="17" t="s">
        <v>88</v>
      </c>
      <c r="J173" s="17">
        <v>4</v>
      </c>
      <c r="K173" s="17">
        <v>1</v>
      </c>
      <c r="L173" s="17" t="s">
        <v>18816</v>
      </c>
      <c r="M173" s="17" t="s">
        <v>356</v>
      </c>
      <c r="N173" s="17" t="s">
        <v>18817</v>
      </c>
      <c r="O173" s="17" t="s">
        <v>18818</v>
      </c>
      <c r="P173" s="17" t="str">
        <f>HYPERLINK("https://dexscreener.com/solana/6s687jFczAQ95YYYXNGLdki6u9mAH4DUwPXtYpD3pump", "View")</f>
        <v>View</v>
      </c>
    </row>
    <row r="174" spans="1:16" x14ac:dyDescent="0.25">
      <c r="A174" s="13" t="s">
        <v>18819</v>
      </c>
      <c r="B174" s="14">
        <v>616977</v>
      </c>
      <c r="C174" s="14">
        <v>616977</v>
      </c>
      <c r="D174" s="14" t="s">
        <v>10325</v>
      </c>
      <c r="E174" s="14" t="s">
        <v>2580</v>
      </c>
      <c r="F174" s="14" t="s">
        <v>4838</v>
      </c>
      <c r="G174" s="15" t="s">
        <v>17545</v>
      </c>
      <c r="H174" s="15" t="s">
        <v>18820</v>
      </c>
      <c r="I174" s="14" t="s">
        <v>88</v>
      </c>
      <c r="J174" s="14">
        <v>5</v>
      </c>
      <c r="K174" s="14">
        <v>1</v>
      </c>
      <c r="L174" s="14" t="s">
        <v>18821</v>
      </c>
      <c r="M174" s="14" t="s">
        <v>132</v>
      </c>
      <c r="N174" s="14" t="s">
        <v>18822</v>
      </c>
      <c r="O174" s="14" t="s">
        <v>18823</v>
      </c>
      <c r="P174" s="14" t="str">
        <f>HYPERLINK("https://dexscreener.com/solana/EDXbuD6Hx1BvGMa6WHFCQLDu1fp5NHvvHvzEMfknxNUA", "View")</f>
        <v>View</v>
      </c>
    </row>
    <row r="175" spans="1:16" x14ac:dyDescent="0.25">
      <c r="A175" s="16" t="s">
        <v>18824</v>
      </c>
      <c r="B175" s="17">
        <v>5045</v>
      </c>
      <c r="C175" s="17">
        <v>3455</v>
      </c>
      <c r="D175" s="17" t="s">
        <v>18825</v>
      </c>
      <c r="E175" s="17" t="s">
        <v>5534</v>
      </c>
      <c r="F175" s="17" t="s">
        <v>4817</v>
      </c>
      <c r="G175" s="20" t="s">
        <v>5801</v>
      </c>
      <c r="H175" s="20" t="s">
        <v>18826</v>
      </c>
      <c r="I175" s="17" t="s">
        <v>88</v>
      </c>
      <c r="J175" s="17">
        <v>1</v>
      </c>
      <c r="K175" s="17">
        <v>9</v>
      </c>
      <c r="L175" s="17" t="s">
        <v>18827</v>
      </c>
      <c r="M175" s="17" t="s">
        <v>414</v>
      </c>
      <c r="N175" s="17" t="s">
        <v>4551</v>
      </c>
      <c r="O175" s="17" t="s">
        <v>18828</v>
      </c>
      <c r="P175" s="17" t="str">
        <f>HYPERLINK("https://dexscreener.com/solana/BCzSJeyX2uVcDrTHzq49Do4vCyL4ZKM4DDo4VhVxpump", "View")</f>
        <v>View</v>
      </c>
    </row>
    <row r="176" spans="1:16" x14ac:dyDescent="0.25">
      <c r="A176" s="13" t="s">
        <v>18829</v>
      </c>
      <c r="B176" s="14">
        <v>4332</v>
      </c>
      <c r="C176" s="14">
        <v>4332</v>
      </c>
      <c r="D176" s="14" t="s">
        <v>18830</v>
      </c>
      <c r="E176" s="14" t="s">
        <v>11534</v>
      </c>
      <c r="F176" s="14" t="s">
        <v>7598</v>
      </c>
      <c r="G176" s="22" t="s">
        <v>2236</v>
      </c>
      <c r="H176" s="22" t="s">
        <v>18831</v>
      </c>
      <c r="I176" s="14" t="s">
        <v>88</v>
      </c>
      <c r="J176" s="14">
        <v>1</v>
      </c>
      <c r="K176" s="14">
        <v>10</v>
      </c>
      <c r="L176" s="14" t="s">
        <v>18832</v>
      </c>
      <c r="M176" s="14" t="s">
        <v>179</v>
      </c>
      <c r="N176" s="14" t="s">
        <v>18833</v>
      </c>
      <c r="O176" s="14" t="s">
        <v>18834</v>
      </c>
      <c r="P176" s="14" t="str">
        <f>HYPERLINK("https://dexscreener.com/solana/HtCqD3o5aF1RXcyGi6AW11PoB3bZmFdA8kvVyhJrpump", "View")</f>
        <v>View</v>
      </c>
    </row>
    <row r="177" spans="1:16" x14ac:dyDescent="0.25">
      <c r="A177" s="16" t="s">
        <v>18835</v>
      </c>
      <c r="B177" s="17">
        <v>138613</v>
      </c>
      <c r="C177" s="17">
        <v>138613</v>
      </c>
      <c r="D177" s="17" t="s">
        <v>16473</v>
      </c>
      <c r="E177" s="17" t="s">
        <v>11534</v>
      </c>
      <c r="F177" s="17" t="s">
        <v>10049</v>
      </c>
      <c r="G177" s="20" t="s">
        <v>5883</v>
      </c>
      <c r="H177" s="20" t="s">
        <v>18836</v>
      </c>
      <c r="I177" s="17" t="s">
        <v>88</v>
      </c>
      <c r="J177" s="17">
        <v>1</v>
      </c>
      <c r="K177" s="17">
        <v>1</v>
      </c>
      <c r="L177" s="17" t="s">
        <v>18837</v>
      </c>
      <c r="M177" s="17" t="s">
        <v>680</v>
      </c>
      <c r="N177" s="17" t="s">
        <v>18838</v>
      </c>
      <c r="O177" s="17" t="s">
        <v>18839</v>
      </c>
      <c r="P177" s="17" t="str">
        <f>HYPERLINK("https://dexscreener.com/solana/4gDCHK6jsPsdZi84N4rY6ACecxBJWsYkcfHhf8bHpump", "View")</f>
        <v>View</v>
      </c>
    </row>
    <row r="178" spans="1:16" x14ac:dyDescent="0.25">
      <c r="A178" s="13" t="s">
        <v>18840</v>
      </c>
      <c r="B178" s="14">
        <v>24760</v>
      </c>
      <c r="C178" s="14">
        <v>0</v>
      </c>
      <c r="D178" s="14" t="s">
        <v>17043</v>
      </c>
      <c r="E178" s="14" t="s">
        <v>5919</v>
      </c>
      <c r="F178" s="14" t="s">
        <v>96</v>
      </c>
      <c r="G178" s="18" t="s">
        <v>2760</v>
      </c>
      <c r="H178" s="18" t="s">
        <v>98</v>
      </c>
      <c r="I178" s="14" t="s">
        <v>18841</v>
      </c>
      <c r="J178" s="14">
        <v>1</v>
      </c>
      <c r="K178" s="14">
        <v>0</v>
      </c>
      <c r="L178" s="14" t="s">
        <v>18842</v>
      </c>
      <c r="M178" s="19" t="s">
        <v>101</v>
      </c>
      <c r="N178" s="14" t="s">
        <v>18843</v>
      </c>
      <c r="O178" s="14" t="s">
        <v>18844</v>
      </c>
      <c r="P178" s="14" t="str">
        <f>HYPERLINK("https://dexscreener.com/solana/D1wUhnzTDscCDRdxDwR4h82XkesXgQR4Q2zLhSuYJA5m", "View")</f>
        <v>View</v>
      </c>
    </row>
    <row r="179" spans="1:16" x14ac:dyDescent="0.25">
      <c r="A179" s="16" t="s">
        <v>18845</v>
      </c>
      <c r="B179" s="17">
        <v>53264</v>
      </c>
      <c r="C179" s="17">
        <v>0</v>
      </c>
      <c r="D179" s="17" t="s">
        <v>18126</v>
      </c>
      <c r="E179" s="17" t="s">
        <v>11534</v>
      </c>
      <c r="F179" s="17" t="s">
        <v>96</v>
      </c>
      <c r="G179" s="18" t="s">
        <v>3209</v>
      </c>
      <c r="H179" s="18" t="s">
        <v>98</v>
      </c>
      <c r="I179" s="17" t="s">
        <v>18846</v>
      </c>
      <c r="J179" s="17">
        <v>3</v>
      </c>
      <c r="K179" s="17">
        <v>0</v>
      </c>
      <c r="L179" s="17" t="s">
        <v>18847</v>
      </c>
      <c r="M179" s="17" t="s">
        <v>117</v>
      </c>
      <c r="N179" s="17" t="s">
        <v>18848</v>
      </c>
      <c r="O179" s="17" t="s">
        <v>18849</v>
      </c>
      <c r="P179" s="17" t="str">
        <f>HYPERLINK("https://dexscreener.com/solana/8jT2uVGpC6PbsPcQJ5bmEH9D8pQq41WEUMaUpo9Npump", "View")</f>
        <v>View</v>
      </c>
    </row>
    <row r="180" spans="1:16" x14ac:dyDescent="0.25">
      <c r="A180" s="13" t="s">
        <v>18850</v>
      </c>
      <c r="B180" s="14">
        <v>60120</v>
      </c>
      <c r="C180" s="14">
        <v>0</v>
      </c>
      <c r="D180" s="14" t="s">
        <v>18126</v>
      </c>
      <c r="E180" s="14" t="s">
        <v>11534</v>
      </c>
      <c r="F180" s="14" t="s">
        <v>96</v>
      </c>
      <c r="G180" s="18" t="s">
        <v>3209</v>
      </c>
      <c r="H180" s="18" t="s">
        <v>98</v>
      </c>
      <c r="I180" s="14" t="s">
        <v>18851</v>
      </c>
      <c r="J180" s="14">
        <v>3</v>
      </c>
      <c r="K180" s="14">
        <v>0</v>
      </c>
      <c r="L180" s="14" t="s">
        <v>18852</v>
      </c>
      <c r="M180" s="14" t="s">
        <v>5702</v>
      </c>
      <c r="N180" s="14" t="s">
        <v>18853</v>
      </c>
      <c r="O180" s="14" t="s">
        <v>18854</v>
      </c>
      <c r="P180" s="14" t="str">
        <f>HYPERLINK("https://dexscreener.com/solana/D389xMs9JUEsPA1w4itsT6cN3vFwYmpQSmsvvdj2g1jX", "View")</f>
        <v>View</v>
      </c>
    </row>
    <row r="181" spans="1:16" x14ac:dyDescent="0.25">
      <c r="A181" s="16" t="s">
        <v>18855</v>
      </c>
      <c r="B181" s="17">
        <v>49182</v>
      </c>
      <c r="C181" s="17">
        <v>49182</v>
      </c>
      <c r="D181" s="17" t="s">
        <v>18126</v>
      </c>
      <c r="E181" s="17" t="s">
        <v>6107</v>
      </c>
      <c r="F181" s="17" t="s">
        <v>4982</v>
      </c>
      <c r="G181" s="15" t="s">
        <v>2334</v>
      </c>
      <c r="H181" s="15" t="s">
        <v>18856</v>
      </c>
      <c r="I181" s="17" t="s">
        <v>88</v>
      </c>
      <c r="J181" s="17">
        <v>2</v>
      </c>
      <c r="K181" s="17">
        <v>1</v>
      </c>
      <c r="L181" s="17" t="s">
        <v>18857</v>
      </c>
      <c r="M181" s="17" t="s">
        <v>656</v>
      </c>
      <c r="N181" s="17" t="s">
        <v>18858</v>
      </c>
      <c r="O181" s="17" t="s">
        <v>18859</v>
      </c>
      <c r="P181" s="17" t="str">
        <f>HYPERLINK("https://dexscreener.com/solana/FyEUKDB7DjfANVJTwSWPkta3yK8bRjSn2nB9y41Qpump", "View")</f>
        <v>View</v>
      </c>
    </row>
    <row r="182" spans="1:16" x14ac:dyDescent="0.25">
      <c r="A182" s="13" t="s">
        <v>1968</v>
      </c>
      <c r="B182" s="14">
        <v>79410</v>
      </c>
      <c r="C182" s="14">
        <v>0</v>
      </c>
      <c r="D182" s="14" t="s">
        <v>16473</v>
      </c>
      <c r="E182" s="14" t="s">
        <v>5534</v>
      </c>
      <c r="F182" s="14" t="s">
        <v>96</v>
      </c>
      <c r="G182" s="18" t="s">
        <v>15868</v>
      </c>
      <c r="H182" s="18" t="s">
        <v>98</v>
      </c>
      <c r="I182" s="14" t="s">
        <v>18860</v>
      </c>
      <c r="J182" s="14">
        <v>2</v>
      </c>
      <c r="K182" s="14">
        <v>0</v>
      </c>
      <c r="L182" s="14" t="s">
        <v>18861</v>
      </c>
      <c r="M182" s="14" t="s">
        <v>1957</v>
      </c>
      <c r="N182" s="14" t="s">
        <v>18862</v>
      </c>
      <c r="O182" s="14" t="s">
        <v>18863</v>
      </c>
      <c r="P182" s="14" t="str">
        <f>HYPERLINK("https://dexscreener.com/solana/GXwESPtbqvtqo1gAdhGErRJz9smz1XYf3QdgxcFdksDm", "View")</f>
        <v>View</v>
      </c>
    </row>
    <row r="183" spans="1:16" x14ac:dyDescent="0.25">
      <c r="A183" s="16" t="s">
        <v>7396</v>
      </c>
      <c r="B183" s="17">
        <v>66649</v>
      </c>
      <c r="C183" s="17">
        <v>0</v>
      </c>
      <c r="D183" s="17" t="s">
        <v>17043</v>
      </c>
      <c r="E183" s="17" t="s">
        <v>5919</v>
      </c>
      <c r="F183" s="17" t="s">
        <v>96</v>
      </c>
      <c r="G183" s="18" t="s">
        <v>2760</v>
      </c>
      <c r="H183" s="18" t="s">
        <v>98</v>
      </c>
      <c r="I183" s="17" t="s">
        <v>18864</v>
      </c>
      <c r="J183" s="17">
        <v>1</v>
      </c>
      <c r="K183" s="17">
        <v>0</v>
      </c>
      <c r="L183" s="17" t="s">
        <v>18865</v>
      </c>
      <c r="M183" s="19" t="s">
        <v>101</v>
      </c>
      <c r="N183" s="17" t="s">
        <v>18866</v>
      </c>
      <c r="O183" s="17" t="s">
        <v>7402</v>
      </c>
      <c r="P183" s="17" t="str">
        <f>HYPERLINK("https://dexscreener.com/solana/6hqDaZ1CD9WjEiM6VFTX9WWsb3yGsEcJo9iWF34Kpump", "View")</f>
        <v>View</v>
      </c>
    </row>
    <row r="184" spans="1:16" x14ac:dyDescent="0.25">
      <c r="A184" s="13" t="s">
        <v>1418</v>
      </c>
      <c r="B184" s="14">
        <v>70816</v>
      </c>
      <c r="C184" s="14">
        <v>0</v>
      </c>
      <c r="D184" s="14" t="s">
        <v>17043</v>
      </c>
      <c r="E184" s="14" t="s">
        <v>5919</v>
      </c>
      <c r="F184" s="14" t="s">
        <v>96</v>
      </c>
      <c r="G184" s="18" t="s">
        <v>2760</v>
      </c>
      <c r="H184" s="18" t="s">
        <v>98</v>
      </c>
      <c r="I184" s="14" t="s">
        <v>18867</v>
      </c>
      <c r="J184" s="14">
        <v>1</v>
      </c>
      <c r="K184" s="14">
        <v>0</v>
      </c>
      <c r="L184" s="14" t="s">
        <v>18868</v>
      </c>
      <c r="M184" s="19" t="s">
        <v>101</v>
      </c>
      <c r="N184" s="14" t="s">
        <v>18869</v>
      </c>
      <c r="O184" s="14" t="s">
        <v>18870</v>
      </c>
      <c r="P184" s="14" t="str">
        <f>HYPERLINK("https://dexscreener.com/solana/9QcfKmf5hBuYSNnMk64ZTzkvuSzmUAPZCsEVLLALpump", "View")</f>
        <v>View</v>
      </c>
    </row>
    <row r="185" spans="1:16" x14ac:dyDescent="0.25">
      <c r="A185" s="16" t="s">
        <v>18871</v>
      </c>
      <c r="B185" s="17">
        <v>322477</v>
      </c>
      <c r="C185" s="17">
        <v>322477</v>
      </c>
      <c r="D185" s="17" t="s">
        <v>18814</v>
      </c>
      <c r="E185" s="17" t="s">
        <v>10121</v>
      </c>
      <c r="F185" s="17" t="s">
        <v>5699</v>
      </c>
      <c r="G185" s="15" t="s">
        <v>16114</v>
      </c>
      <c r="H185" s="15" t="s">
        <v>18872</v>
      </c>
      <c r="I185" s="17" t="s">
        <v>88</v>
      </c>
      <c r="J185" s="17">
        <v>4</v>
      </c>
      <c r="K185" s="17">
        <v>1</v>
      </c>
      <c r="L185" s="17" t="s">
        <v>18873</v>
      </c>
      <c r="M185" s="17" t="s">
        <v>4385</v>
      </c>
      <c r="N185" s="17" t="s">
        <v>18874</v>
      </c>
      <c r="O185" s="17" t="s">
        <v>18875</v>
      </c>
      <c r="P185" s="17" t="str">
        <f>HYPERLINK("https://dexscreener.com/solana/8R7R1qZVpSLatwam92YpwJbkxiqwbofDqydgc989pump", "View")</f>
        <v>View</v>
      </c>
    </row>
    <row r="186" spans="1:16" x14ac:dyDescent="0.25">
      <c r="A186" s="13" t="s">
        <v>13427</v>
      </c>
      <c r="B186" s="14">
        <v>126320</v>
      </c>
      <c r="C186" s="14">
        <v>61003</v>
      </c>
      <c r="D186" s="14" t="s">
        <v>10436</v>
      </c>
      <c r="E186" s="14" t="s">
        <v>10121</v>
      </c>
      <c r="F186" s="14" t="s">
        <v>2341</v>
      </c>
      <c r="G186" s="20" t="s">
        <v>7875</v>
      </c>
      <c r="H186" s="20" t="s">
        <v>18876</v>
      </c>
      <c r="I186" s="14" t="s">
        <v>88</v>
      </c>
      <c r="J186" s="14">
        <v>4</v>
      </c>
      <c r="K186" s="14">
        <v>1</v>
      </c>
      <c r="L186" s="14" t="s">
        <v>18877</v>
      </c>
      <c r="M186" s="14" t="s">
        <v>132</v>
      </c>
      <c r="N186" s="14" t="s">
        <v>18878</v>
      </c>
      <c r="O186" s="14" t="s">
        <v>13435</v>
      </c>
      <c r="P186" s="14" t="str">
        <f>HYPERLINK("https://dexscreener.com/solana/HhuNLvutiT7v6fACB4CeLhB5pzeK8ztaLKkfjsNfpump", "View")</f>
        <v>View</v>
      </c>
    </row>
    <row r="187" spans="1:16" x14ac:dyDescent="0.25">
      <c r="A187" s="16" t="s">
        <v>18879</v>
      </c>
      <c r="B187" s="17">
        <v>32996</v>
      </c>
      <c r="C187" s="17">
        <v>0</v>
      </c>
      <c r="D187" s="17" t="s">
        <v>17043</v>
      </c>
      <c r="E187" s="17" t="s">
        <v>5919</v>
      </c>
      <c r="F187" s="17" t="s">
        <v>96</v>
      </c>
      <c r="G187" s="18" t="s">
        <v>2760</v>
      </c>
      <c r="H187" s="18" t="s">
        <v>98</v>
      </c>
      <c r="I187" s="17" t="s">
        <v>18880</v>
      </c>
      <c r="J187" s="17">
        <v>1</v>
      </c>
      <c r="K187" s="17">
        <v>0</v>
      </c>
      <c r="L187" s="17" t="s">
        <v>18881</v>
      </c>
      <c r="M187" s="19" t="s">
        <v>101</v>
      </c>
      <c r="N187" s="17" t="s">
        <v>18882</v>
      </c>
      <c r="O187" s="17" t="s">
        <v>18883</v>
      </c>
      <c r="P187" s="17" t="str">
        <f>HYPERLINK("https://dexscreener.com/solana/5cG69TY1dkJmiucnkvYobCbeC1wDyRHBVrbJbz7bpump", "View")</f>
        <v>View</v>
      </c>
    </row>
    <row r="188" spans="1:16" x14ac:dyDescent="0.25">
      <c r="A188" s="13" t="s">
        <v>18884</v>
      </c>
      <c r="B188" s="14">
        <v>84312</v>
      </c>
      <c r="C188" s="14">
        <v>0</v>
      </c>
      <c r="D188" s="14" t="s">
        <v>17043</v>
      </c>
      <c r="E188" s="14" t="s">
        <v>5919</v>
      </c>
      <c r="F188" s="14" t="s">
        <v>96</v>
      </c>
      <c r="G188" s="18" t="s">
        <v>2760</v>
      </c>
      <c r="H188" s="18" t="s">
        <v>98</v>
      </c>
      <c r="I188" s="14" t="s">
        <v>18885</v>
      </c>
      <c r="J188" s="14">
        <v>1</v>
      </c>
      <c r="K188" s="14">
        <v>0</v>
      </c>
      <c r="L188" s="14" t="s">
        <v>18886</v>
      </c>
      <c r="M188" s="19" t="s">
        <v>101</v>
      </c>
      <c r="N188" s="14" t="s">
        <v>18887</v>
      </c>
      <c r="O188" s="14" t="s">
        <v>18888</v>
      </c>
      <c r="P188" s="14" t="str">
        <f>HYPERLINK("https://dexscreener.com/solana/12sfroGGyUuTTa74XMiXvA1PdF9v9Fj496Xo8jWupump", "View")</f>
        <v>View</v>
      </c>
    </row>
    <row r="189" spans="1:16" x14ac:dyDescent="0.25">
      <c r="A189" s="16" t="s">
        <v>18889</v>
      </c>
      <c r="B189" s="17">
        <v>10226</v>
      </c>
      <c r="C189" s="17">
        <v>0</v>
      </c>
      <c r="D189" s="17" t="s">
        <v>17043</v>
      </c>
      <c r="E189" s="17" t="s">
        <v>5919</v>
      </c>
      <c r="F189" s="17" t="s">
        <v>96</v>
      </c>
      <c r="G189" s="18" t="s">
        <v>2760</v>
      </c>
      <c r="H189" s="18" t="s">
        <v>98</v>
      </c>
      <c r="I189" s="17" t="s">
        <v>18890</v>
      </c>
      <c r="J189" s="17">
        <v>1</v>
      </c>
      <c r="K189" s="17">
        <v>0</v>
      </c>
      <c r="L189" s="17" t="s">
        <v>18891</v>
      </c>
      <c r="M189" s="19" t="s">
        <v>101</v>
      </c>
      <c r="N189" s="17" t="s">
        <v>18892</v>
      </c>
      <c r="O189" s="17" t="s">
        <v>18893</v>
      </c>
      <c r="P189" s="17" t="str">
        <f>HYPERLINK("https://dexscreener.com/solana/8EQeemcUppYMH1T4JQSh4UNE6DLhJZV7ap6Y7k38pump", "View")</f>
        <v>View</v>
      </c>
    </row>
    <row r="190" spans="1:16" x14ac:dyDescent="0.25">
      <c r="A190" s="13" t="s">
        <v>18894</v>
      </c>
      <c r="B190" s="14">
        <v>16308</v>
      </c>
      <c r="C190" s="14">
        <v>16308</v>
      </c>
      <c r="D190" s="14" t="s">
        <v>18126</v>
      </c>
      <c r="E190" s="14" t="s">
        <v>10121</v>
      </c>
      <c r="F190" s="14" t="s">
        <v>10641</v>
      </c>
      <c r="G190" s="20" t="s">
        <v>4032</v>
      </c>
      <c r="H190" s="20" t="s">
        <v>3653</v>
      </c>
      <c r="I190" s="14" t="s">
        <v>88</v>
      </c>
      <c r="J190" s="14">
        <v>2</v>
      </c>
      <c r="K190" s="14">
        <v>1</v>
      </c>
      <c r="L190" s="14" t="s">
        <v>18895</v>
      </c>
      <c r="M190" s="14" t="s">
        <v>179</v>
      </c>
      <c r="N190" s="14" t="s">
        <v>18896</v>
      </c>
      <c r="O190" s="14" t="s">
        <v>18897</v>
      </c>
      <c r="P190" s="14" t="str">
        <f>HYPERLINK("https://dexscreener.com/solana/BWFKLaEYDoMDYzZRB2bYLPhMJTycD9voNihvSL34pump", "View")</f>
        <v>View</v>
      </c>
    </row>
    <row r="191" spans="1:16" x14ac:dyDescent="0.25">
      <c r="A191" s="16" t="s">
        <v>2519</v>
      </c>
      <c r="B191" s="17">
        <v>63759</v>
      </c>
      <c r="C191" s="17">
        <v>0</v>
      </c>
      <c r="D191" s="17" t="s">
        <v>17043</v>
      </c>
      <c r="E191" s="17" t="s">
        <v>5919</v>
      </c>
      <c r="F191" s="17" t="s">
        <v>96</v>
      </c>
      <c r="G191" s="18" t="s">
        <v>2760</v>
      </c>
      <c r="H191" s="18" t="s">
        <v>98</v>
      </c>
      <c r="I191" s="17" t="s">
        <v>18898</v>
      </c>
      <c r="J191" s="17">
        <v>1</v>
      </c>
      <c r="K191" s="17">
        <v>0</v>
      </c>
      <c r="L191" s="17" t="s">
        <v>18899</v>
      </c>
      <c r="M191" s="19" t="s">
        <v>101</v>
      </c>
      <c r="N191" s="17" t="s">
        <v>18900</v>
      </c>
      <c r="O191" s="17" t="s">
        <v>18901</v>
      </c>
      <c r="P191" s="17" t="str">
        <f>HYPERLINK("https://dexscreener.com/solana/EA8gnhyGTGd73LcFZRTybziXcgaPBpidHWBcpa5Lpump", "View")</f>
        <v>View</v>
      </c>
    </row>
    <row r="192" spans="1:16" x14ac:dyDescent="0.25">
      <c r="A192" s="13" t="s">
        <v>18902</v>
      </c>
      <c r="B192" s="14">
        <v>73546</v>
      </c>
      <c r="C192" s="14">
        <v>0</v>
      </c>
      <c r="D192" s="14" t="s">
        <v>16473</v>
      </c>
      <c r="E192" s="14" t="s">
        <v>5534</v>
      </c>
      <c r="F192" s="14" t="s">
        <v>96</v>
      </c>
      <c r="G192" s="18" t="s">
        <v>15868</v>
      </c>
      <c r="H192" s="18" t="s">
        <v>98</v>
      </c>
      <c r="I192" s="14" t="s">
        <v>18903</v>
      </c>
      <c r="J192" s="14">
        <v>2</v>
      </c>
      <c r="K192" s="14">
        <v>0</v>
      </c>
      <c r="L192" s="14" t="s">
        <v>18904</v>
      </c>
      <c r="M192" s="14" t="s">
        <v>1526</v>
      </c>
      <c r="N192" s="14" t="s">
        <v>18905</v>
      </c>
      <c r="O192" s="14" t="s">
        <v>18906</v>
      </c>
      <c r="P192" s="14" t="str">
        <f>HYPERLINK("https://dexscreener.com/solana/Grznenwm9wYatDMzTcNejRD6pPQ1i2ph4Wo3LDwypump", "View")</f>
        <v>View</v>
      </c>
    </row>
    <row r="193" spans="1:16" x14ac:dyDescent="0.25">
      <c r="A193" s="16" t="s">
        <v>18907</v>
      </c>
      <c r="B193" s="17">
        <v>16558</v>
      </c>
      <c r="C193" s="17">
        <v>0</v>
      </c>
      <c r="D193" s="17" t="s">
        <v>17043</v>
      </c>
      <c r="E193" s="17" t="s">
        <v>5919</v>
      </c>
      <c r="F193" s="17" t="s">
        <v>96</v>
      </c>
      <c r="G193" s="18" t="s">
        <v>2760</v>
      </c>
      <c r="H193" s="18" t="s">
        <v>98</v>
      </c>
      <c r="I193" s="17" t="s">
        <v>18908</v>
      </c>
      <c r="J193" s="17">
        <v>1</v>
      </c>
      <c r="K193" s="17">
        <v>0</v>
      </c>
      <c r="L193" s="17" t="s">
        <v>18909</v>
      </c>
      <c r="M193" s="19" t="s">
        <v>101</v>
      </c>
      <c r="N193" s="17" t="s">
        <v>18910</v>
      </c>
      <c r="O193" s="17" t="s">
        <v>18911</v>
      </c>
      <c r="P193" s="17" t="str">
        <f>HYPERLINK("https://dexscreener.com/solana/EpPtathNtBLh4Xn6vJxoaekRpCfhNK4sDhqiaDJfEQ8R", "View")</f>
        <v>View</v>
      </c>
    </row>
    <row r="194" spans="1:16" x14ac:dyDescent="0.25">
      <c r="A194" s="13" t="s">
        <v>11927</v>
      </c>
      <c r="B194" s="14">
        <v>71829</v>
      </c>
      <c r="C194" s="14">
        <v>71829</v>
      </c>
      <c r="D194" s="14" t="s">
        <v>18126</v>
      </c>
      <c r="E194" s="14" t="s">
        <v>5534</v>
      </c>
      <c r="F194" s="14" t="s">
        <v>2547</v>
      </c>
      <c r="G194" s="15" t="s">
        <v>2172</v>
      </c>
      <c r="H194" s="15" t="s">
        <v>18912</v>
      </c>
      <c r="I194" s="14" t="s">
        <v>88</v>
      </c>
      <c r="J194" s="14">
        <v>2</v>
      </c>
      <c r="K194" s="14">
        <v>1</v>
      </c>
      <c r="L194" s="14" t="s">
        <v>18913</v>
      </c>
      <c r="M194" s="14" t="s">
        <v>132</v>
      </c>
      <c r="N194" s="14" t="s">
        <v>18914</v>
      </c>
      <c r="O194" s="14" t="s">
        <v>11931</v>
      </c>
      <c r="P194" s="14" t="str">
        <f>HYPERLINK("https://dexscreener.com/solana/3uqyLzQzdrXaiTos1XR9kJJJQSwAvc2TcejrpDXppump", "View")</f>
        <v>View</v>
      </c>
    </row>
    <row r="195" spans="1:16" x14ac:dyDescent="0.25">
      <c r="A195" s="16" t="s">
        <v>18915</v>
      </c>
      <c r="B195" s="17">
        <v>101020</v>
      </c>
      <c r="C195" s="17">
        <v>0</v>
      </c>
      <c r="D195" s="17" t="s">
        <v>16473</v>
      </c>
      <c r="E195" s="17" t="s">
        <v>5534</v>
      </c>
      <c r="F195" s="17" t="s">
        <v>96</v>
      </c>
      <c r="G195" s="18" t="s">
        <v>15868</v>
      </c>
      <c r="H195" s="18" t="s">
        <v>98</v>
      </c>
      <c r="I195" s="17" t="s">
        <v>18916</v>
      </c>
      <c r="J195" s="17">
        <v>2</v>
      </c>
      <c r="K195" s="17">
        <v>0</v>
      </c>
      <c r="L195" s="17" t="s">
        <v>18917</v>
      </c>
      <c r="M195" s="17" t="s">
        <v>117</v>
      </c>
      <c r="N195" s="17" t="s">
        <v>18918</v>
      </c>
      <c r="O195" s="17" t="s">
        <v>18919</v>
      </c>
      <c r="P195" s="17" t="str">
        <f>HYPERLINK("https://dexscreener.com/solana/FJLehYsTWsdXP42tgixCvNzMN5PiWkHKNKfFPcCmpump", "View")</f>
        <v>View</v>
      </c>
    </row>
    <row r="196" spans="1:16" x14ac:dyDescent="0.25">
      <c r="A196" s="13" t="s">
        <v>18920</v>
      </c>
      <c r="B196" s="14">
        <v>17429</v>
      </c>
      <c r="C196" s="14">
        <v>0</v>
      </c>
      <c r="D196" s="14" t="s">
        <v>16473</v>
      </c>
      <c r="E196" s="14" t="s">
        <v>5534</v>
      </c>
      <c r="F196" s="14" t="s">
        <v>96</v>
      </c>
      <c r="G196" s="18" t="s">
        <v>15868</v>
      </c>
      <c r="H196" s="18" t="s">
        <v>98</v>
      </c>
      <c r="I196" s="14" t="s">
        <v>18921</v>
      </c>
      <c r="J196" s="14">
        <v>2</v>
      </c>
      <c r="K196" s="14">
        <v>0</v>
      </c>
      <c r="L196" s="14" t="s">
        <v>18922</v>
      </c>
      <c r="M196" s="14" t="s">
        <v>1448</v>
      </c>
      <c r="N196" s="14" t="s">
        <v>18923</v>
      </c>
      <c r="O196" s="14" t="s">
        <v>18924</v>
      </c>
      <c r="P196" s="14" t="str">
        <f>HYPERLINK("https://dexscreener.com/solana/EikrgpRn8KDzK3BJhXxRZNbCe2a6viZ9B8g6j66JsYt7", "View")</f>
        <v>View</v>
      </c>
    </row>
    <row r="197" spans="1:16" x14ac:dyDescent="0.25">
      <c r="A197" s="16" t="s">
        <v>18925</v>
      </c>
      <c r="B197" s="17">
        <v>5033</v>
      </c>
      <c r="C197" s="17">
        <v>5033</v>
      </c>
      <c r="D197" s="17" t="s">
        <v>10517</v>
      </c>
      <c r="E197" s="17" t="s">
        <v>5534</v>
      </c>
      <c r="F197" s="17" t="s">
        <v>8575</v>
      </c>
      <c r="G197" s="22" t="s">
        <v>6156</v>
      </c>
      <c r="H197" s="22" t="s">
        <v>18926</v>
      </c>
      <c r="I197" s="17" t="s">
        <v>88</v>
      </c>
      <c r="J197" s="17">
        <v>1</v>
      </c>
      <c r="K197" s="17">
        <v>1</v>
      </c>
      <c r="L197" s="17" t="s">
        <v>18927</v>
      </c>
      <c r="M197" s="17" t="s">
        <v>132</v>
      </c>
      <c r="N197" s="17" t="s">
        <v>18928</v>
      </c>
      <c r="O197" s="17" t="s">
        <v>18929</v>
      </c>
      <c r="P197" s="17" t="str">
        <f>HYPERLINK("https://dexscreener.com/solana/7gbEP2TAy5wM3TmMp5utCrRvdJ3FFqYjgN5KDpXiWPmo", "View")</f>
        <v>View</v>
      </c>
    </row>
    <row r="198" spans="1:16" x14ac:dyDescent="0.25">
      <c r="A198" s="13" t="s">
        <v>18930</v>
      </c>
      <c r="B198" s="14">
        <v>46525</v>
      </c>
      <c r="C198" s="14">
        <v>0</v>
      </c>
      <c r="D198" s="14" t="s">
        <v>17043</v>
      </c>
      <c r="E198" s="14" t="s">
        <v>5919</v>
      </c>
      <c r="F198" s="14" t="s">
        <v>96</v>
      </c>
      <c r="G198" s="18" t="s">
        <v>2760</v>
      </c>
      <c r="H198" s="18" t="s">
        <v>98</v>
      </c>
      <c r="I198" s="14" t="s">
        <v>18931</v>
      </c>
      <c r="J198" s="14">
        <v>1</v>
      </c>
      <c r="K198" s="14">
        <v>0</v>
      </c>
      <c r="L198" s="14" t="s">
        <v>18932</v>
      </c>
      <c r="M198" s="19" t="s">
        <v>101</v>
      </c>
      <c r="N198" s="14" t="s">
        <v>18933</v>
      </c>
      <c r="O198" s="14" t="s">
        <v>18934</v>
      </c>
      <c r="P198" s="14" t="str">
        <f>HYPERLINK("https://dexscreener.com/solana/4QmvAPffMFAvDPfHPJg4aepGqCqHKfASGRAUqicSpump", "View")</f>
        <v>View</v>
      </c>
    </row>
    <row r="199" spans="1:16" x14ac:dyDescent="0.25">
      <c r="A199" s="16" t="s">
        <v>17416</v>
      </c>
      <c r="B199" s="17">
        <v>132968</v>
      </c>
      <c r="C199" s="17">
        <v>0</v>
      </c>
      <c r="D199" s="17" t="s">
        <v>17043</v>
      </c>
      <c r="E199" s="17" t="s">
        <v>5919</v>
      </c>
      <c r="F199" s="17" t="s">
        <v>96</v>
      </c>
      <c r="G199" s="18" t="s">
        <v>2760</v>
      </c>
      <c r="H199" s="18" t="s">
        <v>98</v>
      </c>
      <c r="I199" s="17" t="s">
        <v>18935</v>
      </c>
      <c r="J199" s="17">
        <v>1</v>
      </c>
      <c r="K199" s="17">
        <v>0</v>
      </c>
      <c r="L199" s="17" t="s">
        <v>18936</v>
      </c>
      <c r="M199" s="19" t="s">
        <v>101</v>
      </c>
      <c r="N199" s="17" t="s">
        <v>595</v>
      </c>
      <c r="O199" s="17" t="s">
        <v>18937</v>
      </c>
      <c r="P199" s="17" t="str">
        <f>HYPERLINK("https://dexscreener.com/solana/7JHwyiD4X5BwBsP1FNZviakgLjXSqx8r6GnHSFUYpump", "View")</f>
        <v>View</v>
      </c>
    </row>
    <row r="200" spans="1:16" x14ac:dyDescent="0.25">
      <c r="A200" s="13" t="s">
        <v>18938</v>
      </c>
      <c r="B200" s="14">
        <v>41119</v>
      </c>
      <c r="C200" s="14">
        <v>0</v>
      </c>
      <c r="D200" s="14" t="s">
        <v>17043</v>
      </c>
      <c r="E200" s="14" t="s">
        <v>5919</v>
      </c>
      <c r="F200" s="14" t="s">
        <v>96</v>
      </c>
      <c r="G200" s="18" t="s">
        <v>2760</v>
      </c>
      <c r="H200" s="18" t="s">
        <v>98</v>
      </c>
      <c r="I200" s="14" t="s">
        <v>18939</v>
      </c>
      <c r="J200" s="14">
        <v>1</v>
      </c>
      <c r="K200" s="14">
        <v>0</v>
      </c>
      <c r="L200" s="14" t="s">
        <v>18940</v>
      </c>
      <c r="M200" s="19" t="s">
        <v>101</v>
      </c>
      <c r="N200" s="14" t="s">
        <v>18941</v>
      </c>
      <c r="O200" s="14" t="s">
        <v>18942</v>
      </c>
      <c r="P200" s="14" t="str">
        <f>HYPERLINK("https://dexscreener.com/solana/DMF7dX8Qg6HknTuh7xD64daPLDShJMM5aZd8oLHepump", "View")</f>
        <v>View</v>
      </c>
    </row>
    <row r="201" spans="1:16" x14ac:dyDescent="0.25">
      <c r="A201" s="16" t="s">
        <v>18943</v>
      </c>
      <c r="B201" s="17">
        <v>51638</v>
      </c>
      <c r="C201" s="17">
        <v>0</v>
      </c>
      <c r="D201" s="17" t="s">
        <v>17043</v>
      </c>
      <c r="E201" s="17" t="s">
        <v>5919</v>
      </c>
      <c r="F201" s="17" t="s">
        <v>96</v>
      </c>
      <c r="G201" s="18" t="s">
        <v>2760</v>
      </c>
      <c r="H201" s="18" t="s">
        <v>98</v>
      </c>
      <c r="I201" s="17" t="s">
        <v>18944</v>
      </c>
      <c r="J201" s="17">
        <v>1</v>
      </c>
      <c r="K201" s="17">
        <v>0</v>
      </c>
      <c r="L201" s="17" t="s">
        <v>18945</v>
      </c>
      <c r="M201" s="19" t="s">
        <v>101</v>
      </c>
      <c r="N201" s="17" t="s">
        <v>15776</v>
      </c>
      <c r="O201" s="17" t="s">
        <v>18946</v>
      </c>
      <c r="P201" s="17" t="str">
        <f>HYPERLINK("https://dexscreener.com/solana/BKMK1HXX5T73ubUyJ7zEQ8bSMqVGgJ7mrnr56k9Zpump", "View")</f>
        <v>View</v>
      </c>
    </row>
    <row r="202" spans="1:16" x14ac:dyDescent="0.25">
      <c r="A202" s="13" t="s">
        <v>15193</v>
      </c>
      <c r="B202" s="14">
        <v>27636</v>
      </c>
      <c r="C202" s="14">
        <v>0</v>
      </c>
      <c r="D202" s="14" t="s">
        <v>17043</v>
      </c>
      <c r="E202" s="14" t="s">
        <v>5919</v>
      </c>
      <c r="F202" s="14" t="s">
        <v>96</v>
      </c>
      <c r="G202" s="18" t="s">
        <v>2760</v>
      </c>
      <c r="H202" s="18" t="s">
        <v>98</v>
      </c>
      <c r="I202" s="14" t="s">
        <v>18947</v>
      </c>
      <c r="J202" s="14">
        <v>1</v>
      </c>
      <c r="K202" s="14">
        <v>0</v>
      </c>
      <c r="L202" s="14" t="s">
        <v>18948</v>
      </c>
      <c r="M202" s="19" t="s">
        <v>101</v>
      </c>
      <c r="N202" s="14" t="s">
        <v>18949</v>
      </c>
      <c r="O202" s="14" t="s">
        <v>18950</v>
      </c>
      <c r="P202" s="14" t="str">
        <f>HYPERLINK("https://dexscreener.com/solana/BigaGMpcCq3iBp62RcoJw1w2aLGYtqPsPRguYH3xpump", "View")</f>
        <v>View</v>
      </c>
    </row>
    <row r="203" spans="1:16" x14ac:dyDescent="0.25">
      <c r="A203" s="16" t="s">
        <v>11951</v>
      </c>
      <c r="B203" s="17">
        <v>29863</v>
      </c>
      <c r="C203" s="17">
        <v>0</v>
      </c>
      <c r="D203" s="17" t="s">
        <v>18126</v>
      </c>
      <c r="E203" s="17" t="s">
        <v>11534</v>
      </c>
      <c r="F203" s="17" t="s">
        <v>96</v>
      </c>
      <c r="G203" s="18" t="s">
        <v>3209</v>
      </c>
      <c r="H203" s="18" t="s">
        <v>98</v>
      </c>
      <c r="I203" s="17" t="s">
        <v>18951</v>
      </c>
      <c r="J203" s="17">
        <v>3</v>
      </c>
      <c r="K203" s="17">
        <v>0</v>
      </c>
      <c r="L203" s="17" t="s">
        <v>18952</v>
      </c>
      <c r="M203" s="17" t="s">
        <v>1986</v>
      </c>
      <c r="N203" s="17" t="s">
        <v>18953</v>
      </c>
      <c r="O203" s="17" t="s">
        <v>11954</v>
      </c>
      <c r="P203" s="17" t="str">
        <f>HYPERLINK("https://dexscreener.com/solana/ALW1DD65EtewCiRz65gUDvYYAqQWLwjo68XAnsR7pump", "View")</f>
        <v>View</v>
      </c>
    </row>
    <row r="204" spans="1:16" x14ac:dyDescent="0.25">
      <c r="A204" s="13" t="s">
        <v>11951</v>
      </c>
      <c r="B204" s="14">
        <v>0</v>
      </c>
      <c r="C204" s="14">
        <v>0</v>
      </c>
      <c r="D204" s="14" t="s">
        <v>16473</v>
      </c>
      <c r="E204" s="14" t="s">
        <v>5534</v>
      </c>
      <c r="F204" s="14" t="s">
        <v>96</v>
      </c>
      <c r="G204" s="18" t="s">
        <v>15868</v>
      </c>
      <c r="H204" s="18" t="s">
        <v>98</v>
      </c>
      <c r="I204" s="14" t="s">
        <v>43</v>
      </c>
      <c r="J204" s="14">
        <v>2</v>
      </c>
      <c r="K204" s="14">
        <v>0</v>
      </c>
      <c r="L204" s="14" t="s">
        <v>18954</v>
      </c>
      <c r="M204" s="14" t="s">
        <v>1434</v>
      </c>
      <c r="N204" s="14" t="s">
        <v>18955</v>
      </c>
      <c r="O204" s="14" t="s">
        <v>18956</v>
      </c>
      <c r="P204" s="14" t="str">
        <f>HYPERLINK("https://dexscreener.com/solana/TitsMQfY4vqqK9ZarKZz4foSVKoDPtVAP2bnYvoczp6", "View")</f>
        <v>View</v>
      </c>
    </row>
    <row r="205" spans="1:16" x14ac:dyDescent="0.25">
      <c r="A205" s="16" t="s">
        <v>6195</v>
      </c>
      <c r="B205" s="17">
        <v>47483</v>
      </c>
      <c r="C205" s="17">
        <v>0</v>
      </c>
      <c r="D205" s="17" t="s">
        <v>17043</v>
      </c>
      <c r="E205" s="17" t="s">
        <v>5919</v>
      </c>
      <c r="F205" s="17" t="s">
        <v>96</v>
      </c>
      <c r="G205" s="18" t="s">
        <v>2760</v>
      </c>
      <c r="H205" s="18" t="s">
        <v>98</v>
      </c>
      <c r="I205" s="17" t="s">
        <v>18957</v>
      </c>
      <c r="J205" s="17">
        <v>1</v>
      </c>
      <c r="K205" s="17">
        <v>0</v>
      </c>
      <c r="L205" s="17" t="s">
        <v>18958</v>
      </c>
      <c r="M205" s="19" t="s">
        <v>101</v>
      </c>
      <c r="N205" s="17" t="s">
        <v>18959</v>
      </c>
      <c r="O205" s="17" t="s">
        <v>18960</v>
      </c>
      <c r="P205" s="17" t="str">
        <f>HYPERLINK("https://dexscreener.com/solana/4wvuT22Marg5RWgmw9cB6PVsTPAmxsFBFauybXV4pump", "View")</f>
        <v>View</v>
      </c>
    </row>
    <row r="206" spans="1:16" x14ac:dyDescent="0.25">
      <c r="A206" s="13" t="s">
        <v>4506</v>
      </c>
      <c r="B206" s="14">
        <v>153</v>
      </c>
      <c r="C206" s="14">
        <v>0</v>
      </c>
      <c r="D206" s="14" t="s">
        <v>17043</v>
      </c>
      <c r="E206" s="14" t="s">
        <v>5534</v>
      </c>
      <c r="F206" s="14" t="s">
        <v>96</v>
      </c>
      <c r="G206" s="18" t="s">
        <v>4739</v>
      </c>
      <c r="H206" s="18" t="s">
        <v>98</v>
      </c>
      <c r="I206" s="14" t="s">
        <v>18961</v>
      </c>
      <c r="J206" s="14">
        <v>1</v>
      </c>
      <c r="K206" s="14">
        <v>0</v>
      </c>
      <c r="L206" s="14" t="s">
        <v>18962</v>
      </c>
      <c r="M206" s="19" t="s">
        <v>101</v>
      </c>
      <c r="N206" s="14" t="s">
        <v>18963</v>
      </c>
      <c r="O206" s="14" t="s">
        <v>4512</v>
      </c>
      <c r="P206" s="14" t="str">
        <f>HYPERLINK("https://dexscreener.com/solana/6ogzHhzdrQr9Pgv6hZ2MNze7UrzBMAFyBBWUYp1Fhitx", "View")</f>
        <v>View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DB94-82C3-4747-8844-4CF85B9E230A}">
  <dimension ref="A1:P4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HYPERLINK("https://gmgn.ai/sol/address/BGGhSLga1GnHPDCDrFFHsuYms5mdpqKTR5X336vFQPmQ", "GMGN")</f>
        <v>GMGN</v>
      </c>
    </row>
    <row r="2" spans="1:14" x14ac:dyDescent="0.25">
      <c r="A2" s="3" t="s">
        <v>1560</v>
      </c>
      <c r="B2" s="3" t="s">
        <v>1561</v>
      </c>
      <c r="C2" s="3" t="s">
        <v>1562</v>
      </c>
      <c r="D2" s="3" t="s">
        <v>1563</v>
      </c>
      <c r="E2" s="3" t="s">
        <v>1564</v>
      </c>
      <c r="F2" s="3" t="s">
        <v>1565</v>
      </c>
      <c r="G2" s="3" t="s">
        <v>18</v>
      </c>
      <c r="H2" s="3">
        <v>23</v>
      </c>
      <c r="I2" s="3">
        <v>0</v>
      </c>
      <c r="J2" s="3" t="s">
        <v>132</v>
      </c>
      <c r="K2" s="3" t="s">
        <v>1566</v>
      </c>
      <c r="L2" s="3">
        <v>16</v>
      </c>
      <c r="M2" s="3">
        <v>21</v>
      </c>
      <c r="N2" s="3" t="str">
        <f>HYPERLINK("https://solscan.io/account/BGGhSLga1GnHPDCDrFFHsuYms5mdpqKTR5X336vFQPmQ", "Solscan")</f>
        <v>Solscan</v>
      </c>
    </row>
    <row r="3" spans="1:14" x14ac:dyDescent="0.25">
      <c r="A3" s="1" t="s">
        <v>21</v>
      </c>
      <c r="B3" s="4" t="s">
        <v>1567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HYPERLINK("https://birdeye.so/profile/BGGhSLga1GnHPDCDrFFHsuYms5mdpqKTR5X336vFQPmQ", "Birdeye")</f>
        <v>Birdeye</v>
      </c>
    </row>
    <row r="4" spans="1:14" x14ac:dyDescent="0.25">
      <c r="A4" s="1" t="s">
        <v>25</v>
      </c>
      <c r="B4" s="3" t="s">
        <v>15</v>
      </c>
      <c r="C4" s="3"/>
      <c r="D4" s="3" t="s">
        <v>1568</v>
      </c>
      <c r="E4" s="3" t="s">
        <v>1569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1571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2</v>
      </c>
      <c r="E10" s="1">
        <v>4</v>
      </c>
      <c r="F10" s="1">
        <v>11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46</v>
      </c>
      <c r="C11" s="1" t="s">
        <v>1572</v>
      </c>
      <c r="D11" s="1" t="s">
        <v>1573</v>
      </c>
      <c r="E11" s="1" t="s">
        <v>1574</v>
      </c>
      <c r="F11" s="1" t="s">
        <v>1575</v>
      </c>
      <c r="G11" s="1" t="s">
        <v>1573</v>
      </c>
      <c r="H11" s="3"/>
      <c r="I11" s="3" t="s">
        <v>50</v>
      </c>
      <c r="J11" s="3" t="s">
        <v>1576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1577</v>
      </c>
      <c r="C12" s="1" t="s">
        <v>1578</v>
      </c>
      <c r="D12" s="1" t="s">
        <v>1579</v>
      </c>
      <c r="E12" s="1" t="s">
        <v>1580</v>
      </c>
      <c r="F12" s="1" t="s">
        <v>1581</v>
      </c>
      <c r="G12" s="1" t="s">
        <v>1582</v>
      </c>
      <c r="H12" s="3"/>
      <c r="I12" s="3" t="s">
        <v>59</v>
      </c>
      <c r="J12" s="3" t="s">
        <v>1583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1584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1585</v>
      </c>
      <c r="B20" s="14">
        <v>109864958</v>
      </c>
      <c r="C20" s="14">
        <v>109864958</v>
      </c>
      <c r="D20" s="14" t="s">
        <v>1586</v>
      </c>
      <c r="E20" s="14" t="s">
        <v>1587</v>
      </c>
      <c r="F20" s="14" t="s">
        <v>1588</v>
      </c>
      <c r="G20" s="21" t="s">
        <v>1589</v>
      </c>
      <c r="H20" s="21" t="s">
        <v>1590</v>
      </c>
      <c r="I20" s="14" t="s">
        <v>88</v>
      </c>
      <c r="J20" s="14">
        <v>4</v>
      </c>
      <c r="K20" s="14">
        <v>7</v>
      </c>
      <c r="L20" s="14" t="s">
        <v>1591</v>
      </c>
      <c r="M20" s="14" t="s">
        <v>680</v>
      </c>
      <c r="N20" s="14" t="s">
        <v>1592</v>
      </c>
      <c r="O20" s="14" t="s">
        <v>1593</v>
      </c>
      <c r="P20" s="14" t="str">
        <f>HYPERLINK("https://photon-sol.tinyastro.io/en/lp/uzMEVF9ZFzwbqka3WgPLaUFH8pXDVAJ4SQwWiNvpump?handle=676050794bc1b1657a56b", "View")</f>
        <v>View</v>
      </c>
    </row>
    <row r="21" spans="1:16" x14ac:dyDescent="0.25">
      <c r="A21" s="16" t="s">
        <v>1594</v>
      </c>
      <c r="B21" s="17">
        <v>41457386</v>
      </c>
      <c r="C21" s="17">
        <v>41457386</v>
      </c>
      <c r="D21" s="17" t="s">
        <v>1595</v>
      </c>
      <c r="E21" s="17" t="s">
        <v>1596</v>
      </c>
      <c r="F21" s="17" t="s">
        <v>1597</v>
      </c>
      <c r="G21" s="20" t="s">
        <v>1598</v>
      </c>
      <c r="H21" s="20" t="s">
        <v>1599</v>
      </c>
      <c r="I21" s="17" t="s">
        <v>88</v>
      </c>
      <c r="J21" s="17">
        <v>1</v>
      </c>
      <c r="K21" s="17">
        <v>1</v>
      </c>
      <c r="L21" s="17" t="s">
        <v>1600</v>
      </c>
      <c r="M21" s="17" t="s">
        <v>1434</v>
      </c>
      <c r="N21" s="17" t="s">
        <v>1601</v>
      </c>
      <c r="O21" s="17" t="s">
        <v>1602</v>
      </c>
      <c r="P21" s="17" t="str">
        <f>HYPERLINK("https://photon-sol.tinyastro.io/en/lp/BN7Unh84YG5pcAQiBkF9C91hA2QR5ERT11dwFYbCpump?handle=676050794bc1b1657a56b", "View")</f>
        <v>View</v>
      </c>
    </row>
    <row r="22" spans="1:16" x14ac:dyDescent="0.25">
      <c r="A22" s="13" t="s">
        <v>1603</v>
      </c>
      <c r="B22" s="14">
        <v>52582733</v>
      </c>
      <c r="C22" s="14">
        <v>52582733</v>
      </c>
      <c r="D22" s="14" t="s">
        <v>1604</v>
      </c>
      <c r="E22" s="14" t="s">
        <v>1605</v>
      </c>
      <c r="F22" s="14" t="s">
        <v>1606</v>
      </c>
      <c r="G22" s="21" t="s">
        <v>1607</v>
      </c>
      <c r="H22" s="21" t="s">
        <v>1608</v>
      </c>
      <c r="I22" s="14" t="s">
        <v>88</v>
      </c>
      <c r="J22" s="14">
        <v>1</v>
      </c>
      <c r="K22" s="14">
        <v>6</v>
      </c>
      <c r="L22" s="14" t="s">
        <v>1609</v>
      </c>
      <c r="M22" s="14" t="s">
        <v>1610</v>
      </c>
      <c r="N22" s="14" t="s">
        <v>1611</v>
      </c>
      <c r="O22" s="14" t="s">
        <v>1612</v>
      </c>
      <c r="P22" s="14" t="str">
        <f>HYPERLINK("https://photon-sol.tinyastro.io/en/lp/5q9YGGeyJ6ZLmXvX9QuQVyg3qYry93CMJqubCz1Npump?handle=676050794bc1b1657a56b", "View")</f>
        <v>View</v>
      </c>
    </row>
    <row r="23" spans="1:16" x14ac:dyDescent="0.25">
      <c r="A23" s="16" t="s">
        <v>1613</v>
      </c>
      <c r="B23" s="17">
        <v>357666667</v>
      </c>
      <c r="C23" s="17">
        <v>357666667</v>
      </c>
      <c r="D23" s="17" t="s">
        <v>1595</v>
      </c>
      <c r="E23" s="17" t="s">
        <v>1614</v>
      </c>
      <c r="F23" s="17" t="s">
        <v>1615</v>
      </c>
      <c r="G23" s="20" t="s">
        <v>1616</v>
      </c>
      <c r="H23" s="20" t="s">
        <v>1617</v>
      </c>
      <c r="I23" s="17" t="s">
        <v>88</v>
      </c>
      <c r="J23" s="17">
        <v>1</v>
      </c>
      <c r="K23" s="17">
        <v>1</v>
      </c>
      <c r="L23" s="17" t="s">
        <v>1618</v>
      </c>
      <c r="M23" s="19" t="s">
        <v>1619</v>
      </c>
      <c r="N23" s="17" t="s">
        <v>507</v>
      </c>
      <c r="O23" s="17" t="s">
        <v>1620</v>
      </c>
      <c r="P23" s="17" t="str">
        <f>HYPERLINK("https://photon-sol.tinyastro.io/en/lp/FyfcbpnGnqvwZTKMcygeEWT46rxFKwW29TZNpdEXpump?handle=676050794bc1b1657a56b", "View")</f>
        <v>View</v>
      </c>
    </row>
    <row r="24" spans="1:16" x14ac:dyDescent="0.25">
      <c r="A24" s="13" t="s">
        <v>1621</v>
      </c>
      <c r="B24" s="14">
        <v>23905499</v>
      </c>
      <c r="C24" s="14">
        <v>23905499</v>
      </c>
      <c r="D24" s="14" t="s">
        <v>1595</v>
      </c>
      <c r="E24" s="14" t="s">
        <v>1622</v>
      </c>
      <c r="F24" s="14" t="s">
        <v>1623</v>
      </c>
      <c r="G24" s="20" t="s">
        <v>1624</v>
      </c>
      <c r="H24" s="20" t="s">
        <v>1567</v>
      </c>
      <c r="I24" s="14" t="s">
        <v>88</v>
      </c>
      <c r="J24" s="14">
        <v>1</v>
      </c>
      <c r="K24" s="14">
        <v>1</v>
      </c>
      <c r="L24" s="14" t="s">
        <v>1625</v>
      </c>
      <c r="M24" s="14" t="s">
        <v>788</v>
      </c>
      <c r="N24" s="14" t="s">
        <v>1626</v>
      </c>
      <c r="O24" s="14" t="s">
        <v>1627</v>
      </c>
      <c r="P24" s="14" t="str">
        <f>HYPERLINK("https://photon-sol.tinyastro.io/en/lp/Djv9h45qTD1Bf9KrePGDecHB9ynreMHssDTQkLrupump?handle=676050794bc1b1657a56b", "View")</f>
        <v>View</v>
      </c>
    </row>
    <row r="25" spans="1:16" x14ac:dyDescent="0.25">
      <c r="A25" s="16" t="s">
        <v>1628</v>
      </c>
      <c r="B25" s="17">
        <v>19697811</v>
      </c>
      <c r="C25" s="17">
        <v>19697811</v>
      </c>
      <c r="D25" s="17" t="s">
        <v>1629</v>
      </c>
      <c r="E25" s="17" t="s">
        <v>1630</v>
      </c>
      <c r="F25" s="17" t="s">
        <v>1631</v>
      </c>
      <c r="G25" s="20" t="s">
        <v>1632</v>
      </c>
      <c r="H25" s="20" t="s">
        <v>1633</v>
      </c>
      <c r="I25" s="17" t="s">
        <v>88</v>
      </c>
      <c r="J25" s="17">
        <v>2</v>
      </c>
      <c r="K25" s="17">
        <v>2</v>
      </c>
      <c r="L25" s="17" t="s">
        <v>1634</v>
      </c>
      <c r="M25" s="17" t="s">
        <v>1448</v>
      </c>
      <c r="N25" s="17" t="s">
        <v>1635</v>
      </c>
      <c r="O25" s="17" t="s">
        <v>1636</v>
      </c>
      <c r="P25" s="17" t="str">
        <f>HYPERLINK("https://dexscreener.com/solana/3PRZ6YPu4SqkeHjkneZEZ4zfqvmYBwgdcPrWSYbXpump", "View")</f>
        <v>View</v>
      </c>
    </row>
    <row r="26" spans="1:16" x14ac:dyDescent="0.25">
      <c r="A26" s="13" t="s">
        <v>1637</v>
      </c>
      <c r="B26" s="14">
        <v>17843407</v>
      </c>
      <c r="C26" s="14">
        <v>17843407</v>
      </c>
      <c r="D26" s="14" t="s">
        <v>1595</v>
      </c>
      <c r="E26" s="14" t="s">
        <v>569</v>
      </c>
      <c r="F26" s="14" t="s">
        <v>1638</v>
      </c>
      <c r="G26" s="22" t="s">
        <v>1639</v>
      </c>
      <c r="H26" s="22" t="s">
        <v>1640</v>
      </c>
      <c r="I26" s="14" t="s">
        <v>88</v>
      </c>
      <c r="J26" s="14">
        <v>1</v>
      </c>
      <c r="K26" s="14">
        <v>1</v>
      </c>
      <c r="L26" s="14" t="s">
        <v>1641</v>
      </c>
      <c r="M26" s="14" t="s">
        <v>1642</v>
      </c>
      <c r="N26" s="14" t="s">
        <v>1643</v>
      </c>
      <c r="O26" s="14" t="s">
        <v>1644</v>
      </c>
      <c r="P26" s="14" t="str">
        <f>HYPERLINK("https://dexscreener.com/solana/GYCvL5ikdJbTq6b2DDq8DffYwFNbs4hWySMUiqfHpump", "View")</f>
        <v>View</v>
      </c>
    </row>
    <row r="27" spans="1:16" x14ac:dyDescent="0.25">
      <c r="A27" s="16" t="s">
        <v>1645</v>
      </c>
      <c r="B27" s="17">
        <v>31030653</v>
      </c>
      <c r="C27" s="17">
        <v>31030653</v>
      </c>
      <c r="D27" s="17" t="s">
        <v>1646</v>
      </c>
      <c r="E27" s="17" t="s">
        <v>1647</v>
      </c>
      <c r="F27" s="17" t="s">
        <v>1648</v>
      </c>
      <c r="G27" s="21" t="s">
        <v>1649</v>
      </c>
      <c r="H27" s="21" t="s">
        <v>1650</v>
      </c>
      <c r="I27" s="17" t="s">
        <v>88</v>
      </c>
      <c r="J27" s="17">
        <v>1</v>
      </c>
      <c r="K27" s="17">
        <v>2</v>
      </c>
      <c r="L27" s="17" t="s">
        <v>1651</v>
      </c>
      <c r="M27" s="17" t="s">
        <v>788</v>
      </c>
      <c r="N27" s="17" t="s">
        <v>1652</v>
      </c>
      <c r="O27" s="17" t="s">
        <v>1653</v>
      </c>
      <c r="P27" s="17" t="str">
        <f>HYPERLINK("https://photon-sol.tinyastro.io/en/lp/D5fmdWQDyGYLJAnkpQbUBdqToNn6vE887fJQLpn9pump?handle=676050794bc1b1657a56b", "View")</f>
        <v>View</v>
      </c>
    </row>
    <row r="28" spans="1:16" x14ac:dyDescent="0.25">
      <c r="A28" s="13" t="s">
        <v>297</v>
      </c>
      <c r="B28" s="14">
        <v>62770691</v>
      </c>
      <c r="C28" s="14">
        <v>62770691</v>
      </c>
      <c r="D28" s="14" t="s">
        <v>1654</v>
      </c>
      <c r="E28" s="14" t="s">
        <v>1655</v>
      </c>
      <c r="F28" s="14" t="s">
        <v>1656</v>
      </c>
      <c r="G28" s="20" t="s">
        <v>1657</v>
      </c>
      <c r="H28" s="20" t="s">
        <v>1658</v>
      </c>
      <c r="I28" s="14" t="s">
        <v>88</v>
      </c>
      <c r="J28" s="14">
        <v>3</v>
      </c>
      <c r="K28" s="14">
        <v>3</v>
      </c>
      <c r="L28" s="14" t="s">
        <v>1659</v>
      </c>
      <c r="M28" s="14" t="s">
        <v>132</v>
      </c>
      <c r="N28" s="14" t="s">
        <v>1660</v>
      </c>
      <c r="O28" s="14" t="s">
        <v>333</v>
      </c>
      <c r="P28" s="14" t="str">
        <f>HYPERLINK("https://dexscreener.com/solana/GqfGQEhQXpKEnsc33fJo8RLjeQBkYvFzgLPDdBwZpump", "View")</f>
        <v>View</v>
      </c>
    </row>
    <row r="29" spans="1:16" x14ac:dyDescent="0.25">
      <c r="A29" s="16" t="s">
        <v>1661</v>
      </c>
      <c r="B29" s="17">
        <v>57927037</v>
      </c>
      <c r="C29" s="17">
        <v>57927037</v>
      </c>
      <c r="D29" s="17" t="s">
        <v>1595</v>
      </c>
      <c r="E29" s="17" t="s">
        <v>1662</v>
      </c>
      <c r="F29" s="17" t="s">
        <v>1663</v>
      </c>
      <c r="G29" s="20" t="s">
        <v>1664</v>
      </c>
      <c r="H29" s="20" t="s">
        <v>1665</v>
      </c>
      <c r="I29" s="17" t="s">
        <v>88</v>
      </c>
      <c r="J29" s="17">
        <v>1</v>
      </c>
      <c r="K29" s="17">
        <v>1</v>
      </c>
      <c r="L29" s="17" t="s">
        <v>1666</v>
      </c>
      <c r="M29" s="17" t="s">
        <v>1448</v>
      </c>
      <c r="N29" s="17" t="s">
        <v>1667</v>
      </c>
      <c r="O29" s="17" t="s">
        <v>1668</v>
      </c>
      <c r="P29" s="17" t="str">
        <f>HYPERLINK("https://photon-sol.tinyastro.io/en/lp/4pTahi4ezvunNcfiGxdSQ2NDPhAYvfsjeni9NNMXpump?handle=676050794bc1b1657a56b", "View")</f>
        <v>View</v>
      </c>
    </row>
    <row r="30" spans="1:16" x14ac:dyDescent="0.25">
      <c r="A30" s="13" t="s">
        <v>111</v>
      </c>
      <c r="B30" s="14">
        <v>79348408</v>
      </c>
      <c r="C30" s="14">
        <v>79348408</v>
      </c>
      <c r="D30" s="14" t="s">
        <v>1595</v>
      </c>
      <c r="E30" s="14" t="s">
        <v>1669</v>
      </c>
      <c r="F30" s="14" t="s">
        <v>1670</v>
      </c>
      <c r="G30" s="22" t="s">
        <v>1671</v>
      </c>
      <c r="H30" s="22" t="s">
        <v>1672</v>
      </c>
      <c r="I30" s="14" t="s">
        <v>88</v>
      </c>
      <c r="J30" s="14">
        <v>1</v>
      </c>
      <c r="K30" s="14">
        <v>1</v>
      </c>
      <c r="L30" s="14" t="s">
        <v>1673</v>
      </c>
      <c r="M30" s="14" t="s">
        <v>1434</v>
      </c>
      <c r="N30" s="14" t="s">
        <v>1674</v>
      </c>
      <c r="O30" s="14" t="s">
        <v>119</v>
      </c>
      <c r="P30" s="14" t="str">
        <f>HYPERLINK("https://photon-sol.tinyastro.io/en/lp/D5S1nXXaMnJui8rCnMbP1GZQnL9TxzbF92hXvgkVpump?handle=676050794bc1b1657a56b", "View")</f>
        <v>View</v>
      </c>
    </row>
    <row r="31" spans="1:16" x14ac:dyDescent="0.25">
      <c r="A31" s="16" t="s">
        <v>1221</v>
      </c>
      <c r="B31" s="17">
        <v>33802128</v>
      </c>
      <c r="C31" s="17">
        <v>33802128</v>
      </c>
      <c r="D31" s="17" t="s">
        <v>1646</v>
      </c>
      <c r="E31" s="17" t="s">
        <v>1675</v>
      </c>
      <c r="F31" s="17" t="s">
        <v>1676</v>
      </c>
      <c r="G31" s="21" t="s">
        <v>1677</v>
      </c>
      <c r="H31" s="21" t="s">
        <v>1678</v>
      </c>
      <c r="I31" s="17" t="s">
        <v>88</v>
      </c>
      <c r="J31" s="17">
        <v>1</v>
      </c>
      <c r="K31" s="17">
        <v>2</v>
      </c>
      <c r="L31" s="17" t="s">
        <v>1679</v>
      </c>
      <c r="M31" s="17" t="s">
        <v>788</v>
      </c>
      <c r="N31" s="17" t="s">
        <v>1680</v>
      </c>
      <c r="O31" s="17" t="s">
        <v>1681</v>
      </c>
      <c r="P31" s="17" t="str">
        <f>HYPERLINK("https://photon-sol.tinyastro.io/en/lp/FcmwNqBmM5Qo3dZXEkhsFGRQTLCDJrhzzb9ubjKrpump?handle=676050794bc1b1657a56b", "View")</f>
        <v>View</v>
      </c>
    </row>
    <row r="32" spans="1:16" x14ac:dyDescent="0.25">
      <c r="A32" s="13" t="s">
        <v>1682</v>
      </c>
      <c r="B32" s="14">
        <v>69568403</v>
      </c>
      <c r="C32" s="14">
        <v>69568403</v>
      </c>
      <c r="D32" s="14" t="s">
        <v>1595</v>
      </c>
      <c r="E32" s="14" t="s">
        <v>1683</v>
      </c>
      <c r="F32" s="14" t="s">
        <v>1684</v>
      </c>
      <c r="G32" s="20" t="s">
        <v>1685</v>
      </c>
      <c r="H32" s="20" t="s">
        <v>1686</v>
      </c>
      <c r="I32" s="14" t="s">
        <v>88</v>
      </c>
      <c r="J32" s="14">
        <v>1</v>
      </c>
      <c r="K32" s="14">
        <v>1</v>
      </c>
      <c r="L32" s="14" t="s">
        <v>1687</v>
      </c>
      <c r="M32" s="19" t="s">
        <v>1688</v>
      </c>
      <c r="N32" s="14" t="s">
        <v>1011</v>
      </c>
      <c r="O32" s="14" t="s">
        <v>1689</v>
      </c>
      <c r="P32" s="14" t="str">
        <f>HYPERLINK("https://photon-sol.tinyastro.io/en/lp/5FFVWmJgKCa7br3SKM4uQjopyWqh8hAPXZYLr6sYpump?handle=676050794bc1b1657a56b", "View")</f>
        <v>View</v>
      </c>
    </row>
    <row r="33" spans="1:16" x14ac:dyDescent="0.25">
      <c r="A33" s="16" t="s">
        <v>1690</v>
      </c>
      <c r="B33" s="17">
        <v>70313597</v>
      </c>
      <c r="C33" s="17">
        <v>70313597</v>
      </c>
      <c r="D33" s="17" t="s">
        <v>1691</v>
      </c>
      <c r="E33" s="17" t="s">
        <v>1267</v>
      </c>
      <c r="F33" s="17" t="s">
        <v>1692</v>
      </c>
      <c r="G33" s="22" t="s">
        <v>1693</v>
      </c>
      <c r="H33" s="22" t="s">
        <v>1694</v>
      </c>
      <c r="I33" s="17" t="s">
        <v>88</v>
      </c>
      <c r="J33" s="17">
        <v>1</v>
      </c>
      <c r="K33" s="17">
        <v>2</v>
      </c>
      <c r="L33" s="17" t="s">
        <v>1695</v>
      </c>
      <c r="M33" s="17" t="s">
        <v>1696</v>
      </c>
      <c r="N33" s="17" t="s">
        <v>1697</v>
      </c>
      <c r="O33" s="17" t="s">
        <v>1698</v>
      </c>
      <c r="P33" s="17" t="str">
        <f>HYPERLINK("https://dexscreener.com/solana/Gjn59KNTp9n9PGzEmtbUSUwGuGRpwbvN86Pxpwtupump", "View")</f>
        <v>View</v>
      </c>
    </row>
    <row r="34" spans="1:16" x14ac:dyDescent="0.25">
      <c r="A34" s="13" t="s">
        <v>1699</v>
      </c>
      <c r="B34" s="14">
        <v>53580816</v>
      </c>
      <c r="C34" s="14">
        <v>53580816</v>
      </c>
      <c r="D34" s="14" t="s">
        <v>1595</v>
      </c>
      <c r="E34" s="14" t="s">
        <v>1700</v>
      </c>
      <c r="F34" s="14" t="s">
        <v>1701</v>
      </c>
      <c r="G34" s="20" t="s">
        <v>1702</v>
      </c>
      <c r="H34" s="20" t="s">
        <v>1703</v>
      </c>
      <c r="I34" s="14" t="s">
        <v>88</v>
      </c>
      <c r="J34" s="14">
        <v>1</v>
      </c>
      <c r="K34" s="14">
        <v>1</v>
      </c>
      <c r="L34" s="14" t="s">
        <v>1704</v>
      </c>
      <c r="M34" s="14" t="s">
        <v>1705</v>
      </c>
      <c r="N34" s="14" t="s">
        <v>1706</v>
      </c>
      <c r="O34" s="14" t="s">
        <v>1707</v>
      </c>
      <c r="P34" s="14" t="str">
        <f>HYPERLINK("https://photon-sol.tinyastro.io/en/lp/H1hZRaVRLvV5U9ZBV38vvVkbg2wLxvAmuAY1go6Upump?handle=676050794bc1b1657a56b", "View")</f>
        <v>View</v>
      </c>
    </row>
    <row r="35" spans="1:16" x14ac:dyDescent="0.25">
      <c r="A35" s="16" t="s">
        <v>297</v>
      </c>
      <c r="B35" s="17">
        <v>36067890</v>
      </c>
      <c r="C35" s="17">
        <v>36067890</v>
      </c>
      <c r="D35" s="17" t="s">
        <v>1708</v>
      </c>
      <c r="E35" s="17" t="s">
        <v>1709</v>
      </c>
      <c r="F35" s="17" t="s">
        <v>1710</v>
      </c>
      <c r="G35" s="21" t="s">
        <v>1711</v>
      </c>
      <c r="H35" s="21" t="s">
        <v>1712</v>
      </c>
      <c r="I35" s="17" t="s">
        <v>88</v>
      </c>
      <c r="J35" s="17">
        <v>36</v>
      </c>
      <c r="K35" s="17">
        <v>20</v>
      </c>
      <c r="L35" s="17" t="s">
        <v>1713</v>
      </c>
      <c r="M35" s="17" t="s">
        <v>1714</v>
      </c>
      <c r="N35" s="17" t="s">
        <v>1715</v>
      </c>
      <c r="O35" s="17" t="s">
        <v>306</v>
      </c>
      <c r="P35" s="17" t="str">
        <f>HYPERLINK("https://dexscreener.com/solana/yG6bXPEFaUnGAEHHqH9H7t1VSfaK7YrggCqHy35pump", "View")</f>
        <v>View</v>
      </c>
    </row>
    <row r="36" spans="1:16" x14ac:dyDescent="0.25">
      <c r="A36" s="13" t="s">
        <v>1716</v>
      </c>
      <c r="B36" s="14">
        <v>51264691</v>
      </c>
      <c r="C36" s="14">
        <v>51264691</v>
      </c>
      <c r="D36" s="14" t="s">
        <v>1595</v>
      </c>
      <c r="E36" s="14" t="s">
        <v>1700</v>
      </c>
      <c r="F36" s="14" t="s">
        <v>1717</v>
      </c>
      <c r="G36" s="20" t="s">
        <v>1718</v>
      </c>
      <c r="H36" s="20" t="s">
        <v>1719</v>
      </c>
      <c r="I36" s="14" t="s">
        <v>88</v>
      </c>
      <c r="J36" s="14">
        <v>1</v>
      </c>
      <c r="K36" s="14">
        <v>1</v>
      </c>
      <c r="L36" s="14" t="s">
        <v>1720</v>
      </c>
      <c r="M36" s="19" t="s">
        <v>1721</v>
      </c>
      <c r="N36" s="14" t="s">
        <v>1722</v>
      </c>
      <c r="O36" s="14" t="s">
        <v>1723</v>
      </c>
      <c r="P36" s="14" t="str">
        <f>HYPERLINK("https://photon-sol.tinyastro.io/en/lp/J82NaLpNXmBHgHQ229jko8mtPLyxCaRK7Wq6ZTGcpump?handle=676050794bc1b1657a56b", "View")</f>
        <v>View</v>
      </c>
    </row>
    <row r="37" spans="1:16" x14ac:dyDescent="0.25">
      <c r="A37" s="16" t="s">
        <v>1724</v>
      </c>
      <c r="B37" s="17">
        <v>59690075</v>
      </c>
      <c r="C37" s="17">
        <v>59690075</v>
      </c>
      <c r="D37" s="17" t="s">
        <v>1595</v>
      </c>
      <c r="E37" s="17" t="s">
        <v>1725</v>
      </c>
      <c r="F37" s="17" t="s">
        <v>1726</v>
      </c>
      <c r="G37" s="15" t="s">
        <v>1727</v>
      </c>
      <c r="H37" s="15" t="s">
        <v>1728</v>
      </c>
      <c r="I37" s="17" t="s">
        <v>88</v>
      </c>
      <c r="J37" s="17">
        <v>1</v>
      </c>
      <c r="K37" s="17">
        <v>1</v>
      </c>
      <c r="L37" s="17" t="s">
        <v>1729</v>
      </c>
      <c r="M37" s="19" t="s">
        <v>1730</v>
      </c>
      <c r="N37" s="17" t="s">
        <v>1731</v>
      </c>
      <c r="O37" s="17" t="s">
        <v>1732</v>
      </c>
      <c r="P37" s="17" t="str">
        <f>HYPERLINK("https://photon-sol.tinyastro.io/en/lp/7Q9H5cvgwH2JvZGv3T8w88nzNkxrbMs3fHY4HCQipump?handle=676050794bc1b1657a56b", "View")</f>
        <v>View</v>
      </c>
    </row>
    <row r="38" spans="1:16" x14ac:dyDescent="0.25">
      <c r="A38" s="13" t="s">
        <v>1733</v>
      </c>
      <c r="B38" s="14">
        <v>43976082</v>
      </c>
      <c r="C38" s="14">
        <v>43976082</v>
      </c>
      <c r="D38" s="14" t="s">
        <v>1595</v>
      </c>
      <c r="E38" s="14" t="s">
        <v>1700</v>
      </c>
      <c r="F38" s="14" t="s">
        <v>1734</v>
      </c>
      <c r="G38" s="21" t="s">
        <v>1735</v>
      </c>
      <c r="H38" s="21" t="s">
        <v>1736</v>
      </c>
      <c r="I38" s="14" t="s">
        <v>88</v>
      </c>
      <c r="J38" s="14">
        <v>1</v>
      </c>
      <c r="K38" s="14">
        <v>1</v>
      </c>
      <c r="L38" s="14" t="s">
        <v>1737</v>
      </c>
      <c r="M38" s="14" t="s">
        <v>1566</v>
      </c>
      <c r="N38" s="14" t="s">
        <v>1738</v>
      </c>
      <c r="O38" s="14" t="s">
        <v>1739</v>
      </c>
      <c r="P38" s="14" t="str">
        <f>HYPERLINK("https://photon-sol.tinyastro.io/en/lp/D8BkNSdP9GjgzvKqnGmY8ai3g7KczgYxZVtDxSE7pump?handle=676050794bc1b1657a56b", "View")</f>
        <v>View</v>
      </c>
    </row>
    <row r="39" spans="1:16" x14ac:dyDescent="0.25">
      <c r="A39" s="16" t="s">
        <v>1740</v>
      </c>
      <c r="B39" s="17">
        <v>71280509</v>
      </c>
      <c r="C39" s="17">
        <v>71280509</v>
      </c>
      <c r="D39" s="17" t="s">
        <v>1646</v>
      </c>
      <c r="E39" s="17" t="s">
        <v>1741</v>
      </c>
      <c r="F39" s="17" t="s">
        <v>1742</v>
      </c>
      <c r="G39" s="20" t="s">
        <v>1743</v>
      </c>
      <c r="H39" s="20" t="s">
        <v>1744</v>
      </c>
      <c r="I39" s="17" t="s">
        <v>88</v>
      </c>
      <c r="J39" s="17">
        <v>1</v>
      </c>
      <c r="K39" s="17">
        <v>2</v>
      </c>
      <c r="L39" s="17" t="s">
        <v>1745</v>
      </c>
      <c r="M39" s="17" t="s">
        <v>1566</v>
      </c>
      <c r="N39" s="17" t="s">
        <v>1746</v>
      </c>
      <c r="O39" s="17" t="s">
        <v>1747</v>
      </c>
      <c r="P39" s="17" t="str">
        <f>HYPERLINK("https://photon-sol.tinyastro.io/en/lp/94DwHVZq7xnLa9zER3xAnWE4DYcXYaLhTz8EiUfhpump?handle=676050794bc1b1657a56b", "View")</f>
        <v>View</v>
      </c>
    </row>
    <row r="40" spans="1:16" x14ac:dyDescent="0.25">
      <c r="A40" s="13" t="s">
        <v>1748</v>
      </c>
      <c r="B40" s="14">
        <v>36159817</v>
      </c>
      <c r="C40" s="14">
        <v>36159817</v>
      </c>
      <c r="D40" s="14" t="s">
        <v>1595</v>
      </c>
      <c r="E40" s="14" t="s">
        <v>1700</v>
      </c>
      <c r="F40" s="14" t="s">
        <v>1297</v>
      </c>
      <c r="G40" s="22" t="s">
        <v>1749</v>
      </c>
      <c r="H40" s="22" t="s">
        <v>1750</v>
      </c>
      <c r="I40" s="14" t="s">
        <v>88</v>
      </c>
      <c r="J40" s="14">
        <v>1</v>
      </c>
      <c r="K40" s="14">
        <v>1</v>
      </c>
      <c r="L40" s="14" t="s">
        <v>1751</v>
      </c>
      <c r="M40" s="19" t="s">
        <v>1752</v>
      </c>
      <c r="N40" s="14" t="s">
        <v>1753</v>
      </c>
      <c r="O40" s="14" t="s">
        <v>1754</v>
      </c>
      <c r="P40" s="14" t="str">
        <f>HYPERLINK("https://photon-sol.tinyastro.io/en/lp/7xSEpwswokCbuNRQmRA2WKYQsfcRuTPgk6C6CfDDpump?handle=676050794bc1b1657a56b", "View")</f>
        <v>View</v>
      </c>
    </row>
    <row r="41" spans="1:16" x14ac:dyDescent="0.25">
      <c r="A41" s="16" t="s">
        <v>1755</v>
      </c>
      <c r="B41" s="17">
        <v>46800121</v>
      </c>
      <c r="C41" s="17">
        <v>46800121</v>
      </c>
      <c r="D41" s="17" t="s">
        <v>1595</v>
      </c>
      <c r="E41" s="17" t="s">
        <v>569</v>
      </c>
      <c r="F41" s="17" t="s">
        <v>1756</v>
      </c>
      <c r="G41" s="20" t="s">
        <v>1757</v>
      </c>
      <c r="H41" s="20" t="s">
        <v>1758</v>
      </c>
      <c r="I41" s="17" t="s">
        <v>88</v>
      </c>
      <c r="J41" s="17">
        <v>1</v>
      </c>
      <c r="K41" s="17">
        <v>1</v>
      </c>
      <c r="L41" s="17" t="s">
        <v>1759</v>
      </c>
      <c r="M41" s="19" t="s">
        <v>1760</v>
      </c>
      <c r="N41" s="17" t="s">
        <v>1722</v>
      </c>
      <c r="O41" s="17" t="s">
        <v>1761</v>
      </c>
      <c r="P41" s="17" t="str">
        <f>HYPERLINK("https://dexscreener.com/solana/5KhPbXGFH9JFWP93aofTK6TNJS3kerrewowmYi4zpump", "View")</f>
        <v>View</v>
      </c>
    </row>
    <row r="42" spans="1:16" x14ac:dyDescent="0.25">
      <c r="A42" s="13" t="s">
        <v>312</v>
      </c>
      <c r="B42" s="14">
        <v>23579530</v>
      </c>
      <c r="C42" s="14">
        <v>0</v>
      </c>
      <c r="D42" s="14" t="s">
        <v>1762</v>
      </c>
      <c r="E42" s="14" t="s">
        <v>569</v>
      </c>
      <c r="F42" s="14" t="s">
        <v>96</v>
      </c>
      <c r="G42" s="18" t="s">
        <v>1763</v>
      </c>
      <c r="H42" s="18" t="s">
        <v>98</v>
      </c>
      <c r="I42" s="14" t="s">
        <v>1764</v>
      </c>
      <c r="J42" s="14">
        <v>1</v>
      </c>
      <c r="K42" s="14">
        <v>0</v>
      </c>
      <c r="L42" s="14" t="s">
        <v>1765</v>
      </c>
      <c r="M42" s="19" t="s">
        <v>101</v>
      </c>
      <c r="N42" s="14" t="s">
        <v>1766</v>
      </c>
      <c r="O42" s="14" t="s">
        <v>1767</v>
      </c>
      <c r="P42" s="14" t="str">
        <f>HYPERLINK("https://dexscreener.com/solana/ERzxP4odb5b7u7jSzKCitDnv5v8u9xb5nvZDUiBLpump", "View")</f>
        <v>View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E891-2297-4CC9-BB15-CE6CDD50F734}">
  <dimension ref="A1:P140"/>
  <sheetViews>
    <sheetView workbookViewId="0"/>
  </sheetViews>
  <sheetFormatPr defaultRowHeight="15" x14ac:dyDescent="0.25"/>
  <cols>
    <col min="1" max="1" width="46" style="2" customWidth="1"/>
    <col min="2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HYPERLINK("https://gmgn.ai/sol/address/JB6yZEJq23TmhhVroc4xTY5AdZjdfTqbscG7pqKt8yhU", "GMGN")</f>
        <v>GMGN</v>
      </c>
    </row>
    <row r="2" spans="1:14" x14ac:dyDescent="0.25">
      <c r="A2" s="3" t="s">
        <v>18964</v>
      </c>
      <c r="B2" s="3" t="s">
        <v>18965</v>
      </c>
      <c r="C2" s="3" t="s">
        <v>13977</v>
      </c>
      <c r="D2" s="3" t="s">
        <v>1568</v>
      </c>
      <c r="E2" s="3" t="s">
        <v>18966</v>
      </c>
      <c r="F2" s="3" t="s">
        <v>18967</v>
      </c>
      <c r="G2" s="3" t="s">
        <v>18</v>
      </c>
      <c r="H2" s="3">
        <v>121</v>
      </c>
      <c r="I2" s="3">
        <v>0</v>
      </c>
      <c r="J2" s="3" t="s">
        <v>4503</v>
      </c>
      <c r="K2" s="3" t="s">
        <v>602</v>
      </c>
      <c r="L2" s="3">
        <v>39</v>
      </c>
      <c r="M2" s="3">
        <v>292</v>
      </c>
      <c r="N2" s="3" t="str">
        <f>HYPERLINK("https://solscan.io/account/JB6yZEJq23TmhhVroc4xTY5AdZjdfTqbscG7pqKt8yhU", "Solscan")</f>
        <v>Solscan</v>
      </c>
    </row>
    <row r="3" spans="1:14" x14ac:dyDescent="0.25">
      <c r="A3" s="1" t="s">
        <v>21</v>
      </c>
      <c r="B3" s="4" t="s">
        <v>18968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HYPERLINK("https://birdeye.so/profile/JB6yZEJq23TmhhVroc4xTY5AdZjdfTqbscG7pqKt8yhU", "Birdeye")</f>
        <v>Birdeye</v>
      </c>
    </row>
    <row r="4" spans="1:14" x14ac:dyDescent="0.25">
      <c r="A4" s="1" t="s">
        <v>25</v>
      </c>
      <c r="B4" s="3" t="s">
        <v>18969</v>
      </c>
      <c r="C4" s="3"/>
      <c r="D4" s="3" t="s">
        <v>18970</v>
      </c>
      <c r="E4" s="3" t="s">
        <v>18971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2007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5</v>
      </c>
      <c r="D10" s="1">
        <v>11</v>
      </c>
      <c r="E10" s="1">
        <v>37</v>
      </c>
      <c r="F10" s="1">
        <v>42</v>
      </c>
      <c r="G10" s="1">
        <v>26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16596</v>
      </c>
      <c r="D11" s="1" t="s">
        <v>9489</v>
      </c>
      <c r="E11" s="1" t="s">
        <v>18972</v>
      </c>
      <c r="F11" s="1" t="s">
        <v>18973</v>
      </c>
      <c r="G11" s="1" t="s">
        <v>18974</v>
      </c>
      <c r="H11" s="3"/>
      <c r="I11" s="3" t="s">
        <v>50</v>
      </c>
      <c r="J11" s="3" t="s">
        <v>15663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18975</v>
      </c>
      <c r="D12" s="1" t="s">
        <v>18976</v>
      </c>
      <c r="E12" s="1" t="s">
        <v>18977</v>
      </c>
      <c r="F12" s="1" t="s">
        <v>18978</v>
      </c>
      <c r="G12" s="1" t="s">
        <v>18979</v>
      </c>
      <c r="H12" s="3"/>
      <c r="I12" s="3" t="s">
        <v>59</v>
      </c>
      <c r="J12" s="3" t="s">
        <v>14708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16601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1785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18980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11213</v>
      </c>
      <c r="B20" s="14">
        <v>15101287</v>
      </c>
      <c r="C20" s="14">
        <v>0</v>
      </c>
      <c r="D20" s="14" t="s">
        <v>18981</v>
      </c>
      <c r="E20" s="14" t="s">
        <v>951</v>
      </c>
      <c r="F20" s="14" t="s">
        <v>96</v>
      </c>
      <c r="G20" s="18" t="s">
        <v>18982</v>
      </c>
      <c r="H20" s="18" t="s">
        <v>98</v>
      </c>
      <c r="I20" s="14" t="s">
        <v>18983</v>
      </c>
      <c r="J20" s="14">
        <v>1</v>
      </c>
      <c r="K20" s="14">
        <v>0</v>
      </c>
      <c r="L20" s="14" t="s">
        <v>18984</v>
      </c>
      <c r="M20" s="19" t="s">
        <v>101</v>
      </c>
      <c r="N20" s="14" t="s">
        <v>11217</v>
      </c>
      <c r="O20" s="14" t="s">
        <v>11218</v>
      </c>
      <c r="P20" s="14" t="str">
        <f>HYPERLINK("https://photon-sol.tinyastro.io/en/lp/2FE7XDgAt2RQZziL5oR8sdyNtdPUXNjQ5TEbcqcdpump?handle=676050794bc1b1657a56b", "View")</f>
        <v>View</v>
      </c>
    </row>
    <row r="21" spans="1:16" x14ac:dyDescent="0.25">
      <c r="A21" s="16" t="s">
        <v>18985</v>
      </c>
      <c r="B21" s="17">
        <v>3485911</v>
      </c>
      <c r="C21" s="17">
        <v>3485911</v>
      </c>
      <c r="D21" s="17" t="s">
        <v>18986</v>
      </c>
      <c r="E21" s="17" t="s">
        <v>3404</v>
      </c>
      <c r="F21" s="17" t="s">
        <v>18987</v>
      </c>
      <c r="G21" s="22" t="s">
        <v>17184</v>
      </c>
      <c r="H21" s="22" t="s">
        <v>18988</v>
      </c>
      <c r="I21" s="17" t="s">
        <v>88</v>
      </c>
      <c r="J21" s="17">
        <v>1</v>
      </c>
      <c r="K21" s="17">
        <v>3</v>
      </c>
      <c r="L21" s="17" t="s">
        <v>18989</v>
      </c>
      <c r="M21" s="19" t="s">
        <v>2826</v>
      </c>
      <c r="N21" s="17" t="s">
        <v>18990</v>
      </c>
      <c r="O21" s="17" t="s">
        <v>18991</v>
      </c>
      <c r="P21" s="17" t="str">
        <f>HYPERLINK("https://dexscreener.com/solana/CBaXEiKBcFKb6nSBEkcRcDMkLRsptA1wUm51kuX4pump", "View")</f>
        <v>View</v>
      </c>
    </row>
    <row r="22" spans="1:16" x14ac:dyDescent="0.25">
      <c r="A22" s="13" t="s">
        <v>18992</v>
      </c>
      <c r="B22" s="14">
        <v>4491493</v>
      </c>
      <c r="C22" s="14">
        <v>4491493</v>
      </c>
      <c r="D22" s="14" t="s">
        <v>18993</v>
      </c>
      <c r="E22" s="14" t="s">
        <v>18994</v>
      </c>
      <c r="F22" s="14" t="s">
        <v>18995</v>
      </c>
      <c r="G22" s="20" t="s">
        <v>16640</v>
      </c>
      <c r="H22" s="20" t="s">
        <v>18996</v>
      </c>
      <c r="I22" s="14" t="s">
        <v>88</v>
      </c>
      <c r="J22" s="14">
        <v>1</v>
      </c>
      <c r="K22" s="14">
        <v>2</v>
      </c>
      <c r="L22" s="14" t="s">
        <v>18997</v>
      </c>
      <c r="M22" s="14" t="s">
        <v>788</v>
      </c>
      <c r="N22" s="14" t="s">
        <v>18998</v>
      </c>
      <c r="O22" s="14" t="s">
        <v>18999</v>
      </c>
      <c r="P22" s="14" t="str">
        <f>HYPERLINK("https://photon-sol.tinyastro.io/en/lp/4u3uoiDGZEbVPQtEit5dT38VXiybKeVDiiCHVkQCpump?handle=676050794bc1b1657a56b", "View")</f>
        <v>View</v>
      </c>
    </row>
    <row r="23" spans="1:16" x14ac:dyDescent="0.25">
      <c r="A23" s="16" t="s">
        <v>225</v>
      </c>
      <c r="B23" s="17">
        <v>5876835</v>
      </c>
      <c r="C23" s="17">
        <v>4050996</v>
      </c>
      <c r="D23" s="17" t="s">
        <v>19000</v>
      </c>
      <c r="E23" s="17" t="s">
        <v>219</v>
      </c>
      <c r="F23" s="17" t="s">
        <v>19001</v>
      </c>
      <c r="G23" s="21" t="s">
        <v>19002</v>
      </c>
      <c r="H23" s="21" t="s">
        <v>19003</v>
      </c>
      <c r="I23" s="17" t="s">
        <v>88</v>
      </c>
      <c r="J23" s="17">
        <v>2</v>
      </c>
      <c r="K23" s="17">
        <v>7</v>
      </c>
      <c r="L23" s="17" t="s">
        <v>19004</v>
      </c>
      <c r="M23" s="17" t="s">
        <v>132</v>
      </c>
      <c r="N23" s="17" t="s">
        <v>19005</v>
      </c>
      <c r="O23" s="17" t="s">
        <v>233</v>
      </c>
      <c r="P23" s="17" t="str">
        <f>HYPERLINK("https://dexscreener.com/solana/2odHeumkiJx46YyNHeZvDjMwsoNhpAgFQuipT96npump", "View")</f>
        <v>View</v>
      </c>
    </row>
    <row r="24" spans="1:16" x14ac:dyDescent="0.25">
      <c r="A24" s="13" t="s">
        <v>120</v>
      </c>
      <c r="B24" s="14">
        <v>7629887</v>
      </c>
      <c r="C24" s="14">
        <v>7629887</v>
      </c>
      <c r="D24" s="14" t="s">
        <v>19006</v>
      </c>
      <c r="E24" s="14" t="s">
        <v>19007</v>
      </c>
      <c r="F24" s="14" t="s">
        <v>19008</v>
      </c>
      <c r="G24" s="21" t="s">
        <v>19009</v>
      </c>
      <c r="H24" s="21" t="s">
        <v>19010</v>
      </c>
      <c r="I24" s="14" t="s">
        <v>88</v>
      </c>
      <c r="J24" s="14">
        <v>1</v>
      </c>
      <c r="K24" s="14">
        <v>18</v>
      </c>
      <c r="L24" s="14" t="s">
        <v>19011</v>
      </c>
      <c r="M24" s="14" t="s">
        <v>656</v>
      </c>
      <c r="N24" s="14" t="s">
        <v>19012</v>
      </c>
      <c r="O24" s="14" t="s">
        <v>124</v>
      </c>
      <c r="P24" s="14" t="str">
        <f>HYPERLINK("https://photon-sol.tinyastro.io/en/lp/5ZrVb3GpZ6c9ukqLYgLxFdg8zgy7ttY4mZy6ngx9pump?handle=676050794bc1b1657a56b", "View")</f>
        <v>View</v>
      </c>
    </row>
    <row r="25" spans="1:16" x14ac:dyDescent="0.25">
      <c r="A25" s="16" t="s">
        <v>19013</v>
      </c>
      <c r="B25" s="17">
        <v>8621341</v>
      </c>
      <c r="C25" s="17">
        <v>8621341</v>
      </c>
      <c r="D25" s="17" t="s">
        <v>15962</v>
      </c>
      <c r="E25" s="17" t="s">
        <v>3404</v>
      </c>
      <c r="F25" s="17" t="s">
        <v>19014</v>
      </c>
      <c r="G25" s="20" t="s">
        <v>19015</v>
      </c>
      <c r="H25" s="20" t="s">
        <v>19016</v>
      </c>
      <c r="I25" s="17" t="s">
        <v>88</v>
      </c>
      <c r="J25" s="17">
        <v>1</v>
      </c>
      <c r="K25" s="17">
        <v>1</v>
      </c>
      <c r="L25" s="17" t="s">
        <v>19017</v>
      </c>
      <c r="M25" s="17" t="s">
        <v>1448</v>
      </c>
      <c r="N25" s="17" t="s">
        <v>19018</v>
      </c>
      <c r="O25" s="17" t="s">
        <v>19019</v>
      </c>
      <c r="P25" s="17" t="str">
        <f>HYPERLINK("https://dexscreener.com/solana/GpQQj55Sx5JULYrXY3jFyvF595WBh2DM7kjHmETsNXey", "View")</f>
        <v>View</v>
      </c>
    </row>
    <row r="26" spans="1:16" x14ac:dyDescent="0.25">
      <c r="A26" s="13" t="s">
        <v>19020</v>
      </c>
      <c r="B26" s="14">
        <v>6379092</v>
      </c>
      <c r="C26" s="14">
        <v>6379092</v>
      </c>
      <c r="D26" s="14" t="s">
        <v>19021</v>
      </c>
      <c r="E26" s="14" t="s">
        <v>3404</v>
      </c>
      <c r="F26" s="14" t="s">
        <v>19022</v>
      </c>
      <c r="G26" s="20" t="s">
        <v>4101</v>
      </c>
      <c r="H26" s="20" t="s">
        <v>19023</v>
      </c>
      <c r="I26" s="14" t="s">
        <v>88</v>
      </c>
      <c r="J26" s="14">
        <v>1</v>
      </c>
      <c r="K26" s="14">
        <v>2</v>
      </c>
      <c r="L26" s="14" t="s">
        <v>19024</v>
      </c>
      <c r="M26" s="14" t="s">
        <v>1434</v>
      </c>
      <c r="N26" s="14" t="s">
        <v>19025</v>
      </c>
      <c r="O26" s="14" t="s">
        <v>19026</v>
      </c>
      <c r="P26" s="14" t="str">
        <f>HYPERLINK("https://dexscreener.com/solana/5A93mmvgcXrKm7ypM53MteRX6qvXnsieH7BYFyqCpump", "View")</f>
        <v>View</v>
      </c>
    </row>
    <row r="27" spans="1:16" x14ac:dyDescent="0.25">
      <c r="A27" s="16" t="s">
        <v>19027</v>
      </c>
      <c r="B27" s="17">
        <v>10845903</v>
      </c>
      <c r="C27" s="17">
        <v>0</v>
      </c>
      <c r="D27" s="17" t="s">
        <v>19028</v>
      </c>
      <c r="E27" s="17" t="s">
        <v>340</v>
      </c>
      <c r="F27" s="17" t="s">
        <v>96</v>
      </c>
      <c r="G27" s="18" t="s">
        <v>19029</v>
      </c>
      <c r="H27" s="18" t="s">
        <v>98</v>
      </c>
      <c r="I27" s="17" t="s">
        <v>19030</v>
      </c>
      <c r="J27" s="17">
        <v>5</v>
      </c>
      <c r="K27" s="17">
        <v>0</v>
      </c>
      <c r="L27" s="17" t="s">
        <v>19031</v>
      </c>
      <c r="M27" s="17" t="s">
        <v>1448</v>
      </c>
      <c r="N27" s="17" t="s">
        <v>19032</v>
      </c>
      <c r="O27" s="17" t="s">
        <v>19033</v>
      </c>
      <c r="P27" s="17" t="str">
        <f>HYPERLINK("https://dexscreener.com/solana/ALKTKLRTyF3P83KMCAvGEtY4CsoMzvh1k38uixCgpump", "View")</f>
        <v>View</v>
      </c>
    </row>
    <row r="28" spans="1:16" x14ac:dyDescent="0.25">
      <c r="A28" s="13" t="s">
        <v>19034</v>
      </c>
      <c r="B28" s="14">
        <v>13318552</v>
      </c>
      <c r="C28" s="14">
        <v>13318552</v>
      </c>
      <c r="D28" s="14" t="s">
        <v>19035</v>
      </c>
      <c r="E28" s="14" t="s">
        <v>951</v>
      </c>
      <c r="F28" s="14" t="s">
        <v>19036</v>
      </c>
      <c r="G28" s="20" t="s">
        <v>6836</v>
      </c>
      <c r="H28" s="20" t="s">
        <v>19037</v>
      </c>
      <c r="I28" s="14" t="s">
        <v>88</v>
      </c>
      <c r="J28" s="14">
        <v>1</v>
      </c>
      <c r="K28" s="14">
        <v>1</v>
      </c>
      <c r="L28" s="14" t="s">
        <v>19038</v>
      </c>
      <c r="M28" s="14" t="s">
        <v>1434</v>
      </c>
      <c r="N28" s="14" t="s">
        <v>18672</v>
      </c>
      <c r="O28" s="14" t="s">
        <v>19039</v>
      </c>
      <c r="P28" s="14" t="str">
        <f>HYPERLINK("https://photon-sol.tinyastro.io/en/lp/9P4t93CPFrHCAbJZVojC9xBLoTygCyzRP5u9MRkpump?handle=676050794bc1b1657a56b", "View")</f>
        <v>View</v>
      </c>
    </row>
    <row r="29" spans="1:16" x14ac:dyDescent="0.25">
      <c r="A29" s="16" t="s">
        <v>19040</v>
      </c>
      <c r="B29" s="17">
        <v>12250522</v>
      </c>
      <c r="C29" s="17">
        <v>12250522</v>
      </c>
      <c r="D29" s="17" t="s">
        <v>19035</v>
      </c>
      <c r="E29" s="17" t="s">
        <v>951</v>
      </c>
      <c r="F29" s="17" t="s">
        <v>19041</v>
      </c>
      <c r="G29" s="22" t="s">
        <v>2376</v>
      </c>
      <c r="H29" s="22" t="s">
        <v>19042</v>
      </c>
      <c r="I29" s="17" t="s">
        <v>88</v>
      </c>
      <c r="J29" s="17">
        <v>1</v>
      </c>
      <c r="K29" s="17">
        <v>1</v>
      </c>
      <c r="L29" s="17" t="s">
        <v>19043</v>
      </c>
      <c r="M29" s="17" t="s">
        <v>3171</v>
      </c>
      <c r="N29" s="17" t="s">
        <v>19044</v>
      </c>
      <c r="O29" s="17" t="s">
        <v>19045</v>
      </c>
      <c r="P29" s="17" t="str">
        <f>HYPERLINK("https://photon-sol.tinyastro.io/en/lp/7bFBqaeE99Sxr5h44NnABK7dS7pTmsT6uRH7Dm5Vpump?handle=676050794bc1b1657a56b", "View")</f>
        <v>View</v>
      </c>
    </row>
    <row r="30" spans="1:16" x14ac:dyDescent="0.25">
      <c r="A30" s="13" t="s">
        <v>199</v>
      </c>
      <c r="B30" s="14">
        <v>2522640</v>
      </c>
      <c r="C30" s="14">
        <v>2522640</v>
      </c>
      <c r="D30" s="14" t="s">
        <v>19046</v>
      </c>
      <c r="E30" s="14" t="s">
        <v>569</v>
      </c>
      <c r="F30" s="14" t="s">
        <v>7860</v>
      </c>
      <c r="G30" s="22" t="s">
        <v>5346</v>
      </c>
      <c r="H30" s="22" t="s">
        <v>19047</v>
      </c>
      <c r="I30" s="14" t="s">
        <v>88</v>
      </c>
      <c r="J30" s="14">
        <v>1</v>
      </c>
      <c r="K30" s="14">
        <v>1</v>
      </c>
      <c r="L30" s="14" t="s">
        <v>19048</v>
      </c>
      <c r="M30" s="14" t="s">
        <v>602</v>
      </c>
      <c r="N30" s="14" t="s">
        <v>19049</v>
      </c>
      <c r="O30" s="14" t="s">
        <v>204</v>
      </c>
      <c r="P30" s="14" t="str">
        <f>HYPERLINK("https://dexscreener.com/solana/FLayaUPfFxmC1Vz3i4ebKT9uwEVv4ribyCqENnQ9pump", "View")</f>
        <v>View</v>
      </c>
    </row>
    <row r="31" spans="1:16" x14ac:dyDescent="0.25">
      <c r="A31" s="16" t="s">
        <v>19050</v>
      </c>
      <c r="B31" s="17">
        <v>8959994</v>
      </c>
      <c r="C31" s="17">
        <v>0</v>
      </c>
      <c r="D31" s="17" t="s">
        <v>4754</v>
      </c>
      <c r="E31" s="17" t="s">
        <v>19051</v>
      </c>
      <c r="F31" s="17" t="s">
        <v>96</v>
      </c>
      <c r="G31" s="18" t="s">
        <v>19052</v>
      </c>
      <c r="H31" s="18" t="s">
        <v>98</v>
      </c>
      <c r="I31" s="17" t="s">
        <v>19053</v>
      </c>
      <c r="J31" s="17">
        <v>2</v>
      </c>
      <c r="K31" s="17">
        <v>0</v>
      </c>
      <c r="L31" s="17" t="s">
        <v>19054</v>
      </c>
      <c r="M31" s="17" t="s">
        <v>538</v>
      </c>
      <c r="N31" s="17" t="s">
        <v>19055</v>
      </c>
      <c r="O31" s="17" t="s">
        <v>19056</v>
      </c>
      <c r="P31" s="17" t="str">
        <f>HYPERLINK("https://dexscreener.com/solana/BCqTynMqcPCod7s7BdjW2nQ1R3YZbrqTfs9MnB4ayQ6R", "View")</f>
        <v>View</v>
      </c>
    </row>
    <row r="32" spans="1:16" x14ac:dyDescent="0.25">
      <c r="A32" s="13" t="s">
        <v>16654</v>
      </c>
      <c r="B32" s="14">
        <v>7549310</v>
      </c>
      <c r="C32" s="14">
        <v>7549310</v>
      </c>
      <c r="D32" s="14" t="s">
        <v>19057</v>
      </c>
      <c r="E32" s="14" t="s">
        <v>569</v>
      </c>
      <c r="F32" s="14" t="s">
        <v>16352</v>
      </c>
      <c r="G32" s="15" t="s">
        <v>19058</v>
      </c>
      <c r="H32" s="15" t="s">
        <v>19059</v>
      </c>
      <c r="I32" s="14" t="s">
        <v>88</v>
      </c>
      <c r="J32" s="14">
        <v>1</v>
      </c>
      <c r="K32" s="14">
        <v>1</v>
      </c>
      <c r="L32" s="14" t="s">
        <v>19060</v>
      </c>
      <c r="M32" s="14" t="s">
        <v>1434</v>
      </c>
      <c r="N32" s="14" t="s">
        <v>19061</v>
      </c>
      <c r="O32" s="14" t="s">
        <v>16658</v>
      </c>
      <c r="P32" s="14" t="str">
        <f>HYPERLINK("https://dexscreener.com/solana/3Hb3gAqZG6U5yX7tpS2GeLZwMwtzxhdCU9LYfMFctQKU", "View")</f>
        <v>View</v>
      </c>
    </row>
    <row r="33" spans="1:16" x14ac:dyDescent="0.25">
      <c r="A33" s="16" t="s">
        <v>19062</v>
      </c>
      <c r="B33" s="17">
        <v>1387686</v>
      </c>
      <c r="C33" s="17">
        <v>1387686</v>
      </c>
      <c r="D33" s="17" t="s">
        <v>19035</v>
      </c>
      <c r="E33" s="17" t="s">
        <v>1457</v>
      </c>
      <c r="F33" s="17" t="s">
        <v>2164</v>
      </c>
      <c r="G33" s="15" t="s">
        <v>19063</v>
      </c>
      <c r="H33" s="15" t="s">
        <v>19064</v>
      </c>
      <c r="I33" s="17" t="s">
        <v>88</v>
      </c>
      <c r="J33" s="17">
        <v>1</v>
      </c>
      <c r="K33" s="17">
        <v>1</v>
      </c>
      <c r="L33" s="17" t="s">
        <v>19065</v>
      </c>
      <c r="M33" s="17" t="s">
        <v>699</v>
      </c>
      <c r="N33" s="17" t="s">
        <v>19066</v>
      </c>
      <c r="O33" s="17" t="s">
        <v>19067</v>
      </c>
      <c r="P33" s="17" t="str">
        <f>HYPERLINK("https://dexscreener.com/solana/5DNd2f9xTAJo1wKQ1aWswXrutbpWSzGoyyNHLLoTpump", "View")</f>
        <v>View</v>
      </c>
    </row>
    <row r="34" spans="1:16" x14ac:dyDescent="0.25">
      <c r="A34" s="13" t="s">
        <v>19068</v>
      </c>
      <c r="B34" s="14">
        <v>841338</v>
      </c>
      <c r="C34" s="14">
        <v>841338</v>
      </c>
      <c r="D34" s="14" t="s">
        <v>9682</v>
      </c>
      <c r="E34" s="14" t="s">
        <v>569</v>
      </c>
      <c r="F34" s="14" t="s">
        <v>19069</v>
      </c>
      <c r="G34" s="15" t="s">
        <v>19070</v>
      </c>
      <c r="H34" s="15" t="s">
        <v>19071</v>
      </c>
      <c r="I34" s="14" t="s">
        <v>88</v>
      </c>
      <c r="J34" s="14">
        <v>3</v>
      </c>
      <c r="K34" s="14">
        <v>1</v>
      </c>
      <c r="L34" s="14" t="s">
        <v>19072</v>
      </c>
      <c r="M34" s="14" t="s">
        <v>699</v>
      </c>
      <c r="N34" s="14" t="s">
        <v>19073</v>
      </c>
      <c r="O34" s="14" t="s">
        <v>19074</v>
      </c>
      <c r="P34" s="14" t="str">
        <f>HYPERLINK("https://dexscreener.com/solana/J7QoEcvcpieuDcuqrA9GZjunGQ3ofkGx4MzgyPmrpump", "View")</f>
        <v>View</v>
      </c>
    </row>
    <row r="35" spans="1:16" x14ac:dyDescent="0.25">
      <c r="A35" s="16" t="s">
        <v>19075</v>
      </c>
      <c r="B35" s="17">
        <v>267213484</v>
      </c>
      <c r="C35" s="17">
        <v>267213484</v>
      </c>
      <c r="D35" s="17" t="s">
        <v>8617</v>
      </c>
      <c r="E35" s="17" t="s">
        <v>1007</v>
      </c>
      <c r="F35" s="17" t="s">
        <v>12793</v>
      </c>
      <c r="G35" s="20" t="s">
        <v>13958</v>
      </c>
      <c r="H35" s="20" t="s">
        <v>19076</v>
      </c>
      <c r="I35" s="17" t="s">
        <v>88</v>
      </c>
      <c r="J35" s="17">
        <v>1</v>
      </c>
      <c r="K35" s="17">
        <v>2</v>
      </c>
      <c r="L35" s="17" t="s">
        <v>19077</v>
      </c>
      <c r="M35" s="19" t="s">
        <v>2812</v>
      </c>
      <c r="N35" s="17" t="s">
        <v>17870</v>
      </c>
      <c r="O35" s="17" t="s">
        <v>19078</v>
      </c>
      <c r="P35" s="17" t="str">
        <f>HYPERLINK("https://dexscreener.com/solana/GiGayHvWrr9hQwoHRcHZeyGdPe7irKtL1n77ojA6qLuj", "View")</f>
        <v>View</v>
      </c>
    </row>
    <row r="36" spans="1:16" x14ac:dyDescent="0.25">
      <c r="A36" s="13" t="s">
        <v>19079</v>
      </c>
      <c r="B36" s="14">
        <v>12294348</v>
      </c>
      <c r="C36" s="14">
        <v>12294348</v>
      </c>
      <c r="D36" s="14" t="s">
        <v>19035</v>
      </c>
      <c r="E36" s="14" t="s">
        <v>19080</v>
      </c>
      <c r="F36" s="14" t="s">
        <v>19081</v>
      </c>
      <c r="G36" s="15" t="s">
        <v>19082</v>
      </c>
      <c r="H36" s="15" t="s">
        <v>19083</v>
      </c>
      <c r="I36" s="14" t="s">
        <v>88</v>
      </c>
      <c r="J36" s="14">
        <v>1</v>
      </c>
      <c r="K36" s="14">
        <v>1</v>
      </c>
      <c r="L36" s="14" t="s">
        <v>19084</v>
      </c>
      <c r="M36" s="14" t="s">
        <v>179</v>
      </c>
      <c r="N36" s="14" t="s">
        <v>1028</v>
      </c>
      <c r="O36" s="14" t="s">
        <v>19085</v>
      </c>
      <c r="P36" s="14" t="str">
        <f>HYPERLINK("https://photon-sol.tinyastro.io/en/lp/D7TCisybHpeJTr2dhpceJgLhacKmvTnHfC95chm3pump?handle=676050794bc1b1657a56b", "View")</f>
        <v>View</v>
      </c>
    </row>
    <row r="37" spans="1:16" x14ac:dyDescent="0.25">
      <c r="A37" s="16" t="s">
        <v>10156</v>
      </c>
      <c r="B37" s="17">
        <v>1853658</v>
      </c>
      <c r="C37" s="17">
        <v>1853658</v>
      </c>
      <c r="D37" s="17" t="s">
        <v>17949</v>
      </c>
      <c r="E37" s="17" t="s">
        <v>1007</v>
      </c>
      <c r="F37" s="17" t="s">
        <v>4482</v>
      </c>
      <c r="G37" s="15" t="s">
        <v>19086</v>
      </c>
      <c r="H37" s="15" t="s">
        <v>9973</v>
      </c>
      <c r="I37" s="17" t="s">
        <v>88</v>
      </c>
      <c r="J37" s="17">
        <v>1</v>
      </c>
      <c r="K37" s="17">
        <v>1</v>
      </c>
      <c r="L37" s="17" t="s">
        <v>19087</v>
      </c>
      <c r="M37" s="17" t="s">
        <v>2617</v>
      </c>
      <c r="N37" s="17" t="s">
        <v>19088</v>
      </c>
      <c r="O37" s="17" t="s">
        <v>19089</v>
      </c>
      <c r="P37" s="17" t="str">
        <f>HYPERLINK("https://dexscreener.com/solana/4RAauo2MmPWnKUdUUM6TxRRmXKMYKysMjYctB5yQpump", "View")</f>
        <v>View</v>
      </c>
    </row>
    <row r="38" spans="1:16" x14ac:dyDescent="0.25">
      <c r="A38" s="13" t="s">
        <v>15374</v>
      </c>
      <c r="B38" s="14">
        <v>10290193</v>
      </c>
      <c r="C38" s="14">
        <v>10290193</v>
      </c>
      <c r="D38" s="14" t="s">
        <v>19035</v>
      </c>
      <c r="E38" s="14" t="s">
        <v>1457</v>
      </c>
      <c r="F38" s="14" t="s">
        <v>13392</v>
      </c>
      <c r="G38" s="22" t="s">
        <v>7291</v>
      </c>
      <c r="H38" s="22" t="s">
        <v>19090</v>
      </c>
      <c r="I38" s="14" t="s">
        <v>88</v>
      </c>
      <c r="J38" s="14">
        <v>1</v>
      </c>
      <c r="K38" s="14">
        <v>1</v>
      </c>
      <c r="L38" s="14" t="s">
        <v>19091</v>
      </c>
      <c r="M38" s="14" t="s">
        <v>1434</v>
      </c>
      <c r="N38" s="14" t="s">
        <v>19092</v>
      </c>
      <c r="O38" s="14" t="s">
        <v>19093</v>
      </c>
      <c r="P38" s="14" t="str">
        <f>HYPERLINK("https://dexscreener.com/solana/CzFjtyyTucuL4ijGvNvwnd7svmJzQyxdkCxPYbKbpump", "View")</f>
        <v>View</v>
      </c>
    </row>
    <row r="39" spans="1:16" x14ac:dyDescent="0.25">
      <c r="A39" s="16" t="s">
        <v>19094</v>
      </c>
      <c r="B39" s="17">
        <v>1516523</v>
      </c>
      <c r="C39" s="17">
        <v>1516523</v>
      </c>
      <c r="D39" s="17" t="s">
        <v>19035</v>
      </c>
      <c r="E39" s="17" t="s">
        <v>1457</v>
      </c>
      <c r="F39" s="17" t="s">
        <v>15950</v>
      </c>
      <c r="G39" s="15" t="s">
        <v>19095</v>
      </c>
      <c r="H39" s="15" t="s">
        <v>19096</v>
      </c>
      <c r="I39" s="17" t="s">
        <v>88</v>
      </c>
      <c r="J39" s="17">
        <v>1</v>
      </c>
      <c r="K39" s="17">
        <v>1</v>
      </c>
      <c r="L39" s="17" t="s">
        <v>19097</v>
      </c>
      <c r="M39" s="17" t="s">
        <v>937</v>
      </c>
      <c r="N39" s="17" t="s">
        <v>19098</v>
      </c>
      <c r="O39" s="17" t="s">
        <v>19099</v>
      </c>
      <c r="P39" s="17" t="str">
        <f>HYPERLINK("https://dexscreener.com/solana/6i8Ge6jeHEQpgKX92aLJzFs3JfdA4eQgWbDkHLspump", "View")</f>
        <v>View</v>
      </c>
    </row>
    <row r="40" spans="1:16" x14ac:dyDescent="0.25">
      <c r="A40" s="13" t="s">
        <v>19100</v>
      </c>
      <c r="B40" s="14">
        <v>6849993</v>
      </c>
      <c r="C40" s="14">
        <v>6849993</v>
      </c>
      <c r="D40" s="14" t="s">
        <v>19101</v>
      </c>
      <c r="E40" s="14" t="s">
        <v>8801</v>
      </c>
      <c r="F40" s="14" t="s">
        <v>7392</v>
      </c>
      <c r="G40" s="15" t="s">
        <v>2268</v>
      </c>
      <c r="H40" s="15" t="s">
        <v>19102</v>
      </c>
      <c r="I40" s="14" t="s">
        <v>88</v>
      </c>
      <c r="J40" s="14">
        <v>2</v>
      </c>
      <c r="K40" s="14">
        <v>1</v>
      </c>
      <c r="L40" s="14" t="s">
        <v>19103</v>
      </c>
      <c r="M40" s="14" t="s">
        <v>1448</v>
      </c>
      <c r="N40" s="14" t="s">
        <v>507</v>
      </c>
      <c r="O40" s="14" t="s">
        <v>19104</v>
      </c>
      <c r="P40" s="14" t="str">
        <f>HYPERLINK("https://photon-sol.tinyastro.io/en/lp/EgrtUz4SZWKvimDDLAxye3QZy23qmijqVUXwAJZQpump?handle=676050794bc1b1657a56b", "View")</f>
        <v>View</v>
      </c>
    </row>
    <row r="41" spans="1:16" x14ac:dyDescent="0.25">
      <c r="A41" s="16" t="s">
        <v>19105</v>
      </c>
      <c r="B41" s="17">
        <v>14462742</v>
      </c>
      <c r="C41" s="17">
        <v>14462742</v>
      </c>
      <c r="D41" s="17" t="s">
        <v>8617</v>
      </c>
      <c r="E41" s="17" t="s">
        <v>19106</v>
      </c>
      <c r="F41" s="17" t="s">
        <v>11338</v>
      </c>
      <c r="G41" s="22" t="s">
        <v>5652</v>
      </c>
      <c r="H41" s="22" t="s">
        <v>19107</v>
      </c>
      <c r="I41" s="17" t="s">
        <v>88</v>
      </c>
      <c r="J41" s="17">
        <v>1</v>
      </c>
      <c r="K41" s="17">
        <v>2</v>
      </c>
      <c r="L41" s="17" t="s">
        <v>19108</v>
      </c>
      <c r="M41" s="19" t="s">
        <v>7601</v>
      </c>
      <c r="N41" s="17" t="s">
        <v>19109</v>
      </c>
      <c r="O41" s="17" t="s">
        <v>19110</v>
      </c>
      <c r="P41" s="17" t="str">
        <f>HYPERLINK("https://photon-sol.tinyastro.io/en/lp/F2jxE1hXAaadtZ5TJrowzU69Q6vsUP9bGXrXzgGvpump?handle=676050794bc1b1657a56b", "View")</f>
        <v>View</v>
      </c>
    </row>
    <row r="42" spans="1:16" x14ac:dyDescent="0.25">
      <c r="A42" s="13" t="s">
        <v>19111</v>
      </c>
      <c r="B42" s="14">
        <v>30467284</v>
      </c>
      <c r="C42" s="14">
        <v>30467284</v>
      </c>
      <c r="D42" s="14" t="s">
        <v>19112</v>
      </c>
      <c r="E42" s="14" t="s">
        <v>10191</v>
      </c>
      <c r="F42" s="14" t="s">
        <v>13289</v>
      </c>
      <c r="G42" s="22" t="s">
        <v>19113</v>
      </c>
      <c r="H42" s="22" t="s">
        <v>11455</v>
      </c>
      <c r="I42" s="14" t="s">
        <v>88</v>
      </c>
      <c r="J42" s="14">
        <v>1</v>
      </c>
      <c r="K42" s="14">
        <v>2</v>
      </c>
      <c r="L42" s="14" t="s">
        <v>19114</v>
      </c>
      <c r="M42" s="19" t="s">
        <v>1752</v>
      </c>
      <c r="N42" s="14" t="s">
        <v>8752</v>
      </c>
      <c r="O42" s="14" t="s">
        <v>19115</v>
      </c>
      <c r="P42" s="14" t="str">
        <f>HYPERLINK("https://photon-sol.tinyastro.io/en/lp/9dmKcmtpHp2qvXEF5W52F4ZtJQNZfs4b7FEdituipump?handle=676050794bc1b1657a56b", "View")</f>
        <v>View</v>
      </c>
    </row>
    <row r="43" spans="1:16" x14ac:dyDescent="0.25">
      <c r="A43" s="16" t="s">
        <v>9866</v>
      </c>
      <c r="B43" s="17">
        <v>14613742</v>
      </c>
      <c r="C43" s="17">
        <v>14613742</v>
      </c>
      <c r="D43" s="17" t="s">
        <v>19035</v>
      </c>
      <c r="E43" s="17" t="s">
        <v>1457</v>
      </c>
      <c r="F43" s="17" t="s">
        <v>6037</v>
      </c>
      <c r="G43" s="15" t="s">
        <v>19116</v>
      </c>
      <c r="H43" s="15" t="s">
        <v>19117</v>
      </c>
      <c r="I43" s="17" t="s">
        <v>88</v>
      </c>
      <c r="J43" s="17">
        <v>1</v>
      </c>
      <c r="K43" s="17">
        <v>1</v>
      </c>
      <c r="L43" s="17" t="s">
        <v>19118</v>
      </c>
      <c r="M43" s="17" t="s">
        <v>680</v>
      </c>
      <c r="N43" s="17" t="s">
        <v>19119</v>
      </c>
      <c r="O43" s="17" t="s">
        <v>19120</v>
      </c>
      <c r="P43" s="17" t="str">
        <f>HYPERLINK("https://dexscreener.com/solana/G515b4yGR2PfSzM7HLGFF5KBxw1XQ3f3MU8eqgWHpump", "View")</f>
        <v>View</v>
      </c>
    </row>
    <row r="44" spans="1:16" x14ac:dyDescent="0.25">
      <c r="A44" s="13" t="s">
        <v>8230</v>
      </c>
      <c r="B44" s="14">
        <v>35473820</v>
      </c>
      <c r="C44" s="14">
        <v>35473820</v>
      </c>
      <c r="D44" s="14" t="s">
        <v>19057</v>
      </c>
      <c r="E44" s="14" t="s">
        <v>19121</v>
      </c>
      <c r="F44" s="14" t="s">
        <v>19122</v>
      </c>
      <c r="G44" s="21" t="s">
        <v>19123</v>
      </c>
      <c r="H44" s="21" t="s">
        <v>19124</v>
      </c>
      <c r="I44" s="14" t="s">
        <v>88</v>
      </c>
      <c r="J44" s="14">
        <v>1</v>
      </c>
      <c r="K44" s="14">
        <v>1</v>
      </c>
      <c r="L44" s="14" t="s">
        <v>19125</v>
      </c>
      <c r="M44" s="14" t="s">
        <v>117</v>
      </c>
      <c r="N44" s="14" t="s">
        <v>19126</v>
      </c>
      <c r="O44" s="14" t="s">
        <v>18385</v>
      </c>
      <c r="P44" s="14" t="str">
        <f>HYPERLINK("https://photon-sol.tinyastro.io/en/lp/8SgNwESovnbG1oNEaPVhg6CR9mTMSK7jPvcYRe3wpump?handle=676050794bc1b1657a56b", "View")</f>
        <v>View</v>
      </c>
    </row>
    <row r="45" spans="1:16" x14ac:dyDescent="0.25">
      <c r="A45" s="16" t="s">
        <v>19127</v>
      </c>
      <c r="B45" s="17">
        <v>11347602</v>
      </c>
      <c r="C45" s="17">
        <v>11347602</v>
      </c>
      <c r="D45" s="17" t="s">
        <v>19035</v>
      </c>
      <c r="E45" s="17" t="s">
        <v>15225</v>
      </c>
      <c r="F45" s="17" t="s">
        <v>19128</v>
      </c>
      <c r="G45" s="21" t="s">
        <v>13869</v>
      </c>
      <c r="H45" s="21" t="s">
        <v>19129</v>
      </c>
      <c r="I45" s="17" t="s">
        <v>88</v>
      </c>
      <c r="J45" s="17">
        <v>1</v>
      </c>
      <c r="K45" s="17">
        <v>1</v>
      </c>
      <c r="L45" s="17" t="s">
        <v>19130</v>
      </c>
      <c r="M45" s="19" t="s">
        <v>2937</v>
      </c>
      <c r="N45" s="17" t="s">
        <v>19131</v>
      </c>
      <c r="O45" s="17" t="s">
        <v>19132</v>
      </c>
      <c r="P45" s="17" t="str">
        <f>HYPERLINK("https://photon-sol.tinyastro.io/en/lp/3TQWft46kwQUB4p1p35wSYwX8oUsgkhz6igG9dgxpump?handle=676050794bc1b1657a56b", "View")</f>
        <v>View</v>
      </c>
    </row>
    <row r="46" spans="1:16" x14ac:dyDescent="0.25">
      <c r="A46" s="13" t="s">
        <v>19133</v>
      </c>
      <c r="B46" s="14">
        <v>20458984</v>
      </c>
      <c r="C46" s="14">
        <v>20458984</v>
      </c>
      <c r="D46" s="14" t="s">
        <v>19134</v>
      </c>
      <c r="E46" s="14" t="s">
        <v>19135</v>
      </c>
      <c r="F46" s="14" t="s">
        <v>19136</v>
      </c>
      <c r="G46" s="20" t="s">
        <v>19137</v>
      </c>
      <c r="H46" s="20" t="s">
        <v>19138</v>
      </c>
      <c r="I46" s="14" t="s">
        <v>88</v>
      </c>
      <c r="J46" s="14">
        <v>2</v>
      </c>
      <c r="K46" s="14">
        <v>1</v>
      </c>
      <c r="L46" s="14" t="s">
        <v>19139</v>
      </c>
      <c r="M46" s="14" t="s">
        <v>1434</v>
      </c>
      <c r="N46" s="14" t="s">
        <v>19140</v>
      </c>
      <c r="O46" s="14" t="s">
        <v>19141</v>
      </c>
      <c r="P46" s="14" t="str">
        <f>HYPERLINK("https://photon-sol.tinyastro.io/en/lp/32hDH2xh76ELNnKSnyAYff5D4oyaKvKnir37XLUwpump?handle=676050794bc1b1657a56b", "View")</f>
        <v>View</v>
      </c>
    </row>
    <row r="47" spans="1:16" x14ac:dyDescent="0.25">
      <c r="A47" s="16" t="s">
        <v>19142</v>
      </c>
      <c r="B47" s="17">
        <v>4105259</v>
      </c>
      <c r="C47" s="17">
        <v>4105259</v>
      </c>
      <c r="D47" s="17" t="s">
        <v>19035</v>
      </c>
      <c r="E47" s="17" t="s">
        <v>19143</v>
      </c>
      <c r="F47" s="17" t="s">
        <v>19144</v>
      </c>
      <c r="G47" s="20" t="s">
        <v>19145</v>
      </c>
      <c r="H47" s="20" t="s">
        <v>7199</v>
      </c>
      <c r="I47" s="17" t="s">
        <v>88</v>
      </c>
      <c r="J47" s="17">
        <v>1</v>
      </c>
      <c r="K47" s="17">
        <v>1</v>
      </c>
      <c r="L47" s="17" t="s">
        <v>19146</v>
      </c>
      <c r="M47" s="17" t="s">
        <v>1448</v>
      </c>
      <c r="N47" s="17" t="s">
        <v>19147</v>
      </c>
      <c r="O47" s="17" t="s">
        <v>19148</v>
      </c>
      <c r="P47" s="17" t="str">
        <f>HYPERLINK("https://photon-sol.tinyastro.io/en/lp/8yqCfGyyc9vTkih73KoGXfB6RyZAMKYepZPu8upNpump?handle=676050794bc1b1657a56b", "View")</f>
        <v>View</v>
      </c>
    </row>
    <row r="48" spans="1:16" x14ac:dyDescent="0.25">
      <c r="A48" s="13" t="s">
        <v>19149</v>
      </c>
      <c r="B48" s="14">
        <v>5947062</v>
      </c>
      <c r="C48" s="14">
        <v>5947062</v>
      </c>
      <c r="D48" s="14" t="s">
        <v>19057</v>
      </c>
      <c r="E48" s="14" t="s">
        <v>569</v>
      </c>
      <c r="F48" s="14" t="s">
        <v>19150</v>
      </c>
      <c r="G48" s="21" t="s">
        <v>13766</v>
      </c>
      <c r="H48" s="21" t="s">
        <v>19151</v>
      </c>
      <c r="I48" s="14" t="s">
        <v>88</v>
      </c>
      <c r="J48" s="14">
        <v>1</v>
      </c>
      <c r="K48" s="14">
        <v>1</v>
      </c>
      <c r="L48" s="14" t="s">
        <v>19152</v>
      </c>
      <c r="M48" s="19" t="s">
        <v>2292</v>
      </c>
      <c r="N48" s="14" t="s">
        <v>19153</v>
      </c>
      <c r="O48" s="14" t="s">
        <v>19154</v>
      </c>
      <c r="P48" s="14" t="str">
        <f>HYPERLINK("https://dexscreener.com/solana/rrH27XxU4G6hwWkpFsmvfwVRf8D7RSGsUSytMuqpump", "View")</f>
        <v>View</v>
      </c>
    </row>
    <row r="49" spans="1:16" x14ac:dyDescent="0.25">
      <c r="A49" s="16" t="s">
        <v>19155</v>
      </c>
      <c r="B49" s="17">
        <v>15377753</v>
      </c>
      <c r="C49" s="17">
        <v>15377753</v>
      </c>
      <c r="D49" s="17" t="s">
        <v>19035</v>
      </c>
      <c r="E49" s="17" t="s">
        <v>13894</v>
      </c>
      <c r="F49" s="17" t="s">
        <v>2889</v>
      </c>
      <c r="G49" s="15" t="s">
        <v>19156</v>
      </c>
      <c r="H49" s="15" t="s">
        <v>19157</v>
      </c>
      <c r="I49" s="17" t="s">
        <v>88</v>
      </c>
      <c r="J49" s="17">
        <v>1</v>
      </c>
      <c r="K49" s="17">
        <v>1</v>
      </c>
      <c r="L49" s="17" t="s">
        <v>19158</v>
      </c>
      <c r="M49" s="17" t="s">
        <v>1448</v>
      </c>
      <c r="N49" s="17" t="s">
        <v>19159</v>
      </c>
      <c r="O49" s="17" t="s">
        <v>19160</v>
      </c>
      <c r="P49" s="17" t="str">
        <f>HYPERLINK("https://photon-sol.tinyastro.io/en/lp/BsoUXKUJjiZscyU17J9cCQvF8g4uRsz8Akoi9yQcpump?handle=676050794bc1b1657a56b", "View")</f>
        <v>View</v>
      </c>
    </row>
    <row r="50" spans="1:16" x14ac:dyDescent="0.25">
      <c r="A50" s="13" t="s">
        <v>19161</v>
      </c>
      <c r="B50" s="14">
        <v>113372</v>
      </c>
      <c r="C50" s="14">
        <v>113372</v>
      </c>
      <c r="D50" s="14" t="s">
        <v>19035</v>
      </c>
      <c r="E50" s="14" t="s">
        <v>3404</v>
      </c>
      <c r="F50" s="14" t="s">
        <v>19022</v>
      </c>
      <c r="G50" s="20" t="s">
        <v>5801</v>
      </c>
      <c r="H50" s="20" t="s">
        <v>19162</v>
      </c>
      <c r="I50" s="14" t="s">
        <v>88</v>
      </c>
      <c r="J50" s="14">
        <v>1</v>
      </c>
      <c r="K50" s="14">
        <v>1</v>
      </c>
      <c r="L50" s="14" t="s">
        <v>19163</v>
      </c>
      <c r="M50" s="19" t="s">
        <v>2486</v>
      </c>
      <c r="N50" s="14" t="s">
        <v>19164</v>
      </c>
      <c r="O50" s="14" t="s">
        <v>19165</v>
      </c>
      <c r="P50" s="14" t="str">
        <f>HYPERLINK("https://dexscreener.com/solana/GB2RP1BbGnFvB62UMzWJ8b5BW8hYcEmwVtkh2ADKpump", "View")</f>
        <v>View</v>
      </c>
    </row>
    <row r="51" spans="1:16" x14ac:dyDescent="0.25">
      <c r="A51" s="16" t="s">
        <v>19166</v>
      </c>
      <c r="B51" s="17">
        <v>6904800</v>
      </c>
      <c r="C51" s="17">
        <v>6904800</v>
      </c>
      <c r="D51" s="17" t="s">
        <v>19057</v>
      </c>
      <c r="E51" s="17" t="s">
        <v>19167</v>
      </c>
      <c r="F51" s="17" t="s">
        <v>8539</v>
      </c>
      <c r="G51" s="15" t="s">
        <v>19168</v>
      </c>
      <c r="H51" s="15" t="s">
        <v>19169</v>
      </c>
      <c r="I51" s="17" t="s">
        <v>88</v>
      </c>
      <c r="J51" s="17">
        <v>1</v>
      </c>
      <c r="K51" s="17">
        <v>1</v>
      </c>
      <c r="L51" s="17" t="s">
        <v>19170</v>
      </c>
      <c r="M51" s="19" t="s">
        <v>2853</v>
      </c>
      <c r="N51" s="17" t="s">
        <v>19171</v>
      </c>
      <c r="O51" s="17" t="s">
        <v>19172</v>
      </c>
      <c r="P51" s="17" t="str">
        <f>HYPERLINK("https://photon-sol.tinyastro.io/en/lp/CQLhG9uZHUtKkupaiDjWy23jmytj1fKdMMeuJk4dpump?handle=676050794bc1b1657a56b", "View")</f>
        <v>View</v>
      </c>
    </row>
    <row r="52" spans="1:16" x14ac:dyDescent="0.25">
      <c r="A52" s="13" t="s">
        <v>19173</v>
      </c>
      <c r="B52" s="14">
        <v>13888622</v>
      </c>
      <c r="C52" s="14">
        <v>13888622</v>
      </c>
      <c r="D52" s="14" t="s">
        <v>19112</v>
      </c>
      <c r="E52" s="14" t="s">
        <v>19174</v>
      </c>
      <c r="F52" s="14" t="s">
        <v>19175</v>
      </c>
      <c r="G52" s="21" t="s">
        <v>19176</v>
      </c>
      <c r="H52" s="21" t="s">
        <v>19177</v>
      </c>
      <c r="I52" s="14" t="s">
        <v>88</v>
      </c>
      <c r="J52" s="14">
        <v>2</v>
      </c>
      <c r="K52" s="14">
        <v>1</v>
      </c>
      <c r="L52" s="14" t="s">
        <v>19178</v>
      </c>
      <c r="M52" s="14" t="s">
        <v>1610</v>
      </c>
      <c r="N52" s="14" t="s">
        <v>19179</v>
      </c>
      <c r="O52" s="14" t="s">
        <v>19180</v>
      </c>
      <c r="P52" s="14" t="str">
        <f>HYPERLINK("https://photon-sol.tinyastro.io/en/lp/8tY1CQVDQrqXcPvYJVQ5THdYseSrFuiSZFXFH17dpump?handle=676050794bc1b1657a56b", "View")</f>
        <v>View</v>
      </c>
    </row>
    <row r="53" spans="1:16" x14ac:dyDescent="0.25">
      <c r="A53" s="16" t="s">
        <v>19181</v>
      </c>
      <c r="B53" s="17">
        <v>10911870</v>
      </c>
      <c r="C53" s="17">
        <v>10911870</v>
      </c>
      <c r="D53" s="17" t="s">
        <v>10737</v>
      </c>
      <c r="E53" s="17" t="s">
        <v>19182</v>
      </c>
      <c r="F53" s="17" t="s">
        <v>3658</v>
      </c>
      <c r="G53" s="15" t="s">
        <v>19183</v>
      </c>
      <c r="H53" s="15" t="s">
        <v>19184</v>
      </c>
      <c r="I53" s="17" t="s">
        <v>88</v>
      </c>
      <c r="J53" s="17">
        <v>1</v>
      </c>
      <c r="K53" s="17">
        <v>1</v>
      </c>
      <c r="L53" s="17" t="s">
        <v>19185</v>
      </c>
      <c r="M53" s="19" t="s">
        <v>3231</v>
      </c>
      <c r="N53" s="17" t="s">
        <v>19186</v>
      </c>
      <c r="O53" s="17" t="s">
        <v>19187</v>
      </c>
      <c r="P53" s="17" t="str">
        <f>HYPERLINK("https://photon-sol.tinyastro.io/en/lp/CaV8p2ddwLb5yJhkxwjUFYQLGhNUAMwXgFgEHJ2vpump?handle=676050794bc1b1657a56b", "View")</f>
        <v>View</v>
      </c>
    </row>
    <row r="54" spans="1:16" x14ac:dyDescent="0.25">
      <c r="A54" s="13" t="s">
        <v>1913</v>
      </c>
      <c r="B54" s="14">
        <v>1890931</v>
      </c>
      <c r="C54" s="14">
        <v>1890931</v>
      </c>
      <c r="D54" s="14" t="s">
        <v>19035</v>
      </c>
      <c r="E54" s="14" t="s">
        <v>3404</v>
      </c>
      <c r="F54" s="14" t="s">
        <v>19188</v>
      </c>
      <c r="G54" s="22" t="s">
        <v>1816</v>
      </c>
      <c r="H54" s="22" t="s">
        <v>12411</v>
      </c>
      <c r="I54" s="14" t="s">
        <v>88</v>
      </c>
      <c r="J54" s="14">
        <v>1</v>
      </c>
      <c r="K54" s="14">
        <v>1</v>
      </c>
      <c r="L54" s="14" t="s">
        <v>19189</v>
      </c>
      <c r="M54" s="14" t="s">
        <v>1434</v>
      </c>
      <c r="N54" s="14" t="s">
        <v>19190</v>
      </c>
      <c r="O54" s="14" t="s">
        <v>1919</v>
      </c>
      <c r="P54" s="14" t="str">
        <f>HYPERLINK("https://dexscreener.com/solana/9fgVG37Eb4Ec6G2YSHrZGMXkeXhLjNtxSKXu8P9epump", "View")</f>
        <v>View</v>
      </c>
    </row>
    <row r="55" spans="1:16" x14ac:dyDescent="0.25">
      <c r="A55" s="16" t="s">
        <v>19191</v>
      </c>
      <c r="B55" s="17">
        <v>42310206</v>
      </c>
      <c r="C55" s="17">
        <v>42310206</v>
      </c>
      <c r="D55" s="17" t="s">
        <v>19134</v>
      </c>
      <c r="E55" s="17" t="s">
        <v>19192</v>
      </c>
      <c r="F55" s="17" t="s">
        <v>19193</v>
      </c>
      <c r="G55" s="20" t="s">
        <v>19194</v>
      </c>
      <c r="H55" s="20" t="s">
        <v>19195</v>
      </c>
      <c r="I55" s="17" t="s">
        <v>88</v>
      </c>
      <c r="J55" s="17">
        <v>1</v>
      </c>
      <c r="K55" s="17">
        <v>2</v>
      </c>
      <c r="L55" s="17" t="s">
        <v>19196</v>
      </c>
      <c r="M55" s="17" t="s">
        <v>9534</v>
      </c>
      <c r="N55" s="17" t="s">
        <v>19197</v>
      </c>
      <c r="O55" s="17" t="s">
        <v>19198</v>
      </c>
      <c r="P55" s="17" t="str">
        <f>HYPERLINK("https://photon-sol.tinyastro.io/en/lp/9ELyW753vdqHy1PuLpAkp8d6L9RgWfzHCU9XSHJKpump?handle=676050794bc1b1657a56b", "View")</f>
        <v>View</v>
      </c>
    </row>
    <row r="56" spans="1:16" x14ac:dyDescent="0.25">
      <c r="A56" s="13" t="s">
        <v>19199</v>
      </c>
      <c r="B56" s="14">
        <v>2394186</v>
      </c>
      <c r="C56" s="14">
        <v>2394186</v>
      </c>
      <c r="D56" s="14" t="s">
        <v>19134</v>
      </c>
      <c r="E56" s="14" t="s">
        <v>1457</v>
      </c>
      <c r="F56" s="14" t="s">
        <v>19200</v>
      </c>
      <c r="G56" s="20" t="s">
        <v>19201</v>
      </c>
      <c r="H56" s="20" t="s">
        <v>19202</v>
      </c>
      <c r="I56" s="14" t="s">
        <v>88</v>
      </c>
      <c r="J56" s="14">
        <v>2</v>
      </c>
      <c r="K56" s="14">
        <v>1</v>
      </c>
      <c r="L56" s="14" t="s">
        <v>19203</v>
      </c>
      <c r="M56" s="14" t="s">
        <v>1448</v>
      </c>
      <c r="N56" s="14" t="s">
        <v>19204</v>
      </c>
      <c r="O56" s="14" t="s">
        <v>19205</v>
      </c>
      <c r="P56" s="14" t="str">
        <f>HYPERLINK("https://dexscreener.com/solana/ToP2RcWXPNWWWGJ6W6BSnWwGvkThNiHYS6dTaHTTZHN", "View")</f>
        <v>View</v>
      </c>
    </row>
    <row r="57" spans="1:16" x14ac:dyDescent="0.25">
      <c r="A57" s="16" t="s">
        <v>14918</v>
      </c>
      <c r="B57" s="17">
        <v>946390</v>
      </c>
      <c r="C57" s="17">
        <v>946390</v>
      </c>
      <c r="D57" s="17" t="s">
        <v>8647</v>
      </c>
      <c r="E57" s="17" t="s">
        <v>219</v>
      </c>
      <c r="F57" s="17" t="s">
        <v>19206</v>
      </c>
      <c r="G57" s="22" t="s">
        <v>3577</v>
      </c>
      <c r="H57" s="22" t="s">
        <v>19207</v>
      </c>
      <c r="I57" s="17" t="s">
        <v>88</v>
      </c>
      <c r="J57" s="17">
        <v>5</v>
      </c>
      <c r="K57" s="17">
        <v>1</v>
      </c>
      <c r="L57" s="17" t="s">
        <v>19208</v>
      </c>
      <c r="M57" s="17" t="s">
        <v>788</v>
      </c>
      <c r="N57" s="17" t="s">
        <v>19209</v>
      </c>
      <c r="O57" s="17" t="s">
        <v>14925</v>
      </c>
      <c r="P57" s="17" t="str">
        <f>HYPERLINK("https://dexscreener.com/solana/D4N5vcpdxysThXZqT1VEJYcQzvp59Eff4fHQvbL9pump", "View")</f>
        <v>View</v>
      </c>
    </row>
    <row r="58" spans="1:16" x14ac:dyDescent="0.25">
      <c r="A58" s="13" t="s">
        <v>975</v>
      </c>
      <c r="B58" s="14">
        <v>1560714</v>
      </c>
      <c r="C58" s="14">
        <v>0</v>
      </c>
      <c r="D58" s="14" t="s">
        <v>864</v>
      </c>
      <c r="E58" s="14" t="s">
        <v>1007</v>
      </c>
      <c r="F58" s="14" t="s">
        <v>96</v>
      </c>
      <c r="G58" s="18" t="s">
        <v>1008</v>
      </c>
      <c r="H58" s="18" t="s">
        <v>98</v>
      </c>
      <c r="I58" s="14" t="s">
        <v>19210</v>
      </c>
      <c r="J58" s="14">
        <v>1</v>
      </c>
      <c r="K58" s="14">
        <v>0</v>
      </c>
      <c r="L58" s="14" t="s">
        <v>19211</v>
      </c>
      <c r="M58" s="19" t="s">
        <v>101</v>
      </c>
      <c r="N58" s="14" t="s">
        <v>19212</v>
      </c>
      <c r="O58" s="14" t="s">
        <v>982</v>
      </c>
      <c r="P58" s="14" t="str">
        <f>HYPERLINK("https://dexscreener.com/solana/PeSuezqPQbB5k8F4Ew2hWoSjZxf1qKdEbri35s1pump", "View")</f>
        <v>View</v>
      </c>
    </row>
    <row r="59" spans="1:16" x14ac:dyDescent="0.25">
      <c r="A59" s="16" t="s">
        <v>19213</v>
      </c>
      <c r="B59" s="17">
        <v>15989505</v>
      </c>
      <c r="C59" s="17">
        <v>15989505</v>
      </c>
      <c r="D59" s="17" t="s">
        <v>883</v>
      </c>
      <c r="E59" s="17" t="s">
        <v>13695</v>
      </c>
      <c r="F59" s="17" t="s">
        <v>19214</v>
      </c>
      <c r="G59" s="22" t="s">
        <v>16578</v>
      </c>
      <c r="H59" s="22" t="s">
        <v>19215</v>
      </c>
      <c r="I59" s="17" t="s">
        <v>88</v>
      </c>
      <c r="J59" s="17">
        <v>1</v>
      </c>
      <c r="K59" s="17">
        <v>1</v>
      </c>
      <c r="L59" s="17" t="s">
        <v>19216</v>
      </c>
      <c r="M59" s="19" t="s">
        <v>1872</v>
      </c>
      <c r="N59" s="17" t="s">
        <v>1819</v>
      </c>
      <c r="O59" s="17" t="s">
        <v>19217</v>
      </c>
      <c r="P59" s="17" t="str">
        <f>HYPERLINK("https://photon-sol.tinyastro.io/en/lp/9er9LTVGhhGRWYUEBgYJZ1chRedMp5v6PeYiKHP3r2nc?handle=676050794bc1b1657a56b", "View")</f>
        <v>View</v>
      </c>
    </row>
    <row r="60" spans="1:16" x14ac:dyDescent="0.25">
      <c r="A60" s="13" t="s">
        <v>19218</v>
      </c>
      <c r="B60" s="14">
        <v>2401474</v>
      </c>
      <c r="C60" s="14">
        <v>2401474</v>
      </c>
      <c r="D60" s="14" t="s">
        <v>1281</v>
      </c>
      <c r="E60" s="14" t="s">
        <v>1457</v>
      </c>
      <c r="F60" s="14" t="s">
        <v>19219</v>
      </c>
      <c r="G60" s="21" t="s">
        <v>19220</v>
      </c>
      <c r="H60" s="21" t="s">
        <v>19221</v>
      </c>
      <c r="I60" s="14" t="s">
        <v>88</v>
      </c>
      <c r="J60" s="14">
        <v>2</v>
      </c>
      <c r="K60" s="14">
        <v>2</v>
      </c>
      <c r="L60" s="14" t="s">
        <v>19222</v>
      </c>
      <c r="M60" s="14" t="s">
        <v>179</v>
      </c>
      <c r="N60" s="14" t="s">
        <v>19223</v>
      </c>
      <c r="O60" s="14" t="s">
        <v>19224</v>
      </c>
      <c r="P60" s="14" t="str">
        <f>HYPERLINK("https://dexscreener.com/solana/GkCQFumKUjvj7Riyfispn2my8b86J4jEuatT9z7apump", "View")</f>
        <v>View</v>
      </c>
    </row>
    <row r="61" spans="1:16" x14ac:dyDescent="0.25">
      <c r="A61" s="16" t="s">
        <v>19225</v>
      </c>
      <c r="B61" s="17">
        <v>21439689</v>
      </c>
      <c r="C61" s="17">
        <v>21439689</v>
      </c>
      <c r="D61" s="17" t="s">
        <v>883</v>
      </c>
      <c r="E61" s="17" t="s">
        <v>19226</v>
      </c>
      <c r="F61" s="17" t="s">
        <v>3813</v>
      </c>
      <c r="G61" s="20" t="s">
        <v>19227</v>
      </c>
      <c r="H61" s="20" t="s">
        <v>19228</v>
      </c>
      <c r="I61" s="17" t="s">
        <v>88</v>
      </c>
      <c r="J61" s="17">
        <v>1</v>
      </c>
      <c r="K61" s="17">
        <v>1</v>
      </c>
      <c r="L61" s="17" t="s">
        <v>19229</v>
      </c>
      <c r="M61" s="17" t="s">
        <v>1448</v>
      </c>
      <c r="N61" s="17" t="s">
        <v>19230</v>
      </c>
      <c r="O61" s="17" t="s">
        <v>19231</v>
      </c>
      <c r="P61" s="17" t="str">
        <f>HYPERLINK("https://photon-sol.tinyastro.io/en/lp/BUUimtoHX2RLC7bHFs4qUh3kzamvb1Sag9JyNEUXpump?handle=676050794bc1b1657a56b", "View")</f>
        <v>View</v>
      </c>
    </row>
    <row r="62" spans="1:16" x14ac:dyDescent="0.25">
      <c r="A62" s="13" t="s">
        <v>19232</v>
      </c>
      <c r="B62" s="14">
        <v>1176508</v>
      </c>
      <c r="C62" s="14">
        <v>1176508</v>
      </c>
      <c r="D62" s="14" t="s">
        <v>19233</v>
      </c>
      <c r="E62" s="14" t="s">
        <v>1007</v>
      </c>
      <c r="F62" s="14" t="s">
        <v>2483</v>
      </c>
      <c r="G62" s="22" t="s">
        <v>3445</v>
      </c>
      <c r="H62" s="22" t="s">
        <v>11609</v>
      </c>
      <c r="I62" s="14" t="s">
        <v>88</v>
      </c>
      <c r="J62" s="14">
        <v>1</v>
      </c>
      <c r="K62" s="14">
        <v>1</v>
      </c>
      <c r="L62" s="14" t="s">
        <v>19234</v>
      </c>
      <c r="M62" s="14" t="s">
        <v>1448</v>
      </c>
      <c r="N62" s="14" t="s">
        <v>310</v>
      </c>
      <c r="O62" s="14" t="s">
        <v>19235</v>
      </c>
      <c r="P62" s="14" t="str">
        <f>HYPERLINK("https://dexscreener.com/solana/67huEYRKsTDkgH1TA7GqSWxaT7EwKxkcRmvMwwYNpump", "View")</f>
        <v>View</v>
      </c>
    </row>
    <row r="63" spans="1:16" x14ac:dyDescent="0.25">
      <c r="A63" s="16" t="s">
        <v>19236</v>
      </c>
      <c r="B63" s="17">
        <v>8524634</v>
      </c>
      <c r="C63" s="17">
        <v>8524634</v>
      </c>
      <c r="D63" s="17" t="s">
        <v>913</v>
      </c>
      <c r="E63" s="17" t="s">
        <v>1457</v>
      </c>
      <c r="F63" s="17" t="s">
        <v>19237</v>
      </c>
      <c r="G63" s="22" t="s">
        <v>5098</v>
      </c>
      <c r="H63" s="22" t="s">
        <v>19238</v>
      </c>
      <c r="I63" s="17" t="s">
        <v>88</v>
      </c>
      <c r="J63" s="17">
        <v>2</v>
      </c>
      <c r="K63" s="17">
        <v>1</v>
      </c>
      <c r="L63" s="17" t="s">
        <v>19239</v>
      </c>
      <c r="M63" s="17" t="s">
        <v>937</v>
      </c>
      <c r="N63" s="17" t="s">
        <v>19240</v>
      </c>
      <c r="O63" s="17" t="s">
        <v>19241</v>
      </c>
      <c r="P63" s="17" t="str">
        <f>HYPERLINK("https://dexscreener.com/solana/FQCuFFiNW7NHzsBqr4xfm1ABikCwRDsUiKP9rWahpump", "View")</f>
        <v>View</v>
      </c>
    </row>
    <row r="64" spans="1:16" x14ac:dyDescent="0.25">
      <c r="A64" s="13" t="s">
        <v>19242</v>
      </c>
      <c r="B64" s="14">
        <v>6063668</v>
      </c>
      <c r="C64" s="14">
        <v>6063668</v>
      </c>
      <c r="D64" s="14" t="s">
        <v>883</v>
      </c>
      <c r="E64" s="14" t="s">
        <v>9907</v>
      </c>
      <c r="F64" s="14" t="s">
        <v>17184</v>
      </c>
      <c r="G64" s="15" t="s">
        <v>19243</v>
      </c>
      <c r="H64" s="15" t="s">
        <v>19244</v>
      </c>
      <c r="I64" s="14" t="s">
        <v>88</v>
      </c>
      <c r="J64" s="14">
        <v>1</v>
      </c>
      <c r="K64" s="14">
        <v>1</v>
      </c>
      <c r="L64" s="14" t="s">
        <v>19245</v>
      </c>
      <c r="M64" s="19" t="s">
        <v>2189</v>
      </c>
      <c r="N64" s="14" t="s">
        <v>7361</v>
      </c>
      <c r="O64" s="14" t="s">
        <v>19246</v>
      </c>
      <c r="P64" s="14" t="str">
        <f>HYPERLINK("https://photon-sol.tinyastro.io/en/lp/4z3e73wTRathvhFakLMY7gce6Qu5bXz3yyDxRBuMpump?handle=676050794bc1b1657a56b", "View")</f>
        <v>View</v>
      </c>
    </row>
    <row r="65" spans="1:16" x14ac:dyDescent="0.25">
      <c r="A65" s="16" t="s">
        <v>19247</v>
      </c>
      <c r="B65" s="17">
        <v>3980589</v>
      </c>
      <c r="C65" s="17">
        <v>3980589</v>
      </c>
      <c r="D65" s="17" t="s">
        <v>883</v>
      </c>
      <c r="E65" s="17" t="s">
        <v>1007</v>
      </c>
      <c r="F65" s="17" t="s">
        <v>12475</v>
      </c>
      <c r="G65" s="20" t="s">
        <v>19248</v>
      </c>
      <c r="H65" s="20" t="s">
        <v>19249</v>
      </c>
      <c r="I65" s="17" t="s">
        <v>88</v>
      </c>
      <c r="J65" s="17">
        <v>1</v>
      </c>
      <c r="K65" s="17">
        <v>1</v>
      </c>
      <c r="L65" s="17" t="s">
        <v>19250</v>
      </c>
      <c r="M65" s="19" t="s">
        <v>3000</v>
      </c>
      <c r="N65" s="17" t="s">
        <v>19251</v>
      </c>
      <c r="O65" s="17" t="s">
        <v>19252</v>
      </c>
      <c r="P65" s="17" t="str">
        <f>HYPERLINK("https://dexscreener.com/solana/8K91PgHN5Swi8a59ZtzsbgXryYzjjBaQ5QRQ59MKpump", "View")</f>
        <v>View</v>
      </c>
    </row>
    <row r="66" spans="1:16" x14ac:dyDescent="0.25">
      <c r="A66" s="13" t="s">
        <v>11269</v>
      </c>
      <c r="B66" s="14">
        <v>9206864</v>
      </c>
      <c r="C66" s="14">
        <v>9206864</v>
      </c>
      <c r="D66" s="14" t="s">
        <v>883</v>
      </c>
      <c r="E66" s="14" t="s">
        <v>1007</v>
      </c>
      <c r="F66" s="14" t="s">
        <v>19253</v>
      </c>
      <c r="G66" s="20" t="s">
        <v>1846</v>
      </c>
      <c r="H66" s="20" t="s">
        <v>19254</v>
      </c>
      <c r="I66" s="14" t="s">
        <v>88</v>
      </c>
      <c r="J66" s="14">
        <v>1</v>
      </c>
      <c r="K66" s="14">
        <v>1</v>
      </c>
      <c r="L66" s="14" t="s">
        <v>19255</v>
      </c>
      <c r="M66" s="14" t="s">
        <v>1566</v>
      </c>
      <c r="N66" s="14" t="s">
        <v>19256</v>
      </c>
      <c r="O66" s="14" t="s">
        <v>11273</v>
      </c>
      <c r="P66" s="14" t="str">
        <f>HYPERLINK("https://dexscreener.com/solana/GAC88gYSjrTsSRjMKHH8JnFQmf7jBFcQs3BkHvH7pump", "View")</f>
        <v>View</v>
      </c>
    </row>
    <row r="67" spans="1:16" x14ac:dyDescent="0.25">
      <c r="A67" s="16" t="s">
        <v>19257</v>
      </c>
      <c r="B67" s="17">
        <v>21825641</v>
      </c>
      <c r="C67" s="17">
        <v>21825641</v>
      </c>
      <c r="D67" s="17" t="s">
        <v>7092</v>
      </c>
      <c r="E67" s="17" t="s">
        <v>19258</v>
      </c>
      <c r="F67" s="17" t="s">
        <v>19259</v>
      </c>
      <c r="G67" s="20" t="s">
        <v>19260</v>
      </c>
      <c r="H67" s="20" t="s">
        <v>14475</v>
      </c>
      <c r="I67" s="17" t="s">
        <v>88</v>
      </c>
      <c r="J67" s="17">
        <v>2</v>
      </c>
      <c r="K67" s="17">
        <v>1</v>
      </c>
      <c r="L67" s="17" t="s">
        <v>19261</v>
      </c>
      <c r="M67" s="19" t="s">
        <v>2364</v>
      </c>
      <c r="N67" s="17" t="s">
        <v>19262</v>
      </c>
      <c r="O67" s="17" t="s">
        <v>19263</v>
      </c>
      <c r="P67" s="17" t="str">
        <f>HYPERLINK("https://photon-sol.tinyastro.io/en/lp/DGpsX5Q65taV2kSE6WdP66corzT3CBtrxKVA84zFpump?handle=676050794bc1b1657a56b", "View")</f>
        <v>View</v>
      </c>
    </row>
    <row r="68" spans="1:16" x14ac:dyDescent="0.25">
      <c r="A68" s="13" t="s">
        <v>19264</v>
      </c>
      <c r="B68" s="14">
        <v>11411995</v>
      </c>
      <c r="C68" s="14">
        <v>11411995</v>
      </c>
      <c r="D68" s="14" t="s">
        <v>19233</v>
      </c>
      <c r="E68" s="14" t="s">
        <v>19265</v>
      </c>
      <c r="F68" s="14" t="s">
        <v>2093</v>
      </c>
      <c r="G68" s="15" t="s">
        <v>9711</v>
      </c>
      <c r="H68" s="15" t="s">
        <v>19266</v>
      </c>
      <c r="I68" s="14" t="s">
        <v>88</v>
      </c>
      <c r="J68" s="14">
        <v>1</v>
      </c>
      <c r="K68" s="14">
        <v>1</v>
      </c>
      <c r="L68" s="14" t="s">
        <v>19267</v>
      </c>
      <c r="M68" s="14" t="s">
        <v>1434</v>
      </c>
      <c r="N68" s="14" t="s">
        <v>19268</v>
      </c>
      <c r="O68" s="14" t="s">
        <v>19269</v>
      </c>
      <c r="P68" s="14" t="str">
        <f>HYPERLINK("https://photon-sol.tinyastro.io/en/lp/DAm4wMSkBaCmcqeBRT4GM7rj5pDqKjDn9REYh2cmpump?handle=676050794bc1b1657a56b", "View")</f>
        <v>View</v>
      </c>
    </row>
    <row r="69" spans="1:16" x14ac:dyDescent="0.25">
      <c r="A69" s="16" t="s">
        <v>19270</v>
      </c>
      <c r="B69" s="17">
        <v>7491930</v>
      </c>
      <c r="C69" s="17">
        <v>7491930</v>
      </c>
      <c r="D69" s="17" t="s">
        <v>19233</v>
      </c>
      <c r="E69" s="17" t="s">
        <v>19271</v>
      </c>
      <c r="F69" s="17" t="s">
        <v>19272</v>
      </c>
      <c r="G69" s="21" t="s">
        <v>19273</v>
      </c>
      <c r="H69" s="21" t="s">
        <v>19274</v>
      </c>
      <c r="I69" s="17" t="s">
        <v>88</v>
      </c>
      <c r="J69" s="17">
        <v>1</v>
      </c>
      <c r="K69" s="17">
        <v>1</v>
      </c>
      <c r="L69" s="17" t="s">
        <v>19275</v>
      </c>
      <c r="M69" s="17" t="s">
        <v>602</v>
      </c>
      <c r="N69" s="17" t="s">
        <v>6184</v>
      </c>
      <c r="O69" s="17" t="s">
        <v>19276</v>
      </c>
      <c r="P69" s="17" t="str">
        <f>HYPERLINK("https://photon-sol.tinyastro.io/en/lp/AWeYBt9oTrjiax6awEsCweE3ei4GCiTPbfekBtExpump?handle=676050794bc1b1657a56b", "View")</f>
        <v>View</v>
      </c>
    </row>
    <row r="70" spans="1:16" x14ac:dyDescent="0.25">
      <c r="A70" s="13" t="s">
        <v>19277</v>
      </c>
      <c r="B70" s="14">
        <v>3780402</v>
      </c>
      <c r="C70" s="14">
        <v>3780402</v>
      </c>
      <c r="D70" s="14" t="s">
        <v>19278</v>
      </c>
      <c r="E70" s="14" t="s">
        <v>1457</v>
      </c>
      <c r="F70" s="14" t="s">
        <v>19279</v>
      </c>
      <c r="G70" s="22" t="s">
        <v>8072</v>
      </c>
      <c r="H70" s="22" t="s">
        <v>19280</v>
      </c>
      <c r="I70" s="14" t="s">
        <v>88</v>
      </c>
      <c r="J70" s="14">
        <v>2</v>
      </c>
      <c r="K70" s="14">
        <v>2</v>
      </c>
      <c r="L70" s="14" t="s">
        <v>19281</v>
      </c>
      <c r="M70" s="14" t="s">
        <v>117</v>
      </c>
      <c r="N70" s="14" t="s">
        <v>19282</v>
      </c>
      <c r="O70" s="14" t="s">
        <v>19283</v>
      </c>
      <c r="P70" s="14" t="str">
        <f>HYPERLINK("https://dexscreener.com/solana/9T8NC8Uouorwh417kQgvBX7NsasdFGc94cbzpEMCpump", "View")</f>
        <v>View</v>
      </c>
    </row>
    <row r="71" spans="1:16" x14ac:dyDescent="0.25">
      <c r="A71" s="16" t="s">
        <v>5899</v>
      </c>
      <c r="B71" s="17">
        <v>7734281</v>
      </c>
      <c r="C71" s="17">
        <v>7734281</v>
      </c>
      <c r="D71" s="17" t="s">
        <v>19233</v>
      </c>
      <c r="E71" s="17" t="s">
        <v>1007</v>
      </c>
      <c r="F71" s="17" t="s">
        <v>19253</v>
      </c>
      <c r="G71" s="20" t="s">
        <v>5706</v>
      </c>
      <c r="H71" s="20" t="s">
        <v>19284</v>
      </c>
      <c r="I71" s="17" t="s">
        <v>88</v>
      </c>
      <c r="J71" s="17">
        <v>1</v>
      </c>
      <c r="K71" s="17">
        <v>1</v>
      </c>
      <c r="L71" s="17" t="s">
        <v>19285</v>
      </c>
      <c r="M71" s="17" t="s">
        <v>2789</v>
      </c>
      <c r="N71" s="17" t="s">
        <v>19286</v>
      </c>
      <c r="O71" s="17" t="s">
        <v>19287</v>
      </c>
      <c r="P71" s="17" t="str">
        <f>HYPERLINK("https://dexscreener.com/solana/GLz7XZbAuqakNKqpheYFZfkj7gcY3K3RxFLQPqFpump", "View")</f>
        <v>View</v>
      </c>
    </row>
    <row r="72" spans="1:16" x14ac:dyDescent="0.25">
      <c r="A72" s="13" t="s">
        <v>10957</v>
      </c>
      <c r="B72" s="14">
        <v>5855949</v>
      </c>
      <c r="C72" s="14">
        <v>5855949</v>
      </c>
      <c r="D72" s="14" t="s">
        <v>4519</v>
      </c>
      <c r="E72" s="14" t="s">
        <v>569</v>
      </c>
      <c r="F72" s="14" t="s">
        <v>19288</v>
      </c>
      <c r="G72" s="22" t="s">
        <v>16351</v>
      </c>
      <c r="H72" s="22" t="s">
        <v>19289</v>
      </c>
      <c r="I72" s="14" t="s">
        <v>88</v>
      </c>
      <c r="J72" s="14">
        <v>1</v>
      </c>
      <c r="K72" s="14">
        <v>1</v>
      </c>
      <c r="L72" s="14" t="s">
        <v>19290</v>
      </c>
      <c r="M72" s="14" t="s">
        <v>3462</v>
      </c>
      <c r="N72" s="14" t="s">
        <v>19291</v>
      </c>
      <c r="O72" s="14" t="s">
        <v>10961</v>
      </c>
      <c r="P72" s="14" t="str">
        <f>HYPERLINK("https://dexscreener.com/solana/H7jz5tmUxhGzeQZviiuZZXsvH3EBUM83G2PghABNpump", "View")</f>
        <v>View</v>
      </c>
    </row>
    <row r="73" spans="1:16" x14ac:dyDescent="0.25">
      <c r="A73" s="16" t="s">
        <v>11463</v>
      </c>
      <c r="B73" s="17">
        <v>6738411</v>
      </c>
      <c r="C73" s="17">
        <v>6738411</v>
      </c>
      <c r="D73" s="17" t="s">
        <v>19278</v>
      </c>
      <c r="E73" s="17" t="s">
        <v>569</v>
      </c>
      <c r="F73" s="17" t="s">
        <v>19292</v>
      </c>
      <c r="G73" s="21" t="s">
        <v>19293</v>
      </c>
      <c r="H73" s="21" t="s">
        <v>19294</v>
      </c>
      <c r="I73" s="17" t="s">
        <v>88</v>
      </c>
      <c r="J73" s="17">
        <v>3</v>
      </c>
      <c r="K73" s="17">
        <v>1</v>
      </c>
      <c r="L73" s="17" t="s">
        <v>19295</v>
      </c>
      <c r="M73" s="17" t="s">
        <v>680</v>
      </c>
      <c r="N73" s="17" t="s">
        <v>19296</v>
      </c>
      <c r="O73" s="17" t="s">
        <v>11468</v>
      </c>
      <c r="P73" s="17" t="str">
        <f>HYPERLINK("https://dexscreener.com/solana/3tzcc3RLLnLcZNQ7v1WAsBDgNw1JdjnBCEs8PDXcpump", "View")</f>
        <v>View</v>
      </c>
    </row>
    <row r="74" spans="1:16" x14ac:dyDescent="0.25">
      <c r="A74" s="13" t="s">
        <v>19297</v>
      </c>
      <c r="B74" s="14">
        <v>2648011</v>
      </c>
      <c r="C74" s="14">
        <v>2648011</v>
      </c>
      <c r="D74" s="14" t="s">
        <v>19233</v>
      </c>
      <c r="E74" s="14" t="s">
        <v>1007</v>
      </c>
      <c r="F74" s="14" t="s">
        <v>4020</v>
      </c>
      <c r="G74" s="15" t="s">
        <v>19298</v>
      </c>
      <c r="H74" s="15" t="s">
        <v>19299</v>
      </c>
      <c r="I74" s="14" t="s">
        <v>88</v>
      </c>
      <c r="J74" s="14">
        <v>1</v>
      </c>
      <c r="K74" s="14">
        <v>1</v>
      </c>
      <c r="L74" s="14" t="s">
        <v>19300</v>
      </c>
      <c r="M74" s="14" t="s">
        <v>253</v>
      </c>
      <c r="N74" s="14" t="s">
        <v>19301</v>
      </c>
      <c r="O74" s="14" t="s">
        <v>19302</v>
      </c>
      <c r="P74" s="14" t="str">
        <f>HYPERLINK("https://dexscreener.com/solana/75UzQeB8cNV85JMkqzmZn447vQKjfD4Xu3nBXonjqjBW", "View")</f>
        <v>View</v>
      </c>
    </row>
    <row r="75" spans="1:16" x14ac:dyDescent="0.25">
      <c r="A75" s="16" t="s">
        <v>940</v>
      </c>
      <c r="B75" s="17">
        <v>6486724</v>
      </c>
      <c r="C75" s="17">
        <v>6486724</v>
      </c>
      <c r="D75" s="17" t="s">
        <v>1289</v>
      </c>
      <c r="E75" s="17" t="s">
        <v>1007</v>
      </c>
      <c r="F75" s="17" t="s">
        <v>14792</v>
      </c>
      <c r="G75" s="22" t="s">
        <v>3759</v>
      </c>
      <c r="H75" s="22" t="s">
        <v>19303</v>
      </c>
      <c r="I75" s="17" t="s">
        <v>88</v>
      </c>
      <c r="J75" s="17">
        <v>1</v>
      </c>
      <c r="K75" s="17">
        <v>1</v>
      </c>
      <c r="L75" s="17" t="s">
        <v>19304</v>
      </c>
      <c r="M75" s="17" t="s">
        <v>3695</v>
      </c>
      <c r="N75" s="17" t="s">
        <v>19305</v>
      </c>
      <c r="O75" s="17" t="s">
        <v>19306</v>
      </c>
      <c r="P75" s="17" t="str">
        <f>HYPERLINK("https://dexscreener.com/solana/HMuVnkNdVGwvZmRAoABK1FewvvQMebJHoB3xYkkjfbck", "View")</f>
        <v>View</v>
      </c>
    </row>
    <row r="76" spans="1:16" x14ac:dyDescent="0.25">
      <c r="A76" s="13" t="s">
        <v>19307</v>
      </c>
      <c r="B76" s="14">
        <v>3146952</v>
      </c>
      <c r="C76" s="14">
        <v>3146952</v>
      </c>
      <c r="D76" s="14" t="s">
        <v>19233</v>
      </c>
      <c r="E76" s="14" t="s">
        <v>1007</v>
      </c>
      <c r="F76" s="14" t="s">
        <v>19308</v>
      </c>
      <c r="G76" s="22" t="s">
        <v>2653</v>
      </c>
      <c r="H76" s="22" t="s">
        <v>19309</v>
      </c>
      <c r="I76" s="14" t="s">
        <v>88</v>
      </c>
      <c r="J76" s="14">
        <v>1</v>
      </c>
      <c r="K76" s="14">
        <v>1</v>
      </c>
      <c r="L76" s="14" t="s">
        <v>19310</v>
      </c>
      <c r="M76" s="19" t="s">
        <v>1948</v>
      </c>
      <c r="N76" s="14" t="s">
        <v>19311</v>
      </c>
      <c r="O76" s="14" t="s">
        <v>19312</v>
      </c>
      <c r="P76" s="14" t="str">
        <f>HYPERLINK("https://dexscreener.com/solana/A1EwEAGRhyzEnBktbPDbhDrnir2vZa2N7ex7v7i4pump", "View")</f>
        <v>View</v>
      </c>
    </row>
    <row r="77" spans="1:16" x14ac:dyDescent="0.25">
      <c r="A77" s="16" t="s">
        <v>19313</v>
      </c>
      <c r="B77" s="17">
        <v>3578169</v>
      </c>
      <c r="C77" s="17">
        <v>3578169</v>
      </c>
      <c r="D77" s="17" t="s">
        <v>9569</v>
      </c>
      <c r="E77" s="17" t="s">
        <v>8376</v>
      </c>
      <c r="F77" s="17" t="s">
        <v>8650</v>
      </c>
      <c r="G77" s="15" t="s">
        <v>19314</v>
      </c>
      <c r="H77" s="15" t="s">
        <v>19315</v>
      </c>
      <c r="I77" s="17" t="s">
        <v>88</v>
      </c>
      <c r="J77" s="17">
        <v>1</v>
      </c>
      <c r="K77" s="17">
        <v>1</v>
      </c>
      <c r="L77" s="17" t="s">
        <v>19316</v>
      </c>
      <c r="M77" s="17" t="s">
        <v>1957</v>
      </c>
      <c r="N77" s="17" t="s">
        <v>19317</v>
      </c>
      <c r="O77" s="17" t="s">
        <v>19318</v>
      </c>
      <c r="P77" s="17" t="str">
        <f>HYPERLINK("https://photon-sol.tinyastro.io/en/lp/z6c62rp7t5RzAC25D8N5f1Xbp4SpACbCJHDrkr4pump?handle=676050794bc1b1657a56b", "View")</f>
        <v>View</v>
      </c>
    </row>
    <row r="78" spans="1:16" x14ac:dyDescent="0.25">
      <c r="A78" s="13" t="s">
        <v>6828</v>
      </c>
      <c r="B78" s="14">
        <v>12239910</v>
      </c>
      <c r="C78" s="14">
        <v>12239910</v>
      </c>
      <c r="D78" s="14" t="s">
        <v>9569</v>
      </c>
      <c r="E78" s="14" t="s">
        <v>19319</v>
      </c>
      <c r="F78" s="14" t="s">
        <v>19320</v>
      </c>
      <c r="G78" s="20" t="s">
        <v>19321</v>
      </c>
      <c r="H78" s="20" t="s">
        <v>19322</v>
      </c>
      <c r="I78" s="14" t="s">
        <v>88</v>
      </c>
      <c r="J78" s="14">
        <v>1</v>
      </c>
      <c r="K78" s="14">
        <v>1</v>
      </c>
      <c r="L78" s="14" t="s">
        <v>19323</v>
      </c>
      <c r="M78" s="14" t="s">
        <v>3171</v>
      </c>
      <c r="N78" s="14" t="s">
        <v>3401</v>
      </c>
      <c r="O78" s="14" t="s">
        <v>19324</v>
      </c>
      <c r="P78" s="14" t="str">
        <f>HYPERLINK("https://photon-sol.tinyastro.io/en/lp/8tCpBKDEGNBfFm5V3fJ5LTmYzGfMFqUVUZ59zdRvpump?handle=676050794bc1b1657a56b", "View")</f>
        <v>View</v>
      </c>
    </row>
    <row r="79" spans="1:16" x14ac:dyDescent="0.25">
      <c r="A79" s="16" t="s">
        <v>19325</v>
      </c>
      <c r="B79" s="17">
        <v>6191341</v>
      </c>
      <c r="C79" s="17">
        <v>6191341</v>
      </c>
      <c r="D79" s="17" t="s">
        <v>9569</v>
      </c>
      <c r="E79" s="17" t="s">
        <v>1007</v>
      </c>
      <c r="F79" s="17" t="s">
        <v>9597</v>
      </c>
      <c r="G79" s="15" t="s">
        <v>19326</v>
      </c>
      <c r="H79" s="15" t="s">
        <v>19327</v>
      </c>
      <c r="I79" s="17" t="s">
        <v>88</v>
      </c>
      <c r="J79" s="17">
        <v>1</v>
      </c>
      <c r="K79" s="17">
        <v>1</v>
      </c>
      <c r="L79" s="17" t="s">
        <v>19328</v>
      </c>
      <c r="M79" s="17" t="s">
        <v>3171</v>
      </c>
      <c r="N79" s="17" t="s">
        <v>19329</v>
      </c>
      <c r="O79" s="17" t="s">
        <v>19330</v>
      </c>
      <c r="P79" s="17" t="str">
        <f>HYPERLINK("https://dexscreener.com/solana/4XzmWDbgdFUxuk7VQoX5yFD7238yqAtaAJMYSi7Tpump", "View")</f>
        <v>View</v>
      </c>
    </row>
    <row r="80" spans="1:16" x14ac:dyDescent="0.25">
      <c r="A80" s="13" t="s">
        <v>7091</v>
      </c>
      <c r="B80" s="14">
        <v>2975561</v>
      </c>
      <c r="C80" s="14">
        <v>2975561</v>
      </c>
      <c r="D80" s="14" t="s">
        <v>9590</v>
      </c>
      <c r="E80" s="14" t="s">
        <v>1457</v>
      </c>
      <c r="F80" s="14" t="s">
        <v>9003</v>
      </c>
      <c r="G80" s="22" t="s">
        <v>1639</v>
      </c>
      <c r="H80" s="22" t="s">
        <v>19331</v>
      </c>
      <c r="I80" s="14" t="s">
        <v>88</v>
      </c>
      <c r="J80" s="14">
        <v>2</v>
      </c>
      <c r="K80" s="14">
        <v>1</v>
      </c>
      <c r="L80" s="14" t="s">
        <v>19332</v>
      </c>
      <c r="M80" s="14" t="s">
        <v>1448</v>
      </c>
      <c r="N80" s="14" t="s">
        <v>19333</v>
      </c>
      <c r="O80" s="14" t="s">
        <v>7098</v>
      </c>
      <c r="P80" s="14" t="str">
        <f>HYPERLINK("https://dexscreener.com/solana/EyVpWuxegaFCpHBXbXLwK6rTL7cT6VyrfteJrnSspump", "View")</f>
        <v>View</v>
      </c>
    </row>
    <row r="81" spans="1:16" x14ac:dyDescent="0.25">
      <c r="A81" s="16" t="s">
        <v>9996</v>
      </c>
      <c r="B81" s="17">
        <v>1328312</v>
      </c>
      <c r="C81" s="17">
        <v>1328312</v>
      </c>
      <c r="D81" s="17" t="s">
        <v>19233</v>
      </c>
      <c r="E81" s="17" t="s">
        <v>1457</v>
      </c>
      <c r="F81" s="17" t="s">
        <v>19334</v>
      </c>
      <c r="G81" s="20" t="s">
        <v>17465</v>
      </c>
      <c r="H81" s="20" t="s">
        <v>19335</v>
      </c>
      <c r="I81" s="17" t="s">
        <v>88</v>
      </c>
      <c r="J81" s="17">
        <v>1</v>
      </c>
      <c r="K81" s="17">
        <v>1</v>
      </c>
      <c r="L81" s="17" t="s">
        <v>19336</v>
      </c>
      <c r="M81" s="17" t="s">
        <v>1448</v>
      </c>
      <c r="N81" s="17" t="s">
        <v>19337</v>
      </c>
      <c r="O81" s="17" t="s">
        <v>10002</v>
      </c>
      <c r="P81" s="17" t="str">
        <f>HYPERLINK("https://dexscreener.com/solana/FQ1tyso61AH1tzodyJfSwmzsD3GToybbRNoZxUBz21p8", "View")</f>
        <v>View</v>
      </c>
    </row>
    <row r="82" spans="1:16" x14ac:dyDescent="0.25">
      <c r="A82" s="13" t="s">
        <v>7112</v>
      </c>
      <c r="B82" s="14">
        <v>395354</v>
      </c>
      <c r="C82" s="14">
        <v>395354</v>
      </c>
      <c r="D82" s="14" t="s">
        <v>7092</v>
      </c>
      <c r="E82" s="14" t="s">
        <v>2390</v>
      </c>
      <c r="F82" s="14" t="s">
        <v>19338</v>
      </c>
      <c r="G82" s="22" t="s">
        <v>19339</v>
      </c>
      <c r="H82" s="22" t="s">
        <v>2615</v>
      </c>
      <c r="I82" s="14" t="s">
        <v>88</v>
      </c>
      <c r="J82" s="14">
        <v>2</v>
      </c>
      <c r="K82" s="14">
        <v>1</v>
      </c>
      <c r="L82" s="14" t="s">
        <v>19340</v>
      </c>
      <c r="M82" s="14" t="s">
        <v>1448</v>
      </c>
      <c r="N82" s="14" t="s">
        <v>19341</v>
      </c>
      <c r="O82" s="14" t="s">
        <v>7119</v>
      </c>
      <c r="P82" s="14" t="str">
        <f>HYPERLINK("https://dexscreener.com/solana/HYTWunEns5k3CBBrr8gTJjNqA93avuEPB3RB1Kud3MWg", "View")</f>
        <v>View</v>
      </c>
    </row>
    <row r="83" spans="1:16" x14ac:dyDescent="0.25">
      <c r="A83" s="16" t="s">
        <v>19342</v>
      </c>
      <c r="B83" s="17">
        <v>29823605</v>
      </c>
      <c r="C83" s="17">
        <v>29823605</v>
      </c>
      <c r="D83" s="17" t="s">
        <v>883</v>
      </c>
      <c r="E83" s="17" t="s">
        <v>1007</v>
      </c>
      <c r="F83" s="17" t="s">
        <v>7392</v>
      </c>
      <c r="G83" s="20" t="s">
        <v>9615</v>
      </c>
      <c r="H83" s="20" t="s">
        <v>19343</v>
      </c>
      <c r="I83" s="17" t="s">
        <v>88</v>
      </c>
      <c r="J83" s="17">
        <v>1</v>
      </c>
      <c r="K83" s="17">
        <v>1</v>
      </c>
      <c r="L83" s="17" t="s">
        <v>19344</v>
      </c>
      <c r="M83" s="17" t="s">
        <v>1434</v>
      </c>
      <c r="N83" s="17" t="s">
        <v>19345</v>
      </c>
      <c r="O83" s="17" t="s">
        <v>19346</v>
      </c>
      <c r="P83" s="17" t="str">
        <f>HYPERLINK("https://dexscreener.com/solana/7mngpTKBzmpa9JKRTKy4qQxzKqRHst2yZ6T4WK6gpump", "View")</f>
        <v>View</v>
      </c>
    </row>
    <row r="84" spans="1:16" x14ac:dyDescent="0.25">
      <c r="A84" s="13" t="s">
        <v>19347</v>
      </c>
      <c r="B84" s="14">
        <v>3937800</v>
      </c>
      <c r="C84" s="14">
        <v>3937800</v>
      </c>
      <c r="D84" s="14" t="s">
        <v>19348</v>
      </c>
      <c r="E84" s="14" t="s">
        <v>2200</v>
      </c>
      <c r="F84" s="14" t="s">
        <v>2267</v>
      </c>
      <c r="G84" s="22" t="s">
        <v>4874</v>
      </c>
      <c r="H84" s="22" t="s">
        <v>19349</v>
      </c>
      <c r="I84" s="14" t="s">
        <v>88</v>
      </c>
      <c r="J84" s="14">
        <v>1</v>
      </c>
      <c r="K84" s="14">
        <v>2</v>
      </c>
      <c r="L84" s="14" t="s">
        <v>19350</v>
      </c>
      <c r="M84" s="14" t="s">
        <v>602</v>
      </c>
      <c r="N84" s="14" t="s">
        <v>19351</v>
      </c>
      <c r="O84" s="14" t="s">
        <v>19352</v>
      </c>
      <c r="P84" s="14" t="str">
        <f>HYPERLINK("https://dexscreener.com/solana/B7oxfcQNCf7o5VDj1bAtAh9GBzxn1qdmaaTkpYNupump", "View")</f>
        <v>View</v>
      </c>
    </row>
    <row r="85" spans="1:16" x14ac:dyDescent="0.25">
      <c r="A85" s="16" t="s">
        <v>19353</v>
      </c>
      <c r="B85" s="17">
        <v>13270619</v>
      </c>
      <c r="C85" s="17">
        <v>13270619</v>
      </c>
      <c r="D85" s="17" t="s">
        <v>883</v>
      </c>
      <c r="E85" s="17" t="s">
        <v>19354</v>
      </c>
      <c r="F85" s="17" t="s">
        <v>3577</v>
      </c>
      <c r="G85" s="20" t="s">
        <v>4212</v>
      </c>
      <c r="H85" s="20" t="s">
        <v>19355</v>
      </c>
      <c r="I85" s="17" t="s">
        <v>88</v>
      </c>
      <c r="J85" s="17">
        <v>1</v>
      </c>
      <c r="K85" s="17">
        <v>1</v>
      </c>
      <c r="L85" s="17" t="s">
        <v>19356</v>
      </c>
      <c r="M85" s="17" t="s">
        <v>1434</v>
      </c>
      <c r="N85" s="17" t="s">
        <v>1667</v>
      </c>
      <c r="O85" s="17" t="s">
        <v>19357</v>
      </c>
      <c r="P85" s="17" t="str">
        <f>HYPERLINK("https://photon-sol.tinyastro.io/en/lp/3KcNc8HU7MKvasq1J9bqLqcs9HmdQwzRsNJiqwqCpump?handle=676050794bc1b1657a56b", "View")</f>
        <v>View</v>
      </c>
    </row>
    <row r="86" spans="1:16" x14ac:dyDescent="0.25">
      <c r="A86" s="13" t="s">
        <v>19358</v>
      </c>
      <c r="B86" s="14">
        <v>1585354</v>
      </c>
      <c r="C86" s="14">
        <v>1585354</v>
      </c>
      <c r="D86" s="14" t="s">
        <v>9569</v>
      </c>
      <c r="E86" s="14" t="s">
        <v>2200</v>
      </c>
      <c r="F86" s="14" t="s">
        <v>8850</v>
      </c>
      <c r="G86" s="20" t="s">
        <v>3023</v>
      </c>
      <c r="H86" s="20" t="s">
        <v>19359</v>
      </c>
      <c r="I86" s="14" t="s">
        <v>88</v>
      </c>
      <c r="J86" s="14">
        <v>1</v>
      </c>
      <c r="K86" s="14">
        <v>1</v>
      </c>
      <c r="L86" s="14" t="s">
        <v>19360</v>
      </c>
      <c r="M86" s="14" t="s">
        <v>1434</v>
      </c>
      <c r="N86" s="14" t="s">
        <v>19361</v>
      </c>
      <c r="O86" s="14" t="s">
        <v>19362</v>
      </c>
      <c r="P86" s="14" t="str">
        <f>HYPERLINK("https://dexscreener.com/solana/E1qvAkBs3gPFYL7LvPGA4csZvGrpS3ivMhxC28utpump", "View")</f>
        <v>View</v>
      </c>
    </row>
    <row r="87" spans="1:16" x14ac:dyDescent="0.25">
      <c r="A87" s="16" t="s">
        <v>5737</v>
      </c>
      <c r="B87" s="17">
        <v>8389953</v>
      </c>
      <c r="C87" s="17">
        <v>8389953</v>
      </c>
      <c r="D87" s="17" t="s">
        <v>11301</v>
      </c>
      <c r="E87" s="17" t="s">
        <v>9383</v>
      </c>
      <c r="F87" s="17" t="s">
        <v>19363</v>
      </c>
      <c r="G87" s="20" t="s">
        <v>3433</v>
      </c>
      <c r="H87" s="20" t="s">
        <v>19364</v>
      </c>
      <c r="I87" s="17" t="s">
        <v>88</v>
      </c>
      <c r="J87" s="17">
        <v>2</v>
      </c>
      <c r="K87" s="17">
        <v>2</v>
      </c>
      <c r="L87" s="17" t="s">
        <v>19365</v>
      </c>
      <c r="M87" s="17" t="s">
        <v>2113</v>
      </c>
      <c r="N87" s="17" t="s">
        <v>19366</v>
      </c>
      <c r="O87" s="17" t="s">
        <v>5740</v>
      </c>
      <c r="P87" s="17" t="str">
        <f>HYPERLINK("https://photon-sol.tinyastro.io/en/lp/BBBgdpBJhdm8qFTAEfyRRaCpmJ9Qecachc7YuqQRpump?handle=676050794bc1b1657a56b", "View")</f>
        <v>View</v>
      </c>
    </row>
    <row r="88" spans="1:16" x14ac:dyDescent="0.25">
      <c r="A88" s="13" t="s">
        <v>19367</v>
      </c>
      <c r="B88" s="14">
        <v>5713712</v>
      </c>
      <c r="C88" s="14">
        <v>5713712</v>
      </c>
      <c r="D88" s="14" t="s">
        <v>9569</v>
      </c>
      <c r="E88" s="14" t="s">
        <v>16737</v>
      </c>
      <c r="F88" s="14" t="s">
        <v>3466</v>
      </c>
      <c r="G88" s="21" t="s">
        <v>15890</v>
      </c>
      <c r="H88" s="21" t="s">
        <v>19368</v>
      </c>
      <c r="I88" s="14" t="s">
        <v>88</v>
      </c>
      <c r="J88" s="14">
        <v>1</v>
      </c>
      <c r="K88" s="14">
        <v>1</v>
      </c>
      <c r="L88" s="14" t="s">
        <v>19369</v>
      </c>
      <c r="M88" s="14" t="s">
        <v>602</v>
      </c>
      <c r="N88" s="14" t="s">
        <v>19370</v>
      </c>
      <c r="O88" s="14" t="s">
        <v>19371</v>
      </c>
      <c r="P88" s="14" t="str">
        <f>HYPERLINK("https://photon-sol.tinyastro.io/en/lp/67ddENYz9yfmkK28ANn8mBFe8X2MExqYChF1PEfXpump?handle=676050794bc1b1657a56b", "View")</f>
        <v>View</v>
      </c>
    </row>
    <row r="89" spans="1:16" x14ac:dyDescent="0.25">
      <c r="A89" s="16" t="s">
        <v>19372</v>
      </c>
      <c r="B89" s="17">
        <v>21522747</v>
      </c>
      <c r="C89" s="17">
        <v>21522747</v>
      </c>
      <c r="D89" s="17" t="s">
        <v>19373</v>
      </c>
      <c r="E89" s="17" t="s">
        <v>1007</v>
      </c>
      <c r="F89" s="17" t="s">
        <v>3280</v>
      </c>
      <c r="G89" s="20" t="s">
        <v>19374</v>
      </c>
      <c r="H89" s="20" t="s">
        <v>19375</v>
      </c>
      <c r="I89" s="17" t="s">
        <v>88</v>
      </c>
      <c r="J89" s="17">
        <v>1</v>
      </c>
      <c r="K89" s="17">
        <v>1</v>
      </c>
      <c r="L89" s="17" t="s">
        <v>19376</v>
      </c>
      <c r="M89" s="17" t="s">
        <v>117</v>
      </c>
      <c r="N89" s="17" t="s">
        <v>5234</v>
      </c>
      <c r="O89" s="17" t="s">
        <v>19377</v>
      </c>
      <c r="P89" s="17" t="str">
        <f>HYPERLINK("https://dexscreener.com/solana/3Xpq3GBR1MzRRMu3ZdhutRt7Ux4fwxEQaWev6PBjpump", "View")</f>
        <v>View</v>
      </c>
    </row>
    <row r="90" spans="1:16" x14ac:dyDescent="0.25">
      <c r="A90" s="13" t="s">
        <v>19378</v>
      </c>
      <c r="B90" s="14">
        <v>6417153</v>
      </c>
      <c r="C90" s="14">
        <v>6417153</v>
      </c>
      <c r="D90" s="14" t="s">
        <v>883</v>
      </c>
      <c r="E90" s="14" t="s">
        <v>1007</v>
      </c>
      <c r="F90" s="14" t="s">
        <v>19379</v>
      </c>
      <c r="G90" s="20" t="s">
        <v>5031</v>
      </c>
      <c r="H90" s="20" t="s">
        <v>19380</v>
      </c>
      <c r="I90" s="14" t="s">
        <v>88</v>
      </c>
      <c r="J90" s="14">
        <v>1</v>
      </c>
      <c r="K90" s="14">
        <v>1</v>
      </c>
      <c r="L90" s="14" t="s">
        <v>19381</v>
      </c>
      <c r="M90" s="14" t="s">
        <v>602</v>
      </c>
      <c r="N90" s="14" t="s">
        <v>19382</v>
      </c>
      <c r="O90" s="14" t="s">
        <v>19383</v>
      </c>
      <c r="P90" s="14" t="str">
        <f>HYPERLINK("https://dexscreener.com/solana/2xrC8L2e3qdrcG7oH6wXmKggAzGgeDuhz3t5Fxv7pump", "View")</f>
        <v>View</v>
      </c>
    </row>
    <row r="91" spans="1:16" x14ac:dyDescent="0.25">
      <c r="A91" s="16" t="s">
        <v>19384</v>
      </c>
      <c r="B91" s="17">
        <v>869855</v>
      </c>
      <c r="C91" s="17">
        <v>869855</v>
      </c>
      <c r="D91" s="17" t="s">
        <v>883</v>
      </c>
      <c r="E91" s="17" t="s">
        <v>1007</v>
      </c>
      <c r="F91" s="17" t="s">
        <v>1876</v>
      </c>
      <c r="G91" s="22" t="s">
        <v>5380</v>
      </c>
      <c r="H91" s="22" t="s">
        <v>1224</v>
      </c>
      <c r="I91" s="17" t="s">
        <v>88</v>
      </c>
      <c r="J91" s="17">
        <v>1</v>
      </c>
      <c r="K91" s="17">
        <v>1</v>
      </c>
      <c r="L91" s="17" t="s">
        <v>19385</v>
      </c>
      <c r="M91" s="19" t="s">
        <v>2350</v>
      </c>
      <c r="N91" s="17" t="s">
        <v>19386</v>
      </c>
      <c r="O91" s="17" t="s">
        <v>19387</v>
      </c>
      <c r="P91" s="17" t="str">
        <f>HYPERLINK("https://dexscreener.com/solana/55kg2An8ucQzEzXpvNVpYXq9579dETmgkbYVud1vpump", "View")</f>
        <v>View</v>
      </c>
    </row>
    <row r="92" spans="1:16" x14ac:dyDescent="0.25">
      <c r="A92" s="13" t="s">
        <v>10174</v>
      </c>
      <c r="B92" s="14">
        <v>5150018</v>
      </c>
      <c r="C92" s="14">
        <v>5150018</v>
      </c>
      <c r="D92" s="14" t="s">
        <v>11301</v>
      </c>
      <c r="E92" s="14" t="s">
        <v>1457</v>
      </c>
      <c r="F92" s="14" t="s">
        <v>6879</v>
      </c>
      <c r="G92" s="20" t="s">
        <v>19388</v>
      </c>
      <c r="H92" s="20" t="s">
        <v>19389</v>
      </c>
      <c r="I92" s="14" t="s">
        <v>88</v>
      </c>
      <c r="J92" s="14">
        <v>2</v>
      </c>
      <c r="K92" s="14">
        <v>2</v>
      </c>
      <c r="L92" s="14" t="s">
        <v>19390</v>
      </c>
      <c r="M92" s="14" t="s">
        <v>2047</v>
      </c>
      <c r="N92" s="14" t="s">
        <v>19391</v>
      </c>
      <c r="O92" s="14" t="s">
        <v>10178</v>
      </c>
      <c r="P92" s="14" t="str">
        <f>HYPERLINK("https://dexscreener.com/solana/AHf7kfRnDSMMNxZBq9W3SRMznsLH7NkbfrvPoPpCpump", "View")</f>
        <v>View</v>
      </c>
    </row>
    <row r="93" spans="1:16" x14ac:dyDescent="0.25">
      <c r="A93" s="16" t="s">
        <v>19392</v>
      </c>
      <c r="B93" s="17">
        <v>6210498</v>
      </c>
      <c r="C93" s="17">
        <v>6210498</v>
      </c>
      <c r="D93" s="17" t="s">
        <v>1289</v>
      </c>
      <c r="E93" s="17" t="s">
        <v>1457</v>
      </c>
      <c r="F93" s="17" t="s">
        <v>2659</v>
      </c>
      <c r="G93" s="20" t="s">
        <v>19393</v>
      </c>
      <c r="H93" s="20" t="s">
        <v>19394</v>
      </c>
      <c r="I93" s="17" t="s">
        <v>88</v>
      </c>
      <c r="J93" s="17">
        <v>1</v>
      </c>
      <c r="K93" s="17">
        <v>1</v>
      </c>
      <c r="L93" s="17" t="s">
        <v>19395</v>
      </c>
      <c r="M93" s="17" t="s">
        <v>1434</v>
      </c>
      <c r="N93" s="17" t="s">
        <v>19396</v>
      </c>
      <c r="O93" s="17" t="s">
        <v>19397</v>
      </c>
      <c r="P93" s="17" t="str">
        <f>HYPERLINK("https://dexscreener.com/solana/F7WN7oNKZuonYNjg1cUWTgwjXopZHpQV2qqvJLdLpump", "View")</f>
        <v>View</v>
      </c>
    </row>
    <row r="94" spans="1:16" x14ac:dyDescent="0.25">
      <c r="A94" s="13" t="s">
        <v>19398</v>
      </c>
      <c r="B94" s="14">
        <v>17717603</v>
      </c>
      <c r="C94" s="14">
        <v>17717603</v>
      </c>
      <c r="D94" s="14" t="s">
        <v>1289</v>
      </c>
      <c r="E94" s="14" t="s">
        <v>1457</v>
      </c>
      <c r="F94" s="14" t="s">
        <v>3274</v>
      </c>
      <c r="G94" s="22" t="s">
        <v>5746</v>
      </c>
      <c r="H94" s="22" t="s">
        <v>19399</v>
      </c>
      <c r="I94" s="14" t="s">
        <v>88</v>
      </c>
      <c r="J94" s="14">
        <v>1</v>
      </c>
      <c r="K94" s="14">
        <v>1</v>
      </c>
      <c r="L94" s="14" t="s">
        <v>19400</v>
      </c>
      <c r="M94" s="14" t="s">
        <v>1932</v>
      </c>
      <c r="N94" s="14" t="s">
        <v>19401</v>
      </c>
      <c r="O94" s="14" t="s">
        <v>19402</v>
      </c>
      <c r="P94" s="14" t="str">
        <f>HYPERLINK("https://dexscreener.com/solana/Exicyp4p8VbwsutHUYbuNA3CHyQUHZuzo7FFN1Yepump", "View")</f>
        <v>View</v>
      </c>
    </row>
    <row r="95" spans="1:16" x14ac:dyDescent="0.25">
      <c r="A95" s="16" t="s">
        <v>19403</v>
      </c>
      <c r="B95" s="17">
        <v>8486439</v>
      </c>
      <c r="C95" s="17">
        <v>8486439</v>
      </c>
      <c r="D95" s="17" t="s">
        <v>1289</v>
      </c>
      <c r="E95" s="17" t="s">
        <v>1457</v>
      </c>
      <c r="F95" s="17" t="s">
        <v>19404</v>
      </c>
      <c r="G95" s="20" t="s">
        <v>19405</v>
      </c>
      <c r="H95" s="20" t="s">
        <v>19406</v>
      </c>
      <c r="I95" s="17" t="s">
        <v>88</v>
      </c>
      <c r="J95" s="17">
        <v>1</v>
      </c>
      <c r="K95" s="17">
        <v>1</v>
      </c>
      <c r="L95" s="17" t="s">
        <v>19407</v>
      </c>
      <c r="M95" s="17" t="s">
        <v>788</v>
      </c>
      <c r="N95" s="17" t="s">
        <v>8544</v>
      </c>
      <c r="O95" s="17" t="s">
        <v>19408</v>
      </c>
      <c r="P95" s="17" t="str">
        <f>HYPERLINK("https://dexscreener.com/solana/BUCYSH1eoz5CtpNRsocKn2uajqxefn9drX2rzLFDpump", "View")</f>
        <v>View</v>
      </c>
    </row>
    <row r="96" spans="1:16" x14ac:dyDescent="0.25">
      <c r="A96" s="13" t="s">
        <v>19409</v>
      </c>
      <c r="B96" s="14">
        <v>23393847</v>
      </c>
      <c r="C96" s="14">
        <v>23393847</v>
      </c>
      <c r="D96" s="14" t="s">
        <v>883</v>
      </c>
      <c r="E96" s="14" t="s">
        <v>9539</v>
      </c>
      <c r="F96" s="14" t="s">
        <v>19410</v>
      </c>
      <c r="G96" s="22" t="s">
        <v>9553</v>
      </c>
      <c r="H96" s="22" t="s">
        <v>19411</v>
      </c>
      <c r="I96" s="14" t="s">
        <v>88</v>
      </c>
      <c r="J96" s="14">
        <v>1</v>
      </c>
      <c r="K96" s="14">
        <v>1</v>
      </c>
      <c r="L96" s="14" t="s">
        <v>19412</v>
      </c>
      <c r="M96" s="14" t="s">
        <v>788</v>
      </c>
      <c r="N96" s="14" t="s">
        <v>19413</v>
      </c>
      <c r="O96" s="14" t="s">
        <v>19414</v>
      </c>
      <c r="P96" s="14" t="str">
        <f>HYPERLINK("https://photon-sol.tinyastro.io/en/lp/69tMhFAhwB5LogKVLreE2xEW71Pt7QWZvc2ULPNNpump?handle=676050794bc1b1657a56b", "View")</f>
        <v>View</v>
      </c>
    </row>
    <row r="97" spans="1:16" x14ac:dyDescent="0.25">
      <c r="A97" s="16" t="s">
        <v>19415</v>
      </c>
      <c r="B97" s="17">
        <v>9275181</v>
      </c>
      <c r="C97" s="17">
        <v>9275181</v>
      </c>
      <c r="D97" s="17" t="s">
        <v>1289</v>
      </c>
      <c r="E97" s="17" t="s">
        <v>1457</v>
      </c>
      <c r="F97" s="17" t="s">
        <v>19416</v>
      </c>
      <c r="G97" s="20" t="s">
        <v>18437</v>
      </c>
      <c r="H97" s="20" t="s">
        <v>19417</v>
      </c>
      <c r="I97" s="17" t="s">
        <v>88</v>
      </c>
      <c r="J97" s="17">
        <v>1</v>
      </c>
      <c r="K97" s="17">
        <v>1</v>
      </c>
      <c r="L97" s="17" t="s">
        <v>19418</v>
      </c>
      <c r="M97" s="17" t="s">
        <v>602</v>
      </c>
      <c r="N97" s="17" t="s">
        <v>19419</v>
      </c>
      <c r="O97" s="17" t="s">
        <v>19420</v>
      </c>
      <c r="P97" s="17" t="str">
        <f>HYPERLINK("https://dexscreener.com/solana/9FqgLV8f43AEqsLCi1FqmqCtacS91X3rxdLfFavwpump", "View")</f>
        <v>View</v>
      </c>
    </row>
    <row r="98" spans="1:16" x14ac:dyDescent="0.25">
      <c r="A98" s="13" t="s">
        <v>12970</v>
      </c>
      <c r="B98" s="14">
        <v>1343246</v>
      </c>
      <c r="C98" s="14">
        <v>1343246</v>
      </c>
      <c r="D98" s="14" t="s">
        <v>883</v>
      </c>
      <c r="E98" s="14" t="s">
        <v>1457</v>
      </c>
      <c r="F98" s="14" t="s">
        <v>19416</v>
      </c>
      <c r="G98" s="20" t="s">
        <v>19421</v>
      </c>
      <c r="H98" s="20" t="s">
        <v>19422</v>
      </c>
      <c r="I98" s="14" t="s">
        <v>88</v>
      </c>
      <c r="J98" s="14">
        <v>1</v>
      </c>
      <c r="K98" s="14">
        <v>1</v>
      </c>
      <c r="L98" s="14" t="s">
        <v>19423</v>
      </c>
      <c r="M98" s="14" t="s">
        <v>1448</v>
      </c>
      <c r="N98" s="14" t="s">
        <v>19424</v>
      </c>
      <c r="O98" s="14" t="s">
        <v>12975</v>
      </c>
      <c r="P98" s="14" t="str">
        <f>HYPERLINK("https://dexscreener.com/solana/Gk5btcw8ewMpfGimLPwe1ggtLvYa2ejhZWbCLr9opump", "View")</f>
        <v>View</v>
      </c>
    </row>
    <row r="99" spans="1:16" x14ac:dyDescent="0.25">
      <c r="A99" s="16" t="s">
        <v>19425</v>
      </c>
      <c r="B99" s="17">
        <v>67054949</v>
      </c>
      <c r="C99" s="17">
        <v>67054949</v>
      </c>
      <c r="D99" s="17" t="s">
        <v>883</v>
      </c>
      <c r="E99" s="17" t="s">
        <v>951</v>
      </c>
      <c r="F99" s="17" t="s">
        <v>19426</v>
      </c>
      <c r="G99" s="20" t="s">
        <v>5854</v>
      </c>
      <c r="H99" s="20" t="s">
        <v>18968</v>
      </c>
      <c r="I99" s="17" t="s">
        <v>88</v>
      </c>
      <c r="J99" s="17">
        <v>1</v>
      </c>
      <c r="K99" s="17">
        <v>1</v>
      </c>
      <c r="L99" s="17" t="s">
        <v>19427</v>
      </c>
      <c r="M99" s="17" t="s">
        <v>1434</v>
      </c>
      <c r="N99" s="17" t="s">
        <v>507</v>
      </c>
      <c r="O99" s="17" t="s">
        <v>19428</v>
      </c>
      <c r="P99" s="17" t="str">
        <f>HYPERLINK("https://photon-sol.tinyastro.io/en/lp/7xFLxUtDpQR2PCfhMvJifXMVeNeVJTswaCCqnx7kN9q2?handle=676050794bc1b1657a56b", "View")</f>
        <v>View</v>
      </c>
    </row>
    <row r="100" spans="1:16" x14ac:dyDescent="0.25">
      <c r="A100" s="13" t="s">
        <v>19429</v>
      </c>
      <c r="B100" s="14">
        <v>5528899</v>
      </c>
      <c r="C100" s="14">
        <v>5528899</v>
      </c>
      <c r="D100" s="14" t="s">
        <v>883</v>
      </c>
      <c r="E100" s="14" t="s">
        <v>1457</v>
      </c>
      <c r="F100" s="14" t="s">
        <v>19121</v>
      </c>
      <c r="G100" s="22" t="s">
        <v>4706</v>
      </c>
      <c r="H100" s="22" t="s">
        <v>19430</v>
      </c>
      <c r="I100" s="14" t="s">
        <v>88</v>
      </c>
      <c r="J100" s="14">
        <v>1</v>
      </c>
      <c r="K100" s="14">
        <v>1</v>
      </c>
      <c r="L100" s="14" t="s">
        <v>19431</v>
      </c>
      <c r="M100" s="14" t="s">
        <v>1434</v>
      </c>
      <c r="N100" s="14" t="s">
        <v>19432</v>
      </c>
      <c r="O100" s="14" t="s">
        <v>19433</v>
      </c>
      <c r="P100" s="14" t="str">
        <f>HYPERLINK("https://dexscreener.com/solana/AVWsE5PJv3oZPzmurvD6cSwvS1x7bPhj1nFz2LMHFxoK", "View")</f>
        <v>View</v>
      </c>
    </row>
    <row r="101" spans="1:16" x14ac:dyDescent="0.25">
      <c r="A101" s="16" t="s">
        <v>234</v>
      </c>
      <c r="B101" s="17">
        <v>2054305</v>
      </c>
      <c r="C101" s="17">
        <v>2054305</v>
      </c>
      <c r="D101" s="17" t="s">
        <v>913</v>
      </c>
      <c r="E101" s="17" t="s">
        <v>2390</v>
      </c>
      <c r="F101" s="17" t="s">
        <v>19434</v>
      </c>
      <c r="G101" s="22" t="s">
        <v>19435</v>
      </c>
      <c r="H101" s="22" t="s">
        <v>19436</v>
      </c>
      <c r="I101" s="17" t="s">
        <v>88</v>
      </c>
      <c r="J101" s="17">
        <v>2</v>
      </c>
      <c r="K101" s="17">
        <v>1</v>
      </c>
      <c r="L101" s="17" t="s">
        <v>19437</v>
      </c>
      <c r="M101" s="19" t="s">
        <v>2826</v>
      </c>
      <c r="N101" s="17" t="s">
        <v>19438</v>
      </c>
      <c r="O101" s="17" t="s">
        <v>242</v>
      </c>
      <c r="P101" s="17" t="str">
        <f>HYPERLINK("https://dexscreener.com/solana/GVwpWU5PtJFHS1mH35sHmsRN1XWUwRV3Qo94h5Lepump", "View")</f>
        <v>View</v>
      </c>
    </row>
    <row r="102" spans="1:16" x14ac:dyDescent="0.25">
      <c r="A102" s="13" t="s">
        <v>5877</v>
      </c>
      <c r="B102" s="14">
        <v>8318290</v>
      </c>
      <c r="C102" s="14">
        <v>8318290</v>
      </c>
      <c r="D102" s="14" t="s">
        <v>18041</v>
      </c>
      <c r="E102" s="14" t="s">
        <v>2390</v>
      </c>
      <c r="F102" s="14" t="s">
        <v>9054</v>
      </c>
      <c r="G102" s="20" t="s">
        <v>8541</v>
      </c>
      <c r="H102" s="20" t="s">
        <v>5951</v>
      </c>
      <c r="I102" s="14" t="s">
        <v>88</v>
      </c>
      <c r="J102" s="14">
        <v>2</v>
      </c>
      <c r="K102" s="14">
        <v>1</v>
      </c>
      <c r="L102" s="14" t="s">
        <v>19439</v>
      </c>
      <c r="M102" s="14" t="s">
        <v>1957</v>
      </c>
      <c r="N102" s="14" t="s">
        <v>19440</v>
      </c>
      <c r="O102" s="14" t="s">
        <v>5881</v>
      </c>
      <c r="P102" s="14" t="str">
        <f>HYPERLINK("https://dexscreener.com/solana/BmoisRvhTBiFWuPLNrtEPZEAkdeDNyZgTmQ9jg1Bpump", "View")</f>
        <v>View</v>
      </c>
    </row>
    <row r="103" spans="1:16" x14ac:dyDescent="0.25">
      <c r="A103" s="16" t="s">
        <v>7981</v>
      </c>
      <c r="B103" s="17">
        <v>18467595</v>
      </c>
      <c r="C103" s="17">
        <v>18467595</v>
      </c>
      <c r="D103" s="17" t="s">
        <v>1289</v>
      </c>
      <c r="E103" s="17" t="s">
        <v>19121</v>
      </c>
      <c r="F103" s="17" t="s">
        <v>19441</v>
      </c>
      <c r="G103" s="20" t="s">
        <v>19442</v>
      </c>
      <c r="H103" s="20" t="s">
        <v>19443</v>
      </c>
      <c r="I103" s="17" t="s">
        <v>88</v>
      </c>
      <c r="J103" s="17">
        <v>1</v>
      </c>
      <c r="K103" s="17">
        <v>1</v>
      </c>
      <c r="L103" s="17" t="s">
        <v>19444</v>
      </c>
      <c r="M103" s="17" t="s">
        <v>1448</v>
      </c>
      <c r="N103" s="17" t="s">
        <v>19445</v>
      </c>
      <c r="O103" s="17" t="s">
        <v>19446</v>
      </c>
      <c r="P103" s="17" t="str">
        <f>HYPERLINK("https://photon-sol.tinyastro.io/en/lp/4CaVdzttpJ1ALEeCxsPuMD9fP14YKHm998quUYFspump?handle=676050794bc1b1657a56b", "View")</f>
        <v>View</v>
      </c>
    </row>
    <row r="104" spans="1:16" x14ac:dyDescent="0.25">
      <c r="A104" s="13" t="s">
        <v>19447</v>
      </c>
      <c r="B104" s="14">
        <v>22917088</v>
      </c>
      <c r="C104" s="14">
        <v>3093065</v>
      </c>
      <c r="D104" s="14" t="s">
        <v>7886</v>
      </c>
      <c r="E104" s="14" t="s">
        <v>1267</v>
      </c>
      <c r="F104" s="14" t="s">
        <v>19448</v>
      </c>
      <c r="G104" s="21" t="s">
        <v>19449</v>
      </c>
      <c r="H104" s="21" t="s">
        <v>19450</v>
      </c>
      <c r="I104" s="14" t="s">
        <v>88</v>
      </c>
      <c r="J104" s="14">
        <v>3</v>
      </c>
      <c r="K104" s="14">
        <v>1</v>
      </c>
      <c r="L104" s="14" t="s">
        <v>19451</v>
      </c>
      <c r="M104" s="14" t="s">
        <v>414</v>
      </c>
      <c r="N104" s="14" t="s">
        <v>19452</v>
      </c>
      <c r="O104" s="14" t="s">
        <v>19453</v>
      </c>
      <c r="P104" s="14" t="str">
        <f>HYPERLINK("https://dexscreener.com/solana/7XJiwLDrjzxDYdZipnJXzpr1iDTmK55XixSFAa7JgNEL", "View")</f>
        <v>View</v>
      </c>
    </row>
    <row r="105" spans="1:16" x14ac:dyDescent="0.25">
      <c r="A105" s="16" t="s">
        <v>19454</v>
      </c>
      <c r="B105" s="17">
        <v>9748370</v>
      </c>
      <c r="C105" s="17">
        <v>9748370</v>
      </c>
      <c r="D105" s="17" t="s">
        <v>13664</v>
      </c>
      <c r="E105" s="17" t="s">
        <v>19455</v>
      </c>
      <c r="F105" s="17" t="s">
        <v>19456</v>
      </c>
      <c r="G105" s="20" t="s">
        <v>13342</v>
      </c>
      <c r="H105" s="20" t="s">
        <v>19457</v>
      </c>
      <c r="I105" s="17" t="s">
        <v>88</v>
      </c>
      <c r="J105" s="17">
        <v>1</v>
      </c>
      <c r="K105" s="17">
        <v>1</v>
      </c>
      <c r="L105" s="17" t="s">
        <v>19458</v>
      </c>
      <c r="M105" s="17" t="s">
        <v>132</v>
      </c>
      <c r="N105" s="17" t="s">
        <v>19459</v>
      </c>
      <c r="O105" s="17" t="s">
        <v>19460</v>
      </c>
      <c r="P105" s="17" t="str">
        <f>HYPERLINK("https://dexscreener.com/solana/GmWx66Fa2dgWcUmZCPVTSbW9ujTiGfC9yE5Ns8ivmHF3", "View")</f>
        <v>View</v>
      </c>
    </row>
    <row r="106" spans="1:16" x14ac:dyDescent="0.25">
      <c r="A106" s="13" t="s">
        <v>19461</v>
      </c>
      <c r="B106" s="14">
        <v>222673</v>
      </c>
      <c r="C106" s="14">
        <v>222673</v>
      </c>
      <c r="D106" s="14" t="s">
        <v>883</v>
      </c>
      <c r="E106" s="14" t="s">
        <v>1457</v>
      </c>
      <c r="F106" s="14" t="s">
        <v>9021</v>
      </c>
      <c r="G106" s="22" t="s">
        <v>3060</v>
      </c>
      <c r="H106" s="22" t="s">
        <v>19462</v>
      </c>
      <c r="I106" s="14" t="s">
        <v>88</v>
      </c>
      <c r="J106" s="14">
        <v>1</v>
      </c>
      <c r="K106" s="14">
        <v>1</v>
      </c>
      <c r="L106" s="14" t="s">
        <v>19463</v>
      </c>
      <c r="M106" s="14" t="s">
        <v>788</v>
      </c>
      <c r="N106" s="14" t="s">
        <v>19464</v>
      </c>
      <c r="O106" s="14" t="s">
        <v>19465</v>
      </c>
      <c r="P106" s="14" t="str">
        <f>HYPERLINK("https://dexscreener.com/solana/DGNPWhLVfkEJX16jH25c6y3jQWsdVXKPFx2tD3i9pump", "View")</f>
        <v>View</v>
      </c>
    </row>
    <row r="107" spans="1:16" x14ac:dyDescent="0.25">
      <c r="A107" s="16" t="s">
        <v>19466</v>
      </c>
      <c r="B107" s="17">
        <v>13438285480</v>
      </c>
      <c r="C107" s="17">
        <v>13438285480</v>
      </c>
      <c r="D107" s="17" t="s">
        <v>1281</v>
      </c>
      <c r="E107" s="17" t="s">
        <v>1457</v>
      </c>
      <c r="F107" s="17" t="s">
        <v>9375</v>
      </c>
      <c r="G107" s="20" t="s">
        <v>4252</v>
      </c>
      <c r="H107" s="20" t="s">
        <v>19467</v>
      </c>
      <c r="I107" s="17" t="s">
        <v>88</v>
      </c>
      <c r="J107" s="17">
        <v>1</v>
      </c>
      <c r="K107" s="17">
        <v>1</v>
      </c>
      <c r="L107" s="17" t="s">
        <v>19468</v>
      </c>
      <c r="M107" s="17" t="s">
        <v>132</v>
      </c>
      <c r="N107" s="17" t="s">
        <v>19469</v>
      </c>
      <c r="O107" s="17" t="s">
        <v>19470</v>
      </c>
      <c r="P107" s="17" t="str">
        <f>HYPERLINK("https://dexscreener.com/solana/FY1iCDtf1zxsRSsDqeybryLXvQg7K9huMRGVDmCRNwa3", "View")</f>
        <v>View</v>
      </c>
    </row>
    <row r="108" spans="1:16" x14ac:dyDescent="0.25">
      <c r="A108" s="13" t="s">
        <v>19471</v>
      </c>
      <c r="B108" s="14">
        <v>9206928</v>
      </c>
      <c r="C108" s="14">
        <v>3912944</v>
      </c>
      <c r="D108" s="14" t="s">
        <v>8191</v>
      </c>
      <c r="E108" s="14" t="s">
        <v>1457</v>
      </c>
      <c r="F108" s="14" t="s">
        <v>19472</v>
      </c>
      <c r="G108" s="21" t="s">
        <v>8165</v>
      </c>
      <c r="H108" s="21" t="s">
        <v>19473</v>
      </c>
      <c r="I108" s="14" t="s">
        <v>88</v>
      </c>
      <c r="J108" s="14">
        <v>1</v>
      </c>
      <c r="K108" s="14">
        <v>1</v>
      </c>
      <c r="L108" s="14" t="s">
        <v>19474</v>
      </c>
      <c r="M108" s="14" t="s">
        <v>699</v>
      </c>
      <c r="N108" s="14" t="s">
        <v>19475</v>
      </c>
      <c r="O108" s="14" t="s">
        <v>19476</v>
      </c>
      <c r="P108" s="14" t="str">
        <f>HYPERLINK("https://dexscreener.com/solana/GSHfEbqXbUfWg7vHhQFHdPkyiQNh47mehGDh5NeNpump", "View")</f>
        <v>View</v>
      </c>
    </row>
    <row r="109" spans="1:16" x14ac:dyDescent="0.25">
      <c r="A109" s="16" t="s">
        <v>19477</v>
      </c>
      <c r="B109" s="17">
        <v>5117167</v>
      </c>
      <c r="C109" s="17">
        <v>5117167</v>
      </c>
      <c r="D109" s="17" t="s">
        <v>1372</v>
      </c>
      <c r="E109" s="17" t="s">
        <v>2200</v>
      </c>
      <c r="F109" s="17" t="s">
        <v>3750</v>
      </c>
      <c r="G109" s="20" t="s">
        <v>14673</v>
      </c>
      <c r="H109" s="20" t="s">
        <v>19478</v>
      </c>
      <c r="I109" s="17" t="s">
        <v>88</v>
      </c>
      <c r="J109" s="17">
        <v>1</v>
      </c>
      <c r="K109" s="17">
        <v>1</v>
      </c>
      <c r="L109" s="17" t="s">
        <v>19479</v>
      </c>
      <c r="M109" s="17" t="s">
        <v>414</v>
      </c>
      <c r="N109" s="17" t="s">
        <v>644</v>
      </c>
      <c r="O109" s="17" t="s">
        <v>19480</v>
      </c>
      <c r="P109" s="17" t="str">
        <f>HYPERLINK("https://dexscreener.com/solana/39uTeePcfcQBJe7VCWL3s5DXJz7n1FRajMB69Ejrpump", "View")</f>
        <v>View</v>
      </c>
    </row>
    <row r="110" spans="1:16" x14ac:dyDescent="0.25">
      <c r="A110" s="13" t="s">
        <v>19481</v>
      </c>
      <c r="B110" s="14">
        <v>3854767</v>
      </c>
      <c r="C110" s="14">
        <v>3854767</v>
      </c>
      <c r="D110" s="14" t="s">
        <v>1372</v>
      </c>
      <c r="E110" s="14" t="s">
        <v>1457</v>
      </c>
      <c r="F110" s="14" t="s">
        <v>19482</v>
      </c>
      <c r="G110" s="20" t="s">
        <v>13754</v>
      </c>
      <c r="H110" s="20" t="s">
        <v>19483</v>
      </c>
      <c r="I110" s="14" t="s">
        <v>88</v>
      </c>
      <c r="J110" s="14">
        <v>1</v>
      </c>
      <c r="K110" s="14">
        <v>2</v>
      </c>
      <c r="L110" s="14" t="s">
        <v>19484</v>
      </c>
      <c r="M110" s="14" t="s">
        <v>132</v>
      </c>
      <c r="N110" s="14" t="s">
        <v>19485</v>
      </c>
      <c r="O110" s="14" t="s">
        <v>19486</v>
      </c>
      <c r="P110" s="14" t="str">
        <f>HYPERLINK("https://dexscreener.com/solana/6iZjpBJPmwBEfJKoG6fKJkJHgn19U5gizLVdyh4vpump", "View")</f>
        <v>View</v>
      </c>
    </row>
    <row r="111" spans="1:16" x14ac:dyDescent="0.25">
      <c r="A111" s="16" t="s">
        <v>19487</v>
      </c>
      <c r="B111" s="17">
        <v>9601979</v>
      </c>
      <c r="C111" s="17">
        <v>0</v>
      </c>
      <c r="D111" s="17" t="s">
        <v>19488</v>
      </c>
      <c r="E111" s="17" t="s">
        <v>19489</v>
      </c>
      <c r="F111" s="17" t="s">
        <v>96</v>
      </c>
      <c r="G111" s="18" t="s">
        <v>19490</v>
      </c>
      <c r="H111" s="18" t="s">
        <v>98</v>
      </c>
      <c r="I111" s="17" t="s">
        <v>19491</v>
      </c>
      <c r="J111" s="17">
        <v>1</v>
      </c>
      <c r="K111" s="17">
        <v>0</v>
      </c>
      <c r="L111" s="17" t="s">
        <v>19492</v>
      </c>
      <c r="M111" s="19" t="s">
        <v>101</v>
      </c>
      <c r="N111" s="17" t="s">
        <v>19493</v>
      </c>
      <c r="O111" s="17" t="s">
        <v>19494</v>
      </c>
      <c r="P111" s="17" t="str">
        <f>HYPERLINK("https://photon-sol.tinyastro.io/en/lp/GCkgnJ4rfauRomni43MprzRmUAYW6oVKBCuL1SzWpump?handle=676050794bc1b1657a56b", "View")</f>
        <v>View</v>
      </c>
    </row>
    <row r="112" spans="1:16" x14ac:dyDescent="0.25">
      <c r="A112" s="13" t="s">
        <v>19495</v>
      </c>
      <c r="B112" s="14">
        <v>4594128</v>
      </c>
      <c r="C112" s="14">
        <v>0</v>
      </c>
      <c r="D112" s="14" t="s">
        <v>864</v>
      </c>
      <c r="E112" s="14" t="s">
        <v>1457</v>
      </c>
      <c r="F112" s="14" t="s">
        <v>96</v>
      </c>
      <c r="G112" s="18" t="s">
        <v>1458</v>
      </c>
      <c r="H112" s="18" t="s">
        <v>98</v>
      </c>
      <c r="I112" s="14" t="s">
        <v>19496</v>
      </c>
      <c r="J112" s="14">
        <v>1</v>
      </c>
      <c r="K112" s="14">
        <v>0</v>
      </c>
      <c r="L112" s="14" t="s">
        <v>19497</v>
      </c>
      <c r="M112" s="19" t="s">
        <v>101</v>
      </c>
      <c r="N112" s="14" t="s">
        <v>19498</v>
      </c>
      <c r="O112" s="14" t="s">
        <v>19499</v>
      </c>
      <c r="P112" s="14" t="str">
        <f>HYPERLINK("https://dexscreener.com/solana/2Kg4W6C6dhGGYHjrn6pMYpjDdbXN2T3gYNJ2PApspump", "View")</f>
        <v>View</v>
      </c>
    </row>
    <row r="113" spans="1:16" x14ac:dyDescent="0.25">
      <c r="A113" s="16" t="s">
        <v>19500</v>
      </c>
      <c r="B113" s="17">
        <v>920995</v>
      </c>
      <c r="C113" s="17">
        <v>920995</v>
      </c>
      <c r="D113" s="17" t="s">
        <v>1289</v>
      </c>
      <c r="E113" s="17" t="s">
        <v>1457</v>
      </c>
      <c r="F113" s="17" t="s">
        <v>13255</v>
      </c>
      <c r="G113" s="20" t="s">
        <v>8279</v>
      </c>
      <c r="H113" s="20" t="s">
        <v>19501</v>
      </c>
      <c r="I113" s="17" t="s">
        <v>88</v>
      </c>
      <c r="J113" s="17">
        <v>1</v>
      </c>
      <c r="K113" s="17">
        <v>1</v>
      </c>
      <c r="L113" s="17" t="s">
        <v>19502</v>
      </c>
      <c r="M113" s="17" t="s">
        <v>1448</v>
      </c>
      <c r="N113" s="17" t="s">
        <v>19503</v>
      </c>
      <c r="O113" s="17" t="s">
        <v>19504</v>
      </c>
      <c r="P113" s="17" t="str">
        <f>HYPERLINK("https://dexscreener.com/solana/PrsARm8CKbv5osQ33absu47rEnpfYUyBaUckbD7pump", "View")</f>
        <v>View</v>
      </c>
    </row>
    <row r="114" spans="1:16" x14ac:dyDescent="0.25">
      <c r="A114" s="13" t="s">
        <v>19505</v>
      </c>
      <c r="B114" s="14">
        <v>44043997</v>
      </c>
      <c r="C114" s="14">
        <v>44043997</v>
      </c>
      <c r="D114" s="14" t="s">
        <v>913</v>
      </c>
      <c r="E114" s="14" t="s">
        <v>1179</v>
      </c>
      <c r="F114" s="14" t="s">
        <v>8742</v>
      </c>
      <c r="G114" s="15" t="s">
        <v>19506</v>
      </c>
      <c r="H114" s="15" t="s">
        <v>19507</v>
      </c>
      <c r="I114" s="14" t="s">
        <v>88</v>
      </c>
      <c r="J114" s="14">
        <v>2</v>
      </c>
      <c r="K114" s="14">
        <v>1</v>
      </c>
      <c r="L114" s="14" t="s">
        <v>19508</v>
      </c>
      <c r="M114" s="14" t="s">
        <v>5702</v>
      </c>
      <c r="N114" s="14" t="s">
        <v>19509</v>
      </c>
      <c r="O114" s="14" t="s">
        <v>19510</v>
      </c>
      <c r="P114" s="14" t="str">
        <f>HYPERLINK("https://photon-sol.tinyastro.io/en/lp/9c8tdGQLcugSApguqsVYpAj9jvTJ2hzszfaeJh3Dpump?handle=676050794bc1b1657a56b", "View")</f>
        <v>View</v>
      </c>
    </row>
    <row r="115" spans="1:16" x14ac:dyDescent="0.25">
      <c r="A115" s="16" t="s">
        <v>11841</v>
      </c>
      <c r="B115" s="17">
        <v>401908546</v>
      </c>
      <c r="C115" s="17">
        <v>401908546</v>
      </c>
      <c r="D115" s="17" t="s">
        <v>883</v>
      </c>
      <c r="E115" s="17" t="s">
        <v>1457</v>
      </c>
      <c r="F115" s="17" t="s">
        <v>8951</v>
      </c>
      <c r="G115" s="22" t="s">
        <v>5753</v>
      </c>
      <c r="H115" s="22" t="s">
        <v>19511</v>
      </c>
      <c r="I115" s="17" t="s">
        <v>88</v>
      </c>
      <c r="J115" s="17">
        <v>1</v>
      </c>
      <c r="K115" s="17">
        <v>1</v>
      </c>
      <c r="L115" s="17" t="s">
        <v>19512</v>
      </c>
      <c r="M115" s="17" t="s">
        <v>1448</v>
      </c>
      <c r="N115" s="17" t="s">
        <v>19513</v>
      </c>
      <c r="O115" s="17" t="s">
        <v>11845</v>
      </c>
      <c r="P115" s="17" t="str">
        <f>HYPERLINK("https://dexscreener.com/solana/3cy8N3asQY3WKBWaeBY3MzBQzbD4Mpy1nyGYoYKdNioA", "View")</f>
        <v>View</v>
      </c>
    </row>
    <row r="116" spans="1:16" x14ac:dyDescent="0.25">
      <c r="A116" s="13" t="s">
        <v>1216</v>
      </c>
      <c r="B116" s="14">
        <v>44306839</v>
      </c>
      <c r="C116" s="14">
        <v>44306839</v>
      </c>
      <c r="D116" s="14" t="s">
        <v>1347</v>
      </c>
      <c r="E116" s="14" t="s">
        <v>9444</v>
      </c>
      <c r="F116" s="14" t="s">
        <v>19514</v>
      </c>
      <c r="G116" s="21" t="s">
        <v>16808</v>
      </c>
      <c r="H116" s="21" t="s">
        <v>19515</v>
      </c>
      <c r="I116" s="14" t="s">
        <v>88</v>
      </c>
      <c r="J116" s="14">
        <v>2</v>
      </c>
      <c r="K116" s="14">
        <v>2</v>
      </c>
      <c r="L116" s="14" t="s">
        <v>19516</v>
      </c>
      <c r="M116" s="14" t="s">
        <v>117</v>
      </c>
      <c r="N116" s="14" t="s">
        <v>19517</v>
      </c>
      <c r="O116" s="14" t="s">
        <v>1220</v>
      </c>
      <c r="P116" s="14" t="str">
        <f>HYPERLINK("https://photon-sol.tinyastro.io/en/lp/D1kWoYYgLk9KLkGUh2MUfDFzpnTTyixRqBZX7a1i2MEz?handle=676050794bc1b1657a56b", "View")</f>
        <v>View</v>
      </c>
    </row>
    <row r="117" spans="1:16" x14ac:dyDescent="0.25">
      <c r="A117" s="16" t="s">
        <v>10805</v>
      </c>
      <c r="B117" s="17">
        <v>22123558</v>
      </c>
      <c r="C117" s="17">
        <v>22123558</v>
      </c>
      <c r="D117" s="17" t="s">
        <v>913</v>
      </c>
      <c r="E117" s="17" t="s">
        <v>19128</v>
      </c>
      <c r="F117" s="17" t="s">
        <v>19518</v>
      </c>
      <c r="G117" s="22" t="s">
        <v>14983</v>
      </c>
      <c r="H117" s="22" t="s">
        <v>19519</v>
      </c>
      <c r="I117" s="17" t="s">
        <v>88</v>
      </c>
      <c r="J117" s="17">
        <v>2</v>
      </c>
      <c r="K117" s="17">
        <v>1</v>
      </c>
      <c r="L117" s="17" t="s">
        <v>19520</v>
      </c>
      <c r="M117" s="17" t="s">
        <v>788</v>
      </c>
      <c r="N117" s="17" t="s">
        <v>19521</v>
      </c>
      <c r="O117" s="17" t="s">
        <v>10808</v>
      </c>
      <c r="P117" s="17" t="str">
        <f>HYPERLINK("https://photon-sol.tinyastro.io/en/lp/HmzD3xcEcc7X8QWXYTyPK6aZnYxAb93tDRdzQEPYY7Hi?handle=676050794bc1b1657a56b", "View")</f>
        <v>View</v>
      </c>
    </row>
    <row r="118" spans="1:16" x14ac:dyDescent="0.25">
      <c r="A118" s="13" t="s">
        <v>19522</v>
      </c>
      <c r="B118" s="14">
        <v>11463393</v>
      </c>
      <c r="C118" s="14">
        <v>11463393</v>
      </c>
      <c r="D118" s="14" t="s">
        <v>1289</v>
      </c>
      <c r="E118" s="14" t="s">
        <v>1457</v>
      </c>
      <c r="F118" s="14" t="s">
        <v>2940</v>
      </c>
      <c r="G118" s="21" t="s">
        <v>19523</v>
      </c>
      <c r="H118" s="21" t="s">
        <v>19524</v>
      </c>
      <c r="I118" s="14" t="s">
        <v>88</v>
      </c>
      <c r="J118" s="14">
        <v>1</v>
      </c>
      <c r="K118" s="14">
        <v>1</v>
      </c>
      <c r="L118" s="14" t="s">
        <v>19525</v>
      </c>
      <c r="M118" s="14" t="s">
        <v>1434</v>
      </c>
      <c r="N118" s="14" t="s">
        <v>19526</v>
      </c>
      <c r="O118" s="14" t="s">
        <v>19527</v>
      </c>
      <c r="P118" s="14" t="str">
        <f>HYPERLINK("https://dexscreener.com/solana/DzeWsBjvXFeVgySccRPv2M2rrdKncY29DyTxHtwvpump", "View")</f>
        <v>View</v>
      </c>
    </row>
    <row r="119" spans="1:16" x14ac:dyDescent="0.25">
      <c r="A119" s="16" t="s">
        <v>17553</v>
      </c>
      <c r="B119" s="17">
        <v>9913476</v>
      </c>
      <c r="C119" s="17">
        <v>9913476</v>
      </c>
      <c r="D119" s="17" t="s">
        <v>883</v>
      </c>
      <c r="E119" s="17" t="s">
        <v>1457</v>
      </c>
      <c r="F119" s="17" t="s">
        <v>18087</v>
      </c>
      <c r="G119" s="20" t="s">
        <v>13456</v>
      </c>
      <c r="H119" s="20" t="s">
        <v>19528</v>
      </c>
      <c r="I119" s="17" t="s">
        <v>88</v>
      </c>
      <c r="J119" s="17">
        <v>1</v>
      </c>
      <c r="K119" s="17">
        <v>1</v>
      </c>
      <c r="L119" s="17" t="s">
        <v>19529</v>
      </c>
      <c r="M119" s="17" t="s">
        <v>1434</v>
      </c>
      <c r="N119" s="17" t="s">
        <v>19530</v>
      </c>
      <c r="O119" s="17" t="s">
        <v>19531</v>
      </c>
      <c r="P119" s="17" t="str">
        <f>HYPERLINK("https://dexscreener.com/solana/5iUY7iEBhayZWLV795JD19wX2xLWPxc8DYTHgJKr3C7q", "View")</f>
        <v>View</v>
      </c>
    </row>
    <row r="120" spans="1:16" x14ac:dyDescent="0.25">
      <c r="A120" s="13" t="s">
        <v>19532</v>
      </c>
      <c r="B120" s="14">
        <v>13662271</v>
      </c>
      <c r="C120" s="14">
        <v>13662271</v>
      </c>
      <c r="D120" s="14" t="s">
        <v>883</v>
      </c>
      <c r="E120" s="14" t="s">
        <v>11619</v>
      </c>
      <c r="F120" s="14" t="s">
        <v>8045</v>
      </c>
      <c r="G120" s="22" t="s">
        <v>4072</v>
      </c>
      <c r="H120" s="22" t="s">
        <v>19533</v>
      </c>
      <c r="I120" s="14" t="s">
        <v>88</v>
      </c>
      <c r="J120" s="14">
        <v>1</v>
      </c>
      <c r="K120" s="14">
        <v>1</v>
      </c>
      <c r="L120" s="14" t="s">
        <v>19534</v>
      </c>
      <c r="M120" s="19" t="s">
        <v>1827</v>
      </c>
      <c r="N120" s="14" t="s">
        <v>19535</v>
      </c>
      <c r="O120" s="14" t="s">
        <v>19536</v>
      </c>
      <c r="P120" s="14" t="str">
        <f>HYPERLINK("https://photon-sol.tinyastro.io/en/lp/9yoF1Z4hviyUhKbCDqxB3QGBcjt2Peq2Bp9xSXv4pump?handle=676050794bc1b1657a56b", "View")</f>
        <v>View</v>
      </c>
    </row>
    <row r="121" spans="1:16" x14ac:dyDescent="0.25">
      <c r="A121" s="16" t="s">
        <v>19537</v>
      </c>
      <c r="B121" s="17">
        <v>3306011</v>
      </c>
      <c r="C121" s="17">
        <v>3306011</v>
      </c>
      <c r="D121" s="17" t="s">
        <v>883</v>
      </c>
      <c r="E121" s="17" t="s">
        <v>1457</v>
      </c>
      <c r="F121" s="17" t="s">
        <v>19538</v>
      </c>
      <c r="G121" s="20" t="s">
        <v>1909</v>
      </c>
      <c r="H121" s="20" t="s">
        <v>19539</v>
      </c>
      <c r="I121" s="17" t="s">
        <v>88</v>
      </c>
      <c r="J121" s="17">
        <v>1</v>
      </c>
      <c r="K121" s="17">
        <v>1</v>
      </c>
      <c r="L121" s="17" t="s">
        <v>19540</v>
      </c>
      <c r="M121" s="17" t="s">
        <v>6235</v>
      </c>
      <c r="N121" s="17" t="s">
        <v>19541</v>
      </c>
      <c r="O121" s="17" t="s">
        <v>19542</v>
      </c>
      <c r="P121" s="17" t="str">
        <f>HYPERLINK("https://dexscreener.com/solana/4YGAZfPGT1ci5ZbqxpoRPfaUvteVYBSDhqk53cM6pawf", "View")</f>
        <v>View</v>
      </c>
    </row>
    <row r="122" spans="1:16" x14ac:dyDescent="0.25">
      <c r="A122" s="13" t="s">
        <v>19543</v>
      </c>
      <c r="B122" s="14">
        <v>13712423</v>
      </c>
      <c r="C122" s="14">
        <v>11757092</v>
      </c>
      <c r="D122" s="14" t="s">
        <v>17388</v>
      </c>
      <c r="E122" s="14" t="s">
        <v>19544</v>
      </c>
      <c r="F122" s="14" t="s">
        <v>19545</v>
      </c>
      <c r="G122" s="21" t="s">
        <v>19546</v>
      </c>
      <c r="H122" s="21" t="s">
        <v>19547</v>
      </c>
      <c r="I122" s="14" t="s">
        <v>88</v>
      </c>
      <c r="J122" s="14">
        <v>1</v>
      </c>
      <c r="K122" s="14">
        <v>18</v>
      </c>
      <c r="L122" s="14" t="s">
        <v>19548</v>
      </c>
      <c r="M122" s="14" t="s">
        <v>4985</v>
      </c>
      <c r="N122" s="14" t="s">
        <v>19549</v>
      </c>
      <c r="O122" s="14" t="s">
        <v>19550</v>
      </c>
      <c r="P122" s="14" t="str">
        <f>HYPERLINK("https://photon-sol.tinyastro.io/en/lp/6CgqwJZEJH7Xerqj3utx3mgFt5X9Rexu5Q97ewDypump?handle=676050794bc1b1657a56b", "View")</f>
        <v>View</v>
      </c>
    </row>
    <row r="123" spans="1:16" x14ac:dyDescent="0.25">
      <c r="A123" s="16" t="s">
        <v>19551</v>
      </c>
      <c r="B123" s="17">
        <v>5639594</v>
      </c>
      <c r="C123" s="17">
        <v>2819797</v>
      </c>
      <c r="D123" s="17" t="s">
        <v>1289</v>
      </c>
      <c r="E123" s="17" t="s">
        <v>1457</v>
      </c>
      <c r="F123" s="17" t="s">
        <v>19455</v>
      </c>
      <c r="G123" s="22" t="s">
        <v>12237</v>
      </c>
      <c r="H123" s="22" t="s">
        <v>19552</v>
      </c>
      <c r="I123" s="17" t="s">
        <v>88</v>
      </c>
      <c r="J123" s="17">
        <v>1</v>
      </c>
      <c r="K123" s="17">
        <v>1</v>
      </c>
      <c r="L123" s="17" t="s">
        <v>19553</v>
      </c>
      <c r="M123" s="17" t="s">
        <v>117</v>
      </c>
      <c r="N123" s="17" t="s">
        <v>19554</v>
      </c>
      <c r="O123" s="17" t="s">
        <v>19555</v>
      </c>
      <c r="P123" s="17" t="str">
        <f>HYPERLINK("https://dexscreener.com/solana/GmAn5J77isuxCGiiAyaEWwNbdiGuabm9oHHHMbMC8Hbr", "View")</f>
        <v>View</v>
      </c>
    </row>
    <row r="124" spans="1:16" x14ac:dyDescent="0.25">
      <c r="A124" s="13" t="s">
        <v>19556</v>
      </c>
      <c r="B124" s="14">
        <v>1441752</v>
      </c>
      <c r="C124" s="14">
        <v>1441752</v>
      </c>
      <c r="D124" s="14" t="s">
        <v>883</v>
      </c>
      <c r="E124" s="14" t="s">
        <v>1007</v>
      </c>
      <c r="F124" s="14" t="s">
        <v>3750</v>
      </c>
      <c r="G124" s="15" t="s">
        <v>3786</v>
      </c>
      <c r="H124" s="15" t="s">
        <v>19557</v>
      </c>
      <c r="I124" s="14" t="s">
        <v>88</v>
      </c>
      <c r="J124" s="14">
        <v>1</v>
      </c>
      <c r="K124" s="14">
        <v>1</v>
      </c>
      <c r="L124" s="14" t="s">
        <v>19558</v>
      </c>
      <c r="M124" s="19" t="s">
        <v>1721</v>
      </c>
      <c r="N124" s="14" t="s">
        <v>19559</v>
      </c>
      <c r="O124" s="14" t="s">
        <v>19560</v>
      </c>
      <c r="P124" s="14" t="str">
        <f>HYPERLINK("https://dexscreener.com/solana/Zx9HDZZthHoG2MFgvvsJBDrtjLQnc4efxc56iDFzzME", "View")</f>
        <v>View</v>
      </c>
    </row>
    <row r="125" spans="1:16" x14ac:dyDescent="0.25">
      <c r="A125" s="16" t="s">
        <v>19561</v>
      </c>
      <c r="B125" s="17">
        <v>2016037</v>
      </c>
      <c r="C125" s="17">
        <v>2016037</v>
      </c>
      <c r="D125" s="17" t="s">
        <v>883</v>
      </c>
      <c r="E125" s="17" t="s">
        <v>1007</v>
      </c>
      <c r="F125" s="17" t="s">
        <v>13605</v>
      </c>
      <c r="G125" s="22" t="s">
        <v>6206</v>
      </c>
      <c r="H125" s="22" t="s">
        <v>19562</v>
      </c>
      <c r="I125" s="17" t="s">
        <v>88</v>
      </c>
      <c r="J125" s="17">
        <v>1</v>
      </c>
      <c r="K125" s="17">
        <v>1</v>
      </c>
      <c r="L125" s="17" t="s">
        <v>19563</v>
      </c>
      <c r="M125" s="17" t="s">
        <v>1434</v>
      </c>
      <c r="N125" s="17" t="s">
        <v>19564</v>
      </c>
      <c r="O125" s="17" t="s">
        <v>19565</v>
      </c>
      <c r="P125" s="17" t="str">
        <f>HYPERLINK("https://dexscreener.com/solana/6LkzKeAnQv5nMbeM2U7XtggywrUtyBuBfPkAbARDpump", "View")</f>
        <v>View</v>
      </c>
    </row>
    <row r="126" spans="1:16" x14ac:dyDescent="0.25">
      <c r="A126" s="13" t="s">
        <v>19566</v>
      </c>
      <c r="B126" s="14">
        <v>3171793</v>
      </c>
      <c r="C126" s="14">
        <v>3171793</v>
      </c>
      <c r="D126" s="14" t="s">
        <v>883</v>
      </c>
      <c r="E126" s="14" t="s">
        <v>1007</v>
      </c>
      <c r="F126" s="14" t="s">
        <v>11265</v>
      </c>
      <c r="G126" s="15" t="s">
        <v>19567</v>
      </c>
      <c r="H126" s="15" t="s">
        <v>3322</v>
      </c>
      <c r="I126" s="14" t="s">
        <v>88</v>
      </c>
      <c r="J126" s="14">
        <v>1</v>
      </c>
      <c r="K126" s="14">
        <v>1</v>
      </c>
      <c r="L126" s="14" t="s">
        <v>19568</v>
      </c>
      <c r="M126" s="19" t="s">
        <v>1856</v>
      </c>
      <c r="N126" s="14" t="s">
        <v>19569</v>
      </c>
      <c r="O126" s="14" t="s">
        <v>19570</v>
      </c>
      <c r="P126" s="14" t="str">
        <f>HYPERLINK("https://dexscreener.com/solana/6Y2esZvvmkT15ksFnvYx9383Fx5wnHYrE9aJxLiRpump", "View")</f>
        <v>View</v>
      </c>
    </row>
    <row r="127" spans="1:16" x14ac:dyDescent="0.25">
      <c r="A127" s="16" t="s">
        <v>19571</v>
      </c>
      <c r="B127" s="17">
        <v>847766</v>
      </c>
      <c r="C127" s="17">
        <v>847766</v>
      </c>
      <c r="D127" s="17" t="s">
        <v>883</v>
      </c>
      <c r="E127" s="17" t="s">
        <v>1007</v>
      </c>
      <c r="F127" s="17" t="s">
        <v>9299</v>
      </c>
      <c r="G127" s="22" t="s">
        <v>3979</v>
      </c>
      <c r="H127" s="22" t="s">
        <v>19572</v>
      </c>
      <c r="I127" s="17" t="s">
        <v>88</v>
      </c>
      <c r="J127" s="17">
        <v>1</v>
      </c>
      <c r="K127" s="17">
        <v>1</v>
      </c>
      <c r="L127" s="17" t="s">
        <v>19573</v>
      </c>
      <c r="M127" s="19" t="s">
        <v>2239</v>
      </c>
      <c r="N127" s="17" t="s">
        <v>19574</v>
      </c>
      <c r="O127" s="17" t="s">
        <v>19575</v>
      </c>
      <c r="P127" s="17" t="str">
        <f>HYPERLINK("https://dexscreener.com/solana/3Rp3hNx6i5oZchWAEAhoApHb71oLQrrQmo8mtyzEpump", "View")</f>
        <v>View</v>
      </c>
    </row>
    <row r="128" spans="1:16" x14ac:dyDescent="0.25">
      <c r="A128" s="13" t="s">
        <v>19576</v>
      </c>
      <c r="B128" s="14">
        <v>1493726</v>
      </c>
      <c r="C128" s="14">
        <v>1493726</v>
      </c>
      <c r="D128" s="14" t="s">
        <v>883</v>
      </c>
      <c r="E128" s="14" t="s">
        <v>1007</v>
      </c>
      <c r="F128" s="14" t="s">
        <v>1361</v>
      </c>
      <c r="G128" s="22" t="s">
        <v>6137</v>
      </c>
      <c r="H128" s="22" t="s">
        <v>19577</v>
      </c>
      <c r="I128" s="14" t="s">
        <v>88</v>
      </c>
      <c r="J128" s="14">
        <v>1</v>
      </c>
      <c r="K128" s="14">
        <v>1</v>
      </c>
      <c r="L128" s="14" t="s">
        <v>19578</v>
      </c>
      <c r="M128" s="14" t="s">
        <v>1434</v>
      </c>
      <c r="N128" s="14" t="s">
        <v>19579</v>
      </c>
      <c r="O128" s="14" t="s">
        <v>19580</v>
      </c>
      <c r="P128" s="14" t="str">
        <f>HYPERLINK("https://dexscreener.com/solana/DaPrVopnA8oUZrf5e7tz4xssL36ZJAekx7RiQzkXpump", "View")</f>
        <v>View</v>
      </c>
    </row>
    <row r="129" spans="1:16" x14ac:dyDescent="0.25">
      <c r="A129" s="16" t="s">
        <v>19566</v>
      </c>
      <c r="B129" s="17">
        <v>31276135</v>
      </c>
      <c r="C129" s="17">
        <v>31276135</v>
      </c>
      <c r="D129" s="17" t="s">
        <v>19233</v>
      </c>
      <c r="E129" s="17" t="s">
        <v>1457</v>
      </c>
      <c r="F129" s="17" t="s">
        <v>2928</v>
      </c>
      <c r="G129" s="15" t="s">
        <v>19581</v>
      </c>
      <c r="H129" s="15" t="s">
        <v>19582</v>
      </c>
      <c r="I129" s="17" t="s">
        <v>88</v>
      </c>
      <c r="J129" s="17">
        <v>1</v>
      </c>
      <c r="K129" s="17">
        <v>1</v>
      </c>
      <c r="L129" s="17" t="s">
        <v>19583</v>
      </c>
      <c r="M129" s="17" t="s">
        <v>602</v>
      </c>
      <c r="N129" s="17" t="s">
        <v>19584</v>
      </c>
      <c r="O129" s="17" t="s">
        <v>19585</v>
      </c>
      <c r="P129" s="17" t="str">
        <f>HYPERLINK("https://dexscreener.com/solana/817UW41dpKWFivRTDsnGZhEUMhFSArEAhnEnfAgFpump", "View")</f>
        <v>View</v>
      </c>
    </row>
    <row r="130" spans="1:16" x14ac:dyDescent="0.25">
      <c r="A130" s="13" t="s">
        <v>19586</v>
      </c>
      <c r="B130" s="14">
        <v>6658354</v>
      </c>
      <c r="C130" s="14">
        <v>6658354</v>
      </c>
      <c r="D130" s="14" t="s">
        <v>913</v>
      </c>
      <c r="E130" s="14" t="s">
        <v>19587</v>
      </c>
      <c r="F130" s="14" t="s">
        <v>4317</v>
      </c>
      <c r="G130" s="22" t="s">
        <v>19588</v>
      </c>
      <c r="H130" s="22" t="s">
        <v>19589</v>
      </c>
      <c r="I130" s="14" t="s">
        <v>88</v>
      </c>
      <c r="J130" s="14">
        <v>2</v>
      </c>
      <c r="K130" s="14">
        <v>1</v>
      </c>
      <c r="L130" s="14" t="s">
        <v>19590</v>
      </c>
      <c r="M130" s="19" t="s">
        <v>2292</v>
      </c>
      <c r="N130" s="14" t="s">
        <v>19591</v>
      </c>
      <c r="O130" s="14" t="s">
        <v>19592</v>
      </c>
      <c r="P130" s="14" t="str">
        <f>HYPERLINK("https://dexscreener.com/solana/Dogg6xWSgkF8KbsHkTWD3Et4J9a8VBLZjrASURXGiLe1", "View")</f>
        <v>View</v>
      </c>
    </row>
    <row r="131" spans="1:16" x14ac:dyDescent="0.25">
      <c r="A131" s="16" t="s">
        <v>19593</v>
      </c>
      <c r="B131" s="17">
        <v>49547831</v>
      </c>
      <c r="C131" s="17">
        <v>49547831</v>
      </c>
      <c r="D131" s="17" t="s">
        <v>1289</v>
      </c>
      <c r="E131" s="17" t="s">
        <v>13732</v>
      </c>
      <c r="F131" s="17" t="s">
        <v>13289</v>
      </c>
      <c r="G131" s="20" t="s">
        <v>19594</v>
      </c>
      <c r="H131" s="20" t="s">
        <v>19595</v>
      </c>
      <c r="I131" s="17" t="s">
        <v>88</v>
      </c>
      <c r="J131" s="17">
        <v>1</v>
      </c>
      <c r="K131" s="17">
        <v>1</v>
      </c>
      <c r="L131" s="17" t="s">
        <v>19596</v>
      </c>
      <c r="M131" s="17" t="s">
        <v>602</v>
      </c>
      <c r="N131" s="17" t="s">
        <v>507</v>
      </c>
      <c r="O131" s="17" t="s">
        <v>19597</v>
      </c>
      <c r="P131" s="17" t="str">
        <f>HYPERLINK("https://photon-sol.tinyastro.io/en/lp/63m8jS5GJ4wsrwJ3CovCscmAADFsv2GYPMBfQZxqpump?handle=676050794bc1b1657a56b", "View")</f>
        <v>View</v>
      </c>
    </row>
    <row r="132" spans="1:16" x14ac:dyDescent="0.25">
      <c r="A132" s="13" t="s">
        <v>19598</v>
      </c>
      <c r="B132" s="14">
        <v>12456450</v>
      </c>
      <c r="C132" s="14">
        <v>12456450</v>
      </c>
      <c r="D132" s="14" t="s">
        <v>19599</v>
      </c>
      <c r="E132" s="14" t="s">
        <v>2390</v>
      </c>
      <c r="F132" s="14" t="s">
        <v>19600</v>
      </c>
      <c r="G132" s="21" t="s">
        <v>19601</v>
      </c>
      <c r="H132" s="21" t="s">
        <v>19602</v>
      </c>
      <c r="I132" s="14" t="s">
        <v>88</v>
      </c>
      <c r="J132" s="14">
        <v>2</v>
      </c>
      <c r="K132" s="14">
        <v>5</v>
      </c>
      <c r="L132" s="14" t="s">
        <v>19603</v>
      </c>
      <c r="M132" s="14" t="s">
        <v>1448</v>
      </c>
      <c r="N132" s="14" t="s">
        <v>19604</v>
      </c>
      <c r="O132" s="14" t="s">
        <v>19605</v>
      </c>
      <c r="P132" s="14" t="str">
        <f>HYPERLINK("https://dexscreener.com/solana/EUqJxtA3Ff2Yq1PBBCAikREf6UKZ78BV7g92SvUnP51U", "View")</f>
        <v>View</v>
      </c>
    </row>
    <row r="133" spans="1:16" x14ac:dyDescent="0.25">
      <c r="A133" s="16" t="s">
        <v>19606</v>
      </c>
      <c r="B133" s="17">
        <v>828430</v>
      </c>
      <c r="C133" s="17">
        <v>828430</v>
      </c>
      <c r="D133" s="17" t="s">
        <v>19607</v>
      </c>
      <c r="E133" s="17" t="s">
        <v>1457</v>
      </c>
      <c r="F133" s="17" t="s">
        <v>19608</v>
      </c>
      <c r="G133" s="22" t="s">
        <v>4217</v>
      </c>
      <c r="H133" s="22" t="s">
        <v>15349</v>
      </c>
      <c r="I133" s="17" t="s">
        <v>88</v>
      </c>
      <c r="J133" s="17">
        <v>1</v>
      </c>
      <c r="K133" s="17">
        <v>2</v>
      </c>
      <c r="L133" s="17" t="s">
        <v>19609</v>
      </c>
      <c r="M133" s="17" t="s">
        <v>602</v>
      </c>
      <c r="N133" s="17" t="s">
        <v>19610</v>
      </c>
      <c r="O133" s="17" t="s">
        <v>19611</v>
      </c>
      <c r="P133" s="17" t="str">
        <f>HYPERLINK("https://dexscreener.com/solana/tkKmj693DMw2HideDFzBuscKH3Jpj5tyNzWo5VKpump", "View")</f>
        <v>View</v>
      </c>
    </row>
    <row r="134" spans="1:16" x14ac:dyDescent="0.25">
      <c r="A134" s="13" t="s">
        <v>1975</v>
      </c>
      <c r="B134" s="14">
        <v>1824916</v>
      </c>
      <c r="C134" s="14">
        <v>1824916</v>
      </c>
      <c r="D134" s="14" t="s">
        <v>883</v>
      </c>
      <c r="E134" s="14" t="s">
        <v>1457</v>
      </c>
      <c r="F134" s="14" t="s">
        <v>14571</v>
      </c>
      <c r="G134" s="20" t="s">
        <v>19612</v>
      </c>
      <c r="H134" s="20" t="s">
        <v>19613</v>
      </c>
      <c r="I134" s="14" t="s">
        <v>88</v>
      </c>
      <c r="J134" s="14">
        <v>1</v>
      </c>
      <c r="K134" s="14">
        <v>1</v>
      </c>
      <c r="L134" s="14" t="s">
        <v>19614</v>
      </c>
      <c r="M134" s="14" t="s">
        <v>1957</v>
      </c>
      <c r="N134" s="14" t="s">
        <v>19615</v>
      </c>
      <c r="O134" s="14" t="s">
        <v>19616</v>
      </c>
      <c r="P134" s="14" t="str">
        <f>HYPERLINK("https://dexscreener.com/solana/GYeGsWZ2q7T4YWrRYVYCV1xvg6n9d1AAoMoPwqppump", "View")</f>
        <v>View</v>
      </c>
    </row>
    <row r="135" spans="1:16" x14ac:dyDescent="0.25">
      <c r="A135" s="16" t="s">
        <v>7423</v>
      </c>
      <c r="B135" s="17">
        <v>4507718</v>
      </c>
      <c r="C135" s="17">
        <v>4507718</v>
      </c>
      <c r="D135" s="17" t="s">
        <v>10387</v>
      </c>
      <c r="E135" s="17" t="s">
        <v>1457</v>
      </c>
      <c r="F135" s="17" t="s">
        <v>19617</v>
      </c>
      <c r="G135" s="22" t="s">
        <v>11809</v>
      </c>
      <c r="H135" s="22" t="s">
        <v>19618</v>
      </c>
      <c r="I135" s="17" t="s">
        <v>88</v>
      </c>
      <c r="J135" s="17">
        <v>1</v>
      </c>
      <c r="K135" s="17">
        <v>1</v>
      </c>
      <c r="L135" s="17" t="s">
        <v>19619</v>
      </c>
      <c r="M135" s="17" t="s">
        <v>1434</v>
      </c>
      <c r="N135" s="17" t="s">
        <v>19620</v>
      </c>
      <c r="O135" s="17" t="s">
        <v>19621</v>
      </c>
      <c r="P135" s="17" t="str">
        <f>HYPERLINK("https://dexscreener.com/solana/GQtWzUGy4E4cjayPkQBdorLBxSQxHSAJCj78Gr22wbgz", "View")</f>
        <v>View</v>
      </c>
    </row>
    <row r="136" spans="1:16" x14ac:dyDescent="0.25">
      <c r="A136" s="13" t="s">
        <v>17651</v>
      </c>
      <c r="B136" s="14">
        <v>8936640</v>
      </c>
      <c r="C136" s="14">
        <v>8936640</v>
      </c>
      <c r="D136" s="14" t="s">
        <v>10387</v>
      </c>
      <c r="E136" s="14" t="s">
        <v>1457</v>
      </c>
      <c r="F136" s="14" t="s">
        <v>3467</v>
      </c>
      <c r="G136" s="20" t="s">
        <v>19594</v>
      </c>
      <c r="H136" s="20" t="s">
        <v>19622</v>
      </c>
      <c r="I136" s="14" t="s">
        <v>88</v>
      </c>
      <c r="J136" s="14">
        <v>1</v>
      </c>
      <c r="K136" s="14">
        <v>1</v>
      </c>
      <c r="L136" s="14" t="s">
        <v>19623</v>
      </c>
      <c r="M136" s="19" t="s">
        <v>2104</v>
      </c>
      <c r="N136" s="14" t="s">
        <v>507</v>
      </c>
      <c r="O136" s="14" t="s">
        <v>19624</v>
      </c>
      <c r="P136" s="14" t="str">
        <f>HYPERLINK("https://dexscreener.com/solana/8dyFJwU2yoi236XVqnCg5wJVAg4pDz6mhoGy2NmJ1oSZ", "View")</f>
        <v>View</v>
      </c>
    </row>
    <row r="137" spans="1:16" x14ac:dyDescent="0.25">
      <c r="A137" s="16" t="s">
        <v>19625</v>
      </c>
      <c r="B137" s="17">
        <v>7313652</v>
      </c>
      <c r="C137" s="17">
        <v>7313652</v>
      </c>
      <c r="D137" s="17" t="s">
        <v>19626</v>
      </c>
      <c r="E137" s="17" t="s">
        <v>2390</v>
      </c>
      <c r="F137" s="17" t="s">
        <v>19627</v>
      </c>
      <c r="G137" s="22" t="s">
        <v>12920</v>
      </c>
      <c r="H137" s="22" t="s">
        <v>19628</v>
      </c>
      <c r="I137" s="17" t="s">
        <v>88</v>
      </c>
      <c r="J137" s="17">
        <v>2</v>
      </c>
      <c r="K137" s="17">
        <v>2</v>
      </c>
      <c r="L137" s="17" t="s">
        <v>19629</v>
      </c>
      <c r="M137" s="17" t="s">
        <v>4922</v>
      </c>
      <c r="N137" s="17" t="s">
        <v>19630</v>
      </c>
      <c r="O137" s="17" t="s">
        <v>19631</v>
      </c>
      <c r="P137" s="17" t="str">
        <f>HYPERLINK("https://dexscreener.com/solana/9LZmD16W9Mw7jJAg8WG5EBpkCoLYJsTPopR6VnTCpump", "View")</f>
        <v>View</v>
      </c>
    </row>
    <row r="138" spans="1:16" x14ac:dyDescent="0.25">
      <c r="A138" s="13" t="s">
        <v>19632</v>
      </c>
      <c r="B138" s="14">
        <v>4755490</v>
      </c>
      <c r="C138" s="14">
        <v>4755490</v>
      </c>
      <c r="D138" s="14" t="s">
        <v>19633</v>
      </c>
      <c r="E138" s="14" t="s">
        <v>1630</v>
      </c>
      <c r="F138" s="14" t="s">
        <v>19634</v>
      </c>
      <c r="G138" s="22" t="s">
        <v>2044</v>
      </c>
      <c r="H138" s="22" t="s">
        <v>12496</v>
      </c>
      <c r="I138" s="14" t="s">
        <v>88</v>
      </c>
      <c r="J138" s="14">
        <v>6</v>
      </c>
      <c r="K138" s="14">
        <v>5</v>
      </c>
      <c r="L138" s="14" t="s">
        <v>19635</v>
      </c>
      <c r="M138" s="14" t="s">
        <v>7661</v>
      </c>
      <c r="N138" s="14" t="s">
        <v>19636</v>
      </c>
      <c r="O138" s="14" t="s">
        <v>19637</v>
      </c>
      <c r="P138" s="14" t="str">
        <f>HYPERLINK("https://dexscreener.com/solana/82QjqWG4Fyk2FGQF8j1qzKRdr6416J6KLWtmeWbSpump", "View")</f>
        <v>View</v>
      </c>
    </row>
    <row r="139" spans="1:16" x14ac:dyDescent="0.25">
      <c r="A139" s="16" t="s">
        <v>19638</v>
      </c>
      <c r="B139" s="17">
        <v>9053169</v>
      </c>
      <c r="C139" s="17">
        <v>9053169</v>
      </c>
      <c r="D139" s="17" t="s">
        <v>1289</v>
      </c>
      <c r="E139" s="17" t="s">
        <v>1457</v>
      </c>
      <c r="F139" s="17" t="s">
        <v>7838</v>
      </c>
      <c r="G139" s="20" t="s">
        <v>5535</v>
      </c>
      <c r="H139" s="20" t="s">
        <v>19639</v>
      </c>
      <c r="I139" s="17" t="s">
        <v>88</v>
      </c>
      <c r="J139" s="17">
        <v>1</v>
      </c>
      <c r="K139" s="17">
        <v>1</v>
      </c>
      <c r="L139" s="17" t="s">
        <v>19640</v>
      </c>
      <c r="M139" s="17" t="s">
        <v>1957</v>
      </c>
      <c r="N139" s="17" t="s">
        <v>19641</v>
      </c>
      <c r="O139" s="17" t="s">
        <v>19642</v>
      </c>
      <c r="P139" s="17" t="str">
        <f>HYPERLINK("https://dexscreener.com/solana/6oq8ZYYaZJX9V8bxaz46396zRNBcpjRdJpkj3t6Qpump", "View")</f>
        <v>View</v>
      </c>
    </row>
    <row r="140" spans="1:16" x14ac:dyDescent="0.25">
      <c r="A140" s="13" t="s">
        <v>19643</v>
      </c>
      <c r="B140" s="14">
        <v>744389</v>
      </c>
      <c r="C140" s="14">
        <v>744389</v>
      </c>
      <c r="D140" s="14" t="s">
        <v>883</v>
      </c>
      <c r="E140" s="14" t="s">
        <v>1457</v>
      </c>
      <c r="F140" s="14" t="s">
        <v>19644</v>
      </c>
      <c r="G140" s="22" t="s">
        <v>2422</v>
      </c>
      <c r="H140" s="22" t="s">
        <v>19645</v>
      </c>
      <c r="I140" s="14" t="s">
        <v>88</v>
      </c>
      <c r="J140" s="14">
        <v>1</v>
      </c>
      <c r="K140" s="14">
        <v>1</v>
      </c>
      <c r="L140" s="14" t="s">
        <v>19646</v>
      </c>
      <c r="M140" s="14" t="s">
        <v>1434</v>
      </c>
      <c r="N140" s="14" t="s">
        <v>19647</v>
      </c>
      <c r="O140" s="14" t="s">
        <v>19648</v>
      </c>
      <c r="P140" s="14" t="str">
        <f>HYPERLINK("https://dexscreener.com/solana/4amstKcbziHCqwev9esMtRGDTdjHSviiNXT7WtajgjUq", "View")</f>
        <v>View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B867-E155-4CE9-BD7C-029CBA3648AA}">
  <dimension ref="A1:P9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HYPERLINK("https://gmgn.ai/sol/address/E2DpJoKuLoJgbqwWDsALS97HYwuipBv4hY6uwJR7rGFS", "GMGN")</f>
        <v>GMGN</v>
      </c>
    </row>
    <row r="2" spans="1:14" x14ac:dyDescent="0.25">
      <c r="A2" s="3" t="s">
        <v>19649</v>
      </c>
      <c r="B2" s="3" t="s">
        <v>19650</v>
      </c>
      <c r="C2" s="3" t="s">
        <v>7492</v>
      </c>
      <c r="D2" s="3" t="s">
        <v>19651</v>
      </c>
      <c r="E2" s="3" t="s">
        <v>19652</v>
      </c>
      <c r="F2" s="3" t="s">
        <v>19653</v>
      </c>
      <c r="G2" s="3" t="s">
        <v>18</v>
      </c>
      <c r="H2" s="3">
        <v>74</v>
      </c>
      <c r="I2" s="3">
        <v>0</v>
      </c>
      <c r="J2" s="3" t="s">
        <v>4503</v>
      </c>
      <c r="K2" s="3" t="s">
        <v>3180</v>
      </c>
      <c r="L2" s="3">
        <v>30</v>
      </c>
      <c r="M2" s="3">
        <v>60</v>
      </c>
      <c r="N2" s="3" t="str">
        <f>HYPERLINK("https://solscan.io/account/E2DpJoKuLoJgbqwWDsALS97HYwuipBv4hY6uwJR7rGFS", "Solscan")</f>
        <v>Solscan</v>
      </c>
    </row>
    <row r="3" spans="1:14" x14ac:dyDescent="0.25">
      <c r="A3" s="1" t="s">
        <v>21</v>
      </c>
      <c r="B3" s="4" t="s">
        <v>19654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HYPERLINK("https://birdeye.so/profile/E2DpJoKuLoJgbqwWDsALS97HYwuipBv4hY6uwJR7rGFS", "Birdeye")</f>
        <v>Birdeye</v>
      </c>
    </row>
    <row r="4" spans="1:14" x14ac:dyDescent="0.25">
      <c r="A4" s="1" t="s">
        <v>25</v>
      </c>
      <c r="B4" s="3" t="s">
        <v>19655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2007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3</v>
      </c>
      <c r="D10" s="1">
        <v>1</v>
      </c>
      <c r="E10" s="1">
        <v>24</v>
      </c>
      <c r="F10" s="1">
        <v>26</v>
      </c>
      <c r="G10" s="1">
        <v>18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2008</v>
      </c>
      <c r="C11" s="1" t="s">
        <v>16596</v>
      </c>
      <c r="D11" s="1" t="s">
        <v>19656</v>
      </c>
      <c r="E11" s="1" t="s">
        <v>19657</v>
      </c>
      <c r="F11" s="1" t="s">
        <v>19658</v>
      </c>
      <c r="G11" s="1" t="s">
        <v>19659</v>
      </c>
      <c r="H11" s="3"/>
      <c r="I11" s="3" t="s">
        <v>50</v>
      </c>
      <c r="J11" s="3" t="s">
        <v>19660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19661</v>
      </c>
      <c r="C12" s="1" t="s">
        <v>19662</v>
      </c>
      <c r="D12" s="1" t="s">
        <v>19663</v>
      </c>
      <c r="E12" s="1" t="s">
        <v>19664</v>
      </c>
      <c r="F12" s="1" t="s">
        <v>19665</v>
      </c>
      <c r="G12" s="1" t="s">
        <v>19666</v>
      </c>
      <c r="H12" s="3"/>
      <c r="I12" s="3" t="s">
        <v>59</v>
      </c>
      <c r="J12" s="3" t="s">
        <v>16601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19667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7497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19668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18132</v>
      </c>
      <c r="B20" s="14">
        <v>12728840</v>
      </c>
      <c r="C20" s="14">
        <v>12728840</v>
      </c>
      <c r="D20" s="14" t="s">
        <v>19669</v>
      </c>
      <c r="E20" s="14" t="s">
        <v>19670</v>
      </c>
      <c r="F20" s="14" t="s">
        <v>9657</v>
      </c>
      <c r="G20" s="15" t="s">
        <v>19671</v>
      </c>
      <c r="H20" s="15" t="s">
        <v>6152</v>
      </c>
      <c r="I20" s="14" t="s">
        <v>88</v>
      </c>
      <c r="J20" s="14">
        <v>3</v>
      </c>
      <c r="K20" s="14">
        <v>1</v>
      </c>
      <c r="L20" s="14" t="s">
        <v>19672</v>
      </c>
      <c r="M20" s="14" t="s">
        <v>6235</v>
      </c>
      <c r="N20" s="14" t="s">
        <v>507</v>
      </c>
      <c r="O20" s="14" t="s">
        <v>18136</v>
      </c>
      <c r="P20" s="14" t="str">
        <f>HYPERLINK("https://photon-sol.tinyastro.io/en/lp/J4ZKbJ33KMDwx68334gztYRT9HF5xSatzuirWY4pS4DQ?handle=676050794bc1b1657a56b", "View")</f>
        <v>View</v>
      </c>
    </row>
    <row r="21" spans="1:16" x14ac:dyDescent="0.25">
      <c r="A21" s="16" t="s">
        <v>19673</v>
      </c>
      <c r="B21" s="17">
        <v>21997322</v>
      </c>
      <c r="C21" s="17">
        <v>21997322</v>
      </c>
      <c r="D21" s="17" t="s">
        <v>19674</v>
      </c>
      <c r="E21" s="17" t="s">
        <v>19675</v>
      </c>
      <c r="F21" s="17" t="s">
        <v>19676</v>
      </c>
      <c r="G21" s="22" t="s">
        <v>19677</v>
      </c>
      <c r="H21" s="22" t="s">
        <v>19678</v>
      </c>
      <c r="I21" s="17" t="s">
        <v>88</v>
      </c>
      <c r="J21" s="17">
        <v>4</v>
      </c>
      <c r="K21" s="17">
        <v>3</v>
      </c>
      <c r="L21" s="17" t="s">
        <v>19679</v>
      </c>
      <c r="M21" s="17" t="s">
        <v>179</v>
      </c>
      <c r="N21" s="17" t="s">
        <v>19680</v>
      </c>
      <c r="O21" s="17" t="s">
        <v>19681</v>
      </c>
      <c r="P21" s="17" t="str">
        <f>HYPERLINK("https://photon-sol.tinyastro.io/en/lp/3M85pJDvorLLtdq9zNcB2r5N36JvBvPpSFrB7pEnpump?handle=676050794bc1b1657a56b", "View")</f>
        <v>View</v>
      </c>
    </row>
    <row r="22" spans="1:16" x14ac:dyDescent="0.25">
      <c r="A22" s="13" t="s">
        <v>19682</v>
      </c>
      <c r="B22" s="14">
        <v>2154896</v>
      </c>
      <c r="C22" s="14">
        <v>2154896</v>
      </c>
      <c r="D22" s="14" t="s">
        <v>19683</v>
      </c>
      <c r="E22" s="14" t="s">
        <v>1007</v>
      </c>
      <c r="F22" s="14" t="s">
        <v>4499</v>
      </c>
      <c r="G22" s="22" t="s">
        <v>6227</v>
      </c>
      <c r="H22" s="22" t="s">
        <v>19684</v>
      </c>
      <c r="I22" s="14" t="s">
        <v>88</v>
      </c>
      <c r="J22" s="14">
        <v>1</v>
      </c>
      <c r="K22" s="14">
        <v>1</v>
      </c>
      <c r="L22" s="14" t="s">
        <v>19685</v>
      </c>
      <c r="M22" s="14" t="s">
        <v>1957</v>
      </c>
      <c r="N22" s="14" t="s">
        <v>19686</v>
      </c>
      <c r="O22" s="14" t="s">
        <v>19687</v>
      </c>
      <c r="P22" s="14" t="str">
        <f>HYPERLINK("https://dexscreener.com/solana/457AAMBTifCBTjSs4yeqAydxbCWunHGvMbbQ5NwGGJ3m", "View")</f>
        <v>View</v>
      </c>
    </row>
    <row r="23" spans="1:16" x14ac:dyDescent="0.25">
      <c r="A23" s="16" t="s">
        <v>19688</v>
      </c>
      <c r="B23" s="17">
        <v>14586033</v>
      </c>
      <c r="C23" s="17">
        <v>14586033</v>
      </c>
      <c r="D23" s="17" t="s">
        <v>19683</v>
      </c>
      <c r="E23" s="17" t="s">
        <v>19689</v>
      </c>
      <c r="F23" s="17" t="s">
        <v>3523</v>
      </c>
      <c r="G23" s="20" t="s">
        <v>7315</v>
      </c>
      <c r="H23" s="20" t="s">
        <v>19690</v>
      </c>
      <c r="I23" s="17" t="s">
        <v>88</v>
      </c>
      <c r="J23" s="17">
        <v>1</v>
      </c>
      <c r="K23" s="17">
        <v>1</v>
      </c>
      <c r="L23" s="17" t="s">
        <v>19691</v>
      </c>
      <c r="M23" s="17" t="s">
        <v>1434</v>
      </c>
      <c r="N23" s="17" t="s">
        <v>19692</v>
      </c>
      <c r="O23" s="17" t="s">
        <v>19693</v>
      </c>
      <c r="P23" s="17" t="str">
        <f>HYPERLINK("https://photon-sol.tinyastro.io/en/lp/2g4MabGp2sTVc71GNeptJyjKVAuGaMiY93RNgVi9pump?handle=676050794bc1b1657a56b", "View")</f>
        <v>View</v>
      </c>
    </row>
    <row r="24" spans="1:16" x14ac:dyDescent="0.25">
      <c r="A24" s="13" t="s">
        <v>19694</v>
      </c>
      <c r="B24" s="14">
        <v>30963988</v>
      </c>
      <c r="C24" s="14">
        <v>30963988</v>
      </c>
      <c r="D24" s="14" t="s">
        <v>19695</v>
      </c>
      <c r="E24" s="14" t="s">
        <v>19696</v>
      </c>
      <c r="F24" s="14" t="s">
        <v>19697</v>
      </c>
      <c r="G24" s="15" t="s">
        <v>19698</v>
      </c>
      <c r="H24" s="15" t="s">
        <v>19699</v>
      </c>
      <c r="I24" s="14" t="s">
        <v>88</v>
      </c>
      <c r="J24" s="14">
        <v>7</v>
      </c>
      <c r="K24" s="14">
        <v>2</v>
      </c>
      <c r="L24" s="14" t="s">
        <v>19700</v>
      </c>
      <c r="M24" s="14" t="s">
        <v>179</v>
      </c>
      <c r="N24" s="14" t="s">
        <v>19701</v>
      </c>
      <c r="O24" s="14" t="s">
        <v>19702</v>
      </c>
      <c r="P24" s="14" t="str">
        <f>HYPERLINK("https://dexscreener.com/solana/5mPMVLVAPGctMY9WKNM1gLUVMWZQbUw9MExUBQpwpump", "View")</f>
        <v>View</v>
      </c>
    </row>
    <row r="25" spans="1:16" x14ac:dyDescent="0.25">
      <c r="A25" s="16" t="s">
        <v>135</v>
      </c>
      <c r="B25" s="17">
        <v>486456</v>
      </c>
      <c r="C25" s="17">
        <v>486456</v>
      </c>
      <c r="D25" s="17" t="s">
        <v>19703</v>
      </c>
      <c r="E25" s="17" t="s">
        <v>2390</v>
      </c>
      <c r="F25" s="17" t="s">
        <v>19704</v>
      </c>
      <c r="G25" s="22" t="s">
        <v>2677</v>
      </c>
      <c r="H25" s="22" t="s">
        <v>19705</v>
      </c>
      <c r="I25" s="17" t="s">
        <v>88</v>
      </c>
      <c r="J25" s="17">
        <v>4</v>
      </c>
      <c r="K25" s="17">
        <v>2</v>
      </c>
      <c r="L25" s="17" t="s">
        <v>19706</v>
      </c>
      <c r="M25" s="17" t="s">
        <v>2113</v>
      </c>
      <c r="N25" s="17" t="s">
        <v>19707</v>
      </c>
      <c r="O25" s="17" t="s">
        <v>143</v>
      </c>
      <c r="P25" s="17" t="str">
        <f>HYPERLINK("https://dexscreener.com/solana/DDxS3mzbFiwPgmpK7j573MDvD7EQj5stPHZ8K8Wppump", "View")</f>
        <v>View</v>
      </c>
    </row>
    <row r="26" spans="1:16" x14ac:dyDescent="0.25">
      <c r="A26" s="13" t="s">
        <v>19708</v>
      </c>
      <c r="B26" s="14">
        <v>29369820</v>
      </c>
      <c r="C26" s="14">
        <v>29369820</v>
      </c>
      <c r="D26" s="14" t="s">
        <v>19683</v>
      </c>
      <c r="E26" s="14" t="s">
        <v>19709</v>
      </c>
      <c r="F26" s="14" t="s">
        <v>2660</v>
      </c>
      <c r="G26" s="20" t="s">
        <v>14118</v>
      </c>
      <c r="H26" s="20" t="s">
        <v>19710</v>
      </c>
      <c r="I26" s="14" t="s">
        <v>88</v>
      </c>
      <c r="J26" s="14">
        <v>1</v>
      </c>
      <c r="K26" s="14">
        <v>1</v>
      </c>
      <c r="L26" s="14" t="s">
        <v>19711</v>
      </c>
      <c r="M26" s="19" t="s">
        <v>2517</v>
      </c>
      <c r="N26" s="14" t="s">
        <v>1011</v>
      </c>
      <c r="O26" s="14" t="s">
        <v>19712</v>
      </c>
      <c r="P26" s="14" t="str">
        <f>HYPERLINK("https://photon-sol.tinyastro.io/en/lp/F5EW3pWErmBgx9YjCHCGccmDSuANjkCw5UAxGTrgpump?handle=676050794bc1b1657a56b", "View")</f>
        <v>View</v>
      </c>
    </row>
    <row r="27" spans="1:16" x14ac:dyDescent="0.25">
      <c r="A27" s="16" t="s">
        <v>19713</v>
      </c>
      <c r="B27" s="17">
        <v>15949843</v>
      </c>
      <c r="C27" s="17">
        <v>15949843</v>
      </c>
      <c r="D27" s="17" t="s">
        <v>19683</v>
      </c>
      <c r="E27" s="17" t="s">
        <v>2243</v>
      </c>
      <c r="F27" s="17" t="s">
        <v>15589</v>
      </c>
      <c r="G27" s="22" t="s">
        <v>4673</v>
      </c>
      <c r="H27" s="22" t="s">
        <v>19714</v>
      </c>
      <c r="I27" s="17" t="s">
        <v>88</v>
      </c>
      <c r="J27" s="17">
        <v>1</v>
      </c>
      <c r="K27" s="17">
        <v>1</v>
      </c>
      <c r="L27" s="17" t="s">
        <v>19715</v>
      </c>
      <c r="M27" s="17" t="s">
        <v>1566</v>
      </c>
      <c r="N27" s="17" t="s">
        <v>2557</v>
      </c>
      <c r="O27" s="17" t="s">
        <v>19716</v>
      </c>
      <c r="P27" s="17" t="str">
        <f>HYPERLINK("https://photon-sol.tinyastro.io/en/lp/BCADLpQJkC9faS5RSrpK4fno3eYvXhxokwLdUzCRpump?handle=676050794bc1b1657a56b", "View")</f>
        <v>View</v>
      </c>
    </row>
    <row r="28" spans="1:16" x14ac:dyDescent="0.25">
      <c r="A28" s="13" t="s">
        <v>19717</v>
      </c>
      <c r="B28" s="14">
        <v>12127224</v>
      </c>
      <c r="C28" s="14">
        <v>12127224</v>
      </c>
      <c r="D28" s="14" t="s">
        <v>19683</v>
      </c>
      <c r="E28" s="14" t="s">
        <v>8634</v>
      </c>
      <c r="F28" s="14" t="s">
        <v>10598</v>
      </c>
      <c r="G28" s="20" t="s">
        <v>7931</v>
      </c>
      <c r="H28" s="20" t="s">
        <v>19718</v>
      </c>
      <c r="I28" s="14" t="s">
        <v>88</v>
      </c>
      <c r="J28" s="14">
        <v>1</v>
      </c>
      <c r="K28" s="14">
        <v>1</v>
      </c>
      <c r="L28" s="14" t="s">
        <v>19719</v>
      </c>
      <c r="M28" s="19" t="s">
        <v>3626</v>
      </c>
      <c r="N28" s="14" t="s">
        <v>14412</v>
      </c>
      <c r="O28" s="14" t="s">
        <v>19720</v>
      </c>
      <c r="P28" s="14" t="str">
        <f>HYPERLINK("https://photon-sol.tinyastro.io/en/lp/8Zj3EuWZ4xDY2taAYRp7zaXizR9aaofrgWbEGzkepump?handle=676050794bc1b1657a56b", "View")</f>
        <v>View</v>
      </c>
    </row>
    <row r="29" spans="1:16" x14ac:dyDescent="0.25">
      <c r="A29" s="16" t="s">
        <v>19721</v>
      </c>
      <c r="B29" s="17">
        <v>18156502</v>
      </c>
      <c r="C29" s="17">
        <v>18156502</v>
      </c>
      <c r="D29" s="17" t="s">
        <v>19683</v>
      </c>
      <c r="E29" s="17" t="s">
        <v>11160</v>
      </c>
      <c r="F29" s="17" t="s">
        <v>19722</v>
      </c>
      <c r="G29" s="22" t="s">
        <v>3859</v>
      </c>
      <c r="H29" s="22" t="s">
        <v>19723</v>
      </c>
      <c r="I29" s="17" t="s">
        <v>88</v>
      </c>
      <c r="J29" s="17">
        <v>1</v>
      </c>
      <c r="K29" s="17">
        <v>1</v>
      </c>
      <c r="L29" s="17" t="s">
        <v>19724</v>
      </c>
      <c r="M29" s="17" t="s">
        <v>1434</v>
      </c>
      <c r="N29" s="17" t="s">
        <v>2459</v>
      </c>
      <c r="O29" s="17" t="s">
        <v>19725</v>
      </c>
      <c r="P29" s="17" t="str">
        <f>HYPERLINK("https://photon-sol.tinyastro.io/en/lp/HJmWxUmgJTAZCs6jQTuC1G4CGQUufiJDo6a39AY9pump?handle=676050794bc1b1657a56b", "View")</f>
        <v>View</v>
      </c>
    </row>
    <row r="30" spans="1:16" x14ac:dyDescent="0.25">
      <c r="A30" s="13" t="s">
        <v>14020</v>
      </c>
      <c r="B30" s="14">
        <v>5364399</v>
      </c>
      <c r="C30" s="14">
        <v>5364399</v>
      </c>
      <c r="D30" s="14" t="s">
        <v>19683</v>
      </c>
      <c r="E30" s="14" t="s">
        <v>1007</v>
      </c>
      <c r="F30" s="14" t="s">
        <v>4031</v>
      </c>
      <c r="G30" s="20" t="s">
        <v>16427</v>
      </c>
      <c r="H30" s="20" t="s">
        <v>13081</v>
      </c>
      <c r="I30" s="14" t="s">
        <v>88</v>
      </c>
      <c r="J30" s="14">
        <v>1</v>
      </c>
      <c r="K30" s="14">
        <v>1</v>
      </c>
      <c r="L30" s="14" t="s">
        <v>19726</v>
      </c>
      <c r="M30" s="14" t="s">
        <v>1448</v>
      </c>
      <c r="N30" s="14" t="s">
        <v>19727</v>
      </c>
      <c r="O30" s="14" t="s">
        <v>14026</v>
      </c>
      <c r="P30" s="14" t="str">
        <f>HYPERLINK("https://dexscreener.com/solana/FEPHYgxr88Mc7jYvYJuq8UrxZEwh3qDBYKLKaQKLpump", "View")</f>
        <v>View</v>
      </c>
    </row>
    <row r="31" spans="1:16" x14ac:dyDescent="0.25">
      <c r="A31" s="16" t="s">
        <v>19728</v>
      </c>
      <c r="B31" s="17">
        <v>7331371</v>
      </c>
      <c r="C31" s="17">
        <v>7331371</v>
      </c>
      <c r="D31" s="17" t="s">
        <v>19683</v>
      </c>
      <c r="E31" s="17" t="s">
        <v>1007</v>
      </c>
      <c r="F31" s="17" t="s">
        <v>15546</v>
      </c>
      <c r="G31" s="15" t="s">
        <v>19729</v>
      </c>
      <c r="H31" s="15" t="s">
        <v>19730</v>
      </c>
      <c r="I31" s="17" t="s">
        <v>88</v>
      </c>
      <c r="J31" s="17">
        <v>1</v>
      </c>
      <c r="K31" s="17">
        <v>1</v>
      </c>
      <c r="L31" s="17" t="s">
        <v>19731</v>
      </c>
      <c r="M31" s="17" t="s">
        <v>1610</v>
      </c>
      <c r="N31" s="17" t="s">
        <v>861</v>
      </c>
      <c r="O31" s="17" t="s">
        <v>19732</v>
      </c>
      <c r="P31" s="17" t="str">
        <f>HYPERLINK("https://dexscreener.com/solana/HdRYGZ8cnW1Nn8EmVVBRm34juimJbVAfT2VjHx2upump", "View")</f>
        <v>View</v>
      </c>
    </row>
    <row r="32" spans="1:16" x14ac:dyDescent="0.25">
      <c r="A32" s="13" t="s">
        <v>11264</v>
      </c>
      <c r="B32" s="14">
        <v>12926939</v>
      </c>
      <c r="C32" s="14">
        <v>12926939</v>
      </c>
      <c r="D32" s="14" t="s">
        <v>19683</v>
      </c>
      <c r="E32" s="14" t="s">
        <v>1007</v>
      </c>
      <c r="F32" s="14" t="s">
        <v>12695</v>
      </c>
      <c r="G32" s="20" t="s">
        <v>4049</v>
      </c>
      <c r="H32" s="20" t="s">
        <v>19733</v>
      </c>
      <c r="I32" s="14" t="s">
        <v>88</v>
      </c>
      <c r="J32" s="14">
        <v>1</v>
      </c>
      <c r="K32" s="14">
        <v>1</v>
      </c>
      <c r="L32" s="14" t="s">
        <v>19734</v>
      </c>
      <c r="M32" s="14" t="s">
        <v>1448</v>
      </c>
      <c r="N32" s="14" t="s">
        <v>19735</v>
      </c>
      <c r="O32" s="14" t="s">
        <v>19736</v>
      </c>
      <c r="P32" s="14" t="str">
        <f>HYPERLINK("https://dexscreener.com/solana/5UBSpwhQYbREDrfC33W2CVEbziymJ3X93y8wy3HKpump", "View")</f>
        <v>View</v>
      </c>
    </row>
    <row r="33" spans="1:16" x14ac:dyDescent="0.25">
      <c r="A33" s="16" t="s">
        <v>19737</v>
      </c>
      <c r="B33" s="17">
        <v>20618398</v>
      </c>
      <c r="C33" s="17">
        <v>20618398</v>
      </c>
      <c r="D33" s="17" t="s">
        <v>19738</v>
      </c>
      <c r="E33" s="17" t="s">
        <v>2390</v>
      </c>
      <c r="F33" s="17" t="s">
        <v>19739</v>
      </c>
      <c r="G33" s="15" t="s">
        <v>19740</v>
      </c>
      <c r="H33" s="15" t="s">
        <v>19741</v>
      </c>
      <c r="I33" s="17" t="s">
        <v>88</v>
      </c>
      <c r="J33" s="17">
        <v>4</v>
      </c>
      <c r="K33" s="17">
        <v>1</v>
      </c>
      <c r="L33" s="17" t="s">
        <v>19742</v>
      </c>
      <c r="M33" s="17" t="s">
        <v>980</v>
      </c>
      <c r="N33" s="17" t="s">
        <v>19743</v>
      </c>
      <c r="O33" s="17" t="s">
        <v>19744</v>
      </c>
      <c r="P33" s="17" t="str">
        <f>HYPERLINK("https://dexscreener.com/solana/58ofVUi8HEDL22i6BMgv4Xycirs7uHgLVqfRiXS7pump", "View")</f>
        <v>View</v>
      </c>
    </row>
    <row r="34" spans="1:16" x14ac:dyDescent="0.25">
      <c r="A34" s="13" t="s">
        <v>8840</v>
      </c>
      <c r="B34" s="14">
        <v>15325192</v>
      </c>
      <c r="C34" s="14">
        <v>15325192</v>
      </c>
      <c r="D34" s="14" t="s">
        <v>19745</v>
      </c>
      <c r="E34" s="14" t="s">
        <v>3404</v>
      </c>
      <c r="F34" s="14" t="s">
        <v>13315</v>
      </c>
      <c r="G34" s="20" t="s">
        <v>19746</v>
      </c>
      <c r="H34" s="20" t="s">
        <v>19747</v>
      </c>
      <c r="I34" s="14" t="s">
        <v>88</v>
      </c>
      <c r="J34" s="14">
        <v>2</v>
      </c>
      <c r="K34" s="14">
        <v>1</v>
      </c>
      <c r="L34" s="14" t="s">
        <v>19748</v>
      </c>
      <c r="M34" s="14" t="s">
        <v>4719</v>
      </c>
      <c r="N34" s="14" t="s">
        <v>19749</v>
      </c>
      <c r="O34" s="14" t="s">
        <v>8848</v>
      </c>
      <c r="P34" s="14" t="str">
        <f>HYPERLINK("https://dexscreener.com/solana/BXEDLp7LmZwswbyFWMCDXvv4KSYLwwEXudFLHpUvpump", "View")</f>
        <v>View</v>
      </c>
    </row>
    <row r="35" spans="1:16" x14ac:dyDescent="0.25">
      <c r="A35" s="16" t="s">
        <v>19750</v>
      </c>
      <c r="B35" s="17">
        <v>9860115</v>
      </c>
      <c r="C35" s="17">
        <v>9860115</v>
      </c>
      <c r="D35" s="17" t="s">
        <v>19683</v>
      </c>
      <c r="E35" s="17" t="s">
        <v>1515</v>
      </c>
      <c r="F35" s="17" t="s">
        <v>12959</v>
      </c>
      <c r="G35" s="20" t="s">
        <v>8279</v>
      </c>
      <c r="H35" s="20" t="s">
        <v>19751</v>
      </c>
      <c r="I35" s="17" t="s">
        <v>88</v>
      </c>
      <c r="J35" s="17">
        <v>1</v>
      </c>
      <c r="K35" s="17">
        <v>1</v>
      </c>
      <c r="L35" s="17" t="s">
        <v>19752</v>
      </c>
      <c r="M35" s="19" t="s">
        <v>1721</v>
      </c>
      <c r="N35" s="17" t="s">
        <v>1973</v>
      </c>
      <c r="O35" s="17" t="s">
        <v>19753</v>
      </c>
      <c r="P35" s="17" t="str">
        <f>HYPERLINK("https://photon-sol.tinyastro.io/en/lp/sDtEU6sj6PAgeEySatrZKWwXqbt81DP9D3gZaCMpump?handle=676050794bc1b1657a56b", "View")</f>
        <v>View</v>
      </c>
    </row>
    <row r="36" spans="1:16" x14ac:dyDescent="0.25">
      <c r="A36" s="13" t="s">
        <v>15828</v>
      </c>
      <c r="B36" s="14">
        <v>10271350</v>
      </c>
      <c r="C36" s="14">
        <v>10271350</v>
      </c>
      <c r="D36" s="14" t="s">
        <v>19738</v>
      </c>
      <c r="E36" s="14" t="s">
        <v>2390</v>
      </c>
      <c r="F36" s="14" t="s">
        <v>19754</v>
      </c>
      <c r="G36" s="20" t="s">
        <v>19755</v>
      </c>
      <c r="H36" s="20" t="s">
        <v>19756</v>
      </c>
      <c r="I36" s="14" t="s">
        <v>88</v>
      </c>
      <c r="J36" s="14">
        <v>4</v>
      </c>
      <c r="K36" s="14">
        <v>1</v>
      </c>
      <c r="L36" s="14" t="s">
        <v>19757</v>
      </c>
      <c r="M36" s="14" t="s">
        <v>656</v>
      </c>
      <c r="N36" s="14" t="s">
        <v>19758</v>
      </c>
      <c r="O36" s="14" t="s">
        <v>15831</v>
      </c>
      <c r="P36" s="14" t="str">
        <f>HYPERLINK("https://dexscreener.com/solana/CLLNTfuCHWAfRzo7utGPcZ6qjcwkDrSVyPVywCUSpump", "View")</f>
        <v>View</v>
      </c>
    </row>
    <row r="37" spans="1:16" x14ac:dyDescent="0.25">
      <c r="A37" s="16" t="s">
        <v>19759</v>
      </c>
      <c r="B37" s="17">
        <v>5967158</v>
      </c>
      <c r="C37" s="17">
        <v>5967158</v>
      </c>
      <c r="D37" s="17" t="s">
        <v>19683</v>
      </c>
      <c r="E37" s="17" t="s">
        <v>19760</v>
      </c>
      <c r="F37" s="17" t="s">
        <v>1298</v>
      </c>
      <c r="G37" s="15" t="s">
        <v>10620</v>
      </c>
      <c r="H37" s="15" t="s">
        <v>15531</v>
      </c>
      <c r="I37" s="17" t="s">
        <v>88</v>
      </c>
      <c r="J37" s="17">
        <v>1</v>
      </c>
      <c r="K37" s="17">
        <v>1</v>
      </c>
      <c r="L37" s="17" t="s">
        <v>19761</v>
      </c>
      <c r="M37" s="17" t="s">
        <v>1932</v>
      </c>
      <c r="N37" s="17" t="s">
        <v>17266</v>
      </c>
      <c r="O37" s="17" t="s">
        <v>19762</v>
      </c>
      <c r="P37" s="17" t="str">
        <f>HYPERLINK("https://photon-sol.tinyastro.io/en/lp/51kmNUKPUWe3R8658Ei6Vv6xhXYosuGXKmLG2r8Epump?handle=676050794bc1b1657a56b", "View")</f>
        <v>View</v>
      </c>
    </row>
    <row r="38" spans="1:16" x14ac:dyDescent="0.25">
      <c r="A38" s="13" t="s">
        <v>6711</v>
      </c>
      <c r="B38" s="14">
        <v>114955</v>
      </c>
      <c r="C38" s="14">
        <v>114955</v>
      </c>
      <c r="D38" s="14" t="s">
        <v>19683</v>
      </c>
      <c r="E38" s="14" t="s">
        <v>1007</v>
      </c>
      <c r="F38" s="14" t="s">
        <v>5635</v>
      </c>
      <c r="G38" s="15" t="s">
        <v>9966</v>
      </c>
      <c r="H38" s="15" t="s">
        <v>19763</v>
      </c>
      <c r="I38" s="14" t="s">
        <v>88</v>
      </c>
      <c r="J38" s="14">
        <v>1</v>
      </c>
      <c r="K38" s="14">
        <v>1</v>
      </c>
      <c r="L38" s="14" t="s">
        <v>19764</v>
      </c>
      <c r="M38" s="14" t="s">
        <v>231</v>
      </c>
      <c r="N38" s="14" t="s">
        <v>19765</v>
      </c>
      <c r="O38" s="14" t="s">
        <v>6717</v>
      </c>
      <c r="P38" s="14" t="str">
        <f>HYPERLINK("https://dexscreener.com/solana/321tt4d8ZCGAdUB9PdB2cMtEL3uaJV4MaCzY2pTQpump", "View")</f>
        <v>View</v>
      </c>
    </row>
    <row r="39" spans="1:16" x14ac:dyDescent="0.25">
      <c r="A39" s="16" t="s">
        <v>5138</v>
      </c>
      <c r="B39" s="17">
        <v>11991638</v>
      </c>
      <c r="C39" s="17">
        <v>11991638</v>
      </c>
      <c r="D39" s="17" t="s">
        <v>19766</v>
      </c>
      <c r="E39" s="17" t="s">
        <v>1457</v>
      </c>
      <c r="F39" s="17" t="s">
        <v>19767</v>
      </c>
      <c r="G39" s="21" t="s">
        <v>19768</v>
      </c>
      <c r="H39" s="21" t="s">
        <v>19769</v>
      </c>
      <c r="I39" s="17" t="s">
        <v>88</v>
      </c>
      <c r="J39" s="17">
        <v>2</v>
      </c>
      <c r="K39" s="17">
        <v>3</v>
      </c>
      <c r="L39" s="17" t="s">
        <v>19770</v>
      </c>
      <c r="M39" s="17" t="s">
        <v>937</v>
      </c>
      <c r="N39" s="17" t="s">
        <v>19771</v>
      </c>
      <c r="O39" s="17" t="s">
        <v>5144</v>
      </c>
      <c r="P39" s="17" t="str">
        <f>HYPERLINK("https://dexscreener.com/solana/ABSLrvYqSfJKhXJGnigaNaEB7rmgsGQH4VZY8Nf2pump", "View")</f>
        <v>View</v>
      </c>
    </row>
    <row r="40" spans="1:16" x14ac:dyDescent="0.25">
      <c r="A40" s="13" t="s">
        <v>19772</v>
      </c>
      <c r="B40" s="14">
        <v>3547066</v>
      </c>
      <c r="C40" s="14">
        <v>3547066</v>
      </c>
      <c r="D40" s="14" t="s">
        <v>14196</v>
      </c>
      <c r="E40" s="14" t="s">
        <v>1007</v>
      </c>
      <c r="F40" s="14" t="s">
        <v>4160</v>
      </c>
      <c r="G40" s="15" t="s">
        <v>18528</v>
      </c>
      <c r="H40" s="15" t="s">
        <v>19773</v>
      </c>
      <c r="I40" s="14" t="s">
        <v>88</v>
      </c>
      <c r="J40" s="14">
        <v>1</v>
      </c>
      <c r="K40" s="14">
        <v>1</v>
      </c>
      <c r="L40" s="14" t="s">
        <v>19774</v>
      </c>
      <c r="M40" s="14" t="s">
        <v>1434</v>
      </c>
      <c r="N40" s="14" t="s">
        <v>18397</v>
      </c>
      <c r="O40" s="14" t="s">
        <v>19775</v>
      </c>
      <c r="P40" s="14" t="str">
        <f>HYPERLINK("https://dexscreener.com/solana/7NjLbkLzSywdXav5DinK9H48h9LLgjVEYJSxfAU1pump", "View")</f>
        <v>View</v>
      </c>
    </row>
    <row r="41" spans="1:16" x14ac:dyDescent="0.25">
      <c r="A41" s="16" t="s">
        <v>12576</v>
      </c>
      <c r="B41" s="17">
        <v>68775</v>
      </c>
      <c r="C41" s="17">
        <v>68775</v>
      </c>
      <c r="D41" s="17" t="s">
        <v>10230</v>
      </c>
      <c r="E41" s="17" t="s">
        <v>1457</v>
      </c>
      <c r="F41" s="17" t="s">
        <v>19776</v>
      </c>
      <c r="G41" s="22" t="s">
        <v>19777</v>
      </c>
      <c r="H41" s="22" t="s">
        <v>19778</v>
      </c>
      <c r="I41" s="17" t="s">
        <v>88</v>
      </c>
      <c r="J41" s="17">
        <v>1</v>
      </c>
      <c r="K41" s="17">
        <v>1</v>
      </c>
      <c r="L41" s="17" t="s">
        <v>19779</v>
      </c>
      <c r="M41" s="17" t="s">
        <v>398</v>
      </c>
      <c r="N41" s="17" t="s">
        <v>19780</v>
      </c>
      <c r="O41" s="17" t="s">
        <v>12583</v>
      </c>
      <c r="P41" s="17" t="str">
        <f>HYPERLINK("https://dexscreener.com/solana/9JhFqCA21MoAXs2PTaeqNQp2XngPn1PgYr2rsEVCpump", "View")</f>
        <v>View</v>
      </c>
    </row>
    <row r="42" spans="1:16" x14ac:dyDescent="0.25">
      <c r="A42" s="13" t="s">
        <v>19781</v>
      </c>
      <c r="B42" s="14">
        <v>24132777</v>
      </c>
      <c r="C42" s="14">
        <v>24132777</v>
      </c>
      <c r="D42" s="14" t="s">
        <v>10230</v>
      </c>
      <c r="E42" s="14" t="s">
        <v>18370</v>
      </c>
      <c r="F42" s="14" t="s">
        <v>19782</v>
      </c>
      <c r="G42" s="22" t="s">
        <v>3439</v>
      </c>
      <c r="H42" s="22" t="s">
        <v>19783</v>
      </c>
      <c r="I42" s="14" t="s">
        <v>88</v>
      </c>
      <c r="J42" s="14">
        <v>1</v>
      </c>
      <c r="K42" s="14">
        <v>1</v>
      </c>
      <c r="L42" s="14" t="s">
        <v>19784</v>
      </c>
      <c r="M42" s="14" t="s">
        <v>1434</v>
      </c>
      <c r="N42" s="14" t="s">
        <v>2316</v>
      </c>
      <c r="O42" s="14" t="s">
        <v>19785</v>
      </c>
      <c r="P42" s="14" t="str">
        <f>HYPERLINK("https://photon-sol.tinyastro.io/en/lp/AD2nQGtybh4H18GgyDmFC5FPiALkFCB6yUrVKQuMpump?handle=676050794bc1b1657a56b", "View")</f>
        <v>View</v>
      </c>
    </row>
    <row r="43" spans="1:16" x14ac:dyDescent="0.25">
      <c r="A43" s="16" t="s">
        <v>19786</v>
      </c>
      <c r="B43" s="17">
        <v>1172783</v>
      </c>
      <c r="C43" s="17">
        <v>1172783</v>
      </c>
      <c r="D43" s="17" t="s">
        <v>10230</v>
      </c>
      <c r="E43" s="17" t="s">
        <v>1457</v>
      </c>
      <c r="F43" s="17" t="s">
        <v>19787</v>
      </c>
      <c r="G43" s="15" t="s">
        <v>19788</v>
      </c>
      <c r="H43" s="15" t="s">
        <v>19789</v>
      </c>
      <c r="I43" s="17" t="s">
        <v>88</v>
      </c>
      <c r="J43" s="17">
        <v>1</v>
      </c>
      <c r="K43" s="17">
        <v>1</v>
      </c>
      <c r="L43" s="17" t="s">
        <v>19790</v>
      </c>
      <c r="M43" s="17" t="s">
        <v>1705</v>
      </c>
      <c r="N43" s="17" t="s">
        <v>19791</v>
      </c>
      <c r="O43" s="17" t="s">
        <v>19792</v>
      </c>
      <c r="P43" s="17" t="str">
        <f>HYPERLINK("https://dexscreener.com/solana/3vaY9DDZSYaLZNyaaSnsR9DHjSdtM2fTCxVLbEdZpump", "View")</f>
        <v>View</v>
      </c>
    </row>
    <row r="44" spans="1:16" x14ac:dyDescent="0.25">
      <c r="A44" s="13" t="s">
        <v>12005</v>
      </c>
      <c r="B44" s="14">
        <v>2570309</v>
      </c>
      <c r="C44" s="14">
        <v>2570309</v>
      </c>
      <c r="D44" s="14" t="s">
        <v>10230</v>
      </c>
      <c r="E44" s="14" t="s">
        <v>1007</v>
      </c>
      <c r="F44" s="14" t="s">
        <v>12488</v>
      </c>
      <c r="G44" s="20" t="s">
        <v>13902</v>
      </c>
      <c r="H44" s="20" t="s">
        <v>19793</v>
      </c>
      <c r="I44" s="14" t="s">
        <v>88</v>
      </c>
      <c r="J44" s="14">
        <v>1</v>
      </c>
      <c r="K44" s="14">
        <v>1</v>
      </c>
      <c r="L44" s="14" t="s">
        <v>19794</v>
      </c>
      <c r="M44" s="19" t="s">
        <v>2479</v>
      </c>
      <c r="N44" s="14" t="s">
        <v>19795</v>
      </c>
      <c r="O44" s="14" t="s">
        <v>15907</v>
      </c>
      <c r="P44" s="14" t="str">
        <f>HYPERLINK("https://dexscreener.com/solana/CGQXaDugWMhqdF9hFa1wyTPh5imtr9XSjMq31h8jpump", "View")</f>
        <v>View</v>
      </c>
    </row>
    <row r="45" spans="1:16" x14ac:dyDescent="0.25">
      <c r="A45" s="16" t="s">
        <v>19796</v>
      </c>
      <c r="B45" s="17">
        <v>2862690</v>
      </c>
      <c r="C45" s="17">
        <v>2862690</v>
      </c>
      <c r="D45" s="17" t="s">
        <v>10230</v>
      </c>
      <c r="E45" s="17" t="s">
        <v>16873</v>
      </c>
      <c r="F45" s="17" t="s">
        <v>15600</v>
      </c>
      <c r="G45" s="22" t="s">
        <v>9395</v>
      </c>
      <c r="H45" s="22" t="s">
        <v>19797</v>
      </c>
      <c r="I45" s="17" t="s">
        <v>88</v>
      </c>
      <c r="J45" s="17">
        <v>1</v>
      </c>
      <c r="K45" s="17">
        <v>1</v>
      </c>
      <c r="L45" s="17" t="s">
        <v>19798</v>
      </c>
      <c r="M45" s="17" t="s">
        <v>602</v>
      </c>
      <c r="N45" s="17" t="s">
        <v>19799</v>
      </c>
      <c r="O45" s="17" t="s">
        <v>19800</v>
      </c>
      <c r="P45" s="17" t="str">
        <f>HYPERLINK("https://photon-sol.tinyastro.io/en/lp/8jepeomB4DBZiRqdSpADfoPdoXWRybCn9q3dDtHDpump?handle=676050794bc1b1657a56b", "View")</f>
        <v>View</v>
      </c>
    </row>
    <row r="46" spans="1:16" x14ac:dyDescent="0.25">
      <c r="A46" s="13" t="s">
        <v>709</v>
      </c>
      <c r="B46" s="14">
        <v>1697459</v>
      </c>
      <c r="C46" s="14">
        <v>1697459</v>
      </c>
      <c r="D46" s="14" t="s">
        <v>1691</v>
      </c>
      <c r="E46" s="14" t="s">
        <v>1457</v>
      </c>
      <c r="F46" s="14" t="s">
        <v>2876</v>
      </c>
      <c r="G46" s="21" t="s">
        <v>19801</v>
      </c>
      <c r="H46" s="21" t="s">
        <v>19802</v>
      </c>
      <c r="I46" s="14" t="s">
        <v>88</v>
      </c>
      <c r="J46" s="14">
        <v>2</v>
      </c>
      <c r="K46" s="14">
        <v>1</v>
      </c>
      <c r="L46" s="14" t="s">
        <v>19803</v>
      </c>
      <c r="M46" s="14" t="s">
        <v>304</v>
      </c>
      <c r="N46" s="14" t="s">
        <v>19804</v>
      </c>
      <c r="O46" s="14" t="s">
        <v>715</v>
      </c>
      <c r="P46" s="14" t="str">
        <f>HYPERLINK("https://dexscreener.com/solana/HFw81sUUPBkNF5tKDanV8VCYTfVY4XbrEEPiwzyypump", "View")</f>
        <v>View</v>
      </c>
    </row>
    <row r="47" spans="1:16" x14ac:dyDescent="0.25">
      <c r="A47" s="16" t="s">
        <v>19805</v>
      </c>
      <c r="B47" s="17">
        <v>21195201</v>
      </c>
      <c r="C47" s="17">
        <v>21195201</v>
      </c>
      <c r="D47" s="17" t="s">
        <v>7153</v>
      </c>
      <c r="E47" s="17" t="s">
        <v>19806</v>
      </c>
      <c r="F47" s="17" t="s">
        <v>11127</v>
      </c>
      <c r="G47" s="22" t="s">
        <v>4951</v>
      </c>
      <c r="H47" s="22" t="s">
        <v>19807</v>
      </c>
      <c r="I47" s="17" t="s">
        <v>88</v>
      </c>
      <c r="J47" s="17">
        <v>1</v>
      </c>
      <c r="K47" s="17">
        <v>2</v>
      </c>
      <c r="L47" s="17" t="s">
        <v>19808</v>
      </c>
      <c r="M47" s="17" t="s">
        <v>1448</v>
      </c>
      <c r="N47" s="17" t="s">
        <v>1011</v>
      </c>
      <c r="O47" s="17" t="s">
        <v>19809</v>
      </c>
      <c r="P47" s="17" t="str">
        <f>HYPERLINK("https://photon-sol.tinyastro.io/en/lp/EdMWYNDe6oRC4y3z2owYUBUJRbJvm7vSn4szMJHZpump?handle=676050794bc1b1657a56b", "View")</f>
        <v>View</v>
      </c>
    </row>
    <row r="48" spans="1:16" x14ac:dyDescent="0.25">
      <c r="A48" s="13" t="s">
        <v>19810</v>
      </c>
      <c r="B48" s="14">
        <v>10360868</v>
      </c>
      <c r="C48" s="14">
        <v>10360868</v>
      </c>
      <c r="D48" s="14" t="s">
        <v>10230</v>
      </c>
      <c r="E48" s="14" t="s">
        <v>19811</v>
      </c>
      <c r="F48" s="14" t="s">
        <v>19812</v>
      </c>
      <c r="G48" s="22" t="s">
        <v>6107</v>
      </c>
      <c r="H48" s="22" t="s">
        <v>19813</v>
      </c>
      <c r="I48" s="14" t="s">
        <v>88</v>
      </c>
      <c r="J48" s="14">
        <v>1</v>
      </c>
      <c r="K48" s="14">
        <v>1</v>
      </c>
      <c r="L48" s="14" t="s">
        <v>19814</v>
      </c>
      <c r="M48" s="14" t="s">
        <v>602</v>
      </c>
      <c r="N48" s="14" t="s">
        <v>19815</v>
      </c>
      <c r="O48" s="14" t="s">
        <v>19816</v>
      </c>
      <c r="P48" s="14" t="str">
        <f>HYPERLINK("https://photon-sol.tinyastro.io/en/lp/2JXMiG6Z7TtdbeL4u6YkegdjkW29NaP6WRb7NotFpump?handle=676050794bc1b1657a56b", "View")</f>
        <v>View</v>
      </c>
    </row>
    <row r="49" spans="1:16" x14ac:dyDescent="0.25">
      <c r="A49" s="16" t="s">
        <v>19817</v>
      </c>
      <c r="B49" s="17">
        <v>6325626</v>
      </c>
      <c r="C49" s="17">
        <v>6325626</v>
      </c>
      <c r="D49" s="17" t="s">
        <v>1646</v>
      </c>
      <c r="E49" s="17" t="s">
        <v>1457</v>
      </c>
      <c r="F49" s="17" t="s">
        <v>19818</v>
      </c>
      <c r="G49" s="15" t="s">
        <v>19819</v>
      </c>
      <c r="H49" s="15" t="s">
        <v>19820</v>
      </c>
      <c r="I49" s="17" t="s">
        <v>88</v>
      </c>
      <c r="J49" s="17">
        <v>2</v>
      </c>
      <c r="K49" s="17">
        <v>1</v>
      </c>
      <c r="L49" s="17" t="s">
        <v>19821</v>
      </c>
      <c r="M49" s="17" t="s">
        <v>8295</v>
      </c>
      <c r="N49" s="17" t="s">
        <v>19822</v>
      </c>
      <c r="O49" s="17" t="s">
        <v>19823</v>
      </c>
      <c r="P49" s="17" t="str">
        <f>HYPERLINK("https://dexscreener.com/solana/8Uta7sNbvr7mXR4bn9zSLW4KaGZn8ULK4GFHPjSCvjmR", "View")</f>
        <v>View</v>
      </c>
    </row>
    <row r="50" spans="1:16" x14ac:dyDescent="0.25">
      <c r="A50" s="13" t="s">
        <v>19824</v>
      </c>
      <c r="B50" s="14">
        <v>12961614</v>
      </c>
      <c r="C50" s="14">
        <v>12961614</v>
      </c>
      <c r="D50" s="14" t="s">
        <v>10230</v>
      </c>
      <c r="E50" s="14" t="s">
        <v>19825</v>
      </c>
      <c r="F50" s="14" t="s">
        <v>13907</v>
      </c>
      <c r="G50" s="20" t="s">
        <v>19826</v>
      </c>
      <c r="H50" s="20" t="s">
        <v>19827</v>
      </c>
      <c r="I50" s="14" t="s">
        <v>88</v>
      </c>
      <c r="J50" s="14">
        <v>1</v>
      </c>
      <c r="K50" s="14">
        <v>1</v>
      </c>
      <c r="L50" s="14" t="s">
        <v>19828</v>
      </c>
      <c r="M50" s="14" t="s">
        <v>1448</v>
      </c>
      <c r="N50" s="14" t="s">
        <v>3901</v>
      </c>
      <c r="O50" s="14" t="s">
        <v>19829</v>
      </c>
      <c r="P50" s="14" t="str">
        <f>HYPERLINK("https://photon-sol.tinyastro.io/en/lp/7rjezVi6x4pmwqSvejsRd9uc3WdrWLyhkJ4QpGgWpump?handle=676050794bc1b1657a56b", "View")</f>
        <v>View</v>
      </c>
    </row>
    <row r="51" spans="1:16" x14ac:dyDescent="0.25">
      <c r="A51" s="16" t="s">
        <v>19830</v>
      </c>
      <c r="B51" s="17">
        <v>4210348</v>
      </c>
      <c r="C51" s="17">
        <v>4210348</v>
      </c>
      <c r="D51" s="17" t="s">
        <v>10230</v>
      </c>
      <c r="E51" s="17" t="s">
        <v>14189</v>
      </c>
      <c r="F51" s="17" t="s">
        <v>12006</v>
      </c>
      <c r="G51" s="20" t="s">
        <v>2726</v>
      </c>
      <c r="H51" s="20" t="s">
        <v>11704</v>
      </c>
      <c r="I51" s="17" t="s">
        <v>88</v>
      </c>
      <c r="J51" s="17">
        <v>1</v>
      </c>
      <c r="K51" s="17">
        <v>1</v>
      </c>
      <c r="L51" s="17" t="s">
        <v>19831</v>
      </c>
      <c r="M51" s="19" t="s">
        <v>2493</v>
      </c>
      <c r="N51" s="17" t="s">
        <v>19832</v>
      </c>
      <c r="O51" s="17" t="s">
        <v>19833</v>
      </c>
      <c r="P51" s="17" t="str">
        <f>HYPERLINK("https://photon-sol.tinyastro.io/en/lp/FT64dAkw8oY44zY16dya4RrZaCFPoTSb9KqxXVtSpump?handle=676050794bc1b1657a56b", "View")</f>
        <v>View</v>
      </c>
    </row>
    <row r="52" spans="1:16" x14ac:dyDescent="0.25">
      <c r="A52" s="13" t="s">
        <v>975</v>
      </c>
      <c r="B52" s="14">
        <v>9605846</v>
      </c>
      <c r="C52" s="14">
        <v>9605846</v>
      </c>
      <c r="D52" s="14" t="s">
        <v>19834</v>
      </c>
      <c r="E52" s="14" t="s">
        <v>2390</v>
      </c>
      <c r="F52" s="14" t="s">
        <v>19835</v>
      </c>
      <c r="G52" s="22" t="s">
        <v>8905</v>
      </c>
      <c r="H52" s="22" t="s">
        <v>19836</v>
      </c>
      <c r="I52" s="14" t="s">
        <v>88</v>
      </c>
      <c r="J52" s="14">
        <v>4</v>
      </c>
      <c r="K52" s="14">
        <v>3</v>
      </c>
      <c r="L52" s="14" t="s">
        <v>19837</v>
      </c>
      <c r="M52" s="14" t="s">
        <v>132</v>
      </c>
      <c r="N52" s="14" t="s">
        <v>19838</v>
      </c>
      <c r="O52" s="14" t="s">
        <v>982</v>
      </c>
      <c r="P52" s="14" t="str">
        <f>HYPERLINK("https://dexscreener.com/solana/PeSuezqPQbB5k8F4Ew2hWoSjZxf1qKdEbri35s1pump", "View")</f>
        <v>View</v>
      </c>
    </row>
    <row r="53" spans="1:16" x14ac:dyDescent="0.25">
      <c r="A53" s="16" t="s">
        <v>817</v>
      </c>
      <c r="B53" s="17">
        <v>3108780</v>
      </c>
      <c r="C53" s="17">
        <v>3108780</v>
      </c>
      <c r="D53" s="17" t="s">
        <v>19839</v>
      </c>
      <c r="E53" s="17" t="s">
        <v>1007</v>
      </c>
      <c r="F53" s="17" t="s">
        <v>19840</v>
      </c>
      <c r="G53" s="21" t="s">
        <v>19841</v>
      </c>
      <c r="H53" s="21" t="s">
        <v>19842</v>
      </c>
      <c r="I53" s="17" t="s">
        <v>88</v>
      </c>
      <c r="J53" s="17">
        <v>1</v>
      </c>
      <c r="K53" s="17">
        <v>6</v>
      </c>
      <c r="L53" s="17" t="s">
        <v>19843</v>
      </c>
      <c r="M53" s="17" t="s">
        <v>5445</v>
      </c>
      <c r="N53" s="17" t="s">
        <v>19844</v>
      </c>
      <c r="O53" s="17" t="s">
        <v>825</v>
      </c>
      <c r="P53" s="17" t="str">
        <f>HYPERLINK("https://dexscreener.com/solana/DwDtUqBZJtbRpdjsFw3N7YKB5epocSru25BGcVhfcYtg", "View")</f>
        <v>View</v>
      </c>
    </row>
    <row r="54" spans="1:16" x14ac:dyDescent="0.25">
      <c r="A54" s="13" t="s">
        <v>12913</v>
      </c>
      <c r="B54" s="14">
        <v>534603</v>
      </c>
      <c r="C54" s="14">
        <v>534603</v>
      </c>
      <c r="D54" s="14" t="s">
        <v>10230</v>
      </c>
      <c r="E54" s="14" t="s">
        <v>2200</v>
      </c>
      <c r="F54" s="14" t="s">
        <v>8485</v>
      </c>
      <c r="G54" s="20" t="s">
        <v>5535</v>
      </c>
      <c r="H54" s="20" t="s">
        <v>13554</v>
      </c>
      <c r="I54" s="14" t="s">
        <v>88</v>
      </c>
      <c r="J54" s="14">
        <v>1</v>
      </c>
      <c r="K54" s="14">
        <v>1</v>
      </c>
      <c r="L54" s="14" t="s">
        <v>19845</v>
      </c>
      <c r="M54" s="14" t="s">
        <v>179</v>
      </c>
      <c r="N54" s="14" t="s">
        <v>19846</v>
      </c>
      <c r="O54" s="14" t="s">
        <v>19847</v>
      </c>
      <c r="P54" s="14" t="str">
        <f>HYPERLINK("https://dexscreener.com/solana/6yDq43NrbnGeVChQv9iPqcAP3uNCc5K459nLeMYbpump", "View")</f>
        <v>View</v>
      </c>
    </row>
    <row r="55" spans="1:16" x14ac:dyDescent="0.25">
      <c r="A55" s="16" t="s">
        <v>724</v>
      </c>
      <c r="B55" s="17">
        <v>4318307</v>
      </c>
      <c r="C55" s="17">
        <v>4318307</v>
      </c>
      <c r="D55" s="17" t="s">
        <v>19848</v>
      </c>
      <c r="E55" s="17" t="s">
        <v>1457</v>
      </c>
      <c r="F55" s="17" t="s">
        <v>19849</v>
      </c>
      <c r="G55" s="21" t="s">
        <v>19850</v>
      </c>
      <c r="H55" s="21" t="s">
        <v>19851</v>
      </c>
      <c r="I55" s="17" t="s">
        <v>88</v>
      </c>
      <c r="J55" s="17">
        <v>2</v>
      </c>
      <c r="K55" s="17">
        <v>4</v>
      </c>
      <c r="L55" s="17" t="s">
        <v>19852</v>
      </c>
      <c r="M55" s="17" t="s">
        <v>277</v>
      </c>
      <c r="N55" s="17" t="s">
        <v>19853</v>
      </c>
      <c r="O55" s="17" t="s">
        <v>731</v>
      </c>
      <c r="P55" s="17" t="str">
        <f>HYPERLINK("https://dexscreener.com/solana/A9e6JzPQstmz94pMnzxgyV14QUqoULSXuf5FPsq8UiRa", "View")</f>
        <v>View</v>
      </c>
    </row>
    <row r="56" spans="1:16" x14ac:dyDescent="0.25">
      <c r="A56" s="13" t="s">
        <v>19854</v>
      </c>
      <c r="B56" s="14">
        <v>348469</v>
      </c>
      <c r="C56" s="14">
        <v>348469</v>
      </c>
      <c r="D56" s="14" t="s">
        <v>8469</v>
      </c>
      <c r="E56" s="14" t="s">
        <v>1007</v>
      </c>
      <c r="F56" s="14" t="s">
        <v>10996</v>
      </c>
      <c r="G56" s="20" t="s">
        <v>3611</v>
      </c>
      <c r="H56" s="20" t="s">
        <v>19855</v>
      </c>
      <c r="I56" s="14" t="s">
        <v>88</v>
      </c>
      <c r="J56" s="14">
        <v>1</v>
      </c>
      <c r="K56" s="14">
        <v>1</v>
      </c>
      <c r="L56" s="14" t="s">
        <v>19856</v>
      </c>
      <c r="M56" s="14" t="s">
        <v>1566</v>
      </c>
      <c r="N56" s="14" t="s">
        <v>19857</v>
      </c>
      <c r="O56" s="14" t="s">
        <v>19858</v>
      </c>
      <c r="P56" s="14" t="str">
        <f>HYPERLINK("https://dexscreener.com/solana/GuwRqNESB6rjuWJa8YsJzoc9WinvWiti7bz3gqUqpump", "View")</f>
        <v>View</v>
      </c>
    </row>
    <row r="57" spans="1:16" x14ac:dyDescent="0.25">
      <c r="A57" s="16" t="s">
        <v>9304</v>
      </c>
      <c r="B57" s="17">
        <v>1140779</v>
      </c>
      <c r="C57" s="17">
        <v>1140779</v>
      </c>
      <c r="D57" s="17" t="s">
        <v>8469</v>
      </c>
      <c r="E57" s="17" t="s">
        <v>1007</v>
      </c>
      <c r="F57" s="17" t="s">
        <v>13611</v>
      </c>
      <c r="G57" s="22" t="s">
        <v>12272</v>
      </c>
      <c r="H57" s="22" t="s">
        <v>19859</v>
      </c>
      <c r="I57" s="17" t="s">
        <v>88</v>
      </c>
      <c r="J57" s="17">
        <v>1</v>
      </c>
      <c r="K57" s="17">
        <v>1</v>
      </c>
      <c r="L57" s="17" t="s">
        <v>19860</v>
      </c>
      <c r="M57" s="17" t="s">
        <v>1434</v>
      </c>
      <c r="N57" s="17" t="s">
        <v>19861</v>
      </c>
      <c r="O57" s="17" t="s">
        <v>9310</v>
      </c>
      <c r="P57" s="17" t="str">
        <f>HYPERLINK("https://dexscreener.com/solana/EuoSVMZbNMfTLVE9rRWtZe7ksCEXgJNW84a2P4LCpump", "View")</f>
        <v>View</v>
      </c>
    </row>
    <row r="58" spans="1:16" x14ac:dyDescent="0.25">
      <c r="A58" s="13" t="s">
        <v>7173</v>
      </c>
      <c r="B58" s="14">
        <v>504786</v>
      </c>
      <c r="C58" s="14">
        <v>504786</v>
      </c>
      <c r="D58" s="14" t="s">
        <v>8469</v>
      </c>
      <c r="E58" s="14" t="s">
        <v>1007</v>
      </c>
      <c r="F58" s="14" t="s">
        <v>19862</v>
      </c>
      <c r="G58" s="22" t="s">
        <v>4945</v>
      </c>
      <c r="H58" s="22" t="s">
        <v>19863</v>
      </c>
      <c r="I58" s="14" t="s">
        <v>88</v>
      </c>
      <c r="J58" s="14">
        <v>1</v>
      </c>
      <c r="K58" s="14">
        <v>1</v>
      </c>
      <c r="L58" s="14" t="s">
        <v>19864</v>
      </c>
      <c r="M58" s="14" t="s">
        <v>3180</v>
      </c>
      <c r="N58" s="14" t="s">
        <v>19865</v>
      </c>
      <c r="O58" s="14" t="s">
        <v>7180</v>
      </c>
      <c r="P58" s="14" t="str">
        <f>HYPERLINK("https://dexscreener.com/solana/2kAK2CWY78zLGtx4msG53HfsCJ59FAeYFWeSvDY7pump", "View")</f>
        <v>View</v>
      </c>
    </row>
    <row r="59" spans="1:16" x14ac:dyDescent="0.25">
      <c r="A59" s="16" t="s">
        <v>19866</v>
      </c>
      <c r="B59" s="17">
        <v>1333262</v>
      </c>
      <c r="C59" s="17">
        <v>1333262</v>
      </c>
      <c r="D59" s="17" t="s">
        <v>8469</v>
      </c>
      <c r="E59" s="17" t="s">
        <v>1007</v>
      </c>
      <c r="F59" s="17" t="s">
        <v>19867</v>
      </c>
      <c r="G59" s="22" t="s">
        <v>5226</v>
      </c>
      <c r="H59" s="22" t="s">
        <v>19868</v>
      </c>
      <c r="I59" s="17" t="s">
        <v>88</v>
      </c>
      <c r="J59" s="17">
        <v>1</v>
      </c>
      <c r="K59" s="17">
        <v>1</v>
      </c>
      <c r="L59" s="17" t="s">
        <v>19869</v>
      </c>
      <c r="M59" s="17" t="s">
        <v>788</v>
      </c>
      <c r="N59" s="17" t="s">
        <v>19870</v>
      </c>
      <c r="O59" s="17" t="s">
        <v>19871</v>
      </c>
      <c r="P59" s="17" t="str">
        <f>HYPERLINK("https://dexscreener.com/solana/s3F676k9yAc2zJBFXuBFXq32nYGAQucyfS9ET2aqikp", "View")</f>
        <v>View</v>
      </c>
    </row>
    <row r="60" spans="1:16" x14ac:dyDescent="0.25">
      <c r="A60" s="13" t="s">
        <v>10277</v>
      </c>
      <c r="B60" s="14">
        <v>2288876</v>
      </c>
      <c r="C60" s="14">
        <v>2288876</v>
      </c>
      <c r="D60" s="14" t="s">
        <v>8469</v>
      </c>
      <c r="E60" s="14" t="s">
        <v>1007</v>
      </c>
      <c r="F60" s="14" t="s">
        <v>3291</v>
      </c>
      <c r="G60" s="22" t="s">
        <v>4989</v>
      </c>
      <c r="H60" s="22" t="s">
        <v>19872</v>
      </c>
      <c r="I60" s="14" t="s">
        <v>88</v>
      </c>
      <c r="J60" s="14">
        <v>1</v>
      </c>
      <c r="K60" s="14">
        <v>1</v>
      </c>
      <c r="L60" s="14" t="s">
        <v>19873</v>
      </c>
      <c r="M60" s="14" t="s">
        <v>602</v>
      </c>
      <c r="N60" s="14" t="s">
        <v>19874</v>
      </c>
      <c r="O60" s="14" t="s">
        <v>10282</v>
      </c>
      <c r="P60" s="14" t="str">
        <f>HYPERLINK("https://dexscreener.com/solana/BEk5erCFDjoVEZYUJV2gJAVrp6CERSEgtY7CsWFYpump", "View")</f>
        <v>View</v>
      </c>
    </row>
    <row r="61" spans="1:16" x14ac:dyDescent="0.25">
      <c r="A61" s="16" t="s">
        <v>10297</v>
      </c>
      <c r="B61" s="17">
        <v>2465955</v>
      </c>
      <c r="C61" s="17">
        <v>2465955</v>
      </c>
      <c r="D61" s="17" t="s">
        <v>8469</v>
      </c>
      <c r="E61" s="17" t="s">
        <v>1007</v>
      </c>
      <c r="F61" s="17" t="s">
        <v>18051</v>
      </c>
      <c r="G61" s="20" t="s">
        <v>19875</v>
      </c>
      <c r="H61" s="20" t="s">
        <v>19876</v>
      </c>
      <c r="I61" s="17" t="s">
        <v>88</v>
      </c>
      <c r="J61" s="17">
        <v>1</v>
      </c>
      <c r="K61" s="17">
        <v>1</v>
      </c>
      <c r="L61" s="17" t="s">
        <v>19877</v>
      </c>
      <c r="M61" s="19" t="s">
        <v>2853</v>
      </c>
      <c r="N61" s="17" t="s">
        <v>19878</v>
      </c>
      <c r="O61" s="17" t="s">
        <v>19879</v>
      </c>
      <c r="P61" s="17" t="str">
        <f>HYPERLINK("https://dexscreener.com/solana/GCEQGw7bMWddpKqgZxTCqxNNXrz8npxv787nVcESpump", "View")</f>
        <v>View</v>
      </c>
    </row>
    <row r="62" spans="1:16" x14ac:dyDescent="0.25">
      <c r="A62" s="13" t="s">
        <v>10297</v>
      </c>
      <c r="B62" s="14">
        <v>1271696</v>
      </c>
      <c r="C62" s="14">
        <v>1271696</v>
      </c>
      <c r="D62" s="14" t="s">
        <v>19880</v>
      </c>
      <c r="E62" s="14" t="s">
        <v>1007</v>
      </c>
      <c r="F62" s="14" t="s">
        <v>15225</v>
      </c>
      <c r="G62" s="21" t="s">
        <v>13565</v>
      </c>
      <c r="H62" s="21" t="s">
        <v>19881</v>
      </c>
      <c r="I62" s="14" t="s">
        <v>88</v>
      </c>
      <c r="J62" s="14">
        <v>1</v>
      </c>
      <c r="K62" s="14">
        <v>2</v>
      </c>
      <c r="L62" s="14" t="s">
        <v>19882</v>
      </c>
      <c r="M62" s="14" t="s">
        <v>3180</v>
      </c>
      <c r="N62" s="14" t="s">
        <v>19883</v>
      </c>
      <c r="O62" s="14" t="s">
        <v>10301</v>
      </c>
      <c r="P62" s="14" t="str">
        <f>HYPERLINK("https://dexscreener.com/solana/6WSppYPevaDEZxdmW2WoHLoSnJMeVyqz8Rqkm8MCpump", "View")</f>
        <v>View</v>
      </c>
    </row>
    <row r="63" spans="1:16" x14ac:dyDescent="0.25">
      <c r="A63" s="16" t="s">
        <v>19884</v>
      </c>
      <c r="B63" s="17">
        <v>9776819</v>
      </c>
      <c r="C63" s="17">
        <v>9776819</v>
      </c>
      <c r="D63" s="17" t="s">
        <v>8469</v>
      </c>
      <c r="E63" s="17" t="s">
        <v>9455</v>
      </c>
      <c r="F63" s="17" t="s">
        <v>13611</v>
      </c>
      <c r="G63" s="22" t="s">
        <v>3503</v>
      </c>
      <c r="H63" s="22" t="s">
        <v>19885</v>
      </c>
      <c r="I63" s="17" t="s">
        <v>88</v>
      </c>
      <c r="J63" s="17">
        <v>1</v>
      </c>
      <c r="K63" s="17">
        <v>1</v>
      </c>
      <c r="L63" s="17" t="s">
        <v>19886</v>
      </c>
      <c r="M63" s="17" t="s">
        <v>1448</v>
      </c>
      <c r="N63" s="17" t="s">
        <v>18295</v>
      </c>
      <c r="O63" s="17" t="s">
        <v>19887</v>
      </c>
      <c r="P63" s="17" t="str">
        <f>HYPERLINK("https://photon-sol.tinyastro.io/en/lp/FeVkS61RagC8GCrgpEqACNjHHS5RiFJaJfJJnJYdpump?handle=676050794bc1b1657a56b", "View")</f>
        <v>View</v>
      </c>
    </row>
    <row r="64" spans="1:16" x14ac:dyDescent="0.25">
      <c r="A64" s="13" t="s">
        <v>19888</v>
      </c>
      <c r="B64" s="14">
        <v>1096865</v>
      </c>
      <c r="C64" s="14">
        <v>1096865</v>
      </c>
      <c r="D64" s="14" t="s">
        <v>8469</v>
      </c>
      <c r="E64" s="14" t="s">
        <v>12098</v>
      </c>
      <c r="F64" s="14" t="s">
        <v>11934</v>
      </c>
      <c r="G64" s="20" t="s">
        <v>17308</v>
      </c>
      <c r="H64" s="20" t="s">
        <v>19889</v>
      </c>
      <c r="I64" s="14" t="s">
        <v>88</v>
      </c>
      <c r="J64" s="14">
        <v>1</v>
      </c>
      <c r="K64" s="14">
        <v>1</v>
      </c>
      <c r="L64" s="14" t="s">
        <v>19890</v>
      </c>
      <c r="M64" s="14" t="s">
        <v>1448</v>
      </c>
      <c r="N64" s="14" t="s">
        <v>19891</v>
      </c>
      <c r="O64" s="14" t="s">
        <v>19892</v>
      </c>
      <c r="P64" s="14" t="str">
        <f>HYPERLINK("https://photon-sol.tinyastro.io/en/lp/GC6PU1pC8SKhEKpvs5QSV8HMrzimjRHg3abxki2hpump?handle=676050794bc1b1657a56b", "View")</f>
        <v>View</v>
      </c>
    </row>
    <row r="65" spans="1:16" x14ac:dyDescent="0.25">
      <c r="A65" s="16" t="s">
        <v>19893</v>
      </c>
      <c r="B65" s="17">
        <v>4480380</v>
      </c>
      <c r="C65" s="17">
        <v>4480380</v>
      </c>
      <c r="D65" s="17" t="s">
        <v>8469</v>
      </c>
      <c r="E65" s="17" t="s">
        <v>3510</v>
      </c>
      <c r="F65" s="17" t="s">
        <v>19894</v>
      </c>
      <c r="G65" s="20" t="s">
        <v>3652</v>
      </c>
      <c r="H65" s="20" t="s">
        <v>19895</v>
      </c>
      <c r="I65" s="17" t="s">
        <v>88</v>
      </c>
      <c r="J65" s="17">
        <v>1</v>
      </c>
      <c r="K65" s="17">
        <v>1</v>
      </c>
      <c r="L65" s="17" t="s">
        <v>19896</v>
      </c>
      <c r="M65" s="19" t="s">
        <v>2805</v>
      </c>
      <c r="N65" s="17" t="s">
        <v>19897</v>
      </c>
      <c r="O65" s="17" t="s">
        <v>19898</v>
      </c>
      <c r="P65" s="17" t="str">
        <f>HYPERLINK("https://photon-sol.tinyastro.io/en/lp/HTz8NdeEZEGNT7niWdkAohgqpFeMZAXmTTP7zkEtpump?handle=676050794bc1b1657a56b", "View")</f>
        <v>View</v>
      </c>
    </row>
    <row r="66" spans="1:16" x14ac:dyDescent="0.25">
      <c r="A66" s="13" t="s">
        <v>3589</v>
      </c>
      <c r="B66" s="14">
        <v>1881289</v>
      </c>
      <c r="C66" s="14">
        <v>1881289</v>
      </c>
      <c r="D66" s="14" t="s">
        <v>8469</v>
      </c>
      <c r="E66" s="14" t="s">
        <v>19899</v>
      </c>
      <c r="F66" s="14" t="s">
        <v>2882</v>
      </c>
      <c r="G66" s="15" t="s">
        <v>5347</v>
      </c>
      <c r="H66" s="15" t="s">
        <v>19900</v>
      </c>
      <c r="I66" s="14" t="s">
        <v>88</v>
      </c>
      <c r="J66" s="14">
        <v>1</v>
      </c>
      <c r="K66" s="14">
        <v>1</v>
      </c>
      <c r="L66" s="14" t="s">
        <v>19901</v>
      </c>
      <c r="M66" s="14" t="s">
        <v>304</v>
      </c>
      <c r="N66" s="14" t="s">
        <v>2069</v>
      </c>
      <c r="O66" s="14" t="s">
        <v>19902</v>
      </c>
      <c r="P66" s="14" t="str">
        <f>HYPERLINK("https://photon-sol.tinyastro.io/en/lp/GgQQqPuSmfurmRCpkYa4egTHcryaeLbxJbSZQLPpump?handle=676050794bc1b1657a56b", "View")</f>
        <v>View</v>
      </c>
    </row>
    <row r="67" spans="1:16" x14ac:dyDescent="0.25">
      <c r="A67" s="16" t="s">
        <v>7922</v>
      </c>
      <c r="B67" s="17">
        <v>118212</v>
      </c>
      <c r="C67" s="17">
        <v>118212</v>
      </c>
      <c r="D67" s="17" t="s">
        <v>8469</v>
      </c>
      <c r="E67" s="17" t="s">
        <v>4679</v>
      </c>
      <c r="F67" s="17" t="s">
        <v>4680</v>
      </c>
      <c r="G67" s="20" t="s">
        <v>6297</v>
      </c>
      <c r="H67" s="20" t="s">
        <v>19903</v>
      </c>
      <c r="I67" s="17" t="s">
        <v>88</v>
      </c>
      <c r="J67" s="17">
        <v>1</v>
      </c>
      <c r="K67" s="17">
        <v>1</v>
      </c>
      <c r="L67" s="17" t="s">
        <v>19904</v>
      </c>
      <c r="M67" s="17" t="s">
        <v>2047</v>
      </c>
      <c r="N67" s="17" t="s">
        <v>19905</v>
      </c>
      <c r="O67" s="17" t="s">
        <v>7929</v>
      </c>
      <c r="P67" s="17" t="str">
        <f>HYPERLINK("https://dexscreener.com/solana/964ssiZnVnZJrjCDvCbBuwgsozW13gmGtJdPWTAwpump", "View")</f>
        <v>View</v>
      </c>
    </row>
    <row r="68" spans="1:16" x14ac:dyDescent="0.25">
      <c r="A68" s="13" t="s">
        <v>7935</v>
      </c>
      <c r="B68" s="14">
        <v>504140</v>
      </c>
      <c r="C68" s="14">
        <v>504140</v>
      </c>
      <c r="D68" s="14" t="s">
        <v>8469</v>
      </c>
      <c r="E68" s="14" t="s">
        <v>19906</v>
      </c>
      <c r="F68" s="14" t="s">
        <v>15901</v>
      </c>
      <c r="G68" s="15" t="s">
        <v>5205</v>
      </c>
      <c r="H68" s="15" t="s">
        <v>19907</v>
      </c>
      <c r="I68" s="14" t="s">
        <v>88</v>
      </c>
      <c r="J68" s="14">
        <v>1</v>
      </c>
      <c r="K68" s="14">
        <v>1</v>
      </c>
      <c r="L68" s="14" t="s">
        <v>19908</v>
      </c>
      <c r="M68" s="14" t="s">
        <v>253</v>
      </c>
      <c r="N68" s="14" t="s">
        <v>19909</v>
      </c>
      <c r="O68" s="14" t="s">
        <v>19910</v>
      </c>
      <c r="P68" s="14" t="str">
        <f>HYPERLINK("https://dexscreener.com/solana/BjNjvabyz9N3qa5KFScViafHXzYytJF6eA3HRsSRpump", "View")</f>
        <v>View</v>
      </c>
    </row>
    <row r="69" spans="1:16" x14ac:dyDescent="0.25">
      <c r="A69" s="16" t="s">
        <v>19911</v>
      </c>
      <c r="B69" s="17">
        <v>156156</v>
      </c>
      <c r="C69" s="17">
        <v>156156</v>
      </c>
      <c r="D69" s="17" t="s">
        <v>8469</v>
      </c>
      <c r="E69" s="17" t="s">
        <v>5459</v>
      </c>
      <c r="F69" s="17" t="s">
        <v>19912</v>
      </c>
      <c r="G69" s="22" t="s">
        <v>19069</v>
      </c>
      <c r="H69" s="22" t="s">
        <v>19913</v>
      </c>
      <c r="I69" s="17" t="s">
        <v>88</v>
      </c>
      <c r="J69" s="17">
        <v>1</v>
      </c>
      <c r="K69" s="17">
        <v>1</v>
      </c>
      <c r="L69" s="17" t="s">
        <v>19914</v>
      </c>
      <c r="M69" s="17" t="s">
        <v>937</v>
      </c>
      <c r="N69" s="17" t="s">
        <v>19915</v>
      </c>
      <c r="O69" s="17" t="s">
        <v>19916</v>
      </c>
      <c r="P69" s="17" t="str">
        <f>HYPERLINK("https://dexscreener.com/solana/vyPu3cip3jEDPqkigX92LcLdwyaFxmbg7UJmSVipump", "View")</f>
        <v>View</v>
      </c>
    </row>
    <row r="70" spans="1:16" x14ac:dyDescent="0.25">
      <c r="A70" s="13" t="s">
        <v>19917</v>
      </c>
      <c r="B70" s="14">
        <v>2893743</v>
      </c>
      <c r="C70" s="14">
        <v>2893743</v>
      </c>
      <c r="D70" s="14" t="s">
        <v>8469</v>
      </c>
      <c r="E70" s="14" t="s">
        <v>17258</v>
      </c>
      <c r="F70" s="14" t="s">
        <v>14983</v>
      </c>
      <c r="G70" s="20" t="s">
        <v>19918</v>
      </c>
      <c r="H70" s="20" t="s">
        <v>19919</v>
      </c>
      <c r="I70" s="14" t="s">
        <v>88</v>
      </c>
      <c r="J70" s="14">
        <v>1</v>
      </c>
      <c r="K70" s="14">
        <v>1</v>
      </c>
      <c r="L70" s="14" t="s">
        <v>19920</v>
      </c>
      <c r="M70" s="14" t="s">
        <v>1957</v>
      </c>
      <c r="N70" s="14" t="s">
        <v>19921</v>
      </c>
      <c r="O70" s="14" t="s">
        <v>19922</v>
      </c>
      <c r="P70" s="14" t="str">
        <f>HYPERLINK("https://photon-sol.tinyastro.io/en/lp/nxUowNwiA4148vaL7T1F4HACQKGtuvqfK7cBXMgpump?handle=676050794bc1b1657a56b", "View")</f>
        <v>View</v>
      </c>
    </row>
    <row r="71" spans="1:16" x14ac:dyDescent="0.25">
      <c r="A71" s="16" t="s">
        <v>19923</v>
      </c>
      <c r="B71" s="17">
        <v>2525262</v>
      </c>
      <c r="C71" s="17">
        <v>2525262</v>
      </c>
      <c r="D71" s="17" t="s">
        <v>8469</v>
      </c>
      <c r="E71" s="17" t="s">
        <v>12695</v>
      </c>
      <c r="F71" s="17" t="s">
        <v>4838</v>
      </c>
      <c r="G71" s="15" t="s">
        <v>19924</v>
      </c>
      <c r="H71" s="15" t="s">
        <v>19925</v>
      </c>
      <c r="I71" s="17" t="s">
        <v>88</v>
      </c>
      <c r="J71" s="17">
        <v>1</v>
      </c>
      <c r="K71" s="17">
        <v>1</v>
      </c>
      <c r="L71" s="17" t="s">
        <v>19926</v>
      </c>
      <c r="M71" s="17" t="s">
        <v>1642</v>
      </c>
      <c r="N71" s="17" t="s">
        <v>19927</v>
      </c>
      <c r="O71" s="17" t="s">
        <v>19928</v>
      </c>
      <c r="P71" s="17" t="str">
        <f>HYPERLINK("https://dexscreener.com/solana/5mBucr58svXiQEaQSrWzGkSCJmc6nb18GEq4R3m4pump", "View")</f>
        <v>View</v>
      </c>
    </row>
    <row r="72" spans="1:16" x14ac:dyDescent="0.25">
      <c r="A72" s="13" t="s">
        <v>10722</v>
      </c>
      <c r="B72" s="14">
        <v>4848</v>
      </c>
      <c r="C72" s="14">
        <v>4848</v>
      </c>
      <c r="D72" s="14" t="s">
        <v>8469</v>
      </c>
      <c r="E72" s="14" t="s">
        <v>4665</v>
      </c>
      <c r="F72" s="14" t="s">
        <v>4014</v>
      </c>
      <c r="G72" s="20" t="s">
        <v>5133</v>
      </c>
      <c r="H72" s="20" t="s">
        <v>19929</v>
      </c>
      <c r="I72" s="14" t="s">
        <v>88</v>
      </c>
      <c r="J72" s="14">
        <v>1</v>
      </c>
      <c r="K72" s="14">
        <v>1</v>
      </c>
      <c r="L72" s="14" t="s">
        <v>19930</v>
      </c>
      <c r="M72" s="14" t="s">
        <v>1434</v>
      </c>
      <c r="N72" s="14" t="s">
        <v>19931</v>
      </c>
      <c r="O72" s="14" t="s">
        <v>10728</v>
      </c>
      <c r="P72" s="14" t="str">
        <f>HYPERLINK("https://dexscreener.com/solana/8wZvGcGePvWEa8tKQUYctMXFSkqS39scozVU9xBVrUjY", "View")</f>
        <v>View</v>
      </c>
    </row>
    <row r="73" spans="1:16" x14ac:dyDescent="0.25">
      <c r="A73" s="16" t="s">
        <v>18718</v>
      </c>
      <c r="B73" s="17">
        <v>26890</v>
      </c>
      <c r="C73" s="17">
        <v>26890</v>
      </c>
      <c r="D73" s="17" t="s">
        <v>8469</v>
      </c>
      <c r="E73" s="17" t="s">
        <v>4396</v>
      </c>
      <c r="F73" s="17" t="s">
        <v>4874</v>
      </c>
      <c r="G73" s="15" t="s">
        <v>3880</v>
      </c>
      <c r="H73" s="15" t="s">
        <v>19932</v>
      </c>
      <c r="I73" s="17" t="s">
        <v>88</v>
      </c>
      <c r="J73" s="17">
        <v>1</v>
      </c>
      <c r="K73" s="17">
        <v>1</v>
      </c>
      <c r="L73" s="17" t="s">
        <v>19933</v>
      </c>
      <c r="M73" s="17" t="s">
        <v>1566</v>
      </c>
      <c r="N73" s="17" t="s">
        <v>19934</v>
      </c>
      <c r="O73" s="17" t="s">
        <v>18722</v>
      </c>
      <c r="P73" s="17" t="str">
        <f>HYPERLINK("https://dexscreener.com/solana/9LhZ3R1CzRCjXJpZRk62Jiq7tcPgjz7SNCWYsR78pump", "View")</f>
        <v>View</v>
      </c>
    </row>
    <row r="74" spans="1:16" x14ac:dyDescent="0.25">
      <c r="A74" s="13" t="s">
        <v>19935</v>
      </c>
      <c r="B74" s="14">
        <v>259454</v>
      </c>
      <c r="C74" s="14">
        <v>259454</v>
      </c>
      <c r="D74" s="14" t="s">
        <v>8469</v>
      </c>
      <c r="E74" s="14" t="s">
        <v>5459</v>
      </c>
      <c r="F74" s="14" t="s">
        <v>19936</v>
      </c>
      <c r="G74" s="15" t="s">
        <v>18310</v>
      </c>
      <c r="H74" s="15" t="s">
        <v>12087</v>
      </c>
      <c r="I74" s="14" t="s">
        <v>88</v>
      </c>
      <c r="J74" s="14">
        <v>1</v>
      </c>
      <c r="K74" s="14">
        <v>1</v>
      </c>
      <c r="L74" s="14" t="s">
        <v>19937</v>
      </c>
      <c r="M74" s="14" t="s">
        <v>117</v>
      </c>
      <c r="N74" s="14" t="s">
        <v>19938</v>
      </c>
      <c r="O74" s="14" t="s">
        <v>19939</v>
      </c>
      <c r="P74" s="14" t="str">
        <f>HYPERLINK("https://dexscreener.com/solana/66irswy3sn6ueuW48jW8PKp1iumqKrD6U7tgCfuywm4", "View")</f>
        <v>View</v>
      </c>
    </row>
    <row r="75" spans="1:16" x14ac:dyDescent="0.25">
      <c r="A75" s="16" t="s">
        <v>19940</v>
      </c>
      <c r="B75" s="17">
        <v>2573453</v>
      </c>
      <c r="C75" s="17">
        <v>2573453</v>
      </c>
      <c r="D75" s="17" t="s">
        <v>8469</v>
      </c>
      <c r="E75" s="17" t="s">
        <v>5572</v>
      </c>
      <c r="F75" s="17" t="s">
        <v>5346</v>
      </c>
      <c r="G75" s="15" t="s">
        <v>11214</v>
      </c>
      <c r="H75" s="15" t="s">
        <v>19941</v>
      </c>
      <c r="I75" s="17" t="s">
        <v>88</v>
      </c>
      <c r="J75" s="17">
        <v>1</v>
      </c>
      <c r="K75" s="17">
        <v>1</v>
      </c>
      <c r="L75" s="17" t="s">
        <v>19942</v>
      </c>
      <c r="M75" s="17" t="s">
        <v>3171</v>
      </c>
      <c r="N75" s="17" t="s">
        <v>19509</v>
      </c>
      <c r="O75" s="17" t="s">
        <v>19943</v>
      </c>
      <c r="P75" s="17" t="str">
        <f>HYPERLINK("https://photon-sol.tinyastro.io/en/lp/3KJ84L2onhMTUPhyGjZXuHHVrnE8HJcdUof15YPjpump?handle=676050794bc1b1657a56b", "View")</f>
        <v>View</v>
      </c>
    </row>
    <row r="76" spans="1:16" x14ac:dyDescent="0.25">
      <c r="A76" s="13" t="s">
        <v>10509</v>
      </c>
      <c r="B76" s="14">
        <v>431121</v>
      </c>
      <c r="C76" s="14">
        <v>431121</v>
      </c>
      <c r="D76" s="14" t="s">
        <v>8469</v>
      </c>
      <c r="E76" s="14" t="s">
        <v>1549</v>
      </c>
      <c r="F76" s="14" t="s">
        <v>19944</v>
      </c>
      <c r="G76" s="22" t="s">
        <v>2967</v>
      </c>
      <c r="H76" s="22" t="s">
        <v>19945</v>
      </c>
      <c r="I76" s="14" t="s">
        <v>88</v>
      </c>
      <c r="J76" s="14">
        <v>1</v>
      </c>
      <c r="K76" s="14">
        <v>1</v>
      </c>
      <c r="L76" s="14" t="s">
        <v>19946</v>
      </c>
      <c r="M76" s="14" t="s">
        <v>1705</v>
      </c>
      <c r="N76" s="14" t="s">
        <v>19947</v>
      </c>
      <c r="O76" s="14" t="s">
        <v>10515</v>
      </c>
      <c r="P76" s="14" t="str">
        <f>HYPERLINK("https://dexscreener.com/solana/8XgSvP4iMbBeQDnC9i4odSGeG4h3QoLJ58avjLBnpump", "View")</f>
        <v>View</v>
      </c>
    </row>
    <row r="77" spans="1:16" x14ac:dyDescent="0.25">
      <c r="A77" s="16" t="s">
        <v>19948</v>
      </c>
      <c r="B77" s="17">
        <v>1025010</v>
      </c>
      <c r="C77" s="17">
        <v>1025010</v>
      </c>
      <c r="D77" s="17" t="s">
        <v>8469</v>
      </c>
      <c r="E77" s="17" t="s">
        <v>3750</v>
      </c>
      <c r="F77" s="17" t="s">
        <v>19949</v>
      </c>
      <c r="G77" s="21" t="s">
        <v>11383</v>
      </c>
      <c r="H77" s="21" t="s">
        <v>19950</v>
      </c>
      <c r="I77" s="17" t="s">
        <v>88</v>
      </c>
      <c r="J77" s="17">
        <v>1</v>
      </c>
      <c r="K77" s="17">
        <v>1</v>
      </c>
      <c r="L77" s="17" t="s">
        <v>19951</v>
      </c>
      <c r="M77" s="17" t="s">
        <v>5644</v>
      </c>
      <c r="N77" s="17" t="s">
        <v>19952</v>
      </c>
      <c r="O77" s="17" t="s">
        <v>19953</v>
      </c>
      <c r="P77" s="17" t="str">
        <f>HYPERLINK("https://dexscreener.com/solana/3einv8VqfmyqESXFYDZahupJ1mSCZdif2YRSqdTgpump", "View")</f>
        <v>View</v>
      </c>
    </row>
    <row r="78" spans="1:16" x14ac:dyDescent="0.25">
      <c r="A78" s="13" t="s">
        <v>1927</v>
      </c>
      <c r="B78" s="14">
        <v>292051</v>
      </c>
      <c r="C78" s="14">
        <v>292051</v>
      </c>
      <c r="D78" s="14" t="s">
        <v>10230</v>
      </c>
      <c r="E78" s="14" t="s">
        <v>5459</v>
      </c>
      <c r="F78" s="14" t="s">
        <v>19954</v>
      </c>
      <c r="G78" s="22" t="s">
        <v>15974</v>
      </c>
      <c r="H78" s="22" t="s">
        <v>19955</v>
      </c>
      <c r="I78" s="14" t="s">
        <v>88</v>
      </c>
      <c r="J78" s="14">
        <v>1</v>
      </c>
      <c r="K78" s="14">
        <v>1</v>
      </c>
      <c r="L78" s="14" t="s">
        <v>19956</v>
      </c>
      <c r="M78" s="14" t="s">
        <v>1932</v>
      </c>
      <c r="N78" s="14" t="s">
        <v>19957</v>
      </c>
      <c r="O78" s="14" t="s">
        <v>1934</v>
      </c>
      <c r="P78" s="14" t="str">
        <f>HYPERLINK("https://dexscreener.com/solana/75vq3ZhQZmkdvZZi1a4xS3Gs8muifwf9AXn3q62Xpump", "View")</f>
        <v>View</v>
      </c>
    </row>
    <row r="79" spans="1:16" x14ac:dyDescent="0.25">
      <c r="A79" s="16" t="s">
        <v>19958</v>
      </c>
      <c r="B79" s="17">
        <v>59567</v>
      </c>
      <c r="C79" s="17">
        <v>59567</v>
      </c>
      <c r="D79" s="17" t="s">
        <v>19959</v>
      </c>
      <c r="E79" s="17" t="s">
        <v>9376</v>
      </c>
      <c r="F79" s="17" t="s">
        <v>19960</v>
      </c>
      <c r="G79" s="22" t="s">
        <v>4660</v>
      </c>
      <c r="H79" s="22" t="s">
        <v>19961</v>
      </c>
      <c r="I79" s="17" t="s">
        <v>88</v>
      </c>
      <c r="J79" s="17">
        <v>2</v>
      </c>
      <c r="K79" s="17">
        <v>2</v>
      </c>
      <c r="L79" s="17" t="s">
        <v>19962</v>
      </c>
      <c r="M79" s="17" t="s">
        <v>179</v>
      </c>
      <c r="N79" s="17" t="s">
        <v>19963</v>
      </c>
      <c r="O79" s="17" t="s">
        <v>19964</v>
      </c>
      <c r="P79" s="17" t="str">
        <f>HYPERLINK("https://dexscreener.com/solana/ETZDTrZp1tWSTPHf22cyUXiv5xGzXuBFEwJAsE8ypump", "View")</f>
        <v>View</v>
      </c>
    </row>
    <row r="80" spans="1:16" x14ac:dyDescent="0.25">
      <c r="A80" s="13" t="s">
        <v>19965</v>
      </c>
      <c r="B80" s="14">
        <v>5018306</v>
      </c>
      <c r="C80" s="14">
        <v>5018306</v>
      </c>
      <c r="D80" s="14" t="s">
        <v>10230</v>
      </c>
      <c r="E80" s="14" t="s">
        <v>14813</v>
      </c>
      <c r="F80" s="14" t="s">
        <v>8118</v>
      </c>
      <c r="G80" s="15" t="s">
        <v>19966</v>
      </c>
      <c r="H80" s="15" t="s">
        <v>19967</v>
      </c>
      <c r="I80" s="14" t="s">
        <v>88</v>
      </c>
      <c r="J80" s="14">
        <v>1</v>
      </c>
      <c r="K80" s="14">
        <v>1</v>
      </c>
      <c r="L80" s="14" t="s">
        <v>19968</v>
      </c>
      <c r="M80" s="14" t="s">
        <v>1566</v>
      </c>
      <c r="N80" s="14" t="s">
        <v>19969</v>
      </c>
      <c r="O80" s="14" t="s">
        <v>19970</v>
      </c>
      <c r="P80" s="14" t="str">
        <f>HYPERLINK("https://photon-sol.tinyastro.io/en/lp/9Hc9pdCB5dTbBhZdpGM1n4a9r96HzDjo6Aiz8gG5pump?handle=676050794bc1b1657a56b", "View")</f>
        <v>View</v>
      </c>
    </row>
    <row r="81" spans="1:16" x14ac:dyDescent="0.25">
      <c r="A81" s="16" t="s">
        <v>19971</v>
      </c>
      <c r="B81" s="17">
        <v>1151292</v>
      </c>
      <c r="C81" s="17">
        <v>1151292</v>
      </c>
      <c r="D81" s="17" t="s">
        <v>8469</v>
      </c>
      <c r="E81" s="17" t="s">
        <v>5919</v>
      </c>
      <c r="F81" s="17" t="s">
        <v>5753</v>
      </c>
      <c r="G81" s="20" t="s">
        <v>4252</v>
      </c>
      <c r="H81" s="20" t="s">
        <v>19972</v>
      </c>
      <c r="I81" s="17" t="s">
        <v>88</v>
      </c>
      <c r="J81" s="17">
        <v>1</v>
      </c>
      <c r="K81" s="17">
        <v>1</v>
      </c>
      <c r="L81" s="17" t="s">
        <v>19973</v>
      </c>
      <c r="M81" s="17" t="s">
        <v>788</v>
      </c>
      <c r="N81" s="17" t="s">
        <v>2585</v>
      </c>
      <c r="O81" s="17" t="s">
        <v>19974</v>
      </c>
      <c r="P81" s="17" t="str">
        <f>HYPERLINK("https://photon-sol.tinyastro.io/en/lp/AsDHAjiyq86a5z5jTsUP5jVUN3vdtB6oMGs42SZTpump?handle=676050794bc1b1657a56b", "View")</f>
        <v>View</v>
      </c>
    </row>
    <row r="82" spans="1:16" x14ac:dyDescent="0.25">
      <c r="A82" s="13" t="s">
        <v>19975</v>
      </c>
      <c r="B82" s="14">
        <v>1782555</v>
      </c>
      <c r="C82" s="14">
        <v>1782555</v>
      </c>
      <c r="D82" s="14" t="s">
        <v>8469</v>
      </c>
      <c r="E82" s="14" t="s">
        <v>2623</v>
      </c>
      <c r="F82" s="14" t="s">
        <v>5919</v>
      </c>
      <c r="G82" s="20" t="s">
        <v>5031</v>
      </c>
      <c r="H82" s="20" t="s">
        <v>19976</v>
      </c>
      <c r="I82" s="14" t="s">
        <v>88</v>
      </c>
      <c r="J82" s="14">
        <v>1</v>
      </c>
      <c r="K82" s="14">
        <v>1</v>
      </c>
      <c r="L82" s="14" t="s">
        <v>19977</v>
      </c>
      <c r="M82" s="14" t="s">
        <v>1957</v>
      </c>
      <c r="N82" s="14" t="s">
        <v>3188</v>
      </c>
      <c r="O82" s="14" t="s">
        <v>19978</v>
      </c>
      <c r="P82" s="14" t="str">
        <f>HYPERLINK("https://photon-sol.tinyastro.io/en/lp/4ZMqMjxNJ4vkBgUgbEfEPi3MiSdB2WTJBN4nVKErpump?handle=676050794bc1b1657a56b", "View")</f>
        <v>View</v>
      </c>
    </row>
    <row r="83" spans="1:16" x14ac:dyDescent="0.25">
      <c r="A83" s="16" t="s">
        <v>19979</v>
      </c>
      <c r="B83" s="17">
        <v>59341</v>
      </c>
      <c r="C83" s="17">
        <v>59341</v>
      </c>
      <c r="D83" s="17" t="s">
        <v>8469</v>
      </c>
      <c r="E83" s="17" t="s">
        <v>3773</v>
      </c>
      <c r="F83" s="17" t="s">
        <v>2623</v>
      </c>
      <c r="G83" s="22" t="s">
        <v>5248</v>
      </c>
      <c r="H83" s="22" t="s">
        <v>19980</v>
      </c>
      <c r="I83" s="17" t="s">
        <v>88</v>
      </c>
      <c r="J83" s="17">
        <v>1</v>
      </c>
      <c r="K83" s="17">
        <v>1</v>
      </c>
      <c r="L83" s="17" t="s">
        <v>19981</v>
      </c>
      <c r="M83" s="17" t="s">
        <v>788</v>
      </c>
      <c r="N83" s="17" t="s">
        <v>19982</v>
      </c>
      <c r="O83" s="17" t="s">
        <v>19983</v>
      </c>
      <c r="P83" s="17" t="str">
        <f>HYPERLINK("https://dexscreener.com/solana/2M7dWwr1o4aavnVudcPSEz5pD4DjLr2DyUUditEK6kdN", "View")</f>
        <v>View</v>
      </c>
    </row>
    <row r="84" spans="1:16" x14ac:dyDescent="0.25">
      <c r="A84" s="13" t="s">
        <v>19984</v>
      </c>
      <c r="B84" s="14">
        <v>1615865</v>
      </c>
      <c r="C84" s="14">
        <v>1615865</v>
      </c>
      <c r="D84" s="14" t="s">
        <v>8469</v>
      </c>
      <c r="E84" s="14" t="s">
        <v>4458</v>
      </c>
      <c r="F84" s="14" t="s">
        <v>5715</v>
      </c>
      <c r="G84" s="20" t="s">
        <v>2760</v>
      </c>
      <c r="H84" s="20" t="s">
        <v>19985</v>
      </c>
      <c r="I84" s="14" t="s">
        <v>88</v>
      </c>
      <c r="J84" s="14">
        <v>1</v>
      </c>
      <c r="K84" s="14">
        <v>1</v>
      </c>
      <c r="L84" s="14" t="s">
        <v>19986</v>
      </c>
      <c r="M84" s="14" t="s">
        <v>602</v>
      </c>
      <c r="N84" s="14" t="s">
        <v>14412</v>
      </c>
      <c r="O84" s="14" t="s">
        <v>19987</v>
      </c>
      <c r="P84" s="14" t="str">
        <f>HYPERLINK("https://photon-sol.tinyastro.io/en/lp/2wVfVV8G7wL8Vi1gWQjvJutxB4vcyEszJk8iZhPjpump?handle=676050794bc1b1657a56b", "View")</f>
        <v>View</v>
      </c>
    </row>
    <row r="85" spans="1:16" x14ac:dyDescent="0.25">
      <c r="A85" s="16" t="s">
        <v>19988</v>
      </c>
      <c r="B85" s="17">
        <v>124914</v>
      </c>
      <c r="C85" s="17">
        <v>124914</v>
      </c>
      <c r="D85" s="17" t="s">
        <v>8469</v>
      </c>
      <c r="E85" s="17" t="s">
        <v>8306</v>
      </c>
      <c r="F85" s="17" t="s">
        <v>5752</v>
      </c>
      <c r="G85" s="22" t="s">
        <v>5024</v>
      </c>
      <c r="H85" s="22" t="s">
        <v>3094</v>
      </c>
      <c r="I85" s="17" t="s">
        <v>88</v>
      </c>
      <c r="J85" s="17">
        <v>1</v>
      </c>
      <c r="K85" s="17">
        <v>1</v>
      </c>
      <c r="L85" s="17" t="s">
        <v>19989</v>
      </c>
      <c r="M85" s="17" t="s">
        <v>2789</v>
      </c>
      <c r="N85" s="17" t="s">
        <v>19990</v>
      </c>
      <c r="O85" s="17" t="s">
        <v>19991</v>
      </c>
      <c r="P85" s="17" t="str">
        <f>HYPERLINK("https://dexscreener.com/solana/6N1Uz7QB9d7SpFbETtsHjx3TJaN2ZwdVodXmUYrtpump", "View")</f>
        <v>View</v>
      </c>
    </row>
    <row r="86" spans="1:16" x14ac:dyDescent="0.25">
      <c r="A86" s="13" t="s">
        <v>19992</v>
      </c>
      <c r="B86" s="14">
        <v>114570</v>
      </c>
      <c r="C86" s="14">
        <v>114570</v>
      </c>
      <c r="D86" s="14" t="s">
        <v>8469</v>
      </c>
      <c r="E86" s="14" t="s">
        <v>14402</v>
      </c>
      <c r="F86" s="14" t="s">
        <v>4700</v>
      </c>
      <c r="G86" s="20" t="s">
        <v>5305</v>
      </c>
      <c r="H86" s="20" t="s">
        <v>19993</v>
      </c>
      <c r="I86" s="14" t="s">
        <v>88</v>
      </c>
      <c r="J86" s="14">
        <v>1</v>
      </c>
      <c r="K86" s="14">
        <v>1</v>
      </c>
      <c r="L86" s="14" t="s">
        <v>19994</v>
      </c>
      <c r="M86" s="14" t="s">
        <v>602</v>
      </c>
      <c r="N86" s="14" t="s">
        <v>19995</v>
      </c>
      <c r="O86" s="14" t="s">
        <v>19996</v>
      </c>
      <c r="P86" s="14" t="str">
        <f>HYPERLINK("https://dexscreener.com/solana/C52ic7Tf7HxJcv6K7U2UWMJSngofZWQ7DXtpWU4hpump", "View")</f>
        <v>View</v>
      </c>
    </row>
    <row r="87" spans="1:16" x14ac:dyDescent="0.25">
      <c r="A87" s="16" t="s">
        <v>1146</v>
      </c>
      <c r="B87" s="17">
        <v>9321</v>
      </c>
      <c r="C87" s="17">
        <v>9321</v>
      </c>
      <c r="D87" s="17" t="s">
        <v>8469</v>
      </c>
      <c r="E87" s="17" t="s">
        <v>8306</v>
      </c>
      <c r="F87" s="17" t="s">
        <v>2597</v>
      </c>
      <c r="G87" s="22" t="s">
        <v>4667</v>
      </c>
      <c r="H87" s="22" t="s">
        <v>19997</v>
      </c>
      <c r="I87" s="17" t="s">
        <v>88</v>
      </c>
      <c r="J87" s="17">
        <v>1</v>
      </c>
      <c r="K87" s="17">
        <v>1</v>
      </c>
      <c r="L87" s="17" t="s">
        <v>19998</v>
      </c>
      <c r="M87" s="17" t="s">
        <v>1610</v>
      </c>
      <c r="N87" s="17" t="s">
        <v>19999</v>
      </c>
      <c r="O87" s="17" t="s">
        <v>1153</v>
      </c>
      <c r="P87" s="17" t="str">
        <f>HYPERLINK("https://dexscreener.com/solana/umgcPr2uQHzmCerCu6kSPBiaUdMWZewRRQmQ54Apump", "View")</f>
        <v>View</v>
      </c>
    </row>
    <row r="88" spans="1:16" x14ac:dyDescent="0.25">
      <c r="A88" s="13" t="s">
        <v>20000</v>
      </c>
      <c r="B88" s="14">
        <v>1523030</v>
      </c>
      <c r="C88" s="14">
        <v>1523030</v>
      </c>
      <c r="D88" s="14" t="s">
        <v>20001</v>
      </c>
      <c r="E88" s="14" t="s">
        <v>4475</v>
      </c>
      <c r="F88" s="14" t="s">
        <v>4609</v>
      </c>
      <c r="G88" s="20" t="s">
        <v>2289</v>
      </c>
      <c r="H88" s="20" t="s">
        <v>20002</v>
      </c>
      <c r="I88" s="14" t="s">
        <v>88</v>
      </c>
      <c r="J88" s="14">
        <v>3</v>
      </c>
      <c r="K88" s="14">
        <v>1</v>
      </c>
      <c r="L88" s="14" t="s">
        <v>20003</v>
      </c>
      <c r="M88" s="14" t="s">
        <v>680</v>
      </c>
      <c r="N88" s="14" t="s">
        <v>507</v>
      </c>
      <c r="O88" s="14" t="s">
        <v>20004</v>
      </c>
      <c r="P88" s="14" t="str">
        <f>HYPERLINK("https://photon-sol.tinyastro.io/en/lp/AvHAytUpQqyhR5Y7H5TrR3iAEUzUGpSfYwXrvCspump?handle=676050794bc1b1657a56b", "View")</f>
        <v>View</v>
      </c>
    </row>
    <row r="89" spans="1:16" x14ac:dyDescent="0.25">
      <c r="A89" s="16" t="s">
        <v>20005</v>
      </c>
      <c r="B89" s="17">
        <v>1314083</v>
      </c>
      <c r="C89" s="17">
        <v>1314083</v>
      </c>
      <c r="D89" s="17" t="s">
        <v>1813</v>
      </c>
      <c r="E89" s="17" t="s">
        <v>2623</v>
      </c>
      <c r="F89" s="17" t="s">
        <v>4147</v>
      </c>
      <c r="G89" s="15" t="s">
        <v>3549</v>
      </c>
      <c r="H89" s="15" t="s">
        <v>20006</v>
      </c>
      <c r="I89" s="17" t="s">
        <v>88</v>
      </c>
      <c r="J89" s="17">
        <v>1</v>
      </c>
      <c r="K89" s="17">
        <v>1</v>
      </c>
      <c r="L89" s="17" t="s">
        <v>20007</v>
      </c>
      <c r="M89" s="17" t="s">
        <v>1566</v>
      </c>
      <c r="N89" s="17" t="s">
        <v>507</v>
      </c>
      <c r="O89" s="17" t="s">
        <v>20008</v>
      </c>
      <c r="P89" s="17" t="str">
        <f>HYPERLINK("https://photon-sol.tinyastro.io/en/lp/GsZLaz4xcF2r4hoGR45BTNL2Pwm3wEJkcbtBqPE58TvQ?handle=676050794bc1b1657a56b", "View")</f>
        <v>View</v>
      </c>
    </row>
    <row r="90" spans="1:16" x14ac:dyDescent="0.25">
      <c r="A90" s="13" t="s">
        <v>20009</v>
      </c>
      <c r="B90" s="14">
        <v>1004964</v>
      </c>
      <c r="C90" s="14">
        <v>1004964</v>
      </c>
      <c r="D90" s="14" t="s">
        <v>1813</v>
      </c>
      <c r="E90" s="14" t="s">
        <v>4761</v>
      </c>
      <c r="F90" s="14" t="s">
        <v>4020</v>
      </c>
      <c r="G90" s="20" t="s">
        <v>5801</v>
      </c>
      <c r="H90" s="20" t="s">
        <v>20010</v>
      </c>
      <c r="I90" s="14" t="s">
        <v>88</v>
      </c>
      <c r="J90" s="14">
        <v>1</v>
      </c>
      <c r="K90" s="14">
        <v>1</v>
      </c>
      <c r="L90" s="14" t="s">
        <v>20011</v>
      </c>
      <c r="M90" s="14" t="s">
        <v>2984</v>
      </c>
      <c r="N90" s="14" t="s">
        <v>507</v>
      </c>
      <c r="O90" s="14" t="s">
        <v>20012</v>
      </c>
      <c r="P90" s="14" t="str">
        <f>HYPERLINK("https://photon-sol.tinyastro.io/en/lp/3DvFijskPpGMTE7DDYGZ5MmwErUMb18exwHbiLc4pump?handle=676050794bc1b1657a56b", "View")</f>
        <v>View</v>
      </c>
    </row>
    <row r="91" spans="1:16" x14ac:dyDescent="0.25">
      <c r="A91" s="16" t="s">
        <v>20013</v>
      </c>
      <c r="B91" s="17">
        <v>321729</v>
      </c>
      <c r="C91" s="17">
        <v>321729</v>
      </c>
      <c r="D91" s="17" t="s">
        <v>1813</v>
      </c>
      <c r="E91" s="17" t="s">
        <v>6212</v>
      </c>
      <c r="F91" s="17" t="s">
        <v>4609</v>
      </c>
      <c r="G91" s="22" t="s">
        <v>3939</v>
      </c>
      <c r="H91" s="22" t="s">
        <v>20014</v>
      </c>
      <c r="I91" s="17" t="s">
        <v>88</v>
      </c>
      <c r="J91" s="17">
        <v>1</v>
      </c>
      <c r="K91" s="17">
        <v>1</v>
      </c>
      <c r="L91" s="17" t="s">
        <v>20015</v>
      </c>
      <c r="M91" s="17" t="s">
        <v>1932</v>
      </c>
      <c r="N91" s="17" t="s">
        <v>20016</v>
      </c>
      <c r="O91" s="17" t="s">
        <v>20017</v>
      </c>
      <c r="P91" s="17" t="str">
        <f>HYPERLINK("https://dexscreener.com/solana/8MocH7Bq3BdEH3WUR3PHz22mKTymjJsVu4tvwVT7pump", "View")</f>
        <v>View</v>
      </c>
    </row>
    <row r="92" spans="1:16" x14ac:dyDescent="0.25">
      <c r="A92" s="13" t="s">
        <v>20018</v>
      </c>
      <c r="B92" s="14">
        <v>1966404</v>
      </c>
      <c r="C92" s="14">
        <v>1966404</v>
      </c>
      <c r="D92" s="14" t="s">
        <v>1813</v>
      </c>
      <c r="E92" s="14" t="s">
        <v>5226</v>
      </c>
      <c r="F92" s="14" t="s">
        <v>4874</v>
      </c>
      <c r="G92" s="15" t="s">
        <v>6249</v>
      </c>
      <c r="H92" s="15" t="s">
        <v>20019</v>
      </c>
      <c r="I92" s="14" t="s">
        <v>88</v>
      </c>
      <c r="J92" s="14">
        <v>1</v>
      </c>
      <c r="K92" s="14">
        <v>1</v>
      </c>
      <c r="L92" s="14" t="s">
        <v>20020</v>
      </c>
      <c r="M92" s="14" t="s">
        <v>1932</v>
      </c>
      <c r="N92" s="14" t="s">
        <v>507</v>
      </c>
      <c r="O92" s="14" t="s">
        <v>20021</v>
      </c>
      <c r="P92" s="14" t="str">
        <f>HYPERLINK("https://photon-sol.tinyastro.io/en/lp/5QSa6HT2wqsZN4eJPMmk9nrA4XHWnZSTibiA4ZPnpump?handle=676050794bc1b1657a56b", "View")</f>
        <v>View</v>
      </c>
    </row>
    <row r="93" spans="1:16" x14ac:dyDescent="0.25">
      <c r="A93" s="16" t="s">
        <v>20022</v>
      </c>
      <c r="B93" s="17">
        <v>273118</v>
      </c>
      <c r="C93" s="17">
        <v>273118</v>
      </c>
      <c r="D93" s="17" t="s">
        <v>9569</v>
      </c>
      <c r="E93" s="17" t="s">
        <v>3316</v>
      </c>
      <c r="F93" s="17" t="s">
        <v>6180</v>
      </c>
      <c r="G93" s="20" t="s">
        <v>5733</v>
      </c>
      <c r="H93" s="20" t="s">
        <v>20023</v>
      </c>
      <c r="I93" s="17" t="s">
        <v>88</v>
      </c>
      <c r="J93" s="17">
        <v>2</v>
      </c>
      <c r="K93" s="17">
        <v>1</v>
      </c>
      <c r="L93" s="17" t="s">
        <v>20024</v>
      </c>
      <c r="M93" s="17" t="s">
        <v>5501</v>
      </c>
      <c r="N93" s="17" t="s">
        <v>507</v>
      </c>
      <c r="O93" s="17" t="s">
        <v>20025</v>
      </c>
      <c r="P93" s="17" t="str">
        <f>HYPERLINK("https://photon-sol.tinyastro.io/en/lp/sht8q98AS6sP9fVYBRCdXj8HAz6YFRiChjbXz7bpump?handle=676050794bc1b1657a56b", "View")</f>
        <v>View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722B-8E00-44A7-8FB0-DBB9B6408F03}">
  <dimension ref="A1:P5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HYPERLINK("https://gmgn.ai/sol/address/AiY7b8nU9uinJ6cKNgF9j3VUFDLfYvpmNTiD4miNDdLF", "GMGN")</f>
        <v>GMGN</v>
      </c>
    </row>
    <row r="2" spans="1:14" x14ac:dyDescent="0.25">
      <c r="A2" s="3" t="s">
        <v>20026</v>
      </c>
      <c r="B2" s="3" t="s">
        <v>20027</v>
      </c>
      <c r="C2" s="3" t="s">
        <v>12315</v>
      </c>
      <c r="D2" s="3" t="s">
        <v>20028</v>
      </c>
      <c r="E2" s="3" t="s">
        <v>20029</v>
      </c>
      <c r="F2" s="3" t="s">
        <v>18</v>
      </c>
      <c r="G2" s="3" t="s">
        <v>18</v>
      </c>
      <c r="H2" s="3">
        <v>33</v>
      </c>
      <c r="I2" s="3">
        <v>7</v>
      </c>
      <c r="J2" s="3" t="s">
        <v>414</v>
      </c>
      <c r="K2" s="3" t="s">
        <v>253</v>
      </c>
      <c r="L2" s="3">
        <v>0</v>
      </c>
      <c r="M2" s="3">
        <v>10</v>
      </c>
      <c r="N2" s="3" t="str">
        <f>HYPERLINK("https://solscan.io/account/AiY7b8nU9uinJ6cKNgF9j3VUFDLfYvpmNTiD4miNDdLF",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HYPERLINK("https://birdeye.so/profile/AiY7b8nU9uinJ6cKNgF9j3VUFDLfYvpmNTiD4miNDdLF", "Birdeye")</f>
        <v>Birdeye</v>
      </c>
    </row>
    <row r="4" spans="1:14" x14ac:dyDescent="0.25">
      <c r="A4" s="1" t="s">
        <v>25</v>
      </c>
      <c r="B4" s="3" t="s">
        <v>20030</v>
      </c>
      <c r="C4" s="3"/>
      <c r="D4" s="3" t="s">
        <v>4271</v>
      </c>
      <c r="E4" s="3" t="s">
        <v>20031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8326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7</v>
      </c>
      <c r="D10" s="1">
        <v>3</v>
      </c>
      <c r="E10" s="1">
        <v>3</v>
      </c>
      <c r="F10" s="1">
        <v>0</v>
      </c>
      <c r="G10" s="1">
        <v>20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20032</v>
      </c>
      <c r="D11" s="1" t="s">
        <v>9489</v>
      </c>
      <c r="E11" s="1" t="s">
        <v>9489</v>
      </c>
      <c r="F11" s="1" t="s">
        <v>1779</v>
      </c>
      <c r="G11" s="1" t="s">
        <v>20033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8327</v>
      </c>
      <c r="D12" s="1" t="s">
        <v>20034</v>
      </c>
      <c r="E12" s="1" t="s">
        <v>9644</v>
      </c>
      <c r="F12" s="1" t="s">
        <v>1786</v>
      </c>
      <c r="G12" s="1" t="s">
        <v>16085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15564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16601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20035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93</v>
      </c>
      <c r="B20" s="14">
        <v>17066</v>
      </c>
      <c r="C20" s="14">
        <v>8533</v>
      </c>
      <c r="D20" s="14" t="s">
        <v>9885</v>
      </c>
      <c r="E20" s="14" t="s">
        <v>4396</v>
      </c>
      <c r="F20" s="14" t="s">
        <v>4982</v>
      </c>
      <c r="G20" s="22" t="s">
        <v>2429</v>
      </c>
      <c r="H20" s="22" t="s">
        <v>20036</v>
      </c>
      <c r="I20" s="14" t="s">
        <v>88</v>
      </c>
      <c r="J20" s="14">
        <v>1</v>
      </c>
      <c r="K20" s="14">
        <v>1</v>
      </c>
      <c r="L20" s="14" t="s">
        <v>20037</v>
      </c>
      <c r="M20" s="14" t="s">
        <v>1957</v>
      </c>
      <c r="N20" s="14" t="s">
        <v>20038</v>
      </c>
      <c r="O20" s="14" t="s">
        <v>103</v>
      </c>
      <c r="P20" s="14" t="str">
        <f>HYPERLINK("https://dexscreener.com/solana/BbQbAoML7FJTyk45N9hXdp883NzB8WvHFCesEeAppump", "View")</f>
        <v>View</v>
      </c>
    </row>
    <row r="21" spans="1:16" x14ac:dyDescent="0.25">
      <c r="A21" s="16" t="s">
        <v>82</v>
      </c>
      <c r="B21" s="17">
        <v>10049</v>
      </c>
      <c r="C21" s="17">
        <v>10049</v>
      </c>
      <c r="D21" s="17" t="s">
        <v>9913</v>
      </c>
      <c r="E21" s="17" t="s">
        <v>4396</v>
      </c>
      <c r="F21" s="17" t="s">
        <v>13547</v>
      </c>
      <c r="G21" s="21" t="s">
        <v>2581</v>
      </c>
      <c r="H21" s="21" t="s">
        <v>20039</v>
      </c>
      <c r="I21" s="17" t="s">
        <v>88</v>
      </c>
      <c r="J21" s="17">
        <v>1</v>
      </c>
      <c r="K21" s="17">
        <v>2</v>
      </c>
      <c r="L21" s="17" t="s">
        <v>20040</v>
      </c>
      <c r="M21" s="17" t="s">
        <v>3269</v>
      </c>
      <c r="N21" s="17" t="s">
        <v>91</v>
      </c>
      <c r="O21" s="17" t="s">
        <v>92</v>
      </c>
      <c r="P21" s="17" t="str">
        <f>HYPERLINK("https://dexscreener.com/solana/Db7ZUaWTThwZy7bVhjn5Dda8D3fbbAhihcxPV4m9pump", "View")</f>
        <v>View</v>
      </c>
    </row>
    <row r="22" spans="1:16" x14ac:dyDescent="0.25">
      <c r="A22" s="13" t="s">
        <v>120</v>
      </c>
      <c r="B22" s="14">
        <v>62911</v>
      </c>
      <c r="C22" s="14">
        <v>0</v>
      </c>
      <c r="D22" s="14" t="s">
        <v>10436</v>
      </c>
      <c r="E22" s="14" t="s">
        <v>4396</v>
      </c>
      <c r="F22" s="14" t="s">
        <v>96</v>
      </c>
      <c r="G22" s="18" t="s">
        <v>3793</v>
      </c>
      <c r="H22" s="18" t="s">
        <v>98</v>
      </c>
      <c r="I22" s="14" t="s">
        <v>20041</v>
      </c>
      <c r="J22" s="14">
        <v>1</v>
      </c>
      <c r="K22" s="14">
        <v>0</v>
      </c>
      <c r="L22" s="14" t="s">
        <v>122</v>
      </c>
      <c r="M22" s="19" t="s">
        <v>101</v>
      </c>
      <c r="N22" s="14" t="s">
        <v>20042</v>
      </c>
      <c r="O22" s="14" t="s">
        <v>124</v>
      </c>
      <c r="P22" s="14" t="str">
        <f>HYPERLINK("https://dexscreener.com/solana/5ZrVb3GpZ6c9ukqLYgLxFdg8zgy7ttY4mZy6ngx9pump", "View")</f>
        <v>View</v>
      </c>
    </row>
    <row r="23" spans="1:16" x14ac:dyDescent="0.25">
      <c r="A23" s="16" t="s">
        <v>111</v>
      </c>
      <c r="B23" s="17">
        <v>163733</v>
      </c>
      <c r="C23" s="17">
        <v>129863</v>
      </c>
      <c r="D23" s="17" t="s">
        <v>20043</v>
      </c>
      <c r="E23" s="17" t="s">
        <v>2200</v>
      </c>
      <c r="F23" s="17" t="s">
        <v>14596</v>
      </c>
      <c r="G23" s="22" t="s">
        <v>5752</v>
      </c>
      <c r="H23" s="22" t="s">
        <v>20044</v>
      </c>
      <c r="I23" s="17" t="s">
        <v>88</v>
      </c>
      <c r="J23" s="17">
        <v>4</v>
      </c>
      <c r="K23" s="17">
        <v>3</v>
      </c>
      <c r="L23" s="17" t="s">
        <v>20045</v>
      </c>
      <c r="M23" s="17" t="s">
        <v>117</v>
      </c>
      <c r="N23" s="17" t="s">
        <v>20046</v>
      </c>
      <c r="O23" s="17" t="s">
        <v>119</v>
      </c>
      <c r="P23" s="17" t="str">
        <f>HYPERLINK("https://dexscreener.com/solana/D5S1nXXaMnJui8rCnMbP1GZQnL9TxzbF92hXvgkVpump", "View")</f>
        <v>View</v>
      </c>
    </row>
    <row r="24" spans="1:16" x14ac:dyDescent="0.25">
      <c r="A24" s="13" t="s">
        <v>271</v>
      </c>
      <c r="B24" s="14">
        <v>59470</v>
      </c>
      <c r="C24" s="14">
        <v>59470</v>
      </c>
      <c r="D24" s="14" t="s">
        <v>20047</v>
      </c>
      <c r="E24" s="14" t="s">
        <v>4679</v>
      </c>
      <c r="F24" s="14" t="s">
        <v>3487</v>
      </c>
      <c r="G24" s="21" t="s">
        <v>4093</v>
      </c>
      <c r="H24" s="21" t="s">
        <v>20048</v>
      </c>
      <c r="I24" s="14" t="s">
        <v>88</v>
      </c>
      <c r="J24" s="14">
        <v>3</v>
      </c>
      <c r="K24" s="14">
        <v>3</v>
      </c>
      <c r="L24" s="14" t="s">
        <v>20049</v>
      </c>
      <c r="M24" s="14" t="s">
        <v>132</v>
      </c>
      <c r="N24" s="14" t="s">
        <v>20050</v>
      </c>
      <c r="O24" s="14" t="s">
        <v>279</v>
      </c>
      <c r="P24" s="14" t="str">
        <f>HYPERLINK("https://dexscreener.com/solana/8x5VqbHA8D7NkD52uNuS5nnt3PwA8pLD34ymskeSo2Wn", "View")</f>
        <v>View</v>
      </c>
    </row>
    <row r="25" spans="1:16" x14ac:dyDescent="0.25">
      <c r="A25" s="16" t="s">
        <v>266</v>
      </c>
      <c r="B25" s="17">
        <v>162938</v>
      </c>
      <c r="C25" s="17">
        <v>122204</v>
      </c>
      <c r="D25" s="17" t="s">
        <v>9913</v>
      </c>
      <c r="E25" s="17" t="s">
        <v>4396</v>
      </c>
      <c r="F25" s="17" t="s">
        <v>3570</v>
      </c>
      <c r="G25" s="21" t="s">
        <v>20051</v>
      </c>
      <c r="H25" s="21" t="s">
        <v>20052</v>
      </c>
      <c r="I25" s="17" t="s">
        <v>88</v>
      </c>
      <c r="J25" s="17">
        <v>1</v>
      </c>
      <c r="K25" s="17">
        <v>2</v>
      </c>
      <c r="L25" s="17" t="s">
        <v>20053</v>
      </c>
      <c r="M25" s="17" t="s">
        <v>287</v>
      </c>
      <c r="N25" s="17" t="s">
        <v>20054</v>
      </c>
      <c r="O25" s="17" t="s">
        <v>270</v>
      </c>
      <c r="P25" s="17" t="str">
        <f>HYPERLINK("https://dexscreener.com/solana/E1vpyG4Yy7FV4Y1aGvGkRV5PH38JrEZv2QUm8PEdpump", "View")</f>
        <v>View</v>
      </c>
    </row>
    <row r="26" spans="1:16" x14ac:dyDescent="0.25">
      <c r="A26" s="13" t="s">
        <v>135</v>
      </c>
      <c r="B26" s="14">
        <v>47167</v>
      </c>
      <c r="C26" s="14">
        <v>41141</v>
      </c>
      <c r="D26" s="14" t="s">
        <v>19233</v>
      </c>
      <c r="E26" s="14" t="s">
        <v>4679</v>
      </c>
      <c r="F26" s="14" t="s">
        <v>4107</v>
      </c>
      <c r="G26" s="21" t="s">
        <v>3951</v>
      </c>
      <c r="H26" s="21" t="s">
        <v>20055</v>
      </c>
      <c r="I26" s="14" t="s">
        <v>88</v>
      </c>
      <c r="J26" s="14">
        <v>3</v>
      </c>
      <c r="K26" s="14">
        <v>1</v>
      </c>
      <c r="L26" s="14" t="s">
        <v>20056</v>
      </c>
      <c r="M26" s="14" t="s">
        <v>5702</v>
      </c>
      <c r="N26" s="14" t="s">
        <v>20057</v>
      </c>
      <c r="O26" s="14" t="s">
        <v>143</v>
      </c>
      <c r="P26" s="14" t="str">
        <f>HYPERLINK("https://dexscreener.com/solana/DDxS3mzbFiwPgmpK7j573MDvD7EQj5stPHZ8K8Wppump", "View")</f>
        <v>View</v>
      </c>
    </row>
    <row r="27" spans="1:16" x14ac:dyDescent="0.25">
      <c r="A27" s="16" t="s">
        <v>172</v>
      </c>
      <c r="B27" s="17">
        <v>34869</v>
      </c>
      <c r="C27" s="17">
        <v>0</v>
      </c>
      <c r="D27" s="17" t="s">
        <v>1882</v>
      </c>
      <c r="E27" s="17" t="s">
        <v>4665</v>
      </c>
      <c r="F27" s="17" t="s">
        <v>96</v>
      </c>
      <c r="G27" s="18" t="s">
        <v>3866</v>
      </c>
      <c r="H27" s="18" t="s">
        <v>98</v>
      </c>
      <c r="I27" s="17" t="s">
        <v>20058</v>
      </c>
      <c r="J27" s="17">
        <v>2</v>
      </c>
      <c r="K27" s="17">
        <v>0</v>
      </c>
      <c r="L27" s="17" t="s">
        <v>20059</v>
      </c>
      <c r="M27" s="17" t="s">
        <v>4719</v>
      </c>
      <c r="N27" s="17" t="s">
        <v>20060</v>
      </c>
      <c r="O27" s="17" t="s">
        <v>181</v>
      </c>
      <c r="P27" s="17" t="str">
        <f>HYPERLINK("https://dexscreener.com/solana/5pQSTDfeUppb6tV415RWygL8n3ctyakBTV7QzBn5pump", "View")</f>
        <v>View</v>
      </c>
    </row>
    <row r="28" spans="1:16" x14ac:dyDescent="0.25">
      <c r="A28" s="13" t="s">
        <v>182</v>
      </c>
      <c r="B28" s="14">
        <v>54767</v>
      </c>
      <c r="C28" s="14">
        <v>0</v>
      </c>
      <c r="D28" s="14" t="s">
        <v>10436</v>
      </c>
      <c r="E28" s="14" t="s">
        <v>4396</v>
      </c>
      <c r="F28" s="14" t="s">
        <v>96</v>
      </c>
      <c r="G28" s="18" t="s">
        <v>3793</v>
      </c>
      <c r="H28" s="18" t="s">
        <v>98</v>
      </c>
      <c r="I28" s="14" t="s">
        <v>20061</v>
      </c>
      <c r="J28" s="14">
        <v>1</v>
      </c>
      <c r="K28" s="14">
        <v>0</v>
      </c>
      <c r="L28" s="14" t="s">
        <v>15721</v>
      </c>
      <c r="M28" s="19" t="s">
        <v>101</v>
      </c>
      <c r="N28" s="14" t="s">
        <v>20062</v>
      </c>
      <c r="O28" s="14" t="s">
        <v>188</v>
      </c>
      <c r="P28" s="14" t="str">
        <f>HYPERLINK("https://dexscreener.com/solana/FofgVUkAzbffK3mw8ZEwMof8Lbpx59KkXRV4exhkpump", "View")</f>
        <v>View</v>
      </c>
    </row>
    <row r="29" spans="1:16" x14ac:dyDescent="0.25">
      <c r="A29" s="16" t="s">
        <v>199</v>
      </c>
      <c r="B29" s="17">
        <v>30663</v>
      </c>
      <c r="C29" s="17">
        <v>0</v>
      </c>
      <c r="D29" s="17" t="s">
        <v>10436</v>
      </c>
      <c r="E29" s="17" t="s">
        <v>4396</v>
      </c>
      <c r="F29" s="17" t="s">
        <v>96</v>
      </c>
      <c r="G29" s="18" t="s">
        <v>3793</v>
      </c>
      <c r="H29" s="18" t="s">
        <v>98</v>
      </c>
      <c r="I29" s="17" t="s">
        <v>20063</v>
      </c>
      <c r="J29" s="17">
        <v>1</v>
      </c>
      <c r="K29" s="17">
        <v>0</v>
      </c>
      <c r="L29" s="17" t="s">
        <v>15734</v>
      </c>
      <c r="M29" s="19" t="s">
        <v>101</v>
      </c>
      <c r="N29" s="17" t="s">
        <v>20064</v>
      </c>
      <c r="O29" s="17" t="s">
        <v>204</v>
      </c>
      <c r="P29" s="17" t="str">
        <f>HYPERLINK("https://dexscreener.com/solana/FLayaUPfFxmC1Vz3i4ebKT9uwEVv4ribyCqENnQ9pump", "View")</f>
        <v>View</v>
      </c>
    </row>
    <row r="30" spans="1:16" x14ac:dyDescent="0.25">
      <c r="A30" s="13" t="s">
        <v>205</v>
      </c>
      <c r="B30" s="14">
        <v>134172</v>
      </c>
      <c r="C30" s="14">
        <v>0</v>
      </c>
      <c r="D30" s="14" t="s">
        <v>10436</v>
      </c>
      <c r="E30" s="14" t="s">
        <v>4396</v>
      </c>
      <c r="F30" s="14" t="s">
        <v>96</v>
      </c>
      <c r="G30" s="18" t="s">
        <v>3793</v>
      </c>
      <c r="H30" s="18" t="s">
        <v>98</v>
      </c>
      <c r="I30" s="14" t="s">
        <v>20065</v>
      </c>
      <c r="J30" s="14">
        <v>1</v>
      </c>
      <c r="K30" s="14">
        <v>0</v>
      </c>
      <c r="L30" s="14" t="s">
        <v>20066</v>
      </c>
      <c r="M30" s="19" t="s">
        <v>101</v>
      </c>
      <c r="N30" s="14" t="s">
        <v>20067</v>
      </c>
      <c r="O30" s="14" t="s">
        <v>210</v>
      </c>
      <c r="P30" s="14" t="str">
        <f>HYPERLINK("https://dexscreener.com/solana/ARty2wsKJ4QgFzTcCh4GJFaxLQycB5RSJEcbsU1ypump", "View")</f>
        <v>View</v>
      </c>
    </row>
    <row r="31" spans="1:16" x14ac:dyDescent="0.25">
      <c r="A31" s="16" t="s">
        <v>211</v>
      </c>
      <c r="B31" s="17">
        <v>103708</v>
      </c>
      <c r="C31" s="17">
        <v>0</v>
      </c>
      <c r="D31" s="17" t="s">
        <v>1882</v>
      </c>
      <c r="E31" s="17" t="s">
        <v>4665</v>
      </c>
      <c r="F31" s="17" t="s">
        <v>96</v>
      </c>
      <c r="G31" s="18" t="s">
        <v>3866</v>
      </c>
      <c r="H31" s="18" t="s">
        <v>98</v>
      </c>
      <c r="I31" s="17" t="s">
        <v>20068</v>
      </c>
      <c r="J31" s="17">
        <v>2</v>
      </c>
      <c r="K31" s="17">
        <v>0</v>
      </c>
      <c r="L31" s="17" t="s">
        <v>20069</v>
      </c>
      <c r="M31" s="17" t="s">
        <v>3304</v>
      </c>
      <c r="N31" s="17" t="s">
        <v>20070</v>
      </c>
      <c r="O31" s="17" t="s">
        <v>217</v>
      </c>
      <c r="P31" s="17" t="str">
        <f>HYPERLINK("https://dexscreener.com/solana/36FN7NGmULKqSy4PoSRUBFQ7XBVxNMmWLhXohKmypump", "View")</f>
        <v>View</v>
      </c>
    </row>
    <row r="32" spans="1:16" x14ac:dyDescent="0.25">
      <c r="A32" s="13" t="s">
        <v>218</v>
      </c>
      <c r="B32" s="14">
        <v>416717</v>
      </c>
      <c r="C32" s="14">
        <v>0</v>
      </c>
      <c r="D32" s="14" t="s">
        <v>10436</v>
      </c>
      <c r="E32" s="14" t="s">
        <v>4396</v>
      </c>
      <c r="F32" s="14" t="s">
        <v>96</v>
      </c>
      <c r="G32" s="18" t="s">
        <v>3793</v>
      </c>
      <c r="H32" s="18" t="s">
        <v>98</v>
      </c>
      <c r="I32" s="14" t="s">
        <v>20071</v>
      </c>
      <c r="J32" s="14">
        <v>1</v>
      </c>
      <c r="K32" s="14">
        <v>0</v>
      </c>
      <c r="L32" s="14" t="s">
        <v>20072</v>
      </c>
      <c r="M32" s="19" t="s">
        <v>101</v>
      </c>
      <c r="N32" s="14" t="s">
        <v>5251</v>
      </c>
      <c r="O32" s="14" t="s">
        <v>224</v>
      </c>
      <c r="P32" s="14" t="str">
        <f>HYPERLINK("https://dexscreener.com/solana/3vabXAGCdWWcudUKK7JM8TfVg6q5hRh6LcD8mN8Xpump", "View")</f>
        <v>View</v>
      </c>
    </row>
    <row r="33" spans="1:16" x14ac:dyDescent="0.25">
      <c r="A33" s="16" t="s">
        <v>20073</v>
      </c>
      <c r="B33" s="17">
        <v>10558</v>
      </c>
      <c r="C33" s="17">
        <v>0</v>
      </c>
      <c r="D33" s="17" t="s">
        <v>10436</v>
      </c>
      <c r="E33" s="17" t="s">
        <v>4396</v>
      </c>
      <c r="F33" s="17" t="s">
        <v>96</v>
      </c>
      <c r="G33" s="18" t="s">
        <v>3793</v>
      </c>
      <c r="H33" s="18" t="s">
        <v>98</v>
      </c>
      <c r="I33" s="17" t="s">
        <v>20074</v>
      </c>
      <c r="J33" s="17">
        <v>1</v>
      </c>
      <c r="K33" s="17">
        <v>0</v>
      </c>
      <c r="L33" s="17" t="s">
        <v>20075</v>
      </c>
      <c r="M33" s="19" t="s">
        <v>101</v>
      </c>
      <c r="N33" s="17" t="s">
        <v>20076</v>
      </c>
      <c r="O33" s="17" t="s">
        <v>20077</v>
      </c>
      <c r="P33" s="17" t="str">
        <f>HYPERLINK("https://dexscreener.com/solana/Hm4dVV7PtackAn2ePAv4kPNVxfhFahxndCJHCYqdpump", "View")</f>
        <v>View</v>
      </c>
    </row>
    <row r="34" spans="1:16" x14ac:dyDescent="0.25">
      <c r="A34" s="13" t="s">
        <v>225</v>
      </c>
      <c r="B34" s="14">
        <v>61922</v>
      </c>
      <c r="C34" s="14">
        <v>61922</v>
      </c>
      <c r="D34" s="14" t="s">
        <v>9913</v>
      </c>
      <c r="E34" s="14" t="s">
        <v>4396</v>
      </c>
      <c r="F34" s="14" t="s">
        <v>9188</v>
      </c>
      <c r="G34" s="21" t="s">
        <v>17326</v>
      </c>
      <c r="H34" s="21" t="s">
        <v>20078</v>
      </c>
      <c r="I34" s="14" t="s">
        <v>88</v>
      </c>
      <c r="J34" s="14">
        <v>1</v>
      </c>
      <c r="K34" s="14">
        <v>2</v>
      </c>
      <c r="L34" s="14" t="s">
        <v>15750</v>
      </c>
      <c r="M34" s="14" t="s">
        <v>231</v>
      </c>
      <c r="N34" s="14" t="s">
        <v>20079</v>
      </c>
      <c r="O34" s="14" t="s">
        <v>233</v>
      </c>
      <c r="P34" s="14" t="str">
        <f>HYPERLINK("https://dexscreener.com/solana/2odHeumkiJx46YyNHeZvDjMwsoNhpAgFQuipT96npump", "View")</f>
        <v>View</v>
      </c>
    </row>
    <row r="35" spans="1:16" x14ac:dyDescent="0.25">
      <c r="A35" s="16" t="s">
        <v>243</v>
      </c>
      <c r="B35" s="17">
        <v>48452</v>
      </c>
      <c r="C35" s="17">
        <v>0</v>
      </c>
      <c r="D35" s="17" t="s">
        <v>10436</v>
      </c>
      <c r="E35" s="17" t="s">
        <v>4396</v>
      </c>
      <c r="F35" s="17" t="s">
        <v>96</v>
      </c>
      <c r="G35" s="18" t="s">
        <v>3793</v>
      </c>
      <c r="H35" s="18" t="s">
        <v>98</v>
      </c>
      <c r="I35" s="17" t="s">
        <v>20080</v>
      </c>
      <c r="J35" s="17">
        <v>1</v>
      </c>
      <c r="K35" s="17">
        <v>0</v>
      </c>
      <c r="L35" s="17" t="s">
        <v>20081</v>
      </c>
      <c r="M35" s="19" t="s">
        <v>101</v>
      </c>
      <c r="N35" s="17" t="s">
        <v>20082</v>
      </c>
      <c r="O35" s="17" t="s">
        <v>247</v>
      </c>
      <c r="P35" s="17" t="str">
        <f>HYPERLINK("https://dexscreener.com/solana/Ca8AnVoDbwv31gddMHVyNLpHWYkGRRQFoXCcfe4gpump", "View")</f>
        <v>View</v>
      </c>
    </row>
    <row r="36" spans="1:16" x14ac:dyDescent="0.25">
      <c r="A36" s="13" t="s">
        <v>248</v>
      </c>
      <c r="B36" s="14">
        <v>57604</v>
      </c>
      <c r="C36" s="14">
        <v>57604</v>
      </c>
      <c r="D36" s="14" t="s">
        <v>9913</v>
      </c>
      <c r="E36" s="14" t="s">
        <v>4396</v>
      </c>
      <c r="F36" s="14" t="s">
        <v>9553</v>
      </c>
      <c r="G36" s="21" t="s">
        <v>20083</v>
      </c>
      <c r="H36" s="21" t="s">
        <v>20084</v>
      </c>
      <c r="I36" s="14" t="s">
        <v>88</v>
      </c>
      <c r="J36" s="14">
        <v>1</v>
      </c>
      <c r="K36" s="14">
        <v>2</v>
      </c>
      <c r="L36" s="14" t="s">
        <v>20085</v>
      </c>
      <c r="M36" s="14" t="s">
        <v>253</v>
      </c>
      <c r="N36" s="14" t="s">
        <v>20086</v>
      </c>
      <c r="O36" s="14" t="s">
        <v>255</v>
      </c>
      <c r="P36" s="14" t="str">
        <f>HYPERLINK("https://dexscreener.com/solana/9HjsPutyGGPpxnRn4ibH1hTfPvitAY5EPvtAwGFkpump", "View")</f>
        <v>View</v>
      </c>
    </row>
    <row r="37" spans="1:16" x14ac:dyDescent="0.25">
      <c r="A37" s="16" t="s">
        <v>256</v>
      </c>
      <c r="B37" s="17">
        <v>125498</v>
      </c>
      <c r="C37" s="17">
        <v>0</v>
      </c>
      <c r="D37" s="17" t="s">
        <v>10436</v>
      </c>
      <c r="E37" s="17" t="s">
        <v>4396</v>
      </c>
      <c r="F37" s="17" t="s">
        <v>96</v>
      </c>
      <c r="G37" s="18" t="s">
        <v>3793</v>
      </c>
      <c r="H37" s="18" t="s">
        <v>98</v>
      </c>
      <c r="I37" s="17" t="s">
        <v>20087</v>
      </c>
      <c r="J37" s="17">
        <v>1</v>
      </c>
      <c r="K37" s="17">
        <v>0</v>
      </c>
      <c r="L37" s="17" t="s">
        <v>20088</v>
      </c>
      <c r="M37" s="19" t="s">
        <v>101</v>
      </c>
      <c r="N37" s="17" t="s">
        <v>20089</v>
      </c>
      <c r="O37" s="17" t="s">
        <v>260</v>
      </c>
      <c r="P37" s="17" t="str">
        <f>HYPERLINK("https://dexscreener.com/solana/F8btFvgEKbsBvgornHg7Yb4QUgtceiyFeEaMZVQopump", "View")</f>
        <v>View</v>
      </c>
    </row>
    <row r="38" spans="1:16" x14ac:dyDescent="0.25">
      <c r="A38" s="13" t="s">
        <v>261</v>
      </c>
      <c r="B38" s="14">
        <v>579633</v>
      </c>
      <c r="C38" s="14">
        <v>0</v>
      </c>
      <c r="D38" s="14" t="s">
        <v>1882</v>
      </c>
      <c r="E38" s="14" t="s">
        <v>4665</v>
      </c>
      <c r="F38" s="14" t="s">
        <v>96</v>
      </c>
      <c r="G38" s="18" t="s">
        <v>3866</v>
      </c>
      <c r="H38" s="18" t="s">
        <v>98</v>
      </c>
      <c r="I38" s="14" t="s">
        <v>20090</v>
      </c>
      <c r="J38" s="14">
        <v>2</v>
      </c>
      <c r="K38" s="14">
        <v>0</v>
      </c>
      <c r="L38" s="14" t="s">
        <v>20091</v>
      </c>
      <c r="M38" s="19" t="s">
        <v>101</v>
      </c>
      <c r="N38" s="14" t="s">
        <v>20092</v>
      </c>
      <c r="O38" s="14" t="s">
        <v>265</v>
      </c>
      <c r="P38" s="14" t="str">
        <f>HYPERLINK("https://dexscreener.com/solana/EyDSYZM8RYQUc7ux41dNmR7BRk7tMzYnWmYeiKzCpump", "View")</f>
        <v>View</v>
      </c>
    </row>
    <row r="39" spans="1:16" x14ac:dyDescent="0.25">
      <c r="A39" s="16" t="s">
        <v>280</v>
      </c>
      <c r="B39" s="17">
        <v>19021</v>
      </c>
      <c r="C39" s="17">
        <v>19021</v>
      </c>
      <c r="D39" s="17" t="s">
        <v>9913</v>
      </c>
      <c r="E39" s="17" t="s">
        <v>4396</v>
      </c>
      <c r="F39" s="17" t="s">
        <v>20093</v>
      </c>
      <c r="G39" s="21" t="s">
        <v>2653</v>
      </c>
      <c r="H39" s="21" t="s">
        <v>20094</v>
      </c>
      <c r="I39" s="17" t="s">
        <v>88</v>
      </c>
      <c r="J39" s="17">
        <v>1</v>
      </c>
      <c r="K39" s="17">
        <v>2</v>
      </c>
      <c r="L39" s="17" t="s">
        <v>20095</v>
      </c>
      <c r="M39" s="17" t="s">
        <v>160</v>
      </c>
      <c r="N39" s="17" t="s">
        <v>20096</v>
      </c>
      <c r="O39" s="17" t="s">
        <v>289</v>
      </c>
      <c r="P39" s="17" t="str">
        <f>HYPERLINK("https://dexscreener.com/solana/7wUwkXo8Qjt3cYM8BaHHHeyfDY7ZSn7qvod92pNupump", "View")</f>
        <v>View</v>
      </c>
    </row>
    <row r="40" spans="1:16" x14ac:dyDescent="0.25">
      <c r="A40" s="13" t="s">
        <v>163</v>
      </c>
      <c r="B40" s="14">
        <v>135803</v>
      </c>
      <c r="C40" s="14">
        <v>135803</v>
      </c>
      <c r="D40" s="14" t="s">
        <v>9913</v>
      </c>
      <c r="E40" s="14" t="s">
        <v>4396</v>
      </c>
      <c r="F40" s="14" t="s">
        <v>11809</v>
      </c>
      <c r="G40" s="21" t="s">
        <v>5006</v>
      </c>
      <c r="H40" s="21" t="s">
        <v>177</v>
      </c>
      <c r="I40" s="14" t="s">
        <v>88</v>
      </c>
      <c r="J40" s="14">
        <v>1</v>
      </c>
      <c r="K40" s="14">
        <v>2</v>
      </c>
      <c r="L40" s="14" t="s">
        <v>20097</v>
      </c>
      <c r="M40" s="14" t="s">
        <v>1957</v>
      </c>
      <c r="N40" s="14" t="s">
        <v>20098</v>
      </c>
      <c r="O40" s="14" t="s">
        <v>171</v>
      </c>
      <c r="P40" s="14" t="str">
        <f>HYPERLINK("https://dexscreener.com/solana/EswvJvhPy8A8rWPdLJ5ATYW6cY5x483oS4QWWroZpump", "View")</f>
        <v>View</v>
      </c>
    </row>
    <row r="41" spans="1:16" x14ac:dyDescent="0.25">
      <c r="A41" s="16" t="s">
        <v>297</v>
      </c>
      <c r="B41" s="17">
        <v>10421</v>
      </c>
      <c r="C41" s="17">
        <v>8137</v>
      </c>
      <c r="D41" s="17" t="s">
        <v>1629</v>
      </c>
      <c r="E41" s="17" t="s">
        <v>4665</v>
      </c>
      <c r="F41" s="17" t="s">
        <v>3805</v>
      </c>
      <c r="G41" s="22" t="s">
        <v>10011</v>
      </c>
      <c r="H41" s="22" t="s">
        <v>20099</v>
      </c>
      <c r="I41" s="17" t="s">
        <v>88</v>
      </c>
      <c r="J41" s="17">
        <v>2</v>
      </c>
      <c r="K41" s="17">
        <v>2</v>
      </c>
      <c r="L41" s="17" t="s">
        <v>20100</v>
      </c>
      <c r="M41" s="17" t="s">
        <v>3171</v>
      </c>
      <c r="N41" s="17" t="s">
        <v>20101</v>
      </c>
      <c r="O41" s="17" t="s">
        <v>306</v>
      </c>
      <c r="P41" s="17" t="str">
        <f>HYPERLINK("https://dexscreener.com/solana/yG6bXPEFaUnGAEHHqH9H7t1VSfaK7YrggCqHy35pump", "View")</f>
        <v>View</v>
      </c>
    </row>
    <row r="42" spans="1:16" x14ac:dyDescent="0.25">
      <c r="A42" s="13" t="s">
        <v>312</v>
      </c>
      <c r="B42" s="14">
        <v>54067</v>
      </c>
      <c r="C42" s="14">
        <v>54067</v>
      </c>
      <c r="D42" s="14" t="s">
        <v>9913</v>
      </c>
      <c r="E42" s="14" t="s">
        <v>4396</v>
      </c>
      <c r="F42" s="14" t="s">
        <v>20102</v>
      </c>
      <c r="G42" s="21" t="s">
        <v>10328</v>
      </c>
      <c r="H42" s="21" t="s">
        <v>20103</v>
      </c>
      <c r="I42" s="14" t="s">
        <v>88</v>
      </c>
      <c r="J42" s="14">
        <v>1</v>
      </c>
      <c r="K42" s="14">
        <v>2</v>
      </c>
      <c r="L42" s="14" t="s">
        <v>15778</v>
      </c>
      <c r="M42" s="14" t="s">
        <v>317</v>
      </c>
      <c r="N42" s="14" t="s">
        <v>20104</v>
      </c>
      <c r="O42" s="14" t="s">
        <v>319</v>
      </c>
      <c r="P42" s="14" t="str">
        <f>HYPERLINK("https://dexscreener.com/solana/GPF3b1vrWJfpaNNAXqTDLLnSRHTMG6auWonK3LAWpump", "View")</f>
        <v>View</v>
      </c>
    </row>
    <row r="43" spans="1:16" x14ac:dyDescent="0.25">
      <c r="A43" s="16" t="s">
        <v>320</v>
      </c>
      <c r="B43" s="17">
        <v>78519</v>
      </c>
      <c r="C43" s="17">
        <v>0</v>
      </c>
      <c r="D43" s="17" t="s">
        <v>10436</v>
      </c>
      <c r="E43" s="17" t="s">
        <v>4396</v>
      </c>
      <c r="F43" s="17" t="s">
        <v>96</v>
      </c>
      <c r="G43" s="18" t="s">
        <v>3793</v>
      </c>
      <c r="H43" s="18" t="s">
        <v>98</v>
      </c>
      <c r="I43" s="17" t="s">
        <v>20105</v>
      </c>
      <c r="J43" s="17">
        <v>1</v>
      </c>
      <c r="K43" s="17">
        <v>0</v>
      </c>
      <c r="L43" s="17" t="s">
        <v>20106</v>
      </c>
      <c r="M43" s="19" t="s">
        <v>101</v>
      </c>
      <c r="N43" s="17" t="s">
        <v>20107</v>
      </c>
      <c r="O43" s="17" t="s">
        <v>324</v>
      </c>
      <c r="P43" s="17" t="str">
        <f>HYPERLINK("https://dexscreener.com/solana/iByRAnwB6oHjphgaixPkKqno41ida9yqKwwmrsKpump", "View")</f>
        <v>View</v>
      </c>
    </row>
    <row r="44" spans="1:16" x14ac:dyDescent="0.25">
      <c r="A44" s="13" t="s">
        <v>325</v>
      </c>
      <c r="B44" s="14">
        <v>209896</v>
      </c>
      <c r="C44" s="14">
        <v>0</v>
      </c>
      <c r="D44" s="14" t="s">
        <v>10436</v>
      </c>
      <c r="E44" s="14" t="s">
        <v>4396</v>
      </c>
      <c r="F44" s="14" t="s">
        <v>96</v>
      </c>
      <c r="G44" s="18" t="s">
        <v>3793</v>
      </c>
      <c r="H44" s="18" t="s">
        <v>98</v>
      </c>
      <c r="I44" s="14" t="s">
        <v>20108</v>
      </c>
      <c r="J44" s="14">
        <v>1</v>
      </c>
      <c r="K44" s="14">
        <v>0</v>
      </c>
      <c r="L44" s="14" t="s">
        <v>15788</v>
      </c>
      <c r="M44" s="19" t="s">
        <v>101</v>
      </c>
      <c r="N44" s="14" t="s">
        <v>20109</v>
      </c>
      <c r="O44" s="14" t="s">
        <v>329</v>
      </c>
      <c r="P44" s="14" t="str">
        <f>HYPERLINK("https://dexscreener.com/solana/AuNhsb7EhBeQCBqiEVSH5GcLipw9rDiqoj3YgVQbQZcP", "View")</f>
        <v>View</v>
      </c>
    </row>
    <row r="45" spans="1:16" x14ac:dyDescent="0.25">
      <c r="A45" s="16" t="s">
        <v>297</v>
      </c>
      <c r="B45" s="17">
        <v>15936</v>
      </c>
      <c r="C45" s="17">
        <v>0</v>
      </c>
      <c r="D45" s="17" t="s">
        <v>10436</v>
      </c>
      <c r="E45" s="17" t="s">
        <v>4396</v>
      </c>
      <c r="F45" s="17" t="s">
        <v>96</v>
      </c>
      <c r="G45" s="18" t="s">
        <v>3793</v>
      </c>
      <c r="H45" s="18" t="s">
        <v>98</v>
      </c>
      <c r="I45" s="17" t="s">
        <v>20110</v>
      </c>
      <c r="J45" s="17">
        <v>1</v>
      </c>
      <c r="K45" s="17">
        <v>0</v>
      </c>
      <c r="L45" s="17" t="s">
        <v>15791</v>
      </c>
      <c r="M45" s="19" t="s">
        <v>101</v>
      </c>
      <c r="N45" s="17" t="s">
        <v>332</v>
      </c>
      <c r="O45" s="17" t="s">
        <v>333</v>
      </c>
      <c r="P45" s="17" t="str">
        <f>HYPERLINK("https://dexscreener.com/solana/GqfGQEhQXpKEnsc33fJo8RLjeQBkYvFzgLPDdBwZpump", "View")</f>
        <v>View</v>
      </c>
    </row>
    <row r="46" spans="1:16" x14ac:dyDescent="0.25">
      <c r="A46" s="13" t="s">
        <v>1443</v>
      </c>
      <c r="B46" s="14">
        <v>41200</v>
      </c>
      <c r="C46" s="14">
        <v>0</v>
      </c>
      <c r="D46" s="14" t="s">
        <v>10436</v>
      </c>
      <c r="E46" s="14" t="s">
        <v>4396</v>
      </c>
      <c r="F46" s="14" t="s">
        <v>96</v>
      </c>
      <c r="G46" s="18" t="s">
        <v>3793</v>
      </c>
      <c r="H46" s="18" t="s">
        <v>98</v>
      </c>
      <c r="I46" s="14" t="s">
        <v>20111</v>
      </c>
      <c r="J46" s="14">
        <v>1</v>
      </c>
      <c r="K46" s="14">
        <v>0</v>
      </c>
      <c r="L46" s="14" t="s">
        <v>20112</v>
      </c>
      <c r="M46" s="19" t="s">
        <v>101</v>
      </c>
      <c r="N46" s="14" t="s">
        <v>20113</v>
      </c>
      <c r="O46" s="14" t="s">
        <v>1450</v>
      </c>
      <c r="P46" s="14" t="str">
        <f>HYPERLINK("https://dexscreener.com/solana/2qAx8nkVedYNNff19N4CZZJT66etYgSyWcYvNasGpump", "View")</f>
        <v>View</v>
      </c>
    </row>
    <row r="47" spans="1:16" x14ac:dyDescent="0.25">
      <c r="A47" s="16" t="s">
        <v>334</v>
      </c>
      <c r="B47" s="17">
        <v>18172</v>
      </c>
      <c r="C47" s="17">
        <v>0</v>
      </c>
      <c r="D47" s="17" t="s">
        <v>10436</v>
      </c>
      <c r="E47" s="17" t="s">
        <v>4396</v>
      </c>
      <c r="F47" s="17" t="s">
        <v>96</v>
      </c>
      <c r="G47" s="18" t="s">
        <v>3793</v>
      </c>
      <c r="H47" s="18" t="s">
        <v>98</v>
      </c>
      <c r="I47" s="17" t="s">
        <v>20114</v>
      </c>
      <c r="J47" s="17">
        <v>1</v>
      </c>
      <c r="K47" s="17">
        <v>0</v>
      </c>
      <c r="L47" s="17" t="s">
        <v>20115</v>
      </c>
      <c r="M47" s="19" t="s">
        <v>101</v>
      </c>
      <c r="N47" s="17" t="s">
        <v>20116</v>
      </c>
      <c r="O47" s="17" t="s">
        <v>338</v>
      </c>
      <c r="P47" s="17" t="str">
        <f>HYPERLINK("https://dexscreener.com/solana/4yyB8a6vmTZ5RL6UkPx4eSy57cLqWk2f8LuKnED5pump", "View")</f>
        <v>View</v>
      </c>
    </row>
    <row r="48" spans="1:16" x14ac:dyDescent="0.25">
      <c r="A48" s="13" t="s">
        <v>339</v>
      </c>
      <c r="B48" s="14">
        <v>380675</v>
      </c>
      <c r="C48" s="14">
        <v>0</v>
      </c>
      <c r="D48" s="14" t="s">
        <v>10436</v>
      </c>
      <c r="E48" s="14" t="s">
        <v>4396</v>
      </c>
      <c r="F48" s="14" t="s">
        <v>96</v>
      </c>
      <c r="G48" s="18" t="s">
        <v>3793</v>
      </c>
      <c r="H48" s="18" t="s">
        <v>98</v>
      </c>
      <c r="I48" s="14" t="s">
        <v>20117</v>
      </c>
      <c r="J48" s="14">
        <v>1</v>
      </c>
      <c r="K48" s="14">
        <v>0</v>
      </c>
      <c r="L48" s="14" t="s">
        <v>20118</v>
      </c>
      <c r="M48" s="19" t="s">
        <v>101</v>
      </c>
      <c r="N48" s="14" t="s">
        <v>20119</v>
      </c>
      <c r="O48" s="14" t="s">
        <v>345</v>
      </c>
      <c r="P48" s="14" t="str">
        <f>HYPERLINK("https://dexscreener.com/solana/BdLo5N3ndcuEj78MYquEy5LrMu138qE2BzjehwJ8pump", "View")</f>
        <v>View</v>
      </c>
    </row>
    <row r="49" spans="1:16" x14ac:dyDescent="0.25">
      <c r="A49" s="16" t="s">
        <v>346</v>
      </c>
      <c r="B49" s="17">
        <v>306261</v>
      </c>
      <c r="C49" s="17">
        <v>0</v>
      </c>
      <c r="D49" s="17" t="s">
        <v>10436</v>
      </c>
      <c r="E49" s="17" t="s">
        <v>4396</v>
      </c>
      <c r="F49" s="17" t="s">
        <v>96</v>
      </c>
      <c r="G49" s="18" t="s">
        <v>3793</v>
      </c>
      <c r="H49" s="18" t="s">
        <v>98</v>
      </c>
      <c r="I49" s="17" t="s">
        <v>20120</v>
      </c>
      <c r="J49" s="17">
        <v>1</v>
      </c>
      <c r="K49" s="17">
        <v>0</v>
      </c>
      <c r="L49" s="17" t="s">
        <v>20121</v>
      </c>
      <c r="M49" s="19" t="s">
        <v>101</v>
      </c>
      <c r="N49" s="17" t="s">
        <v>20122</v>
      </c>
      <c r="O49" s="17" t="s">
        <v>350</v>
      </c>
      <c r="P49" s="17" t="str">
        <f>HYPERLINK("https://dexscreener.com/solana/51Di9FPc2ZGtJ5UkynkY34QGsXVXyPW8JnmBL6Ljpump", "View")</f>
        <v>View</v>
      </c>
    </row>
    <row r="50" spans="1:16" x14ac:dyDescent="0.25">
      <c r="A50" s="13" t="s">
        <v>359</v>
      </c>
      <c r="B50" s="14">
        <v>85619</v>
      </c>
      <c r="C50" s="14">
        <v>42810</v>
      </c>
      <c r="D50" s="14" t="s">
        <v>1882</v>
      </c>
      <c r="E50" s="14" t="s">
        <v>4396</v>
      </c>
      <c r="F50" s="14" t="s">
        <v>5098</v>
      </c>
      <c r="G50" s="21" t="s">
        <v>5346</v>
      </c>
      <c r="H50" s="21" t="s">
        <v>20123</v>
      </c>
      <c r="I50" s="14" t="s">
        <v>88</v>
      </c>
      <c r="J50" s="14">
        <v>1</v>
      </c>
      <c r="K50" s="14">
        <v>1</v>
      </c>
      <c r="L50" s="14" t="s">
        <v>20124</v>
      </c>
      <c r="M50" s="14" t="s">
        <v>160</v>
      </c>
      <c r="N50" s="14" t="s">
        <v>20125</v>
      </c>
      <c r="O50" s="14" t="s">
        <v>366</v>
      </c>
      <c r="P50" s="14" t="str">
        <f>HYPERLINK("https://dexscreener.com/solana/FFUqMLqYuSjKr19r6NDpYSoHu5Qzg51cUmgwnSyipump", "View")</f>
        <v>View</v>
      </c>
    </row>
    <row r="51" spans="1:16" x14ac:dyDescent="0.25">
      <c r="A51" s="16" t="s">
        <v>392</v>
      </c>
      <c r="B51" s="17">
        <v>11247</v>
      </c>
      <c r="C51" s="17">
        <v>0</v>
      </c>
      <c r="D51" s="17" t="s">
        <v>10157</v>
      </c>
      <c r="E51" s="17" t="s">
        <v>4396</v>
      </c>
      <c r="F51" s="17" t="s">
        <v>96</v>
      </c>
      <c r="G51" s="18" t="s">
        <v>15868</v>
      </c>
      <c r="H51" s="18" t="s">
        <v>98</v>
      </c>
      <c r="I51" s="17" t="s">
        <v>20126</v>
      </c>
      <c r="J51" s="17">
        <v>1</v>
      </c>
      <c r="K51" s="17">
        <v>0</v>
      </c>
      <c r="L51" s="17" t="s">
        <v>20127</v>
      </c>
      <c r="M51" s="19" t="s">
        <v>101</v>
      </c>
      <c r="N51" s="17" t="s">
        <v>20128</v>
      </c>
      <c r="O51" s="17" t="s">
        <v>400</v>
      </c>
      <c r="P51" s="17" t="str">
        <f>HYPERLINK("https://dexscreener.com/solana/BTdGTUjHz5FUSf91Ufo9L9r4LFMTRhE1qDtvUUfypump", "View")</f>
        <v>View</v>
      </c>
    </row>
    <row r="52" spans="1:16" x14ac:dyDescent="0.25">
      <c r="A52" s="13" t="s">
        <v>15828</v>
      </c>
      <c r="B52" s="14">
        <v>41302</v>
      </c>
      <c r="C52" s="14">
        <v>0</v>
      </c>
      <c r="D52" s="14" t="s">
        <v>10157</v>
      </c>
      <c r="E52" s="14" t="s">
        <v>4396</v>
      </c>
      <c r="F52" s="14" t="s">
        <v>96</v>
      </c>
      <c r="G52" s="18" t="s">
        <v>15868</v>
      </c>
      <c r="H52" s="18" t="s">
        <v>98</v>
      </c>
      <c r="I52" s="14" t="s">
        <v>20129</v>
      </c>
      <c r="J52" s="14">
        <v>1</v>
      </c>
      <c r="K52" s="14">
        <v>0</v>
      </c>
      <c r="L52" s="14" t="s">
        <v>20130</v>
      </c>
      <c r="M52" s="19" t="s">
        <v>101</v>
      </c>
      <c r="N52" s="14" t="s">
        <v>20131</v>
      </c>
      <c r="O52" s="14" t="s">
        <v>15831</v>
      </c>
      <c r="P52" s="14" t="str">
        <f>HYPERLINK("https://dexscreener.com/solana/CLLNTfuCHWAfRzo7utGPcZ6qjcwkDrSVyPVywCUSpump", "View")</f>
        <v>View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E0C4-29B3-44CF-8579-0EB43C1C4CD1}">
  <dimension ref="A1:P6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HYPERLINK("https://gmgn.ai/sol/address/AgzBBqaY8UxVtFZhTZMpSUTd2TCh4AFHwjYSsrwLjyAW", "GMGN")</f>
        <v>GMGN</v>
      </c>
    </row>
    <row r="2" spans="1:14" x14ac:dyDescent="0.25">
      <c r="A2" s="3" t="s">
        <v>20132</v>
      </c>
      <c r="B2" s="3" t="s">
        <v>20133</v>
      </c>
      <c r="C2" s="3" t="s">
        <v>20134</v>
      </c>
      <c r="D2" s="3" t="s">
        <v>20135</v>
      </c>
      <c r="E2" s="3" t="s">
        <v>20136</v>
      </c>
      <c r="F2" s="3" t="s">
        <v>20137</v>
      </c>
      <c r="G2" s="3" t="s">
        <v>18</v>
      </c>
      <c r="H2" s="3">
        <v>45</v>
      </c>
      <c r="I2" s="3">
        <v>0</v>
      </c>
      <c r="J2" s="3" t="s">
        <v>4550</v>
      </c>
      <c r="K2" s="3" t="s">
        <v>3324</v>
      </c>
      <c r="L2" s="3">
        <v>13</v>
      </c>
      <c r="M2" s="3">
        <v>29</v>
      </c>
      <c r="N2" s="3" t="str">
        <f>HYPERLINK("https://solscan.io/account/AgzBBqaY8UxVtFZhTZMpSUTd2TCh4AFHwjYSsrwLjyAW", "Solscan")</f>
        <v>Solscan</v>
      </c>
    </row>
    <row r="3" spans="1:14" x14ac:dyDescent="0.25">
      <c r="A3" s="1" t="s">
        <v>21</v>
      </c>
      <c r="B3" s="4" t="s">
        <v>20138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HYPERLINK("https://birdeye.so/profile/AgzBBqaY8UxVtFZhTZMpSUTd2TCh4AFHwjYSsrwLjyAW", "Birdeye")</f>
        <v>Birdeye</v>
      </c>
    </row>
    <row r="4" spans="1:14" x14ac:dyDescent="0.25">
      <c r="A4" s="1" t="s">
        <v>25</v>
      </c>
      <c r="B4" s="3" t="s">
        <v>19655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7497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7498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2</v>
      </c>
      <c r="E10" s="1">
        <v>12</v>
      </c>
      <c r="F10" s="1">
        <v>24</v>
      </c>
      <c r="G10" s="1">
        <v>4</v>
      </c>
      <c r="H10" s="3"/>
      <c r="I10" s="3" t="s">
        <v>42</v>
      </c>
      <c r="J10" s="3" t="s">
        <v>8461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20139</v>
      </c>
      <c r="C11" s="1" t="s">
        <v>20140</v>
      </c>
      <c r="D11" s="1" t="s">
        <v>20140</v>
      </c>
      <c r="E11" s="1" t="s">
        <v>20141</v>
      </c>
      <c r="F11" s="1" t="s">
        <v>20142</v>
      </c>
      <c r="G11" s="1" t="s">
        <v>20143</v>
      </c>
      <c r="H11" s="3"/>
      <c r="I11" s="3" t="s">
        <v>50</v>
      </c>
      <c r="J11" s="3" t="s">
        <v>15661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20144</v>
      </c>
      <c r="C12" s="1" t="s">
        <v>20145</v>
      </c>
      <c r="D12" s="1" t="s">
        <v>11201</v>
      </c>
      <c r="E12" s="1" t="s">
        <v>20146</v>
      </c>
      <c r="F12" s="1" t="s">
        <v>20147</v>
      </c>
      <c r="G12" s="1" t="s">
        <v>20148</v>
      </c>
      <c r="H12" s="3"/>
      <c r="I12" s="3" t="s">
        <v>59</v>
      </c>
      <c r="J12" s="3" t="s">
        <v>8461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20149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20150</v>
      </c>
      <c r="B20" s="14">
        <v>27753767</v>
      </c>
      <c r="C20" s="14">
        <v>27753767</v>
      </c>
      <c r="D20" s="14" t="s">
        <v>4401</v>
      </c>
      <c r="E20" s="14" t="s">
        <v>1007</v>
      </c>
      <c r="F20" s="14" t="s">
        <v>3104</v>
      </c>
      <c r="G20" s="20" t="s">
        <v>3829</v>
      </c>
      <c r="H20" s="20" t="s">
        <v>20151</v>
      </c>
      <c r="I20" s="14" t="s">
        <v>88</v>
      </c>
      <c r="J20" s="14">
        <v>1</v>
      </c>
      <c r="K20" s="14">
        <v>1</v>
      </c>
      <c r="L20" s="14" t="s">
        <v>20152</v>
      </c>
      <c r="M20" s="19" t="s">
        <v>3324</v>
      </c>
      <c r="N20" s="14" t="s">
        <v>20153</v>
      </c>
      <c r="O20" s="14" t="s">
        <v>20154</v>
      </c>
      <c r="P20" s="14" t="str">
        <f>HYPERLINK("https://dexscreener.com/solana/Hck5e8vDC8xEVNtwofYXPgQ19T5nWa4k8joELwQDpump", "View")</f>
        <v>View</v>
      </c>
    </row>
    <row r="21" spans="1:16" x14ac:dyDescent="0.25">
      <c r="A21" s="16" t="s">
        <v>2544</v>
      </c>
      <c r="B21" s="17">
        <v>2299537</v>
      </c>
      <c r="C21" s="17">
        <v>2299537</v>
      </c>
      <c r="D21" s="17" t="s">
        <v>4401</v>
      </c>
      <c r="E21" s="17" t="s">
        <v>1007</v>
      </c>
      <c r="F21" s="17" t="s">
        <v>5914</v>
      </c>
      <c r="G21" s="15" t="s">
        <v>20155</v>
      </c>
      <c r="H21" s="15" t="s">
        <v>20156</v>
      </c>
      <c r="I21" s="17" t="s">
        <v>88</v>
      </c>
      <c r="J21" s="17">
        <v>1</v>
      </c>
      <c r="K21" s="17">
        <v>1</v>
      </c>
      <c r="L21" s="17" t="s">
        <v>20157</v>
      </c>
      <c r="M21" s="17" t="s">
        <v>3180</v>
      </c>
      <c r="N21" s="17" t="s">
        <v>507</v>
      </c>
      <c r="O21" s="17" t="s">
        <v>20158</v>
      </c>
      <c r="P21" s="17" t="str">
        <f>HYPERLINK("https://dexscreener.com/solana/A94MAPA9AAskSmKT2j6pGjdGEcZU4P4R5m6WEiogpump", "View")</f>
        <v>View</v>
      </c>
    </row>
    <row r="22" spans="1:16" x14ac:dyDescent="0.25">
      <c r="A22" s="13" t="s">
        <v>6432</v>
      </c>
      <c r="B22" s="14">
        <v>3290968</v>
      </c>
      <c r="C22" s="14">
        <v>3290968</v>
      </c>
      <c r="D22" s="14" t="s">
        <v>4401</v>
      </c>
      <c r="E22" s="14" t="s">
        <v>3805</v>
      </c>
      <c r="F22" s="14" t="s">
        <v>3275</v>
      </c>
      <c r="G22" s="15" t="s">
        <v>20159</v>
      </c>
      <c r="H22" s="15" t="s">
        <v>4720</v>
      </c>
      <c r="I22" s="14" t="s">
        <v>88</v>
      </c>
      <c r="J22" s="14">
        <v>1</v>
      </c>
      <c r="K22" s="14">
        <v>1</v>
      </c>
      <c r="L22" s="14" t="s">
        <v>20160</v>
      </c>
      <c r="M22" s="14" t="s">
        <v>1610</v>
      </c>
      <c r="N22" s="14" t="s">
        <v>4774</v>
      </c>
      <c r="O22" s="14" t="s">
        <v>6439</v>
      </c>
      <c r="P22" s="14" t="str">
        <f>HYPERLINK("https://photon-sol.tinyastro.io/en/lp/8WxmZnV1aqNbNBjWvpjhZwmFp4teNzs94A9RUNKSpump?handle=676050794bc1b1657a56b", "View")</f>
        <v>View</v>
      </c>
    </row>
    <row r="23" spans="1:16" x14ac:dyDescent="0.25">
      <c r="A23" s="16" t="s">
        <v>20161</v>
      </c>
      <c r="B23" s="17">
        <v>1884097</v>
      </c>
      <c r="C23" s="17">
        <v>1884097</v>
      </c>
      <c r="D23" s="17" t="s">
        <v>4401</v>
      </c>
      <c r="E23" s="17" t="s">
        <v>402</v>
      </c>
      <c r="F23" s="17" t="s">
        <v>20162</v>
      </c>
      <c r="G23" s="20" t="s">
        <v>20163</v>
      </c>
      <c r="H23" s="20" t="s">
        <v>20164</v>
      </c>
      <c r="I23" s="17" t="s">
        <v>88</v>
      </c>
      <c r="J23" s="17">
        <v>1</v>
      </c>
      <c r="K23" s="17">
        <v>1</v>
      </c>
      <c r="L23" s="17" t="s">
        <v>20165</v>
      </c>
      <c r="M23" s="17" t="s">
        <v>117</v>
      </c>
      <c r="N23" s="17" t="s">
        <v>20166</v>
      </c>
      <c r="O23" s="17" t="s">
        <v>20167</v>
      </c>
      <c r="P23" s="17" t="str">
        <f>HYPERLINK("https://dexscreener.com/solana/D8kgv5BRyfxUgTJGhkPJcw1Neo1eaneENC5XxC99pump", "View")</f>
        <v>View</v>
      </c>
    </row>
    <row r="24" spans="1:16" x14ac:dyDescent="0.25">
      <c r="A24" s="13" t="s">
        <v>20168</v>
      </c>
      <c r="B24" s="14">
        <v>272381849</v>
      </c>
      <c r="C24" s="14">
        <v>272381849</v>
      </c>
      <c r="D24" s="14" t="s">
        <v>20169</v>
      </c>
      <c r="E24" s="14" t="s">
        <v>20170</v>
      </c>
      <c r="F24" s="14" t="s">
        <v>20171</v>
      </c>
      <c r="G24" s="21" t="s">
        <v>20172</v>
      </c>
      <c r="H24" s="21" t="s">
        <v>20173</v>
      </c>
      <c r="I24" s="14" t="s">
        <v>88</v>
      </c>
      <c r="J24" s="14">
        <v>3</v>
      </c>
      <c r="K24" s="14">
        <v>37</v>
      </c>
      <c r="L24" s="14" t="s">
        <v>20174</v>
      </c>
      <c r="M24" s="14" t="s">
        <v>745</v>
      </c>
      <c r="N24" s="14" t="s">
        <v>20175</v>
      </c>
      <c r="O24" s="14" t="s">
        <v>20176</v>
      </c>
      <c r="P24" s="14" t="str">
        <f>HYPERLINK("https://photon-sol.tinyastro.io/en/lp/FDdEAQ77Eo5VzDMJVsnVRxkKid91eQUatXyvpdxRpump?handle=676050794bc1b1657a56b", "View")</f>
        <v>View</v>
      </c>
    </row>
    <row r="25" spans="1:16" x14ac:dyDescent="0.25">
      <c r="A25" s="16" t="s">
        <v>20177</v>
      </c>
      <c r="B25" s="17">
        <v>3529903</v>
      </c>
      <c r="C25" s="17">
        <v>3529903</v>
      </c>
      <c r="D25" s="17" t="s">
        <v>20178</v>
      </c>
      <c r="E25" s="17" t="s">
        <v>20179</v>
      </c>
      <c r="F25" s="17" t="s">
        <v>20180</v>
      </c>
      <c r="G25" s="20" t="s">
        <v>20181</v>
      </c>
      <c r="H25" s="20" t="s">
        <v>20182</v>
      </c>
      <c r="I25" s="17" t="s">
        <v>88</v>
      </c>
      <c r="J25" s="17">
        <v>6</v>
      </c>
      <c r="K25" s="17">
        <v>8</v>
      </c>
      <c r="L25" s="17" t="s">
        <v>20183</v>
      </c>
      <c r="M25" s="17" t="s">
        <v>117</v>
      </c>
      <c r="N25" s="17" t="s">
        <v>20184</v>
      </c>
      <c r="O25" s="17" t="s">
        <v>20185</v>
      </c>
      <c r="P25" s="17" t="str">
        <f>HYPERLINK("https://dexscreener.com/solana/8SuMAjoZeLGaaekNHP235Dv4soXsrcseFXefT3A9pump", "View")</f>
        <v>View</v>
      </c>
    </row>
    <row r="26" spans="1:16" x14ac:dyDescent="0.25">
      <c r="A26" s="13" t="s">
        <v>5082</v>
      </c>
      <c r="B26" s="14">
        <v>40034443</v>
      </c>
      <c r="C26" s="14">
        <v>40034443</v>
      </c>
      <c r="D26" s="14" t="s">
        <v>1813</v>
      </c>
      <c r="E26" s="14" t="s">
        <v>1007</v>
      </c>
      <c r="F26" s="14" t="s">
        <v>12500</v>
      </c>
      <c r="G26" s="20" t="s">
        <v>2630</v>
      </c>
      <c r="H26" s="20" t="s">
        <v>20186</v>
      </c>
      <c r="I26" s="14" t="s">
        <v>88</v>
      </c>
      <c r="J26" s="14">
        <v>1</v>
      </c>
      <c r="K26" s="14">
        <v>1</v>
      </c>
      <c r="L26" s="14" t="s">
        <v>20187</v>
      </c>
      <c r="M26" s="19" t="s">
        <v>3324</v>
      </c>
      <c r="N26" s="14" t="s">
        <v>12746</v>
      </c>
      <c r="O26" s="14" t="s">
        <v>5086</v>
      </c>
      <c r="P26" s="14" t="str">
        <f>HYPERLINK("https://dexscreener.com/solana/7n1y1dwSQdfZLH45t3LqbYfK74Ewn1s1eL2ozDgupump", "View")</f>
        <v>View</v>
      </c>
    </row>
    <row r="27" spans="1:16" x14ac:dyDescent="0.25">
      <c r="A27" s="16" t="s">
        <v>20188</v>
      </c>
      <c r="B27" s="17">
        <v>98380343</v>
      </c>
      <c r="C27" s="17">
        <v>98380343</v>
      </c>
      <c r="D27" s="17" t="s">
        <v>20189</v>
      </c>
      <c r="E27" s="17" t="s">
        <v>20190</v>
      </c>
      <c r="F27" s="17" t="s">
        <v>20191</v>
      </c>
      <c r="G27" s="20" t="s">
        <v>3671</v>
      </c>
      <c r="H27" s="20" t="s">
        <v>20192</v>
      </c>
      <c r="I27" s="17" t="s">
        <v>88</v>
      </c>
      <c r="J27" s="17">
        <v>3</v>
      </c>
      <c r="K27" s="17">
        <v>3</v>
      </c>
      <c r="L27" s="17" t="s">
        <v>20193</v>
      </c>
      <c r="M27" s="17" t="s">
        <v>2145</v>
      </c>
      <c r="N27" s="17" t="s">
        <v>20194</v>
      </c>
      <c r="O27" s="17" t="s">
        <v>20195</v>
      </c>
      <c r="P27" s="17" t="str">
        <f>HYPERLINK("https://photon-sol.tinyastro.io/en/lp/5no2E6m23bsRukeXVghCSgAYRXuav74sfGgPTaW7pump?handle=676050794bc1b1657a56b", "View")</f>
        <v>View</v>
      </c>
    </row>
    <row r="28" spans="1:16" x14ac:dyDescent="0.25">
      <c r="A28" s="13" t="s">
        <v>20196</v>
      </c>
      <c r="B28" s="14">
        <v>67939550</v>
      </c>
      <c r="C28" s="14">
        <v>67939550</v>
      </c>
      <c r="D28" s="14" t="s">
        <v>20197</v>
      </c>
      <c r="E28" s="14" t="s">
        <v>20198</v>
      </c>
      <c r="F28" s="14" t="s">
        <v>6555</v>
      </c>
      <c r="G28" s="21" t="s">
        <v>20199</v>
      </c>
      <c r="H28" s="21" t="s">
        <v>20200</v>
      </c>
      <c r="I28" s="14" t="s">
        <v>88</v>
      </c>
      <c r="J28" s="14">
        <v>2</v>
      </c>
      <c r="K28" s="14">
        <v>2</v>
      </c>
      <c r="L28" s="14" t="s">
        <v>20201</v>
      </c>
      <c r="M28" s="14" t="s">
        <v>132</v>
      </c>
      <c r="N28" s="14" t="s">
        <v>507</v>
      </c>
      <c r="O28" s="14" t="s">
        <v>20202</v>
      </c>
      <c r="P28" s="14" t="str">
        <f>HYPERLINK("https://photon-sol.tinyastro.io/en/lp/7xWjG1AmjFKcjo8ebAQdv3mUbe4p6exZHHUSGkfPpump?handle=676050794bc1b1657a56b", "View")</f>
        <v>View</v>
      </c>
    </row>
    <row r="29" spans="1:16" x14ac:dyDescent="0.25">
      <c r="A29" s="16" t="s">
        <v>7416</v>
      </c>
      <c r="B29" s="17">
        <v>75553455</v>
      </c>
      <c r="C29" s="17">
        <v>75553455</v>
      </c>
      <c r="D29" s="17" t="s">
        <v>20203</v>
      </c>
      <c r="E29" s="17" t="s">
        <v>20204</v>
      </c>
      <c r="F29" s="17" t="s">
        <v>20205</v>
      </c>
      <c r="G29" s="21" t="s">
        <v>20206</v>
      </c>
      <c r="H29" s="21" t="s">
        <v>20207</v>
      </c>
      <c r="I29" s="17" t="s">
        <v>88</v>
      </c>
      <c r="J29" s="17">
        <v>9</v>
      </c>
      <c r="K29" s="17">
        <v>20</v>
      </c>
      <c r="L29" s="17" t="s">
        <v>20208</v>
      </c>
      <c r="M29" s="17" t="s">
        <v>117</v>
      </c>
      <c r="N29" s="17" t="s">
        <v>20209</v>
      </c>
      <c r="O29" s="17" t="s">
        <v>20210</v>
      </c>
      <c r="P29" s="17" t="str">
        <f>HYPERLINK("https://photon-sol.tinyastro.io/en/lp/FrbTvy9eRBHzCGNyuc3KqwGKYx9vk2soDTzBAafNpump?handle=676050794bc1b1657a56b", "View")</f>
        <v>View</v>
      </c>
    </row>
    <row r="30" spans="1:16" x14ac:dyDescent="0.25">
      <c r="A30" s="13" t="s">
        <v>12549</v>
      </c>
      <c r="B30" s="14">
        <v>45915049</v>
      </c>
      <c r="C30" s="14">
        <v>45915049</v>
      </c>
      <c r="D30" s="14" t="s">
        <v>20211</v>
      </c>
      <c r="E30" s="14" t="s">
        <v>3404</v>
      </c>
      <c r="F30" s="14" t="s">
        <v>13727</v>
      </c>
      <c r="G30" s="20" t="s">
        <v>3913</v>
      </c>
      <c r="H30" s="20" t="s">
        <v>20212</v>
      </c>
      <c r="I30" s="14" t="s">
        <v>88</v>
      </c>
      <c r="J30" s="14">
        <v>1</v>
      </c>
      <c r="K30" s="14">
        <v>1</v>
      </c>
      <c r="L30" s="14" t="s">
        <v>20213</v>
      </c>
      <c r="M30" s="19" t="s">
        <v>1872</v>
      </c>
      <c r="N30" s="14" t="s">
        <v>4769</v>
      </c>
      <c r="O30" s="14" t="s">
        <v>12555</v>
      </c>
      <c r="P30" s="14" t="str">
        <f>HYPERLINK("https://dexscreener.com/solana/78C9NN1MsavMdAjiLSY9Sh1EmfxGhvxPedtV322npump", "View")</f>
        <v>View</v>
      </c>
    </row>
    <row r="31" spans="1:16" x14ac:dyDescent="0.25">
      <c r="A31" s="16" t="s">
        <v>20214</v>
      </c>
      <c r="B31" s="17">
        <v>73918624</v>
      </c>
      <c r="C31" s="17">
        <v>73918624</v>
      </c>
      <c r="D31" s="17" t="s">
        <v>20211</v>
      </c>
      <c r="E31" s="17" t="s">
        <v>1457</v>
      </c>
      <c r="F31" s="17" t="s">
        <v>20215</v>
      </c>
      <c r="G31" s="22" t="s">
        <v>4679</v>
      </c>
      <c r="H31" s="22" t="s">
        <v>20216</v>
      </c>
      <c r="I31" s="17" t="s">
        <v>88</v>
      </c>
      <c r="J31" s="17">
        <v>1</v>
      </c>
      <c r="K31" s="17">
        <v>1</v>
      </c>
      <c r="L31" s="17" t="s">
        <v>20217</v>
      </c>
      <c r="M31" s="19" t="s">
        <v>9152</v>
      </c>
      <c r="N31" s="17" t="s">
        <v>4769</v>
      </c>
      <c r="O31" s="17" t="s">
        <v>20218</v>
      </c>
      <c r="P31" s="17" t="str">
        <f>HYPERLINK("https://dexscreener.com/solana/gXWNN1nTWKjhqLcM9HpEr6UHdn3sSbC6VLx7XXvpump", "View")</f>
        <v>View</v>
      </c>
    </row>
    <row r="32" spans="1:16" x14ac:dyDescent="0.25">
      <c r="A32" s="13" t="s">
        <v>20219</v>
      </c>
      <c r="B32" s="14">
        <v>24399700</v>
      </c>
      <c r="C32" s="14">
        <v>24399700</v>
      </c>
      <c r="D32" s="14" t="s">
        <v>20220</v>
      </c>
      <c r="E32" s="14" t="s">
        <v>2704</v>
      </c>
      <c r="F32" s="14" t="s">
        <v>20221</v>
      </c>
      <c r="G32" s="15" t="s">
        <v>20222</v>
      </c>
      <c r="H32" s="15" t="s">
        <v>20223</v>
      </c>
      <c r="I32" s="14" t="s">
        <v>88</v>
      </c>
      <c r="J32" s="14">
        <v>3</v>
      </c>
      <c r="K32" s="14">
        <v>1</v>
      </c>
      <c r="L32" s="14" t="s">
        <v>20224</v>
      </c>
      <c r="M32" s="14" t="s">
        <v>179</v>
      </c>
      <c r="N32" s="14" t="s">
        <v>20225</v>
      </c>
      <c r="O32" s="14" t="s">
        <v>20226</v>
      </c>
      <c r="P32" s="14" t="str">
        <f>HYPERLINK("https://dexscreener.com/solana/ZR6df31VQDG9gEoHPJFxgdrZY6KwZh4tAWWq7kApump", "View")</f>
        <v>View</v>
      </c>
    </row>
    <row r="33" spans="1:16" x14ac:dyDescent="0.25">
      <c r="A33" s="16" t="s">
        <v>3052</v>
      </c>
      <c r="B33" s="17">
        <v>29197561</v>
      </c>
      <c r="C33" s="17">
        <v>29197561</v>
      </c>
      <c r="D33" s="17" t="s">
        <v>20211</v>
      </c>
      <c r="E33" s="17" t="s">
        <v>1457</v>
      </c>
      <c r="F33" s="17" t="s">
        <v>14037</v>
      </c>
      <c r="G33" s="20" t="s">
        <v>13870</v>
      </c>
      <c r="H33" s="20" t="s">
        <v>20227</v>
      </c>
      <c r="I33" s="17" t="s">
        <v>88</v>
      </c>
      <c r="J33" s="17">
        <v>1</v>
      </c>
      <c r="K33" s="17">
        <v>1</v>
      </c>
      <c r="L33" s="17" t="s">
        <v>20228</v>
      </c>
      <c r="M33" s="19" t="s">
        <v>2239</v>
      </c>
      <c r="N33" s="17" t="s">
        <v>20229</v>
      </c>
      <c r="O33" s="17" t="s">
        <v>3058</v>
      </c>
      <c r="P33" s="17" t="str">
        <f>HYPERLINK("https://dexscreener.com/solana/Ce1j33dgs1fnuQ9PN5VrvG8Urp1R8rTrXr2y7nQipump", "View")</f>
        <v>View</v>
      </c>
    </row>
    <row r="34" spans="1:16" x14ac:dyDescent="0.25">
      <c r="A34" s="13" t="s">
        <v>6732</v>
      </c>
      <c r="B34" s="14">
        <v>32769416</v>
      </c>
      <c r="C34" s="14">
        <v>32769416</v>
      </c>
      <c r="D34" s="14" t="s">
        <v>20211</v>
      </c>
      <c r="E34" s="14" t="s">
        <v>1007</v>
      </c>
      <c r="F34" s="14" t="s">
        <v>20230</v>
      </c>
      <c r="G34" s="20" t="s">
        <v>3880</v>
      </c>
      <c r="H34" s="20" t="s">
        <v>7652</v>
      </c>
      <c r="I34" s="14" t="s">
        <v>88</v>
      </c>
      <c r="J34" s="14">
        <v>1</v>
      </c>
      <c r="K34" s="14">
        <v>1</v>
      </c>
      <c r="L34" s="14" t="s">
        <v>20231</v>
      </c>
      <c r="M34" s="19" t="s">
        <v>2315</v>
      </c>
      <c r="N34" s="14" t="s">
        <v>4769</v>
      </c>
      <c r="O34" s="14" t="s">
        <v>6737</v>
      </c>
      <c r="P34" s="14" t="str">
        <f>HYPERLINK("https://dexscreener.com/solana/DVsEuAZrPWwuBZHMe71QpFQ6bbbUMjNWs8RASwXFpump", "View")</f>
        <v>View</v>
      </c>
    </row>
    <row r="35" spans="1:16" x14ac:dyDescent="0.25">
      <c r="A35" s="16" t="s">
        <v>8115</v>
      </c>
      <c r="B35" s="17">
        <v>21204737</v>
      </c>
      <c r="C35" s="17">
        <v>21204737</v>
      </c>
      <c r="D35" s="17" t="s">
        <v>20211</v>
      </c>
      <c r="E35" s="17" t="s">
        <v>1007</v>
      </c>
      <c r="F35" s="17" t="s">
        <v>20232</v>
      </c>
      <c r="G35" s="20" t="s">
        <v>16339</v>
      </c>
      <c r="H35" s="20" t="s">
        <v>20233</v>
      </c>
      <c r="I35" s="17" t="s">
        <v>88</v>
      </c>
      <c r="J35" s="17">
        <v>1</v>
      </c>
      <c r="K35" s="17">
        <v>1</v>
      </c>
      <c r="L35" s="17" t="s">
        <v>20234</v>
      </c>
      <c r="M35" s="19" t="s">
        <v>2189</v>
      </c>
      <c r="N35" s="17" t="s">
        <v>7318</v>
      </c>
      <c r="O35" s="17" t="s">
        <v>20235</v>
      </c>
      <c r="P35" s="17" t="str">
        <f>HYPERLINK("https://dexscreener.com/solana/DnQ8XWr3QdhcNw5ZEc6iko7bZSHfqszjTLNxyoCwpump", "View")</f>
        <v>View</v>
      </c>
    </row>
    <row r="36" spans="1:16" x14ac:dyDescent="0.25">
      <c r="A36" s="13" t="s">
        <v>20236</v>
      </c>
      <c r="B36" s="14">
        <v>120489276</v>
      </c>
      <c r="C36" s="14">
        <v>120489276</v>
      </c>
      <c r="D36" s="14" t="s">
        <v>20197</v>
      </c>
      <c r="E36" s="14" t="s">
        <v>569</v>
      </c>
      <c r="F36" s="14" t="s">
        <v>9039</v>
      </c>
      <c r="G36" s="20" t="s">
        <v>3496</v>
      </c>
      <c r="H36" s="20" t="s">
        <v>20237</v>
      </c>
      <c r="I36" s="14" t="s">
        <v>88</v>
      </c>
      <c r="J36" s="14">
        <v>2</v>
      </c>
      <c r="K36" s="14">
        <v>2</v>
      </c>
      <c r="L36" s="14" t="s">
        <v>20238</v>
      </c>
      <c r="M36" s="14" t="s">
        <v>3180</v>
      </c>
      <c r="N36" s="14" t="s">
        <v>19345</v>
      </c>
      <c r="O36" s="14" t="s">
        <v>20239</v>
      </c>
      <c r="P36" s="14" t="str">
        <f>HYPERLINK("https://dexscreener.com/solana/8xS4arKak6fv3TMnFeojkjqG7HaRjGcxwHkDih3YQQu9", "View")</f>
        <v>View</v>
      </c>
    </row>
    <row r="37" spans="1:16" x14ac:dyDescent="0.25">
      <c r="A37" s="16" t="s">
        <v>20240</v>
      </c>
      <c r="B37" s="17">
        <v>36655919</v>
      </c>
      <c r="C37" s="17">
        <v>36655919</v>
      </c>
      <c r="D37" s="17" t="s">
        <v>20211</v>
      </c>
      <c r="E37" s="17" t="s">
        <v>1457</v>
      </c>
      <c r="F37" s="17" t="s">
        <v>20241</v>
      </c>
      <c r="G37" s="22" t="s">
        <v>4107</v>
      </c>
      <c r="H37" s="22" t="s">
        <v>20242</v>
      </c>
      <c r="I37" s="17" t="s">
        <v>88</v>
      </c>
      <c r="J37" s="17">
        <v>1</v>
      </c>
      <c r="K37" s="17">
        <v>1</v>
      </c>
      <c r="L37" s="17" t="s">
        <v>20243</v>
      </c>
      <c r="M37" s="19" t="s">
        <v>2853</v>
      </c>
      <c r="N37" s="17" t="s">
        <v>20244</v>
      </c>
      <c r="O37" s="17" t="s">
        <v>20245</v>
      </c>
      <c r="P37" s="17" t="str">
        <f>HYPERLINK("https://dexscreener.com/solana/DJfrje1JscN1fJMB3aUTBh8SsYxiDZ88GJDPStMbpump", "View")</f>
        <v>View</v>
      </c>
    </row>
    <row r="38" spans="1:16" x14ac:dyDescent="0.25">
      <c r="A38" s="13" t="s">
        <v>11703</v>
      </c>
      <c r="B38" s="14">
        <v>16799304</v>
      </c>
      <c r="C38" s="14">
        <v>16799304</v>
      </c>
      <c r="D38" s="14" t="s">
        <v>20211</v>
      </c>
      <c r="E38" s="14" t="s">
        <v>2390</v>
      </c>
      <c r="F38" s="14" t="s">
        <v>20246</v>
      </c>
      <c r="G38" s="22" t="s">
        <v>5018</v>
      </c>
      <c r="H38" s="22" t="s">
        <v>20247</v>
      </c>
      <c r="I38" s="14" t="s">
        <v>88</v>
      </c>
      <c r="J38" s="14">
        <v>1</v>
      </c>
      <c r="K38" s="14">
        <v>1</v>
      </c>
      <c r="L38" s="14" t="s">
        <v>20248</v>
      </c>
      <c r="M38" s="19" t="s">
        <v>2486</v>
      </c>
      <c r="N38" s="14" t="s">
        <v>20249</v>
      </c>
      <c r="O38" s="14" t="s">
        <v>11707</v>
      </c>
      <c r="P38" s="14" t="str">
        <f>HYPERLINK("https://dexscreener.com/solana/9Q8BNPzujkGcrGnybA2BqB5xh3Q3cYUGYmfnz2bYpump", "View")</f>
        <v>View</v>
      </c>
    </row>
    <row r="39" spans="1:16" x14ac:dyDescent="0.25">
      <c r="A39" s="16" t="s">
        <v>20250</v>
      </c>
      <c r="B39" s="17">
        <v>45651083</v>
      </c>
      <c r="C39" s="17">
        <v>45651083</v>
      </c>
      <c r="D39" s="17" t="s">
        <v>20211</v>
      </c>
      <c r="E39" s="17" t="s">
        <v>3404</v>
      </c>
      <c r="F39" s="17" t="s">
        <v>8312</v>
      </c>
      <c r="G39" s="22" t="s">
        <v>1349</v>
      </c>
      <c r="H39" s="22" t="s">
        <v>20251</v>
      </c>
      <c r="I39" s="17" t="s">
        <v>88</v>
      </c>
      <c r="J39" s="17">
        <v>1</v>
      </c>
      <c r="K39" s="17">
        <v>1</v>
      </c>
      <c r="L39" s="17" t="s">
        <v>20252</v>
      </c>
      <c r="M39" s="19" t="s">
        <v>2993</v>
      </c>
      <c r="N39" s="17" t="s">
        <v>2223</v>
      </c>
      <c r="O39" s="17" t="s">
        <v>20253</v>
      </c>
      <c r="P39" s="17" t="str">
        <f>HYPERLINK("https://dexscreener.com/solana/3cKryQr5NfBD12gE3r3MAiGvARUY7SA9pWqtyRb1pump", "View")</f>
        <v>View</v>
      </c>
    </row>
    <row r="40" spans="1:16" x14ac:dyDescent="0.25">
      <c r="A40" s="13" t="s">
        <v>20254</v>
      </c>
      <c r="B40" s="14">
        <v>18903045</v>
      </c>
      <c r="C40" s="14">
        <v>18903045</v>
      </c>
      <c r="D40" s="14" t="s">
        <v>20211</v>
      </c>
      <c r="E40" s="14" t="s">
        <v>1007</v>
      </c>
      <c r="F40" s="14" t="s">
        <v>13695</v>
      </c>
      <c r="G40" s="20" t="s">
        <v>2590</v>
      </c>
      <c r="H40" s="20" t="s">
        <v>20255</v>
      </c>
      <c r="I40" s="14" t="s">
        <v>88</v>
      </c>
      <c r="J40" s="14">
        <v>1</v>
      </c>
      <c r="K40" s="14">
        <v>1</v>
      </c>
      <c r="L40" s="14" t="s">
        <v>20256</v>
      </c>
      <c r="M40" s="19" t="s">
        <v>2937</v>
      </c>
      <c r="N40" s="14" t="s">
        <v>1980</v>
      </c>
      <c r="O40" s="14" t="s">
        <v>20257</v>
      </c>
      <c r="P40" s="14" t="str">
        <f>HYPERLINK("https://dexscreener.com/solana/DLkvHmHi3caM6gKtkShBhnYGXGbGkhfND3sAQ1Jupump", "View")</f>
        <v>View</v>
      </c>
    </row>
    <row r="41" spans="1:16" x14ac:dyDescent="0.25">
      <c r="A41" s="16" t="s">
        <v>20258</v>
      </c>
      <c r="B41" s="17">
        <v>150282177</v>
      </c>
      <c r="C41" s="17">
        <v>150282177</v>
      </c>
      <c r="D41" s="17" t="s">
        <v>20259</v>
      </c>
      <c r="E41" s="17" t="s">
        <v>2390</v>
      </c>
      <c r="F41" s="17" t="s">
        <v>20260</v>
      </c>
      <c r="G41" s="20" t="s">
        <v>3426</v>
      </c>
      <c r="H41" s="20" t="s">
        <v>20138</v>
      </c>
      <c r="I41" s="17" t="s">
        <v>88</v>
      </c>
      <c r="J41" s="17">
        <v>2</v>
      </c>
      <c r="K41" s="17">
        <v>1</v>
      </c>
      <c r="L41" s="17" t="s">
        <v>20261</v>
      </c>
      <c r="M41" s="19" t="s">
        <v>2167</v>
      </c>
      <c r="N41" s="17" t="s">
        <v>12554</v>
      </c>
      <c r="O41" s="17" t="s">
        <v>20262</v>
      </c>
      <c r="P41" s="17" t="str">
        <f>HYPERLINK("https://dexscreener.com/solana/1avW39hv8D247STn9AVyCxe7KiP69JzVXJy3nnwpump", "View")</f>
        <v>View</v>
      </c>
    </row>
    <row r="42" spans="1:16" x14ac:dyDescent="0.25">
      <c r="A42" s="13" t="s">
        <v>20263</v>
      </c>
      <c r="B42" s="14">
        <v>41429811</v>
      </c>
      <c r="C42" s="14">
        <v>41429811</v>
      </c>
      <c r="D42" s="14" t="s">
        <v>20211</v>
      </c>
      <c r="E42" s="14" t="s">
        <v>1457</v>
      </c>
      <c r="F42" s="14" t="s">
        <v>2562</v>
      </c>
      <c r="G42" s="20" t="s">
        <v>8945</v>
      </c>
      <c r="H42" s="20" t="s">
        <v>20264</v>
      </c>
      <c r="I42" s="14" t="s">
        <v>88</v>
      </c>
      <c r="J42" s="14">
        <v>1</v>
      </c>
      <c r="K42" s="14">
        <v>1</v>
      </c>
      <c r="L42" s="14" t="s">
        <v>20265</v>
      </c>
      <c r="M42" s="19" t="s">
        <v>2189</v>
      </c>
      <c r="N42" s="14" t="s">
        <v>20266</v>
      </c>
      <c r="O42" s="14" t="s">
        <v>20267</v>
      </c>
      <c r="P42" s="14" t="str">
        <f>HYPERLINK("https://dexscreener.com/solana/17MC7PZ3FYV4iFwhUicX9ETtZHeFAQnnWPKL38ppump", "View")</f>
        <v>View</v>
      </c>
    </row>
    <row r="43" spans="1:16" x14ac:dyDescent="0.25">
      <c r="A43" s="16" t="s">
        <v>12752</v>
      </c>
      <c r="B43" s="17">
        <v>19107017</v>
      </c>
      <c r="C43" s="17">
        <v>19107017</v>
      </c>
      <c r="D43" s="17" t="s">
        <v>20268</v>
      </c>
      <c r="E43" s="17" t="s">
        <v>6541</v>
      </c>
      <c r="F43" s="17" t="s">
        <v>20269</v>
      </c>
      <c r="G43" s="22" t="s">
        <v>13993</v>
      </c>
      <c r="H43" s="22" t="s">
        <v>20270</v>
      </c>
      <c r="I43" s="17" t="s">
        <v>88</v>
      </c>
      <c r="J43" s="17">
        <v>2</v>
      </c>
      <c r="K43" s="17">
        <v>2</v>
      </c>
      <c r="L43" s="17" t="s">
        <v>20271</v>
      </c>
      <c r="M43" s="17" t="s">
        <v>2145</v>
      </c>
      <c r="N43" s="17" t="s">
        <v>20272</v>
      </c>
      <c r="O43" s="17" t="s">
        <v>12758</v>
      </c>
      <c r="P43" s="17" t="str">
        <f>HYPERLINK("https://dexscreener.com/solana/92wuGwwgHHNCXMCxrPsWHsCsECcDAdxQzXeLq5rNpump", "View")</f>
        <v>View</v>
      </c>
    </row>
    <row r="44" spans="1:16" x14ac:dyDescent="0.25">
      <c r="A44" s="13" t="s">
        <v>20273</v>
      </c>
      <c r="B44" s="14">
        <v>123435639</v>
      </c>
      <c r="C44" s="14">
        <v>123435639</v>
      </c>
      <c r="D44" s="14" t="s">
        <v>20197</v>
      </c>
      <c r="E44" s="14" t="s">
        <v>20274</v>
      </c>
      <c r="F44" s="14" t="s">
        <v>20275</v>
      </c>
      <c r="G44" s="22" t="s">
        <v>3890</v>
      </c>
      <c r="H44" s="22" t="s">
        <v>12446</v>
      </c>
      <c r="I44" s="14" t="s">
        <v>88</v>
      </c>
      <c r="J44" s="14">
        <v>2</v>
      </c>
      <c r="K44" s="14">
        <v>2</v>
      </c>
      <c r="L44" s="14" t="s">
        <v>20276</v>
      </c>
      <c r="M44" s="14" t="s">
        <v>1986</v>
      </c>
      <c r="N44" s="14" t="s">
        <v>507</v>
      </c>
      <c r="O44" s="14" t="s">
        <v>20277</v>
      </c>
      <c r="P44" s="14" t="str">
        <f>HYPERLINK("https://photon-sol.tinyastro.io/en/lp/13kgoNWyqxnDrs3UfWjzVwTy5h8UEEZrRsQjXGy7pump?handle=676050794bc1b1657a56b", "View")</f>
        <v>View</v>
      </c>
    </row>
    <row r="45" spans="1:16" x14ac:dyDescent="0.25">
      <c r="A45" s="16" t="s">
        <v>20278</v>
      </c>
      <c r="B45" s="17">
        <v>185930092</v>
      </c>
      <c r="C45" s="17">
        <v>185930092</v>
      </c>
      <c r="D45" s="17" t="s">
        <v>20279</v>
      </c>
      <c r="E45" s="17" t="s">
        <v>219</v>
      </c>
      <c r="F45" s="17" t="s">
        <v>1229</v>
      </c>
      <c r="G45" s="20" t="s">
        <v>2514</v>
      </c>
      <c r="H45" s="20" t="s">
        <v>20280</v>
      </c>
      <c r="I45" s="17" t="s">
        <v>88</v>
      </c>
      <c r="J45" s="17">
        <v>3</v>
      </c>
      <c r="K45" s="17">
        <v>2</v>
      </c>
      <c r="L45" s="17" t="s">
        <v>20281</v>
      </c>
      <c r="M45" s="17" t="s">
        <v>1448</v>
      </c>
      <c r="N45" s="17" t="s">
        <v>12852</v>
      </c>
      <c r="O45" s="17" t="s">
        <v>20282</v>
      </c>
      <c r="P45" s="17" t="str">
        <f>HYPERLINK("https://dexscreener.com/solana/7kQRpzVjbQrBPnkebRDt5Zcwg4ynxQ7c6QohWjeDpump", "View")</f>
        <v>View</v>
      </c>
    </row>
    <row r="46" spans="1:16" x14ac:dyDescent="0.25">
      <c r="A46" s="13" t="s">
        <v>20283</v>
      </c>
      <c r="B46" s="14">
        <v>133942236</v>
      </c>
      <c r="C46" s="14">
        <v>133942236</v>
      </c>
      <c r="D46" s="14" t="s">
        <v>20211</v>
      </c>
      <c r="E46" s="14" t="s">
        <v>1007</v>
      </c>
      <c r="F46" s="14" t="s">
        <v>13788</v>
      </c>
      <c r="G46" s="20" t="s">
        <v>6131</v>
      </c>
      <c r="H46" s="20" t="s">
        <v>2102</v>
      </c>
      <c r="I46" s="14" t="s">
        <v>88</v>
      </c>
      <c r="J46" s="14">
        <v>1</v>
      </c>
      <c r="K46" s="14">
        <v>1</v>
      </c>
      <c r="L46" s="14" t="s">
        <v>20284</v>
      </c>
      <c r="M46" s="19" t="s">
        <v>2525</v>
      </c>
      <c r="N46" s="14" t="s">
        <v>507</v>
      </c>
      <c r="O46" s="14" t="s">
        <v>20285</v>
      </c>
      <c r="P46" s="14" t="str">
        <f>HYPERLINK("https://dexscreener.com/solana/9aooKDKQ375YQ81ConbsWTGJwByC6dsQTZrvtbufHCh4", "View")</f>
        <v>View</v>
      </c>
    </row>
    <row r="47" spans="1:16" x14ac:dyDescent="0.25">
      <c r="A47" s="16" t="s">
        <v>20286</v>
      </c>
      <c r="B47" s="17">
        <v>139977261</v>
      </c>
      <c r="C47" s="17">
        <v>139977261</v>
      </c>
      <c r="D47" s="17" t="s">
        <v>20259</v>
      </c>
      <c r="E47" s="17" t="s">
        <v>2390</v>
      </c>
      <c r="F47" s="17" t="s">
        <v>20287</v>
      </c>
      <c r="G47" s="20" t="s">
        <v>3800</v>
      </c>
      <c r="H47" s="20" t="s">
        <v>20288</v>
      </c>
      <c r="I47" s="17" t="s">
        <v>88</v>
      </c>
      <c r="J47" s="17">
        <v>2</v>
      </c>
      <c r="K47" s="17">
        <v>1</v>
      </c>
      <c r="L47" s="17" t="s">
        <v>20289</v>
      </c>
      <c r="M47" s="19" t="s">
        <v>1827</v>
      </c>
      <c r="N47" s="17" t="s">
        <v>12852</v>
      </c>
      <c r="O47" s="17" t="s">
        <v>20290</v>
      </c>
      <c r="P47" s="17" t="str">
        <f>HYPERLINK("https://dexscreener.com/solana/64zRGSHxDoEd7vXvgUrZPEW21sMGQbaDFoX29BG3eFi1", "View")</f>
        <v>View</v>
      </c>
    </row>
    <row r="48" spans="1:16" x14ac:dyDescent="0.25">
      <c r="A48" s="13" t="s">
        <v>20291</v>
      </c>
      <c r="B48" s="14">
        <v>589023</v>
      </c>
      <c r="C48" s="14">
        <v>589023</v>
      </c>
      <c r="D48" s="14" t="s">
        <v>20211</v>
      </c>
      <c r="E48" s="14" t="s">
        <v>1007</v>
      </c>
      <c r="F48" s="14" t="s">
        <v>20292</v>
      </c>
      <c r="G48" s="20" t="s">
        <v>16753</v>
      </c>
      <c r="H48" s="20" t="s">
        <v>20293</v>
      </c>
      <c r="I48" s="14" t="s">
        <v>88</v>
      </c>
      <c r="J48" s="14">
        <v>1</v>
      </c>
      <c r="K48" s="14">
        <v>1</v>
      </c>
      <c r="L48" s="14" t="s">
        <v>20294</v>
      </c>
      <c r="M48" s="19" t="s">
        <v>1940</v>
      </c>
      <c r="N48" s="14" t="s">
        <v>507</v>
      </c>
      <c r="O48" s="14" t="s">
        <v>20295</v>
      </c>
      <c r="P48" s="14" t="str">
        <f>HYPERLINK("https://dexscreener.com/solana/66Qk1MK4uJGoxwmGrPKX4Uvssb3xYgjck4vPvne3shKv", "View")</f>
        <v>View</v>
      </c>
    </row>
    <row r="49" spans="1:16" x14ac:dyDescent="0.25">
      <c r="A49" s="16" t="s">
        <v>20296</v>
      </c>
      <c r="B49" s="17">
        <v>48256284</v>
      </c>
      <c r="C49" s="17">
        <v>48256284</v>
      </c>
      <c r="D49" s="17" t="s">
        <v>20211</v>
      </c>
      <c r="E49" s="17" t="s">
        <v>1007</v>
      </c>
      <c r="F49" s="17" t="s">
        <v>13566</v>
      </c>
      <c r="G49" s="20" t="s">
        <v>2289</v>
      </c>
      <c r="H49" s="20" t="s">
        <v>20297</v>
      </c>
      <c r="I49" s="17" t="s">
        <v>88</v>
      </c>
      <c r="J49" s="17">
        <v>1</v>
      </c>
      <c r="K49" s="17">
        <v>1</v>
      </c>
      <c r="L49" s="17" t="s">
        <v>20298</v>
      </c>
      <c r="M49" s="19" t="s">
        <v>2525</v>
      </c>
      <c r="N49" s="17" t="s">
        <v>507</v>
      </c>
      <c r="O49" s="17" t="s">
        <v>20299</v>
      </c>
      <c r="P49" s="17" t="str">
        <f>HYPERLINK("https://dexscreener.com/solana/H5xeU8yPnBVNwgv5ChHhv74rkbDTG99rXDH4ydc4XwX2", "View")</f>
        <v>View</v>
      </c>
    </row>
    <row r="50" spans="1:16" x14ac:dyDescent="0.25">
      <c r="A50" s="13" t="s">
        <v>20300</v>
      </c>
      <c r="B50" s="14">
        <v>82719752</v>
      </c>
      <c r="C50" s="14">
        <v>82719752</v>
      </c>
      <c r="D50" s="14" t="s">
        <v>20211</v>
      </c>
      <c r="E50" s="14" t="s">
        <v>20301</v>
      </c>
      <c r="F50" s="14" t="s">
        <v>20302</v>
      </c>
      <c r="G50" s="20" t="s">
        <v>20303</v>
      </c>
      <c r="H50" s="20" t="s">
        <v>20304</v>
      </c>
      <c r="I50" s="14" t="s">
        <v>88</v>
      </c>
      <c r="J50" s="14">
        <v>1</v>
      </c>
      <c r="K50" s="14">
        <v>1</v>
      </c>
      <c r="L50" s="14" t="s">
        <v>20305</v>
      </c>
      <c r="M50" s="19" t="s">
        <v>2486</v>
      </c>
      <c r="N50" s="14" t="s">
        <v>507</v>
      </c>
      <c r="O50" s="14" t="s">
        <v>20306</v>
      </c>
      <c r="P50" s="14" t="str">
        <f>HYPERLINK("https://photon-sol.tinyastro.io/en/lp/1265m4Q8ACgg6yfn896oX7xA3HVu3HafkosL8xmApump?handle=676050794bc1b1657a56b", "View")</f>
        <v>View</v>
      </c>
    </row>
    <row r="51" spans="1:16" x14ac:dyDescent="0.25">
      <c r="A51" s="16" t="s">
        <v>20300</v>
      </c>
      <c r="B51" s="17">
        <v>66999624</v>
      </c>
      <c r="C51" s="17">
        <v>66999624</v>
      </c>
      <c r="D51" s="17" t="s">
        <v>20211</v>
      </c>
      <c r="E51" s="17" t="s">
        <v>20307</v>
      </c>
      <c r="F51" s="17" t="s">
        <v>2869</v>
      </c>
      <c r="G51" s="22" t="s">
        <v>12598</v>
      </c>
      <c r="H51" s="22" t="s">
        <v>20308</v>
      </c>
      <c r="I51" s="17" t="s">
        <v>88</v>
      </c>
      <c r="J51" s="17">
        <v>1</v>
      </c>
      <c r="K51" s="17">
        <v>1</v>
      </c>
      <c r="L51" s="17" t="s">
        <v>20309</v>
      </c>
      <c r="M51" s="19" t="s">
        <v>4171</v>
      </c>
      <c r="N51" s="17" t="s">
        <v>507</v>
      </c>
      <c r="O51" s="17" t="s">
        <v>20310</v>
      </c>
      <c r="P51" s="17" t="str">
        <f>HYPERLINK("https://photon-sol.tinyastro.io/en/lp/9TfYwLqYXuNNBo2yorgFXpK8Z7XZ2QjVzMaNRdKypump?handle=676050794bc1b1657a56b", "View")</f>
        <v>View</v>
      </c>
    </row>
    <row r="52" spans="1:16" x14ac:dyDescent="0.25">
      <c r="A52" s="13" t="s">
        <v>15136</v>
      </c>
      <c r="B52" s="14">
        <v>66831909</v>
      </c>
      <c r="C52" s="14">
        <v>66831909</v>
      </c>
      <c r="D52" s="14" t="s">
        <v>20211</v>
      </c>
      <c r="E52" s="14" t="s">
        <v>20307</v>
      </c>
      <c r="F52" s="14" t="s">
        <v>20311</v>
      </c>
      <c r="G52" s="22" t="s">
        <v>13783</v>
      </c>
      <c r="H52" s="22" t="s">
        <v>20312</v>
      </c>
      <c r="I52" s="14" t="s">
        <v>88</v>
      </c>
      <c r="J52" s="14">
        <v>1</v>
      </c>
      <c r="K52" s="14">
        <v>1</v>
      </c>
      <c r="L52" s="14" t="s">
        <v>20313</v>
      </c>
      <c r="M52" s="19" t="s">
        <v>2955</v>
      </c>
      <c r="N52" s="14" t="s">
        <v>507</v>
      </c>
      <c r="O52" s="14" t="s">
        <v>20314</v>
      </c>
      <c r="P52" s="14" t="str">
        <f>HYPERLINK("https://photon-sol.tinyastro.io/en/lp/128UJtR2e4Y3k8vZ51uTuoDPpE6Hca8H6Ht6hcEJpump?handle=676050794bc1b1657a56b", "View")</f>
        <v>View</v>
      </c>
    </row>
    <row r="53" spans="1:16" x14ac:dyDescent="0.25">
      <c r="A53" s="16" t="s">
        <v>20315</v>
      </c>
      <c r="B53" s="17">
        <v>37633284</v>
      </c>
      <c r="C53" s="17">
        <v>37633284</v>
      </c>
      <c r="D53" s="17" t="s">
        <v>20211</v>
      </c>
      <c r="E53" s="17" t="s">
        <v>1457</v>
      </c>
      <c r="F53" s="17" t="s">
        <v>13145</v>
      </c>
      <c r="G53" s="20" t="s">
        <v>20316</v>
      </c>
      <c r="H53" s="20" t="s">
        <v>20317</v>
      </c>
      <c r="I53" s="17" t="s">
        <v>88</v>
      </c>
      <c r="J53" s="17">
        <v>1</v>
      </c>
      <c r="K53" s="17">
        <v>1</v>
      </c>
      <c r="L53" s="17" t="s">
        <v>20318</v>
      </c>
      <c r="M53" s="19" t="s">
        <v>2486</v>
      </c>
      <c r="N53" s="17" t="s">
        <v>20319</v>
      </c>
      <c r="O53" s="17" t="s">
        <v>20320</v>
      </c>
      <c r="P53" s="17" t="str">
        <f>HYPERLINK("https://dexscreener.com/solana/HBWrm4TsXbo5rKJySTCYSpw1L2fyQZPS6DPVUpwxGEzt", "View")</f>
        <v>View</v>
      </c>
    </row>
    <row r="54" spans="1:16" x14ac:dyDescent="0.25">
      <c r="A54" s="13" t="s">
        <v>12970</v>
      </c>
      <c r="B54" s="14">
        <v>45743608</v>
      </c>
      <c r="C54" s="14">
        <v>45743608</v>
      </c>
      <c r="D54" s="14" t="s">
        <v>20211</v>
      </c>
      <c r="E54" s="14" t="s">
        <v>19482</v>
      </c>
      <c r="F54" s="14" t="s">
        <v>20321</v>
      </c>
      <c r="G54" s="20" t="s">
        <v>3618</v>
      </c>
      <c r="H54" s="20" t="s">
        <v>17239</v>
      </c>
      <c r="I54" s="14" t="s">
        <v>88</v>
      </c>
      <c r="J54" s="14">
        <v>1</v>
      </c>
      <c r="K54" s="14">
        <v>1</v>
      </c>
      <c r="L54" s="14" t="s">
        <v>20322</v>
      </c>
      <c r="M54" s="19" t="s">
        <v>2239</v>
      </c>
      <c r="N54" s="14" t="s">
        <v>16657</v>
      </c>
      <c r="O54" s="14" t="s">
        <v>20323</v>
      </c>
      <c r="P54" s="14" t="str">
        <f>HYPERLINK("https://dexscreener.com/solana/CwkGWGF6k2ZTtvbVeQgobUFmYQCL1AnBZi3BYFSzpump", "View")</f>
        <v>View</v>
      </c>
    </row>
    <row r="55" spans="1:16" x14ac:dyDescent="0.25">
      <c r="A55" s="16" t="s">
        <v>20324</v>
      </c>
      <c r="B55" s="17">
        <v>62672207</v>
      </c>
      <c r="C55" s="17">
        <v>62672207</v>
      </c>
      <c r="D55" s="17" t="s">
        <v>20211</v>
      </c>
      <c r="E55" s="17" t="s">
        <v>3404</v>
      </c>
      <c r="F55" s="17" t="s">
        <v>13231</v>
      </c>
      <c r="G55" s="20" t="s">
        <v>13754</v>
      </c>
      <c r="H55" s="20" t="s">
        <v>10779</v>
      </c>
      <c r="I55" s="17" t="s">
        <v>88</v>
      </c>
      <c r="J55" s="17">
        <v>1</v>
      </c>
      <c r="K55" s="17">
        <v>1</v>
      </c>
      <c r="L55" s="17" t="s">
        <v>20325</v>
      </c>
      <c r="M55" s="19" t="s">
        <v>2593</v>
      </c>
      <c r="N55" s="17" t="s">
        <v>12746</v>
      </c>
      <c r="O55" s="17" t="s">
        <v>20326</v>
      </c>
      <c r="P55" s="17" t="str">
        <f>HYPERLINK("https://dexscreener.com/solana/J4TqJkCe9naGFvoyfj8mMzC2gznzFQKras4PBUdnpump", "View")</f>
        <v>View</v>
      </c>
    </row>
    <row r="56" spans="1:16" x14ac:dyDescent="0.25">
      <c r="A56" s="13" t="s">
        <v>20327</v>
      </c>
      <c r="B56" s="14">
        <v>56635282</v>
      </c>
      <c r="C56" s="14">
        <v>56635282</v>
      </c>
      <c r="D56" s="14" t="s">
        <v>20211</v>
      </c>
      <c r="E56" s="14" t="s">
        <v>20328</v>
      </c>
      <c r="F56" s="14" t="s">
        <v>8800</v>
      </c>
      <c r="G56" s="22" t="s">
        <v>11683</v>
      </c>
      <c r="H56" s="22" t="s">
        <v>20329</v>
      </c>
      <c r="I56" s="14" t="s">
        <v>88</v>
      </c>
      <c r="J56" s="14">
        <v>1</v>
      </c>
      <c r="K56" s="14">
        <v>1</v>
      </c>
      <c r="L56" s="14" t="s">
        <v>20330</v>
      </c>
      <c r="M56" s="19" t="s">
        <v>2189</v>
      </c>
      <c r="N56" s="14" t="s">
        <v>507</v>
      </c>
      <c r="O56" s="14" t="s">
        <v>20331</v>
      </c>
      <c r="P56" s="14" t="str">
        <f>HYPERLINK("https://photon-sol.tinyastro.io/en/lp/8mKhWVJBqTVcyhUv1j1L8sjfXYAxj6Y6eWrCwWy3eZyq?handle=676050794bc1b1657a56b", "View")</f>
        <v>View</v>
      </c>
    </row>
    <row r="57" spans="1:16" x14ac:dyDescent="0.25">
      <c r="A57" s="16" t="s">
        <v>11147</v>
      </c>
      <c r="B57" s="17">
        <v>22204083</v>
      </c>
      <c r="C57" s="17">
        <v>22204083</v>
      </c>
      <c r="D57" s="17" t="s">
        <v>20211</v>
      </c>
      <c r="E57" s="17" t="s">
        <v>1457</v>
      </c>
      <c r="F57" s="17" t="s">
        <v>20332</v>
      </c>
      <c r="G57" s="22" t="s">
        <v>6576</v>
      </c>
      <c r="H57" s="22" t="s">
        <v>20333</v>
      </c>
      <c r="I57" s="17" t="s">
        <v>88</v>
      </c>
      <c r="J57" s="17">
        <v>1</v>
      </c>
      <c r="K57" s="17">
        <v>1</v>
      </c>
      <c r="L57" s="17" t="s">
        <v>20334</v>
      </c>
      <c r="M57" s="19" t="s">
        <v>2937</v>
      </c>
      <c r="N57" s="17" t="s">
        <v>20335</v>
      </c>
      <c r="O57" s="17" t="s">
        <v>11153</v>
      </c>
      <c r="P57" s="17" t="str">
        <f>HYPERLINK("https://dexscreener.com/solana/s88MQrEmdBgaFMskQW2jKvm1Spfoe1bVyYMKbc1pump", "View")</f>
        <v>View</v>
      </c>
    </row>
    <row r="58" spans="1:16" x14ac:dyDescent="0.25">
      <c r="A58" s="13" t="s">
        <v>20336</v>
      </c>
      <c r="B58" s="14">
        <v>61661284</v>
      </c>
      <c r="C58" s="14">
        <v>61661284</v>
      </c>
      <c r="D58" s="14" t="s">
        <v>20211</v>
      </c>
      <c r="E58" s="14" t="s">
        <v>1457</v>
      </c>
      <c r="F58" s="14" t="s">
        <v>20337</v>
      </c>
      <c r="G58" s="20" t="s">
        <v>2863</v>
      </c>
      <c r="H58" s="20" t="s">
        <v>4940</v>
      </c>
      <c r="I58" s="14" t="s">
        <v>88</v>
      </c>
      <c r="J58" s="14">
        <v>1</v>
      </c>
      <c r="K58" s="14">
        <v>1</v>
      </c>
      <c r="L58" s="14" t="s">
        <v>20338</v>
      </c>
      <c r="M58" s="19" t="s">
        <v>2323</v>
      </c>
      <c r="N58" s="14" t="s">
        <v>4769</v>
      </c>
      <c r="O58" s="14" t="s">
        <v>20339</v>
      </c>
      <c r="P58" s="14" t="str">
        <f>HYPERLINK("https://dexscreener.com/solana/2Y45y3GcpywHbaDPZcyT79oSEEgsw1V4LJEwrLoHpump", "View")</f>
        <v>View</v>
      </c>
    </row>
    <row r="59" spans="1:16" x14ac:dyDescent="0.25">
      <c r="A59" s="16" t="s">
        <v>20340</v>
      </c>
      <c r="B59" s="17">
        <v>17437719</v>
      </c>
      <c r="C59" s="17">
        <v>17437719</v>
      </c>
      <c r="D59" s="17" t="s">
        <v>14207</v>
      </c>
      <c r="E59" s="17" t="s">
        <v>8564</v>
      </c>
      <c r="F59" s="17" t="s">
        <v>20341</v>
      </c>
      <c r="G59" s="21" t="s">
        <v>5982</v>
      </c>
      <c r="H59" s="21" t="s">
        <v>20342</v>
      </c>
      <c r="I59" s="17" t="s">
        <v>88</v>
      </c>
      <c r="J59" s="17">
        <v>1</v>
      </c>
      <c r="K59" s="17">
        <v>1</v>
      </c>
      <c r="L59" s="17" t="s">
        <v>20343</v>
      </c>
      <c r="M59" s="19" t="s">
        <v>2486</v>
      </c>
      <c r="N59" s="17" t="s">
        <v>20344</v>
      </c>
      <c r="O59" s="17" t="s">
        <v>20345</v>
      </c>
      <c r="P59" s="17" t="str">
        <f>HYPERLINK("https://photon-sol.tinyastro.io/en/lp/7mGhojefHezMUUr8J3hyuH7QfqyTXRKhRyTFQtc8pump?handle=676050794bc1b1657a56b", "View")</f>
        <v>View</v>
      </c>
    </row>
    <row r="60" spans="1:16" x14ac:dyDescent="0.25">
      <c r="A60" s="13" t="s">
        <v>20346</v>
      </c>
      <c r="B60" s="14">
        <v>9603454</v>
      </c>
      <c r="C60" s="14">
        <v>9603454</v>
      </c>
      <c r="D60" s="14" t="s">
        <v>14207</v>
      </c>
      <c r="E60" s="14" t="s">
        <v>20347</v>
      </c>
      <c r="F60" s="14" t="s">
        <v>1223</v>
      </c>
      <c r="G60" s="15" t="s">
        <v>13519</v>
      </c>
      <c r="H60" s="15" t="s">
        <v>20348</v>
      </c>
      <c r="I60" s="14" t="s">
        <v>88</v>
      </c>
      <c r="J60" s="14">
        <v>1</v>
      </c>
      <c r="K60" s="14">
        <v>1</v>
      </c>
      <c r="L60" s="14" t="s">
        <v>20349</v>
      </c>
      <c r="M60" s="14" t="s">
        <v>7381</v>
      </c>
      <c r="N60" s="14" t="s">
        <v>4974</v>
      </c>
      <c r="O60" s="14" t="s">
        <v>20350</v>
      </c>
      <c r="P60" s="14" t="str">
        <f>HYPERLINK("https://photon-sol.tinyastro.io/en/lp/EfMVLH9LyZLE7iyB1oM5RkiwQ8GMduRsWRXFkEhdpump?handle=676050794bc1b1657a56b", "View")</f>
        <v>View</v>
      </c>
    </row>
    <row r="61" spans="1:16" x14ac:dyDescent="0.25">
      <c r="A61" s="16" t="s">
        <v>20351</v>
      </c>
      <c r="B61" s="17">
        <v>73943338</v>
      </c>
      <c r="C61" s="17">
        <v>73943338</v>
      </c>
      <c r="D61" s="17" t="s">
        <v>14207</v>
      </c>
      <c r="E61" s="17" t="s">
        <v>16533</v>
      </c>
      <c r="F61" s="17" t="s">
        <v>20352</v>
      </c>
      <c r="G61" s="22" t="s">
        <v>4680</v>
      </c>
      <c r="H61" s="22" t="s">
        <v>20353</v>
      </c>
      <c r="I61" s="17" t="s">
        <v>88</v>
      </c>
      <c r="J61" s="17">
        <v>1</v>
      </c>
      <c r="K61" s="17">
        <v>1</v>
      </c>
      <c r="L61" s="17" t="s">
        <v>20354</v>
      </c>
      <c r="M61" s="17" t="s">
        <v>1448</v>
      </c>
      <c r="N61" s="17" t="s">
        <v>507</v>
      </c>
      <c r="O61" s="17" t="s">
        <v>20355</v>
      </c>
      <c r="P61" s="17" t="str">
        <f>HYPERLINK("https://dexscreener.com/solana/5ua1oPedsjTPEf7X58PFyoQ7KvJFpMgQ4SUET6hT18Ff", "View")</f>
        <v>View</v>
      </c>
    </row>
    <row r="62" spans="1:16" x14ac:dyDescent="0.25">
      <c r="A62" s="13" t="s">
        <v>20356</v>
      </c>
      <c r="B62" s="14">
        <v>545470</v>
      </c>
      <c r="C62" s="14">
        <v>545470</v>
      </c>
      <c r="D62" s="14" t="s">
        <v>14207</v>
      </c>
      <c r="E62" s="14" t="s">
        <v>4665</v>
      </c>
      <c r="F62" s="14" t="s">
        <v>6599</v>
      </c>
      <c r="G62" s="22" t="s">
        <v>17833</v>
      </c>
      <c r="H62" s="22" t="s">
        <v>20357</v>
      </c>
      <c r="I62" s="14" t="s">
        <v>88</v>
      </c>
      <c r="J62" s="14">
        <v>1</v>
      </c>
      <c r="K62" s="14">
        <v>1</v>
      </c>
      <c r="L62" s="14" t="s">
        <v>20358</v>
      </c>
      <c r="M62" s="19" t="s">
        <v>2853</v>
      </c>
      <c r="N62" s="14" t="s">
        <v>507</v>
      </c>
      <c r="O62" s="14" t="s">
        <v>20359</v>
      </c>
      <c r="P62" s="14" t="str">
        <f>HYPERLINK("https://dexscreener.com/solana/CBFNfgpeEEx24rboxsijcQWStETixsewK4z1WnpBeNuc", "View")</f>
        <v>View</v>
      </c>
    </row>
    <row r="63" spans="1:16" x14ac:dyDescent="0.25">
      <c r="A63" s="16" t="s">
        <v>20360</v>
      </c>
      <c r="B63" s="17">
        <v>32942131</v>
      </c>
      <c r="C63" s="17">
        <v>32942131</v>
      </c>
      <c r="D63" s="17" t="s">
        <v>20361</v>
      </c>
      <c r="E63" s="17" t="s">
        <v>20362</v>
      </c>
      <c r="F63" s="17" t="s">
        <v>20363</v>
      </c>
      <c r="G63" s="21" t="s">
        <v>20364</v>
      </c>
      <c r="H63" s="21" t="s">
        <v>20365</v>
      </c>
      <c r="I63" s="17" t="s">
        <v>88</v>
      </c>
      <c r="J63" s="17">
        <v>5</v>
      </c>
      <c r="K63" s="17">
        <v>31</v>
      </c>
      <c r="L63" s="17" t="s">
        <v>20366</v>
      </c>
      <c r="M63" s="17" t="s">
        <v>3462</v>
      </c>
      <c r="N63" s="17" t="s">
        <v>20367</v>
      </c>
      <c r="O63" s="17" t="s">
        <v>20368</v>
      </c>
      <c r="P63" s="17" t="str">
        <f>HYPERLINK("https://photon-sol.tinyastro.io/en/lp/pNiRivfUujP5uafVU5oKJCLkHxQnt4jttXZKz74pump?handle=676050794bc1b1657a56b", "View")</f>
        <v>View</v>
      </c>
    </row>
    <row r="64" spans="1:16" x14ac:dyDescent="0.25">
      <c r="A64" s="13" t="s">
        <v>11659</v>
      </c>
      <c r="B64" s="14">
        <v>11334861</v>
      </c>
      <c r="C64" s="14">
        <v>11334861</v>
      </c>
      <c r="D64" s="14" t="s">
        <v>9537</v>
      </c>
      <c r="E64" s="14" t="s">
        <v>4442</v>
      </c>
      <c r="F64" s="14" t="s">
        <v>20369</v>
      </c>
      <c r="G64" s="20" t="s">
        <v>4161</v>
      </c>
      <c r="H64" s="20" t="s">
        <v>20370</v>
      </c>
      <c r="I64" s="14" t="s">
        <v>88</v>
      </c>
      <c r="J64" s="14">
        <v>3</v>
      </c>
      <c r="K64" s="14">
        <v>2</v>
      </c>
      <c r="L64" s="14" t="s">
        <v>20371</v>
      </c>
      <c r="M64" s="14" t="s">
        <v>132</v>
      </c>
      <c r="N64" s="14" t="s">
        <v>20372</v>
      </c>
      <c r="O64" s="14" t="s">
        <v>11664</v>
      </c>
      <c r="P64" s="14" t="str">
        <f>HYPERLINK("https://dexscreener.com/solana/4zdAbkyoYoT2F8ZSt6va4WZrmAwgFCfQsTEUo8zNpump", "View")</f>
        <v>View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45EE-C688-409B-AEF7-D86A76119ABD}">
  <dimension ref="A1:P3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HYPERLINK("https://gmgn.ai/sol/address/4zbQaWrHATRCE5S2f38URBAwJubET6FAFQzjfo38DFLu", "GMGN")</f>
        <v>GMGN</v>
      </c>
    </row>
    <row r="2" spans="1:14" x14ac:dyDescent="0.25">
      <c r="A2" s="3" t="s">
        <v>20373</v>
      </c>
      <c r="B2" s="3" t="s">
        <v>20374</v>
      </c>
      <c r="C2" s="3" t="s">
        <v>20134</v>
      </c>
      <c r="D2" s="3" t="s">
        <v>20375</v>
      </c>
      <c r="E2" s="3" t="s">
        <v>20376</v>
      </c>
      <c r="F2" s="3" t="s">
        <v>20377</v>
      </c>
      <c r="G2" s="3" t="s">
        <v>18</v>
      </c>
      <c r="H2" s="3">
        <v>13</v>
      </c>
      <c r="I2" s="3">
        <v>0</v>
      </c>
      <c r="J2" s="3" t="s">
        <v>4437</v>
      </c>
      <c r="K2" s="3" t="s">
        <v>20378</v>
      </c>
      <c r="L2" s="3">
        <v>6</v>
      </c>
      <c r="M2" s="3">
        <v>23</v>
      </c>
      <c r="N2" s="3" t="str">
        <f>HYPERLINK("https://solscan.io/account/4zbQaWrHATRCE5S2f38URBAwJubET6FAFQzjfo38DFLu", "Solscan")</f>
        <v>Solscan</v>
      </c>
    </row>
    <row r="3" spans="1:14" x14ac:dyDescent="0.25">
      <c r="A3" s="1" t="s">
        <v>21</v>
      </c>
      <c r="B3" s="4" t="s">
        <v>20379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HYPERLINK("https://birdeye.so/profile/4zbQaWrHATRCE5S2f38URBAwJubET6FAFQzjfo38DFLu", "Birdeye")</f>
        <v>Birdeye</v>
      </c>
    </row>
    <row r="4" spans="1:14" x14ac:dyDescent="0.25">
      <c r="A4" s="1" t="s">
        <v>25</v>
      </c>
      <c r="B4" s="23" t="s">
        <v>20380</v>
      </c>
      <c r="C4" s="3"/>
      <c r="D4" s="3" t="s">
        <v>1562</v>
      </c>
      <c r="E4" s="3" t="s">
        <v>20381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14174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16077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1</v>
      </c>
      <c r="E10" s="1">
        <v>0</v>
      </c>
      <c r="F10" s="1">
        <v>2</v>
      </c>
      <c r="G10" s="1">
        <v>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1784</v>
      </c>
      <c r="C11" s="1" t="s">
        <v>15563</v>
      </c>
      <c r="D11" s="1" t="s">
        <v>1784</v>
      </c>
      <c r="E11" s="1" t="s">
        <v>1779</v>
      </c>
      <c r="F11" s="1" t="s">
        <v>1781</v>
      </c>
      <c r="G11" s="1" t="s">
        <v>20382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20383</v>
      </c>
      <c r="C12" s="1" t="s">
        <v>20384</v>
      </c>
      <c r="D12" s="1" t="s">
        <v>32</v>
      </c>
      <c r="E12" s="1" t="s">
        <v>1786</v>
      </c>
      <c r="F12" s="1" t="s">
        <v>17994</v>
      </c>
      <c r="G12" s="1" t="s">
        <v>20385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8461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20386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841687</v>
      </c>
      <c r="C20" s="14">
        <v>841687</v>
      </c>
      <c r="D20" s="14" t="s">
        <v>10157</v>
      </c>
      <c r="E20" s="14" t="s">
        <v>1457</v>
      </c>
      <c r="F20" s="14" t="s">
        <v>20388</v>
      </c>
      <c r="G20" s="21" t="s">
        <v>7584</v>
      </c>
      <c r="H20" s="21" t="s">
        <v>20389</v>
      </c>
      <c r="I20" s="14" t="s">
        <v>88</v>
      </c>
      <c r="J20" s="14">
        <v>1</v>
      </c>
      <c r="K20" s="14">
        <v>1</v>
      </c>
      <c r="L20" s="14" t="s">
        <v>20390</v>
      </c>
      <c r="M20" s="14" t="s">
        <v>364</v>
      </c>
      <c r="N20" s="14" t="s">
        <v>20391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20393</v>
      </c>
      <c r="B21" s="17">
        <v>3744408</v>
      </c>
      <c r="C21" s="17">
        <v>3744408</v>
      </c>
      <c r="D21" s="17" t="s">
        <v>9682</v>
      </c>
      <c r="E21" s="17" t="s">
        <v>2390</v>
      </c>
      <c r="F21" s="17" t="s">
        <v>20394</v>
      </c>
      <c r="G21" s="21" t="s">
        <v>20395</v>
      </c>
      <c r="H21" s="21" t="s">
        <v>20396</v>
      </c>
      <c r="I21" s="17" t="s">
        <v>88</v>
      </c>
      <c r="J21" s="17">
        <v>2</v>
      </c>
      <c r="K21" s="17">
        <v>1</v>
      </c>
      <c r="L21" s="17" t="s">
        <v>20397</v>
      </c>
      <c r="M21" s="17" t="s">
        <v>132</v>
      </c>
      <c r="N21" s="17" t="s">
        <v>20398</v>
      </c>
      <c r="O21" s="17" t="s">
        <v>20399</v>
      </c>
      <c r="P21" s="17" t="str">
        <f>HYPERLINK("https://dexscreener.com/solana/DtWz93pDUZe5cYqBFmZjXq1wzZqZPygCeox5d3ajpump", "View")</f>
        <v>View</v>
      </c>
    </row>
    <row r="22" spans="1:16" x14ac:dyDescent="0.25">
      <c r="A22" s="13" t="s">
        <v>20393</v>
      </c>
      <c r="B22" s="14">
        <v>1988498</v>
      </c>
      <c r="C22" s="14">
        <v>1988498</v>
      </c>
      <c r="D22" s="14" t="s">
        <v>9682</v>
      </c>
      <c r="E22" s="14" t="s">
        <v>569</v>
      </c>
      <c r="F22" s="14" t="s">
        <v>2347</v>
      </c>
      <c r="G22" s="15" t="s">
        <v>20400</v>
      </c>
      <c r="H22" s="15" t="s">
        <v>20401</v>
      </c>
      <c r="I22" s="14" t="s">
        <v>88</v>
      </c>
      <c r="J22" s="14">
        <v>2</v>
      </c>
      <c r="K22" s="14">
        <v>1</v>
      </c>
      <c r="L22" s="14" t="s">
        <v>20402</v>
      </c>
      <c r="M22" s="14" t="s">
        <v>1642</v>
      </c>
      <c r="N22" s="14" t="s">
        <v>20403</v>
      </c>
      <c r="O22" s="14" t="s">
        <v>20404</v>
      </c>
      <c r="P22" s="14" t="str">
        <f>HYPERLINK("https://dexscreener.com/solana/BZasDyB47q8t4TsBDz1QzMEtji5NKcgGD7mWBRjMpump", "View")</f>
        <v>View</v>
      </c>
    </row>
    <row r="23" spans="1:16" x14ac:dyDescent="0.25">
      <c r="A23" s="16" t="s">
        <v>12637</v>
      </c>
      <c r="B23" s="17">
        <v>106544674</v>
      </c>
      <c r="C23" s="17">
        <v>106544674</v>
      </c>
      <c r="D23" s="17" t="s">
        <v>15598</v>
      </c>
      <c r="E23" s="17" t="s">
        <v>2375</v>
      </c>
      <c r="F23" s="17" t="s">
        <v>20405</v>
      </c>
      <c r="G23" s="21" t="s">
        <v>19587</v>
      </c>
      <c r="H23" s="21" t="s">
        <v>20406</v>
      </c>
      <c r="I23" s="17" t="s">
        <v>88</v>
      </c>
      <c r="J23" s="17">
        <v>1</v>
      </c>
      <c r="K23" s="17">
        <v>1</v>
      </c>
      <c r="L23" s="17" t="s">
        <v>20407</v>
      </c>
      <c r="M23" s="19" t="s">
        <v>2915</v>
      </c>
      <c r="N23" s="17" t="s">
        <v>20408</v>
      </c>
      <c r="O23" s="17" t="s">
        <v>20409</v>
      </c>
      <c r="P23" s="17" t="str">
        <f>HYPERLINK("https://dexscreener.com/solana/39WcEuRp1poYHyjEtDVXA5vcy85F7gy6UurEL157pump", "View")</f>
        <v>View</v>
      </c>
    </row>
    <row r="24" spans="1:16" x14ac:dyDescent="0.25">
      <c r="A24" s="13" t="s">
        <v>20410</v>
      </c>
      <c r="B24" s="14">
        <v>1286975</v>
      </c>
      <c r="C24" s="14">
        <v>1286975</v>
      </c>
      <c r="D24" s="14" t="s">
        <v>20411</v>
      </c>
      <c r="E24" s="14" t="s">
        <v>2390</v>
      </c>
      <c r="F24" s="14" t="s">
        <v>20412</v>
      </c>
      <c r="G24" s="21" t="s">
        <v>20413</v>
      </c>
      <c r="H24" s="21" t="s">
        <v>20414</v>
      </c>
      <c r="I24" s="14" t="s">
        <v>88</v>
      </c>
      <c r="J24" s="14">
        <v>5</v>
      </c>
      <c r="K24" s="14">
        <v>2</v>
      </c>
      <c r="L24" s="14" t="s">
        <v>20415</v>
      </c>
      <c r="M24" s="14" t="s">
        <v>132</v>
      </c>
      <c r="N24" s="14" t="s">
        <v>20416</v>
      </c>
      <c r="O24" s="14" t="s">
        <v>20417</v>
      </c>
      <c r="P24" s="14" t="str">
        <f>HYPERLINK("https://dexscreener.com/solana/BhbfgSh5P742DE5eMx24iZXNZeD2vNRFBZe3EP9Mpump", "View")</f>
        <v>View</v>
      </c>
    </row>
    <row r="25" spans="1:16" x14ac:dyDescent="0.25">
      <c r="A25" s="16" t="s">
        <v>10378</v>
      </c>
      <c r="B25" s="17">
        <v>185336</v>
      </c>
      <c r="C25" s="17">
        <v>185336</v>
      </c>
      <c r="D25" s="17" t="s">
        <v>9682</v>
      </c>
      <c r="E25" s="17" t="s">
        <v>5459</v>
      </c>
      <c r="F25" s="17" t="s">
        <v>3965</v>
      </c>
      <c r="G25" s="20" t="s">
        <v>20418</v>
      </c>
      <c r="H25" s="20" t="s">
        <v>20419</v>
      </c>
      <c r="I25" s="17" t="s">
        <v>88</v>
      </c>
      <c r="J25" s="17">
        <v>2</v>
      </c>
      <c r="K25" s="17">
        <v>2</v>
      </c>
      <c r="L25" s="17" t="s">
        <v>20420</v>
      </c>
      <c r="M25" s="17" t="s">
        <v>5061</v>
      </c>
      <c r="N25" s="17" t="s">
        <v>20421</v>
      </c>
      <c r="O25" s="17" t="s">
        <v>10382</v>
      </c>
      <c r="P25" s="17" t="str">
        <f>HYPERLINK("https://dexscreener.com/solana/Er2mtAhfbZUWbLhxY3ShN5Prj2DrnGjy6d8FYoMXpump", "View")</f>
        <v>View</v>
      </c>
    </row>
    <row r="26" spans="1:16" x14ac:dyDescent="0.25">
      <c r="A26" s="13" t="s">
        <v>20422</v>
      </c>
      <c r="B26" s="14">
        <v>3126476</v>
      </c>
      <c r="C26" s="14">
        <v>3126476</v>
      </c>
      <c r="D26" s="14" t="s">
        <v>16054</v>
      </c>
      <c r="E26" s="14" t="s">
        <v>2390</v>
      </c>
      <c r="F26" s="14" t="s">
        <v>7011</v>
      </c>
      <c r="G26" s="20" t="s">
        <v>13405</v>
      </c>
      <c r="H26" s="20" t="s">
        <v>20379</v>
      </c>
      <c r="I26" s="14" t="s">
        <v>88</v>
      </c>
      <c r="J26" s="14">
        <v>3</v>
      </c>
      <c r="K26" s="14">
        <v>2</v>
      </c>
      <c r="L26" s="14" t="s">
        <v>20423</v>
      </c>
      <c r="M26" s="14" t="s">
        <v>5729</v>
      </c>
      <c r="N26" s="14" t="s">
        <v>20424</v>
      </c>
      <c r="O26" s="14" t="s">
        <v>20425</v>
      </c>
      <c r="P26" s="14" t="str">
        <f>HYPERLINK("https://dexscreener.com/solana/54A7rix3sh5n3hKpZ1VMABLAqrnod8PUCs5AXVsGpump", "View")</f>
        <v>View</v>
      </c>
    </row>
    <row r="27" spans="1:16" x14ac:dyDescent="0.25">
      <c r="A27" s="16" t="s">
        <v>20196</v>
      </c>
      <c r="B27" s="17">
        <v>21349260</v>
      </c>
      <c r="C27" s="17">
        <v>21349260</v>
      </c>
      <c r="D27" s="17" t="s">
        <v>10517</v>
      </c>
      <c r="E27" s="17" t="s">
        <v>20426</v>
      </c>
      <c r="F27" s="17" t="s">
        <v>20427</v>
      </c>
      <c r="G27" s="15" t="s">
        <v>20428</v>
      </c>
      <c r="H27" s="15" t="s">
        <v>20429</v>
      </c>
      <c r="I27" s="17" t="s">
        <v>88</v>
      </c>
      <c r="J27" s="17">
        <v>1</v>
      </c>
      <c r="K27" s="17">
        <v>1</v>
      </c>
      <c r="L27" s="17" t="s">
        <v>20430</v>
      </c>
      <c r="M27" s="17" t="s">
        <v>1957</v>
      </c>
      <c r="N27" s="17" t="s">
        <v>20431</v>
      </c>
      <c r="O27" s="17" t="s">
        <v>20432</v>
      </c>
      <c r="P27" s="17" t="str">
        <f>HYPERLINK("https://photon-sol.tinyastro.io/en/lp/2gMovG6QWCubWR5ayTXdJyvq18bFzFxeZ22k5UdKpump?handle=676050794bc1b1657a56b", "View")</f>
        <v>View</v>
      </c>
    </row>
    <row r="28" spans="1:16" x14ac:dyDescent="0.25">
      <c r="A28" s="13" t="s">
        <v>20433</v>
      </c>
      <c r="B28" s="14">
        <v>20278730</v>
      </c>
      <c r="C28" s="14">
        <v>1278730</v>
      </c>
      <c r="D28" s="14" t="s">
        <v>20434</v>
      </c>
      <c r="E28" s="14" t="s">
        <v>20435</v>
      </c>
      <c r="F28" s="14" t="s">
        <v>6435</v>
      </c>
      <c r="G28" s="15" t="s">
        <v>20436</v>
      </c>
      <c r="H28" s="15" t="s">
        <v>20437</v>
      </c>
      <c r="I28" s="14" t="s">
        <v>88</v>
      </c>
      <c r="J28" s="14">
        <v>1</v>
      </c>
      <c r="K28" s="14">
        <v>7</v>
      </c>
      <c r="L28" s="14" t="s">
        <v>20438</v>
      </c>
      <c r="M28" s="14" t="s">
        <v>132</v>
      </c>
      <c r="N28" s="14" t="s">
        <v>20439</v>
      </c>
      <c r="O28" s="14" t="s">
        <v>20440</v>
      </c>
      <c r="P28" s="14" t="str">
        <f>HYPERLINK("https://photon-sol.tinyastro.io/en/lp/3wJ8vbpzdXnWL2SkB3fzkdKgyAUPaK98BD9C9B2bpump?handle=676050794bc1b1657a56b", "View")</f>
        <v>View</v>
      </c>
    </row>
    <row r="29" spans="1:16" x14ac:dyDescent="0.25">
      <c r="A29" s="16" t="s">
        <v>3071</v>
      </c>
      <c r="B29" s="17">
        <v>21762738</v>
      </c>
      <c r="C29" s="17">
        <v>9762738</v>
      </c>
      <c r="D29" s="17" t="s">
        <v>20441</v>
      </c>
      <c r="E29" s="17" t="s">
        <v>20442</v>
      </c>
      <c r="F29" s="17" t="s">
        <v>20443</v>
      </c>
      <c r="G29" s="21" t="s">
        <v>20444</v>
      </c>
      <c r="H29" s="21" t="s">
        <v>20445</v>
      </c>
      <c r="I29" s="17" t="s">
        <v>88</v>
      </c>
      <c r="J29" s="17">
        <v>3</v>
      </c>
      <c r="K29" s="17">
        <v>5</v>
      </c>
      <c r="L29" s="17" t="s">
        <v>20446</v>
      </c>
      <c r="M29" s="17" t="s">
        <v>179</v>
      </c>
      <c r="N29" s="17" t="s">
        <v>20447</v>
      </c>
      <c r="O29" s="17" t="s">
        <v>20448</v>
      </c>
      <c r="P29" s="17" t="str">
        <f>HYPERLINK("https://photon-sol.tinyastro.io/en/lp/CXAtTTTyrHYt1B7pc8CJThygsTLWszd9ASffCE1Npump?handle=676050794bc1b1657a56b", "View")</f>
        <v>View</v>
      </c>
    </row>
    <row r="30" spans="1:16" x14ac:dyDescent="0.25">
      <c r="A30" s="13" t="s">
        <v>3071</v>
      </c>
      <c r="B30" s="14">
        <v>1704538</v>
      </c>
      <c r="C30" s="14">
        <v>1704538</v>
      </c>
      <c r="D30" s="14" t="s">
        <v>10517</v>
      </c>
      <c r="E30" s="14" t="s">
        <v>5257</v>
      </c>
      <c r="F30" s="14" t="s">
        <v>6111</v>
      </c>
      <c r="G30" s="15" t="s">
        <v>13902</v>
      </c>
      <c r="H30" s="15" t="s">
        <v>20449</v>
      </c>
      <c r="I30" s="14" t="s">
        <v>88</v>
      </c>
      <c r="J30" s="14">
        <v>1</v>
      </c>
      <c r="K30" s="14">
        <v>1</v>
      </c>
      <c r="L30" s="14" t="s">
        <v>20450</v>
      </c>
      <c r="M30" s="14" t="s">
        <v>788</v>
      </c>
      <c r="N30" s="14" t="s">
        <v>20451</v>
      </c>
      <c r="O30" s="14" t="s">
        <v>20452</v>
      </c>
      <c r="P30" s="14" t="str">
        <f>HYPERLINK("https://photon-sol.tinyastro.io/en/lp/HwoTcHHEcUNm3AmfnMTUeg4vFxjNrYoBMM8Yy8tLpump?handle=676050794bc1b1657a56b", "View")</f>
        <v>View</v>
      </c>
    </row>
    <row r="31" spans="1:16" x14ac:dyDescent="0.25">
      <c r="A31" s="16" t="s">
        <v>20453</v>
      </c>
      <c r="B31" s="17">
        <v>28131906</v>
      </c>
      <c r="C31" s="17">
        <v>576351</v>
      </c>
      <c r="D31" s="17" t="s">
        <v>12557</v>
      </c>
      <c r="E31" s="17" t="s">
        <v>20454</v>
      </c>
      <c r="F31" s="17" t="s">
        <v>11279</v>
      </c>
      <c r="G31" s="15" t="s">
        <v>20455</v>
      </c>
      <c r="H31" s="15" t="s">
        <v>20456</v>
      </c>
      <c r="I31" s="17" t="s">
        <v>88</v>
      </c>
      <c r="J31" s="17">
        <v>1</v>
      </c>
      <c r="K31" s="17">
        <v>1</v>
      </c>
      <c r="L31" s="17" t="s">
        <v>20457</v>
      </c>
      <c r="M31" s="17" t="s">
        <v>132</v>
      </c>
      <c r="N31" s="17" t="s">
        <v>7745</v>
      </c>
      <c r="O31" s="17" t="s">
        <v>20458</v>
      </c>
      <c r="P31" s="17" t="str">
        <f>HYPERLINK("https://photon-sol.tinyastro.io/en/lp/842FK7G2wxFDgNToxFXFETizmNMJTfKrrJ2kUP6qpump?handle=676050794bc1b1657a56b", "View")</f>
        <v>View</v>
      </c>
    </row>
    <row r="32" spans="1:16" x14ac:dyDescent="0.25">
      <c r="A32" s="13" t="s">
        <v>7531</v>
      </c>
      <c r="B32" s="14">
        <v>26582976</v>
      </c>
      <c r="C32" s="14">
        <v>27421</v>
      </c>
      <c r="D32" s="14" t="s">
        <v>8834</v>
      </c>
      <c r="E32" s="14" t="s">
        <v>20459</v>
      </c>
      <c r="F32" s="14" t="s">
        <v>5459</v>
      </c>
      <c r="G32" s="15" t="s">
        <v>20460</v>
      </c>
      <c r="H32" s="15" t="s">
        <v>20461</v>
      </c>
      <c r="I32" s="14" t="s">
        <v>88</v>
      </c>
      <c r="J32" s="14">
        <v>2</v>
      </c>
      <c r="K32" s="14">
        <v>2</v>
      </c>
      <c r="L32" s="14" t="s">
        <v>20462</v>
      </c>
      <c r="M32" s="14" t="s">
        <v>414</v>
      </c>
      <c r="N32" s="14" t="s">
        <v>20463</v>
      </c>
      <c r="O32" s="14" t="s">
        <v>17669</v>
      </c>
      <c r="P32" s="14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7732-C7BC-4EF9-8E78-3D4D2690609B}">
  <dimension ref="A1:P3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HYPERLINK("https://gmgn.ai/sol/address/FaLrBGyPcnSHZZ9GeGHvWJ7BdNFHYsnRqqYEujRcJLpM", "GMGN")</f>
        <v>GMGN</v>
      </c>
    </row>
    <row r="2" spans="1:14" x14ac:dyDescent="0.25">
      <c r="A2" s="3" t="s">
        <v>20464</v>
      </c>
      <c r="B2" s="3" t="s">
        <v>20465</v>
      </c>
      <c r="C2" s="3" t="s">
        <v>8452</v>
      </c>
      <c r="D2" s="3" t="s">
        <v>20466</v>
      </c>
      <c r="E2" s="3" t="s">
        <v>20467</v>
      </c>
      <c r="F2" s="3" t="s">
        <v>20468</v>
      </c>
      <c r="G2" s="3" t="s">
        <v>18</v>
      </c>
      <c r="H2" s="3">
        <v>17</v>
      </c>
      <c r="I2" s="3">
        <v>0</v>
      </c>
      <c r="J2" s="3" t="s">
        <v>699</v>
      </c>
      <c r="K2" s="3" t="s">
        <v>1932</v>
      </c>
      <c r="L2" s="3">
        <v>0</v>
      </c>
      <c r="M2" s="3">
        <v>3</v>
      </c>
      <c r="N2" s="3" t="str">
        <f>HYPERLINK("https://solscan.io/account/FaLrBGyPcnSHZZ9GeGHvWJ7BdNFHYsnRqqYEujRcJLpM", "Solscan")</f>
        <v>Solscan</v>
      </c>
    </row>
    <row r="3" spans="1:14" x14ac:dyDescent="0.25">
      <c r="A3" s="1" t="s">
        <v>21</v>
      </c>
      <c r="B3" s="4" t="s">
        <v>20469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HYPERLINK("https://birdeye.so/profile/FaLrBGyPcnSHZZ9GeGHvWJ7BdNFHYsnRqqYEujRcJLpM", "Birdeye")</f>
        <v>Birdeye</v>
      </c>
    </row>
    <row r="4" spans="1:14" x14ac:dyDescent="0.25">
      <c r="A4" s="1" t="s">
        <v>25</v>
      </c>
      <c r="B4" s="3" t="s">
        <v>12314</v>
      </c>
      <c r="C4" s="3"/>
      <c r="D4" s="3" t="s">
        <v>20470</v>
      </c>
      <c r="E4" s="3" t="s">
        <v>20471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0</v>
      </c>
      <c r="D10" s="1">
        <v>0</v>
      </c>
      <c r="E10" s="1">
        <v>7</v>
      </c>
      <c r="F10" s="1">
        <v>6</v>
      </c>
      <c r="G10" s="1">
        <v>3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16597</v>
      </c>
      <c r="C11" s="1" t="s">
        <v>1779</v>
      </c>
      <c r="D11" s="1" t="s">
        <v>1779</v>
      </c>
      <c r="E11" s="1" t="s">
        <v>20472</v>
      </c>
      <c r="F11" s="1" t="s">
        <v>20473</v>
      </c>
      <c r="G11" s="1" t="s">
        <v>13985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20474</v>
      </c>
      <c r="C12" s="1" t="s">
        <v>1786</v>
      </c>
      <c r="D12" s="1" t="s">
        <v>1786</v>
      </c>
      <c r="E12" s="1" t="s">
        <v>20475</v>
      </c>
      <c r="F12" s="1" t="s">
        <v>20476</v>
      </c>
      <c r="G12" s="1" t="s">
        <v>20477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19667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20478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104</v>
      </c>
      <c r="B20" s="14">
        <v>3352718</v>
      </c>
      <c r="C20" s="14">
        <v>3352718</v>
      </c>
      <c r="D20" s="14" t="s">
        <v>1595</v>
      </c>
      <c r="E20" s="14" t="s">
        <v>219</v>
      </c>
      <c r="F20" s="14" t="s">
        <v>20479</v>
      </c>
      <c r="G20" s="20" t="s">
        <v>20480</v>
      </c>
      <c r="H20" s="20" t="s">
        <v>20481</v>
      </c>
      <c r="I20" s="14" t="s">
        <v>88</v>
      </c>
      <c r="J20" s="14">
        <v>1</v>
      </c>
      <c r="K20" s="14">
        <v>1</v>
      </c>
      <c r="L20" s="14" t="s">
        <v>20482</v>
      </c>
      <c r="M20" s="14" t="s">
        <v>1434</v>
      </c>
      <c r="N20" s="14" t="s">
        <v>20483</v>
      </c>
      <c r="O20" s="14" t="s">
        <v>110</v>
      </c>
      <c r="P20" s="14" t="str">
        <f>HYPERLINK("https://dexscreener.com/solana/8zuLGDdCMELwGjD9b3gtyqfCKwj5hbNUnCCw66eBpump", "View")</f>
        <v>View</v>
      </c>
    </row>
    <row r="21" spans="1:16" x14ac:dyDescent="0.25">
      <c r="A21" s="16" t="s">
        <v>125</v>
      </c>
      <c r="B21" s="17">
        <v>1788378</v>
      </c>
      <c r="C21" s="17">
        <v>1548377</v>
      </c>
      <c r="D21" s="17" t="s">
        <v>20484</v>
      </c>
      <c r="E21" s="17" t="s">
        <v>105</v>
      </c>
      <c r="F21" s="17" t="s">
        <v>20485</v>
      </c>
      <c r="G21" s="21" t="s">
        <v>20486</v>
      </c>
      <c r="H21" s="21" t="s">
        <v>20487</v>
      </c>
      <c r="I21" s="17" t="s">
        <v>88</v>
      </c>
      <c r="J21" s="17">
        <v>2</v>
      </c>
      <c r="K21" s="17">
        <v>19</v>
      </c>
      <c r="L21" s="17" t="s">
        <v>20488</v>
      </c>
      <c r="M21" s="17" t="s">
        <v>414</v>
      </c>
      <c r="N21" s="17" t="s">
        <v>20489</v>
      </c>
      <c r="O21" s="17" t="s">
        <v>134</v>
      </c>
      <c r="P21" s="17" t="str">
        <f>HYPERLINK("https://dexscreener.com/solana/CBdCxKo9QavR9hfShgpEBG3zekorAeD7W1jfq2o3pump", "View")</f>
        <v>View</v>
      </c>
    </row>
    <row r="22" spans="1:16" x14ac:dyDescent="0.25">
      <c r="A22" s="13" t="s">
        <v>7538</v>
      </c>
      <c r="B22" s="14">
        <v>986775</v>
      </c>
      <c r="C22" s="14">
        <v>0</v>
      </c>
      <c r="D22" s="14" t="s">
        <v>1646</v>
      </c>
      <c r="E22" s="14" t="s">
        <v>8109</v>
      </c>
      <c r="F22" s="14" t="s">
        <v>96</v>
      </c>
      <c r="G22" s="18" t="s">
        <v>20490</v>
      </c>
      <c r="H22" s="18" t="s">
        <v>98</v>
      </c>
      <c r="I22" s="14" t="s">
        <v>20491</v>
      </c>
      <c r="J22" s="14">
        <v>3</v>
      </c>
      <c r="K22" s="14">
        <v>0</v>
      </c>
      <c r="L22" s="14" t="s">
        <v>20492</v>
      </c>
      <c r="M22" s="14" t="s">
        <v>2617</v>
      </c>
      <c r="N22" s="14" t="s">
        <v>18928</v>
      </c>
      <c r="O22" s="14" t="s">
        <v>20493</v>
      </c>
      <c r="P22" s="14" t="str">
        <f>HYPERLINK("https://dexscreener.com/solana/3Wp5z1GtPqKwyiaicXa7nyXhBVJJ5JgAwzWXuPXqpump", "View")</f>
        <v>View</v>
      </c>
    </row>
    <row r="23" spans="1:16" x14ac:dyDescent="0.25">
      <c r="A23" s="16" t="s">
        <v>8501</v>
      </c>
      <c r="B23" s="17">
        <v>828136</v>
      </c>
      <c r="C23" s="17">
        <v>828136</v>
      </c>
      <c r="D23" s="17" t="s">
        <v>1646</v>
      </c>
      <c r="E23" s="17" t="s">
        <v>165</v>
      </c>
      <c r="F23" s="17" t="s">
        <v>20494</v>
      </c>
      <c r="G23" s="22" t="s">
        <v>15605</v>
      </c>
      <c r="H23" s="22" t="s">
        <v>20495</v>
      </c>
      <c r="I23" s="17" t="s">
        <v>88</v>
      </c>
      <c r="J23" s="17">
        <v>1</v>
      </c>
      <c r="K23" s="17">
        <v>2</v>
      </c>
      <c r="L23" s="17" t="s">
        <v>20496</v>
      </c>
      <c r="M23" s="17" t="s">
        <v>4385</v>
      </c>
      <c r="N23" s="17" t="s">
        <v>20497</v>
      </c>
      <c r="O23" s="17" t="s">
        <v>8508</v>
      </c>
      <c r="P23" s="17" t="str">
        <f>HYPERLINK("https://dexscreener.com/solana/E6N1aagrUTAqtAe6DnV4bctib37tCERbr2TPiHzrpump", "View")</f>
        <v>View</v>
      </c>
    </row>
    <row r="24" spans="1:16" x14ac:dyDescent="0.25">
      <c r="A24" s="13" t="s">
        <v>817</v>
      </c>
      <c r="B24" s="14">
        <v>637575</v>
      </c>
      <c r="C24" s="14">
        <v>0</v>
      </c>
      <c r="D24" s="14" t="s">
        <v>1595</v>
      </c>
      <c r="E24" s="14" t="s">
        <v>212</v>
      </c>
      <c r="F24" s="14" t="s">
        <v>96</v>
      </c>
      <c r="G24" s="18" t="s">
        <v>20498</v>
      </c>
      <c r="H24" s="18" t="s">
        <v>98</v>
      </c>
      <c r="I24" s="14" t="s">
        <v>20499</v>
      </c>
      <c r="J24" s="14">
        <v>2</v>
      </c>
      <c r="K24" s="14">
        <v>0</v>
      </c>
      <c r="L24" s="14" t="s">
        <v>20500</v>
      </c>
      <c r="M24" s="14" t="s">
        <v>160</v>
      </c>
      <c r="N24" s="14" t="s">
        <v>20501</v>
      </c>
      <c r="O24" s="14" t="s">
        <v>825</v>
      </c>
      <c r="P24" s="14" t="str">
        <f>HYPERLINK("https://dexscreener.com/solana/DwDtUqBZJtbRpdjsFw3N7YKB5epocSru25BGcVhfcYtg", "View")</f>
        <v>View</v>
      </c>
    </row>
    <row r="25" spans="1:16" x14ac:dyDescent="0.25">
      <c r="A25" s="16" t="s">
        <v>297</v>
      </c>
      <c r="B25" s="17">
        <v>1439031</v>
      </c>
      <c r="C25" s="17">
        <v>1439031</v>
      </c>
      <c r="D25" s="17" t="s">
        <v>1629</v>
      </c>
      <c r="E25" s="17" t="s">
        <v>20502</v>
      </c>
      <c r="F25" s="17" t="s">
        <v>20503</v>
      </c>
      <c r="G25" s="22" t="s">
        <v>20504</v>
      </c>
      <c r="H25" s="22" t="s">
        <v>20505</v>
      </c>
      <c r="I25" s="17" t="s">
        <v>88</v>
      </c>
      <c r="J25" s="17">
        <v>2</v>
      </c>
      <c r="K25" s="17">
        <v>2</v>
      </c>
      <c r="L25" s="17" t="s">
        <v>20506</v>
      </c>
      <c r="M25" s="17" t="s">
        <v>5644</v>
      </c>
      <c r="N25" s="17" t="s">
        <v>20507</v>
      </c>
      <c r="O25" s="17" t="s">
        <v>306</v>
      </c>
      <c r="P25" s="17" t="str">
        <f>HYPERLINK("https://dexscreener.com/solana/yG6bXPEFaUnGAEHHqH9H7t1VSfaK7YrggCqHy35pump", "View")</f>
        <v>View</v>
      </c>
    </row>
    <row r="26" spans="1:16" x14ac:dyDescent="0.25">
      <c r="A26" s="13" t="s">
        <v>312</v>
      </c>
      <c r="B26" s="14">
        <v>1127008</v>
      </c>
      <c r="C26" s="14">
        <v>1127008</v>
      </c>
      <c r="D26" s="14" t="s">
        <v>1595</v>
      </c>
      <c r="E26" s="14" t="s">
        <v>1267</v>
      </c>
      <c r="F26" s="14" t="s">
        <v>20508</v>
      </c>
      <c r="G26" s="20" t="s">
        <v>20509</v>
      </c>
      <c r="H26" s="20" t="s">
        <v>20510</v>
      </c>
      <c r="I26" s="14" t="s">
        <v>88</v>
      </c>
      <c r="J26" s="14">
        <v>1</v>
      </c>
      <c r="K26" s="14">
        <v>1</v>
      </c>
      <c r="L26" s="14" t="s">
        <v>20511</v>
      </c>
      <c r="M26" s="14" t="s">
        <v>1566</v>
      </c>
      <c r="N26" s="14" t="s">
        <v>20512</v>
      </c>
      <c r="O26" s="14" t="s">
        <v>319</v>
      </c>
      <c r="P26" s="14" t="str">
        <f>HYPERLINK("https://dexscreener.com/solana/GPF3b1vrWJfpaNNAXqTDLLnSRHTMG6auWonK3LAWpump", "View")</f>
        <v>View</v>
      </c>
    </row>
    <row r="27" spans="1:16" x14ac:dyDescent="0.25">
      <c r="A27" s="16" t="s">
        <v>2820</v>
      </c>
      <c r="B27" s="17">
        <v>1082335</v>
      </c>
      <c r="C27" s="17">
        <v>1082335</v>
      </c>
      <c r="D27" s="17" t="s">
        <v>1595</v>
      </c>
      <c r="E27" s="17" t="s">
        <v>569</v>
      </c>
      <c r="F27" s="17" t="s">
        <v>19271</v>
      </c>
      <c r="G27" s="15" t="s">
        <v>20513</v>
      </c>
      <c r="H27" s="15" t="s">
        <v>20514</v>
      </c>
      <c r="I27" s="17" t="s">
        <v>88</v>
      </c>
      <c r="J27" s="17">
        <v>1</v>
      </c>
      <c r="K27" s="17">
        <v>1</v>
      </c>
      <c r="L27" s="17" t="s">
        <v>20515</v>
      </c>
      <c r="M27" s="17" t="s">
        <v>1448</v>
      </c>
      <c r="N27" s="17" t="s">
        <v>20516</v>
      </c>
      <c r="O27" s="17" t="s">
        <v>16698</v>
      </c>
      <c r="P27" s="17" t="str">
        <f>HYPERLINK("https://dexscreener.com/solana/8zx4UDmxki7rgetWYbt9zPSH9wiRo1jx8hQmB15apump", "View")</f>
        <v>View</v>
      </c>
    </row>
    <row r="28" spans="1:16" x14ac:dyDescent="0.25">
      <c r="A28" s="13" t="s">
        <v>392</v>
      </c>
      <c r="B28" s="14">
        <v>1904382</v>
      </c>
      <c r="C28" s="14">
        <v>1904382</v>
      </c>
      <c r="D28" s="14" t="s">
        <v>1629</v>
      </c>
      <c r="E28" s="14" t="s">
        <v>155</v>
      </c>
      <c r="F28" s="14" t="s">
        <v>20517</v>
      </c>
      <c r="G28" s="20" t="s">
        <v>20518</v>
      </c>
      <c r="H28" s="20" t="s">
        <v>20519</v>
      </c>
      <c r="I28" s="14" t="s">
        <v>88</v>
      </c>
      <c r="J28" s="14">
        <v>2</v>
      </c>
      <c r="K28" s="14">
        <v>2</v>
      </c>
      <c r="L28" s="14" t="s">
        <v>20520</v>
      </c>
      <c r="M28" s="14" t="s">
        <v>160</v>
      </c>
      <c r="N28" s="14" t="s">
        <v>20521</v>
      </c>
      <c r="O28" s="14" t="s">
        <v>400</v>
      </c>
      <c r="P28" s="14" t="str">
        <f>HYPERLINK("https://dexscreener.com/solana/BTdGTUjHz5FUSf91Ufo9L9r4LFMTRhE1qDtvUUfypump", "View")</f>
        <v>View</v>
      </c>
    </row>
    <row r="29" spans="1:16" x14ac:dyDescent="0.25">
      <c r="A29" s="16" t="s">
        <v>20522</v>
      </c>
      <c r="B29" s="17">
        <v>1734119</v>
      </c>
      <c r="C29" s="17">
        <v>1734119</v>
      </c>
      <c r="D29" s="17" t="s">
        <v>1595</v>
      </c>
      <c r="E29" s="17" t="s">
        <v>219</v>
      </c>
      <c r="F29" s="17" t="s">
        <v>20523</v>
      </c>
      <c r="G29" s="20" t="s">
        <v>7645</v>
      </c>
      <c r="H29" s="20" t="s">
        <v>20524</v>
      </c>
      <c r="I29" s="17" t="s">
        <v>88</v>
      </c>
      <c r="J29" s="17">
        <v>1</v>
      </c>
      <c r="K29" s="17">
        <v>1</v>
      </c>
      <c r="L29" s="17" t="s">
        <v>20525</v>
      </c>
      <c r="M29" s="19" t="s">
        <v>2826</v>
      </c>
      <c r="N29" s="17" t="s">
        <v>20526</v>
      </c>
      <c r="O29" s="17" t="s">
        <v>20527</v>
      </c>
      <c r="P29" s="17" t="str">
        <f>HYPERLINK("https://dexscreener.com/solana/52vEwpTrQaPT6u8iZYcrmAf5seUgDaabje12cNzw2iME", "View")</f>
        <v>View</v>
      </c>
    </row>
    <row r="30" spans="1:16" x14ac:dyDescent="0.25">
      <c r="A30" s="13" t="s">
        <v>14818</v>
      </c>
      <c r="B30" s="14">
        <v>1519934</v>
      </c>
      <c r="C30" s="14">
        <v>1519934</v>
      </c>
      <c r="D30" s="14" t="s">
        <v>1595</v>
      </c>
      <c r="E30" s="14" t="s">
        <v>8109</v>
      </c>
      <c r="F30" s="14" t="s">
        <v>20528</v>
      </c>
      <c r="G30" s="22" t="s">
        <v>20529</v>
      </c>
      <c r="H30" s="22" t="s">
        <v>16049</v>
      </c>
      <c r="I30" s="14" t="s">
        <v>88</v>
      </c>
      <c r="J30" s="14">
        <v>1</v>
      </c>
      <c r="K30" s="14">
        <v>1</v>
      </c>
      <c r="L30" s="14" t="s">
        <v>20530</v>
      </c>
      <c r="M30" s="14" t="s">
        <v>117</v>
      </c>
      <c r="N30" s="14" t="s">
        <v>20531</v>
      </c>
      <c r="O30" s="14" t="s">
        <v>14825</v>
      </c>
      <c r="P30" s="14" t="str">
        <f>HYPERLINK("https://dexscreener.com/solana/54rRHktmCL8jKyMJxnBSSZ4zR8mxasR1CUx5qJuCHPze", "View")</f>
        <v>View</v>
      </c>
    </row>
    <row r="31" spans="1:16" x14ac:dyDescent="0.25">
      <c r="A31" s="16" t="s">
        <v>280</v>
      </c>
      <c r="B31" s="17">
        <v>1192636</v>
      </c>
      <c r="C31" s="17">
        <v>1192636</v>
      </c>
      <c r="D31" s="17" t="s">
        <v>1595</v>
      </c>
      <c r="E31" s="17" t="s">
        <v>20532</v>
      </c>
      <c r="F31" s="17" t="s">
        <v>20533</v>
      </c>
      <c r="G31" s="20" t="s">
        <v>20534</v>
      </c>
      <c r="H31" s="20" t="s">
        <v>20469</v>
      </c>
      <c r="I31" s="17" t="s">
        <v>88</v>
      </c>
      <c r="J31" s="17">
        <v>1</v>
      </c>
      <c r="K31" s="17">
        <v>1</v>
      </c>
      <c r="L31" s="17" t="s">
        <v>20535</v>
      </c>
      <c r="M31" s="17" t="s">
        <v>1610</v>
      </c>
      <c r="N31" s="17" t="s">
        <v>20536</v>
      </c>
      <c r="O31" s="17" t="s">
        <v>289</v>
      </c>
      <c r="P31" s="17" t="str">
        <f>HYPERLINK("https://dexscreener.com/solana/7wUwkXo8Qjt3cYM8BaHHHeyfDY7ZSn7qvod92pNupump", "View")</f>
        <v>View</v>
      </c>
    </row>
    <row r="32" spans="1:16" x14ac:dyDescent="0.25">
      <c r="A32" s="13" t="s">
        <v>9583</v>
      </c>
      <c r="B32" s="14">
        <v>135753</v>
      </c>
      <c r="C32" s="14">
        <v>135753</v>
      </c>
      <c r="D32" s="14" t="s">
        <v>1595</v>
      </c>
      <c r="E32" s="14" t="s">
        <v>20532</v>
      </c>
      <c r="F32" s="14" t="s">
        <v>20537</v>
      </c>
      <c r="G32" s="22" t="s">
        <v>1298</v>
      </c>
      <c r="H32" s="22" t="s">
        <v>20538</v>
      </c>
      <c r="I32" s="14" t="s">
        <v>88</v>
      </c>
      <c r="J32" s="14">
        <v>1</v>
      </c>
      <c r="K32" s="14">
        <v>1</v>
      </c>
      <c r="L32" s="14" t="s">
        <v>20539</v>
      </c>
      <c r="M32" s="14" t="s">
        <v>788</v>
      </c>
      <c r="N32" s="14" t="s">
        <v>20540</v>
      </c>
      <c r="O32" s="14" t="s">
        <v>9588</v>
      </c>
      <c r="P32" s="14" t="str">
        <f>HYPERLINK("https://dexscreener.com/solana/Gu3LDkn7Vx3bmCzLafYNKcDxv2mH7YN44NJZFXnypump", "View")</f>
        <v>View</v>
      </c>
    </row>
    <row r="33" spans="1:16" x14ac:dyDescent="0.25">
      <c r="A33" s="16" t="s">
        <v>9575</v>
      </c>
      <c r="B33" s="17">
        <v>1519288</v>
      </c>
      <c r="C33" s="17">
        <v>1519288</v>
      </c>
      <c r="D33" s="17" t="s">
        <v>20541</v>
      </c>
      <c r="E33" s="17" t="s">
        <v>20542</v>
      </c>
      <c r="F33" s="17" t="s">
        <v>20543</v>
      </c>
      <c r="G33" s="20" t="s">
        <v>20544</v>
      </c>
      <c r="H33" s="20" t="s">
        <v>20545</v>
      </c>
      <c r="I33" s="17" t="s">
        <v>88</v>
      </c>
      <c r="J33" s="17">
        <v>2</v>
      </c>
      <c r="K33" s="17">
        <v>1</v>
      </c>
      <c r="L33" s="17" t="s">
        <v>20546</v>
      </c>
      <c r="M33" s="17" t="s">
        <v>132</v>
      </c>
      <c r="N33" s="17" t="s">
        <v>20547</v>
      </c>
      <c r="O33" s="17" t="s">
        <v>9582</v>
      </c>
      <c r="P33" s="17" t="str">
        <f>HYPERLINK("https://dexscreener.com/solana/6MAWnfagDCzqmHQh88FVt9F1zzLqXpwGJpaL7zUTpump", "View")</f>
        <v>View</v>
      </c>
    </row>
    <row r="34" spans="1:16" x14ac:dyDescent="0.25">
      <c r="A34" s="13" t="s">
        <v>20548</v>
      </c>
      <c r="B34" s="14">
        <v>3428293</v>
      </c>
      <c r="C34" s="14">
        <v>3428293</v>
      </c>
      <c r="D34" s="14" t="s">
        <v>1646</v>
      </c>
      <c r="E34" s="14" t="s">
        <v>569</v>
      </c>
      <c r="F34" s="14" t="s">
        <v>20549</v>
      </c>
      <c r="G34" s="22" t="s">
        <v>3110</v>
      </c>
      <c r="H34" s="22" t="s">
        <v>20550</v>
      </c>
      <c r="I34" s="14" t="s">
        <v>88</v>
      </c>
      <c r="J34" s="14">
        <v>1</v>
      </c>
      <c r="K34" s="14">
        <v>2</v>
      </c>
      <c r="L34" s="14" t="s">
        <v>20551</v>
      </c>
      <c r="M34" s="14" t="s">
        <v>117</v>
      </c>
      <c r="N34" s="14" t="s">
        <v>20552</v>
      </c>
      <c r="O34" s="14" t="s">
        <v>20553</v>
      </c>
      <c r="P34" s="14" t="str">
        <f>HYPERLINK("https://dexscreener.com/solana/5ZqPs7FK9EQwXHqdygfqHCV2r7VEYBcd5qVH9vU9pump", "View")</f>
        <v>View</v>
      </c>
    </row>
    <row r="35" spans="1:16" x14ac:dyDescent="0.25">
      <c r="A35" s="16" t="s">
        <v>20554</v>
      </c>
      <c r="B35" s="17">
        <v>3451637</v>
      </c>
      <c r="C35" s="17">
        <v>3451637</v>
      </c>
      <c r="D35" s="17" t="s">
        <v>1595</v>
      </c>
      <c r="E35" s="17" t="s">
        <v>569</v>
      </c>
      <c r="F35" s="17" t="s">
        <v>20555</v>
      </c>
      <c r="G35" s="22" t="s">
        <v>11883</v>
      </c>
      <c r="H35" s="22" t="s">
        <v>20556</v>
      </c>
      <c r="I35" s="17" t="s">
        <v>88</v>
      </c>
      <c r="J35" s="17">
        <v>1</v>
      </c>
      <c r="K35" s="17">
        <v>1</v>
      </c>
      <c r="L35" s="17" t="s">
        <v>20557</v>
      </c>
      <c r="M35" s="17" t="s">
        <v>1932</v>
      </c>
      <c r="N35" s="17" t="s">
        <v>20558</v>
      </c>
      <c r="O35" s="17" t="s">
        <v>20559</v>
      </c>
      <c r="P35" s="17" t="str">
        <f>HYPERLINK("https://dexscreener.com/solana/pcEgPrpHFuFCmSSfWUykJfQv7AUfUD1xbhw71oHy7om", "View")</f>
        <v>View</v>
      </c>
    </row>
    <row r="36" spans="1:16" x14ac:dyDescent="0.25">
      <c r="A36" s="13" t="s">
        <v>531</v>
      </c>
      <c r="B36" s="14">
        <v>3556078</v>
      </c>
      <c r="C36" s="14">
        <v>3556078</v>
      </c>
      <c r="D36" s="14" t="s">
        <v>1595</v>
      </c>
      <c r="E36" s="14" t="s">
        <v>1124</v>
      </c>
      <c r="F36" s="14" t="s">
        <v>20560</v>
      </c>
      <c r="G36" s="22" t="s">
        <v>3367</v>
      </c>
      <c r="H36" s="22" t="s">
        <v>20561</v>
      </c>
      <c r="I36" s="14" t="s">
        <v>88</v>
      </c>
      <c r="J36" s="14">
        <v>1</v>
      </c>
      <c r="K36" s="14">
        <v>1</v>
      </c>
      <c r="L36" s="14" t="s">
        <v>20562</v>
      </c>
      <c r="M36" s="14" t="s">
        <v>1957</v>
      </c>
      <c r="N36" s="14" t="s">
        <v>20563</v>
      </c>
      <c r="O36" s="14" t="s">
        <v>540</v>
      </c>
      <c r="P36" s="14" t="str">
        <f>HYPERLINK("https://dexscreener.com/solana/DjYrvmmY6ojf2f62TckYxBtCCHCJNbr9A4EXFwH3pump", "View")</f>
        <v>View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5000-CAB7-4DC5-ACBD-A55174C4606D}">
  <dimension ref="A1:P52"/>
  <sheetViews>
    <sheetView workbookViewId="0"/>
  </sheetViews>
  <sheetFormatPr defaultRowHeight="15" x14ac:dyDescent="0.25"/>
  <cols>
    <col min="1" max="1" width="45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HYPERLINK("https://gmgn.ai/sol/address/7ZxY2EbTdSme1Vwn2HtzWZNXzBJLfUu89gqFaV5ew1h", "GMGN")</f>
        <v>GMGN</v>
      </c>
    </row>
    <row r="2" spans="1:14" x14ac:dyDescent="0.25">
      <c r="A2" s="3" t="s">
        <v>20564</v>
      </c>
      <c r="B2" s="3" t="s">
        <v>11183</v>
      </c>
      <c r="C2" s="3" t="s">
        <v>20565</v>
      </c>
      <c r="D2" s="3" t="s">
        <v>1568</v>
      </c>
      <c r="E2" s="3" t="s">
        <v>14163</v>
      </c>
      <c r="F2" s="3" t="s">
        <v>18</v>
      </c>
      <c r="G2" s="3" t="s">
        <v>18</v>
      </c>
      <c r="H2" s="3">
        <v>33</v>
      </c>
      <c r="I2" s="3">
        <v>7</v>
      </c>
      <c r="J2" s="3" t="s">
        <v>20566</v>
      </c>
      <c r="K2" s="3" t="s">
        <v>20567</v>
      </c>
      <c r="L2" s="3">
        <v>3</v>
      </c>
      <c r="M2" s="3">
        <v>23</v>
      </c>
      <c r="N2" s="3" t="str">
        <f>HYPERLINK("https://solscan.io/account/7ZxY2EbTdSme1Vwn2HtzWZNXzBJLfUu89gqFaV5ew1h", "Solscan")</f>
        <v>Solscan</v>
      </c>
    </row>
    <row r="3" spans="1:14" x14ac:dyDescent="0.25">
      <c r="A3" s="1" t="s">
        <v>21</v>
      </c>
      <c r="B3" s="4" t="s">
        <v>20568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HYPERLINK("https://birdeye.so/profile/7ZxY2EbTdSme1Vwn2HtzWZNXzBJLfUu89gqFaV5ew1h", "Birdeye")</f>
        <v>Birdeye</v>
      </c>
    </row>
    <row r="4" spans="1:14" x14ac:dyDescent="0.25">
      <c r="A4" s="1" t="s">
        <v>25</v>
      </c>
      <c r="B4" s="3" t="s">
        <v>7496</v>
      </c>
      <c r="C4" s="3"/>
      <c r="D4" s="3" t="s">
        <v>15</v>
      </c>
      <c r="E4" s="3" t="s">
        <v>20569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15662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0</v>
      </c>
      <c r="E10" s="1">
        <v>8</v>
      </c>
      <c r="F10" s="1">
        <v>5</v>
      </c>
      <c r="G10" s="1">
        <v>16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47</v>
      </c>
      <c r="C11" s="1" t="s">
        <v>9489</v>
      </c>
      <c r="D11" s="1" t="s">
        <v>1779</v>
      </c>
      <c r="E11" s="1" t="s">
        <v>20570</v>
      </c>
      <c r="F11" s="1" t="s">
        <v>20571</v>
      </c>
      <c r="G11" s="1" t="s">
        <v>20572</v>
      </c>
      <c r="H11" s="3"/>
      <c r="I11" s="3" t="s">
        <v>50</v>
      </c>
      <c r="J11" s="3" t="s">
        <v>8326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8327</v>
      </c>
      <c r="C12" s="1" t="s">
        <v>4360</v>
      </c>
      <c r="D12" s="1" t="s">
        <v>1786</v>
      </c>
      <c r="E12" s="1" t="s">
        <v>9644</v>
      </c>
      <c r="F12" s="1" t="s">
        <v>20573</v>
      </c>
      <c r="G12" s="1" t="s">
        <v>20574</v>
      </c>
      <c r="H12" s="3"/>
      <c r="I12" s="3" t="s">
        <v>59</v>
      </c>
      <c r="J12" s="3" t="s">
        <v>1583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8461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14174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20575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1690</v>
      </c>
      <c r="B20" s="14">
        <v>85279</v>
      </c>
      <c r="C20" s="14">
        <v>85279</v>
      </c>
      <c r="D20" s="14" t="s">
        <v>18220</v>
      </c>
      <c r="E20" s="14" t="s">
        <v>4396</v>
      </c>
      <c r="F20" s="14" t="s">
        <v>6206</v>
      </c>
      <c r="G20" s="22" t="s">
        <v>4818</v>
      </c>
      <c r="H20" s="22" t="s">
        <v>20576</v>
      </c>
      <c r="I20" s="14" t="s">
        <v>88</v>
      </c>
      <c r="J20" s="14">
        <v>1</v>
      </c>
      <c r="K20" s="14">
        <v>1</v>
      </c>
      <c r="L20" s="14" t="s">
        <v>20577</v>
      </c>
      <c r="M20" s="14" t="s">
        <v>1448</v>
      </c>
      <c r="N20" s="14" t="s">
        <v>20578</v>
      </c>
      <c r="O20" s="14" t="s">
        <v>1698</v>
      </c>
      <c r="P20" s="14" t="str">
        <f>HYPERLINK("https://dexscreener.com/solana/Gjn59KNTp9n9PGzEmtbUSUwGuGRpwbvN86Pxpwtupump", "View")</f>
        <v>View</v>
      </c>
    </row>
    <row r="21" spans="1:16" x14ac:dyDescent="0.25">
      <c r="A21" s="16" t="s">
        <v>20579</v>
      </c>
      <c r="B21" s="17">
        <v>281685</v>
      </c>
      <c r="C21" s="17">
        <v>0</v>
      </c>
      <c r="D21" s="17" t="s">
        <v>20580</v>
      </c>
      <c r="E21" s="17" t="s">
        <v>3275</v>
      </c>
      <c r="F21" s="17" t="s">
        <v>96</v>
      </c>
      <c r="G21" s="18" t="s">
        <v>4168</v>
      </c>
      <c r="H21" s="18" t="s">
        <v>98</v>
      </c>
      <c r="I21" s="17" t="s">
        <v>20581</v>
      </c>
      <c r="J21" s="17">
        <v>1</v>
      </c>
      <c r="K21" s="17">
        <v>0</v>
      </c>
      <c r="L21" s="17" t="s">
        <v>20582</v>
      </c>
      <c r="M21" s="19" t="s">
        <v>101</v>
      </c>
      <c r="N21" s="17" t="s">
        <v>20583</v>
      </c>
      <c r="O21" s="17" t="s">
        <v>20584</v>
      </c>
      <c r="P21" s="17" t="str">
        <f>HYPERLINK("https://photon-sol.tinyastro.io/en/lp/AU8PyvTMbHWaMFuR3LpNCdSVtUJ4AX4ugTJ6gh8Mpump?handle=676050794bc1b1657a56b", "View")</f>
        <v>View</v>
      </c>
    </row>
    <row r="22" spans="1:16" x14ac:dyDescent="0.25">
      <c r="A22" s="13" t="s">
        <v>125</v>
      </c>
      <c r="B22" s="14">
        <v>1312</v>
      </c>
      <c r="C22" s="14">
        <v>656</v>
      </c>
      <c r="D22" s="14" t="s">
        <v>12577</v>
      </c>
      <c r="E22" s="14" t="s">
        <v>4396</v>
      </c>
      <c r="F22" s="14" t="s">
        <v>8575</v>
      </c>
      <c r="G22" s="22" t="s">
        <v>4687</v>
      </c>
      <c r="H22" s="22" t="s">
        <v>20585</v>
      </c>
      <c r="I22" s="14" t="s">
        <v>88</v>
      </c>
      <c r="J22" s="14">
        <v>1</v>
      </c>
      <c r="K22" s="14">
        <v>1</v>
      </c>
      <c r="L22" s="14" t="s">
        <v>20586</v>
      </c>
      <c r="M22" s="14" t="s">
        <v>656</v>
      </c>
      <c r="N22" s="14" t="s">
        <v>20587</v>
      </c>
      <c r="O22" s="14" t="s">
        <v>134</v>
      </c>
      <c r="P22" s="14" t="str">
        <f>HYPERLINK("https://dexscreener.com/solana/CBdCxKo9QavR9hfShgpEBG3zekorAeD7W1jfq2o3pump", "View")</f>
        <v>View</v>
      </c>
    </row>
    <row r="23" spans="1:16" x14ac:dyDescent="0.25">
      <c r="A23" s="16" t="s">
        <v>3804</v>
      </c>
      <c r="B23" s="17">
        <v>12713</v>
      </c>
      <c r="C23" s="17">
        <v>7400</v>
      </c>
      <c r="D23" s="17" t="s">
        <v>20588</v>
      </c>
      <c r="E23" s="17" t="s">
        <v>4396</v>
      </c>
      <c r="F23" s="17" t="s">
        <v>4919</v>
      </c>
      <c r="G23" s="20" t="s">
        <v>5305</v>
      </c>
      <c r="H23" s="20" t="s">
        <v>20589</v>
      </c>
      <c r="I23" s="17" t="s">
        <v>88</v>
      </c>
      <c r="J23" s="17">
        <v>1</v>
      </c>
      <c r="K23" s="17">
        <v>1</v>
      </c>
      <c r="L23" s="17" t="s">
        <v>20590</v>
      </c>
      <c r="M23" s="17" t="s">
        <v>90</v>
      </c>
      <c r="N23" s="17" t="s">
        <v>20591</v>
      </c>
      <c r="O23" s="17" t="s">
        <v>11332</v>
      </c>
      <c r="P23" s="17" t="str">
        <f>HYPERLINK("https://dexscreener.com/solana/5pKzD7VCY27no9cN31dYvgzZMAWRPUUHL4xK75FYpump", "View")</f>
        <v>View</v>
      </c>
    </row>
    <row r="24" spans="1:16" x14ac:dyDescent="0.25">
      <c r="A24" s="13" t="s">
        <v>20592</v>
      </c>
      <c r="B24" s="14">
        <v>21021</v>
      </c>
      <c r="C24" s="14">
        <v>21021</v>
      </c>
      <c r="D24" s="14" t="s">
        <v>20593</v>
      </c>
      <c r="E24" s="14" t="s">
        <v>4665</v>
      </c>
      <c r="F24" s="14" t="s">
        <v>12544</v>
      </c>
      <c r="G24" s="21" t="s">
        <v>4224</v>
      </c>
      <c r="H24" s="21" t="s">
        <v>20594</v>
      </c>
      <c r="I24" s="14" t="s">
        <v>88</v>
      </c>
      <c r="J24" s="14">
        <v>1</v>
      </c>
      <c r="K24" s="14">
        <v>1</v>
      </c>
      <c r="L24" s="14" t="s">
        <v>20595</v>
      </c>
      <c r="M24" s="14" t="s">
        <v>699</v>
      </c>
      <c r="N24" s="14" t="s">
        <v>20596</v>
      </c>
      <c r="O24" s="14" t="s">
        <v>20597</v>
      </c>
      <c r="P24" s="14" t="str">
        <f>HYPERLINK("https://dexscreener.com/solana/EYrci5wDqErWHXjKPLxeWtbXq36JcFKzCC7JoMi1pump", "View")</f>
        <v>View</v>
      </c>
    </row>
    <row r="25" spans="1:16" x14ac:dyDescent="0.25">
      <c r="A25" s="16" t="s">
        <v>280</v>
      </c>
      <c r="B25" s="17">
        <v>10068</v>
      </c>
      <c r="C25" s="17">
        <v>10068</v>
      </c>
      <c r="D25" s="17" t="s">
        <v>20598</v>
      </c>
      <c r="E25" s="17" t="s">
        <v>4396</v>
      </c>
      <c r="F25" s="17" t="s">
        <v>4660</v>
      </c>
      <c r="G25" s="20" t="s">
        <v>5133</v>
      </c>
      <c r="H25" s="20" t="s">
        <v>20599</v>
      </c>
      <c r="I25" s="17" t="s">
        <v>88</v>
      </c>
      <c r="J25" s="17">
        <v>1</v>
      </c>
      <c r="K25" s="17">
        <v>1</v>
      </c>
      <c r="L25" s="17" t="s">
        <v>20600</v>
      </c>
      <c r="M25" s="17" t="s">
        <v>745</v>
      </c>
      <c r="N25" s="17" t="s">
        <v>19164</v>
      </c>
      <c r="O25" s="17" t="s">
        <v>289</v>
      </c>
      <c r="P25" s="17" t="str">
        <f>HYPERLINK("https://dexscreener.com/solana/7wUwkXo8Qjt3cYM8BaHHHeyfDY7ZSn7qvod92pNupump", "View")</f>
        <v>View</v>
      </c>
    </row>
    <row r="26" spans="1:16" x14ac:dyDescent="0.25">
      <c r="A26" s="13" t="s">
        <v>16699</v>
      </c>
      <c r="B26" s="14">
        <v>40190</v>
      </c>
      <c r="C26" s="14">
        <v>40190</v>
      </c>
      <c r="D26" s="14" t="s">
        <v>20601</v>
      </c>
      <c r="E26" s="14" t="s">
        <v>4396</v>
      </c>
      <c r="F26" s="14" t="s">
        <v>4982</v>
      </c>
      <c r="G26" s="22" t="s">
        <v>15901</v>
      </c>
      <c r="H26" s="22" t="s">
        <v>20602</v>
      </c>
      <c r="I26" s="14" t="s">
        <v>88</v>
      </c>
      <c r="J26" s="14">
        <v>1</v>
      </c>
      <c r="K26" s="14">
        <v>1</v>
      </c>
      <c r="L26" s="14" t="s">
        <v>20603</v>
      </c>
      <c r="M26" s="14" t="s">
        <v>2047</v>
      </c>
      <c r="N26" s="14" t="s">
        <v>20604</v>
      </c>
      <c r="O26" s="14" t="s">
        <v>16703</v>
      </c>
      <c r="P26" s="14" t="str">
        <f>HYPERLINK("https://dexscreener.com/solana/37Yd8iMsC1zU1mepZCQnZRcP45iEdtHv1XVoxUm8pump", "View")</f>
        <v>View</v>
      </c>
    </row>
    <row r="27" spans="1:16" x14ac:dyDescent="0.25">
      <c r="A27" s="16" t="s">
        <v>9568</v>
      </c>
      <c r="B27" s="17">
        <v>380792</v>
      </c>
      <c r="C27" s="17">
        <v>190396</v>
      </c>
      <c r="D27" s="17" t="s">
        <v>20605</v>
      </c>
      <c r="E27" s="17" t="s">
        <v>3993</v>
      </c>
      <c r="F27" s="17" t="s">
        <v>5588</v>
      </c>
      <c r="G27" s="20" t="s">
        <v>4610</v>
      </c>
      <c r="H27" s="20" t="s">
        <v>20568</v>
      </c>
      <c r="I27" s="17" t="s">
        <v>88</v>
      </c>
      <c r="J27" s="17">
        <v>1</v>
      </c>
      <c r="K27" s="17">
        <v>1</v>
      </c>
      <c r="L27" s="17" t="s">
        <v>20606</v>
      </c>
      <c r="M27" s="17" t="s">
        <v>602</v>
      </c>
      <c r="N27" s="17" t="s">
        <v>20607</v>
      </c>
      <c r="O27" s="17" t="s">
        <v>9574</v>
      </c>
      <c r="P27" s="17" t="str">
        <f>HYPERLINK("https://photon-sol.tinyastro.io/en/lp/cZAdM85JveqWcmFmzEEYLFDjkkdQoS7PVVskcefpump?handle=676050794bc1b1657a56b", "View")</f>
        <v>View</v>
      </c>
    </row>
    <row r="28" spans="1:16" x14ac:dyDescent="0.25">
      <c r="A28" s="13" t="s">
        <v>20608</v>
      </c>
      <c r="B28" s="14">
        <v>690352</v>
      </c>
      <c r="C28" s="14">
        <v>0</v>
      </c>
      <c r="D28" s="14" t="s">
        <v>10098</v>
      </c>
      <c r="E28" s="14" t="s">
        <v>4665</v>
      </c>
      <c r="F28" s="14" t="s">
        <v>96</v>
      </c>
      <c r="G28" s="18" t="s">
        <v>11238</v>
      </c>
      <c r="H28" s="18" t="s">
        <v>98</v>
      </c>
      <c r="I28" s="14" t="s">
        <v>20609</v>
      </c>
      <c r="J28" s="14">
        <v>1</v>
      </c>
      <c r="K28" s="14">
        <v>0</v>
      </c>
      <c r="L28" s="14" t="s">
        <v>20610</v>
      </c>
      <c r="M28" s="19" t="s">
        <v>101</v>
      </c>
      <c r="N28" s="14" t="s">
        <v>20611</v>
      </c>
      <c r="O28" s="14" t="s">
        <v>20612</v>
      </c>
      <c r="P28" s="14" t="str">
        <f>HYPERLINK("https://dexscreener.com/solana/6FbHd9DjMQK9ZUFEUaQchNqhfczzVfqqZozNnbqXpump", "View")</f>
        <v>View</v>
      </c>
    </row>
    <row r="29" spans="1:16" x14ac:dyDescent="0.25">
      <c r="A29" s="16" t="s">
        <v>20613</v>
      </c>
      <c r="B29" s="17">
        <v>7086</v>
      </c>
      <c r="C29" s="17">
        <v>0</v>
      </c>
      <c r="D29" s="17" t="s">
        <v>1890</v>
      </c>
      <c r="E29" s="17" t="s">
        <v>4396</v>
      </c>
      <c r="F29" s="17" t="s">
        <v>96</v>
      </c>
      <c r="G29" s="18" t="s">
        <v>4739</v>
      </c>
      <c r="H29" s="18" t="s">
        <v>98</v>
      </c>
      <c r="I29" s="17" t="s">
        <v>20614</v>
      </c>
      <c r="J29" s="17">
        <v>1</v>
      </c>
      <c r="K29" s="17">
        <v>0</v>
      </c>
      <c r="L29" s="17" t="s">
        <v>20615</v>
      </c>
      <c r="M29" s="19" t="s">
        <v>101</v>
      </c>
      <c r="N29" s="17" t="s">
        <v>20616</v>
      </c>
      <c r="O29" s="17" t="s">
        <v>20617</v>
      </c>
      <c r="P29" s="17" t="str">
        <f>HYPERLINK("https://dexscreener.com/solana/6Rx89EvU1fNGv5htXGTUs3HPoQjcYSLh8KDd5RPwpump", "View")</f>
        <v>View</v>
      </c>
    </row>
    <row r="30" spans="1:16" x14ac:dyDescent="0.25">
      <c r="A30" s="13" t="s">
        <v>20618</v>
      </c>
      <c r="B30" s="14">
        <v>76898</v>
      </c>
      <c r="C30" s="14">
        <v>76898</v>
      </c>
      <c r="D30" s="14" t="s">
        <v>20619</v>
      </c>
      <c r="E30" s="14" t="s">
        <v>4396</v>
      </c>
      <c r="F30" s="14" t="s">
        <v>5675</v>
      </c>
      <c r="G30" s="22" t="s">
        <v>2967</v>
      </c>
      <c r="H30" s="22" t="s">
        <v>15349</v>
      </c>
      <c r="I30" s="14" t="s">
        <v>88</v>
      </c>
      <c r="J30" s="14">
        <v>1</v>
      </c>
      <c r="K30" s="14">
        <v>1</v>
      </c>
      <c r="L30" s="14" t="s">
        <v>20620</v>
      </c>
      <c r="M30" s="14" t="s">
        <v>160</v>
      </c>
      <c r="N30" s="14" t="s">
        <v>20621</v>
      </c>
      <c r="O30" s="14" t="s">
        <v>20622</v>
      </c>
      <c r="P30" s="14" t="str">
        <f>HYPERLINK("https://dexscreener.com/solana/8jv1q4Z1jbd22A5MSWruC77DhHESwMr6Er3D8hBXpump", "View")</f>
        <v>View</v>
      </c>
    </row>
    <row r="31" spans="1:16" x14ac:dyDescent="0.25">
      <c r="A31" s="16" t="s">
        <v>597</v>
      </c>
      <c r="B31" s="17">
        <v>42200</v>
      </c>
      <c r="C31" s="17">
        <v>0</v>
      </c>
      <c r="D31" s="17" t="s">
        <v>10098</v>
      </c>
      <c r="E31" s="17" t="s">
        <v>4665</v>
      </c>
      <c r="F31" s="17" t="s">
        <v>96</v>
      </c>
      <c r="G31" s="18" t="s">
        <v>11238</v>
      </c>
      <c r="H31" s="18" t="s">
        <v>98</v>
      </c>
      <c r="I31" s="17" t="s">
        <v>20623</v>
      </c>
      <c r="J31" s="17">
        <v>1</v>
      </c>
      <c r="K31" s="17">
        <v>0</v>
      </c>
      <c r="L31" s="17" t="s">
        <v>20624</v>
      </c>
      <c r="M31" s="19" t="s">
        <v>101</v>
      </c>
      <c r="N31" s="17" t="s">
        <v>20625</v>
      </c>
      <c r="O31" s="17" t="s">
        <v>604</v>
      </c>
      <c r="P31" s="17" t="str">
        <f>HYPERLINK("https://dexscreener.com/solana/7d5eoFBR5nEfKiBwW5NseBMRscKECJ7zJhsj1ZpDpump", "View")</f>
        <v>View</v>
      </c>
    </row>
    <row r="32" spans="1:16" x14ac:dyDescent="0.25">
      <c r="A32" s="13" t="s">
        <v>575</v>
      </c>
      <c r="B32" s="14">
        <v>34401</v>
      </c>
      <c r="C32" s="14">
        <v>34401</v>
      </c>
      <c r="D32" s="14" t="s">
        <v>20626</v>
      </c>
      <c r="E32" s="14" t="s">
        <v>4396</v>
      </c>
      <c r="F32" s="14" t="s">
        <v>5752</v>
      </c>
      <c r="G32" s="22" t="s">
        <v>6151</v>
      </c>
      <c r="H32" s="22" t="s">
        <v>20627</v>
      </c>
      <c r="I32" s="14" t="s">
        <v>88</v>
      </c>
      <c r="J32" s="14">
        <v>1</v>
      </c>
      <c r="K32" s="14">
        <v>1</v>
      </c>
      <c r="L32" s="14" t="s">
        <v>20628</v>
      </c>
      <c r="M32" s="14" t="s">
        <v>602</v>
      </c>
      <c r="N32" s="14" t="s">
        <v>20629</v>
      </c>
      <c r="O32" s="14" t="s">
        <v>583</v>
      </c>
      <c r="P32" s="14" t="str">
        <f>HYPERLINK("https://dexscreener.com/solana/9PR7nCP9DpcUotnDPVLUBUZKu5WAYkwrCUx9wDnSpump", "View")</f>
        <v>View</v>
      </c>
    </row>
    <row r="33" spans="1:16" x14ac:dyDescent="0.25">
      <c r="A33" s="16" t="s">
        <v>20630</v>
      </c>
      <c r="B33" s="17">
        <v>41979</v>
      </c>
      <c r="C33" s="17">
        <v>0</v>
      </c>
      <c r="D33" s="17" t="s">
        <v>12693</v>
      </c>
      <c r="E33" s="17" t="s">
        <v>4665</v>
      </c>
      <c r="F33" s="17" t="s">
        <v>96</v>
      </c>
      <c r="G33" s="18" t="s">
        <v>13266</v>
      </c>
      <c r="H33" s="18" t="s">
        <v>98</v>
      </c>
      <c r="I33" s="17" t="s">
        <v>20631</v>
      </c>
      <c r="J33" s="17">
        <v>1</v>
      </c>
      <c r="K33" s="17">
        <v>0</v>
      </c>
      <c r="L33" s="17" t="s">
        <v>20632</v>
      </c>
      <c r="M33" s="19" t="s">
        <v>101</v>
      </c>
      <c r="N33" s="17" t="s">
        <v>20633</v>
      </c>
      <c r="O33" s="17" t="s">
        <v>20634</v>
      </c>
      <c r="P33" s="17" t="str">
        <f>HYPERLINK("https://dexscreener.com/solana/oJ4EYgeDfviyFYDNmyXSjpMqjuXwq7wpGP1rm1Hpump", "View")</f>
        <v>View</v>
      </c>
    </row>
    <row r="34" spans="1:16" x14ac:dyDescent="0.25">
      <c r="A34" s="13" t="s">
        <v>5496</v>
      </c>
      <c r="B34" s="14">
        <v>17489</v>
      </c>
      <c r="C34" s="14">
        <v>0</v>
      </c>
      <c r="D34" s="14" t="s">
        <v>10098</v>
      </c>
      <c r="E34" s="14" t="s">
        <v>4665</v>
      </c>
      <c r="F34" s="14" t="s">
        <v>96</v>
      </c>
      <c r="G34" s="18" t="s">
        <v>3630</v>
      </c>
      <c r="H34" s="18" t="s">
        <v>98</v>
      </c>
      <c r="I34" s="14" t="s">
        <v>20635</v>
      </c>
      <c r="J34" s="14">
        <v>1</v>
      </c>
      <c r="K34" s="14">
        <v>0</v>
      </c>
      <c r="L34" s="14" t="s">
        <v>20636</v>
      </c>
      <c r="M34" s="19" t="s">
        <v>101</v>
      </c>
      <c r="N34" s="14" t="s">
        <v>20637</v>
      </c>
      <c r="O34" s="14" t="s">
        <v>5503</v>
      </c>
      <c r="P34" s="14" t="str">
        <f>HYPERLINK("https://dexscreener.com/solana/wpU56BR9qLyA9bxxF2uLtULERVZFvtuLtcXdL9xpump", "View")</f>
        <v>View</v>
      </c>
    </row>
    <row r="35" spans="1:16" x14ac:dyDescent="0.25">
      <c r="A35" s="16" t="s">
        <v>20638</v>
      </c>
      <c r="B35" s="17">
        <v>1597096</v>
      </c>
      <c r="C35" s="17">
        <v>0</v>
      </c>
      <c r="D35" s="17" t="s">
        <v>20639</v>
      </c>
      <c r="E35" s="17" t="s">
        <v>20640</v>
      </c>
      <c r="F35" s="17" t="s">
        <v>96</v>
      </c>
      <c r="G35" s="18" t="s">
        <v>20641</v>
      </c>
      <c r="H35" s="18" t="s">
        <v>98</v>
      </c>
      <c r="I35" s="17" t="s">
        <v>20642</v>
      </c>
      <c r="J35" s="17">
        <v>1</v>
      </c>
      <c r="K35" s="17">
        <v>0</v>
      </c>
      <c r="L35" s="17" t="s">
        <v>20643</v>
      </c>
      <c r="M35" s="19" t="s">
        <v>101</v>
      </c>
      <c r="N35" s="17" t="s">
        <v>1264</v>
      </c>
      <c r="O35" s="17" t="s">
        <v>20644</v>
      </c>
      <c r="P35" s="17" t="str">
        <f>HYPERLINK("https://photon-sol.tinyastro.io/en/lp/31Zf2b5Bf7zJrk5pQ15ffcrvbXuVqLos8Z5NkJ1qpump?handle=676050794bc1b1657a56b", "View")</f>
        <v>View</v>
      </c>
    </row>
    <row r="36" spans="1:16" x14ac:dyDescent="0.25">
      <c r="A36" s="13" t="s">
        <v>817</v>
      </c>
      <c r="B36" s="14">
        <v>3764</v>
      </c>
      <c r="C36" s="14">
        <v>3764</v>
      </c>
      <c r="D36" s="14" t="s">
        <v>20645</v>
      </c>
      <c r="E36" s="14" t="s">
        <v>4665</v>
      </c>
      <c r="F36" s="14" t="s">
        <v>4637</v>
      </c>
      <c r="G36" s="22" t="s">
        <v>6248</v>
      </c>
      <c r="H36" s="22" t="s">
        <v>20646</v>
      </c>
      <c r="I36" s="14" t="s">
        <v>88</v>
      </c>
      <c r="J36" s="14">
        <v>1</v>
      </c>
      <c r="K36" s="14">
        <v>1</v>
      </c>
      <c r="L36" s="14" t="s">
        <v>20647</v>
      </c>
      <c r="M36" s="14" t="s">
        <v>117</v>
      </c>
      <c r="N36" s="14" t="s">
        <v>20648</v>
      </c>
      <c r="O36" s="14" t="s">
        <v>825</v>
      </c>
      <c r="P36" s="14" t="str">
        <f>HYPERLINK("https://dexscreener.com/solana/DwDtUqBZJtbRpdjsFw3N7YKB5epocSru25BGcVhfcYtg", "View")</f>
        <v>View</v>
      </c>
    </row>
    <row r="37" spans="1:16" x14ac:dyDescent="0.25">
      <c r="A37" s="16" t="s">
        <v>11577</v>
      </c>
      <c r="B37" s="17">
        <v>702</v>
      </c>
      <c r="C37" s="17">
        <v>702</v>
      </c>
      <c r="D37" s="17" t="s">
        <v>20649</v>
      </c>
      <c r="E37" s="17" t="s">
        <v>4665</v>
      </c>
      <c r="F37" s="17" t="s">
        <v>11226</v>
      </c>
      <c r="G37" s="20" t="s">
        <v>4880</v>
      </c>
      <c r="H37" s="20" t="s">
        <v>20650</v>
      </c>
      <c r="I37" s="17" t="s">
        <v>88</v>
      </c>
      <c r="J37" s="17">
        <v>1</v>
      </c>
      <c r="K37" s="17">
        <v>1</v>
      </c>
      <c r="L37" s="17" t="s">
        <v>20651</v>
      </c>
      <c r="M37" s="17" t="s">
        <v>356</v>
      </c>
      <c r="N37" s="17" t="s">
        <v>20652</v>
      </c>
      <c r="O37" s="17" t="s">
        <v>11581</v>
      </c>
      <c r="P37" s="17" t="str">
        <f>HYPERLINK("https://dexscreener.com/solana/GJAFwWjJ3vnTsrQVabjBVK2TYB1YtRCQXRDfDgUnpump", "View")</f>
        <v>View</v>
      </c>
    </row>
    <row r="38" spans="1:16" x14ac:dyDescent="0.25">
      <c r="A38" s="13" t="s">
        <v>20653</v>
      </c>
      <c r="B38" s="14">
        <v>21555</v>
      </c>
      <c r="C38" s="14">
        <v>12795</v>
      </c>
      <c r="D38" s="14" t="s">
        <v>20654</v>
      </c>
      <c r="E38" s="14" t="s">
        <v>4665</v>
      </c>
      <c r="F38" s="14" t="s">
        <v>20655</v>
      </c>
      <c r="G38" s="21" t="s">
        <v>20656</v>
      </c>
      <c r="H38" s="21" t="s">
        <v>20657</v>
      </c>
      <c r="I38" s="14" t="s">
        <v>88</v>
      </c>
      <c r="J38" s="14">
        <v>1</v>
      </c>
      <c r="K38" s="14">
        <v>3</v>
      </c>
      <c r="L38" s="14" t="s">
        <v>20658</v>
      </c>
      <c r="M38" s="14" t="s">
        <v>356</v>
      </c>
      <c r="N38" s="14" t="s">
        <v>20659</v>
      </c>
      <c r="O38" s="14" t="s">
        <v>20660</v>
      </c>
      <c r="P38" s="14" t="str">
        <f>HYPERLINK("https://dexscreener.com/solana/H2c31USxu35MDkBrGph8pUDUnmzo2e4Rf4hnvL2Upump", "View")</f>
        <v>View</v>
      </c>
    </row>
    <row r="39" spans="1:16" x14ac:dyDescent="0.25">
      <c r="A39" s="16" t="s">
        <v>444</v>
      </c>
      <c r="B39" s="17">
        <v>6860</v>
      </c>
      <c r="C39" s="17">
        <v>6860</v>
      </c>
      <c r="D39" s="17" t="s">
        <v>20588</v>
      </c>
      <c r="E39" s="17" t="s">
        <v>4665</v>
      </c>
      <c r="F39" s="17" t="s">
        <v>5674</v>
      </c>
      <c r="G39" s="20" t="s">
        <v>2863</v>
      </c>
      <c r="H39" s="20" t="s">
        <v>20661</v>
      </c>
      <c r="I39" s="17" t="s">
        <v>88</v>
      </c>
      <c r="J39" s="17">
        <v>1</v>
      </c>
      <c r="K39" s="17">
        <v>1</v>
      </c>
      <c r="L39" s="17" t="s">
        <v>20662</v>
      </c>
      <c r="M39" s="17" t="s">
        <v>398</v>
      </c>
      <c r="N39" s="17" t="s">
        <v>4472</v>
      </c>
      <c r="O39" s="17" t="s">
        <v>452</v>
      </c>
      <c r="P39" s="17" t="str">
        <f>HYPERLINK("https://dexscreener.com/solana/BfdVHnbt9LSNAFCZU9kvTjbrH3jX78sv2siLKGQ7pump", "View")</f>
        <v>View</v>
      </c>
    </row>
    <row r="40" spans="1:16" x14ac:dyDescent="0.25">
      <c r="A40" s="13" t="s">
        <v>945</v>
      </c>
      <c r="B40" s="14">
        <v>29573</v>
      </c>
      <c r="C40" s="14">
        <v>0</v>
      </c>
      <c r="D40" s="14" t="s">
        <v>16561</v>
      </c>
      <c r="E40" s="14" t="s">
        <v>4665</v>
      </c>
      <c r="F40" s="14" t="s">
        <v>96</v>
      </c>
      <c r="G40" s="18" t="s">
        <v>13266</v>
      </c>
      <c r="H40" s="18" t="s">
        <v>98</v>
      </c>
      <c r="I40" s="14" t="s">
        <v>20663</v>
      </c>
      <c r="J40" s="14">
        <v>1</v>
      </c>
      <c r="K40" s="14">
        <v>0</v>
      </c>
      <c r="L40" s="14" t="s">
        <v>20664</v>
      </c>
      <c r="M40" s="19" t="s">
        <v>101</v>
      </c>
      <c r="N40" s="14" t="s">
        <v>948</v>
      </c>
      <c r="O40" s="14" t="s">
        <v>949</v>
      </c>
      <c r="P40" s="14" t="str">
        <f>HYPERLINK("https://dexscreener.com/solana/GDEuw8cG6TyAE3hwbFYmTEGVSHWHohLVPkQ3anTBpump", "View")</f>
        <v>View</v>
      </c>
    </row>
    <row r="41" spans="1:16" x14ac:dyDescent="0.25">
      <c r="A41" s="16" t="s">
        <v>20665</v>
      </c>
      <c r="B41" s="17">
        <v>50976</v>
      </c>
      <c r="C41" s="17">
        <v>50976</v>
      </c>
      <c r="D41" s="17" t="s">
        <v>20666</v>
      </c>
      <c r="E41" s="17" t="s">
        <v>4665</v>
      </c>
      <c r="F41" s="17" t="s">
        <v>15901</v>
      </c>
      <c r="G41" s="15" t="s">
        <v>13261</v>
      </c>
      <c r="H41" s="15" t="s">
        <v>20667</v>
      </c>
      <c r="I41" s="17" t="s">
        <v>88</v>
      </c>
      <c r="J41" s="17">
        <v>1</v>
      </c>
      <c r="K41" s="17">
        <v>1</v>
      </c>
      <c r="L41" s="17" t="s">
        <v>20668</v>
      </c>
      <c r="M41" s="17" t="s">
        <v>4385</v>
      </c>
      <c r="N41" s="17" t="s">
        <v>20669</v>
      </c>
      <c r="O41" s="17" t="s">
        <v>20670</v>
      </c>
      <c r="P41" s="17" t="str">
        <f>HYPERLINK("https://dexscreener.com/solana/33ihhsv2zxE1uxRQTpKKkLzFq1gL514G11brfgqGpump", "View")</f>
        <v>View</v>
      </c>
    </row>
    <row r="42" spans="1:16" x14ac:dyDescent="0.25">
      <c r="A42" s="13" t="s">
        <v>9904</v>
      </c>
      <c r="B42" s="14">
        <v>6310</v>
      </c>
      <c r="C42" s="14">
        <v>6310</v>
      </c>
      <c r="D42" s="14" t="s">
        <v>20671</v>
      </c>
      <c r="E42" s="14" t="s">
        <v>4665</v>
      </c>
      <c r="F42" s="14" t="s">
        <v>19081</v>
      </c>
      <c r="G42" s="21" t="s">
        <v>20672</v>
      </c>
      <c r="H42" s="21" t="s">
        <v>20673</v>
      </c>
      <c r="I42" s="14" t="s">
        <v>88</v>
      </c>
      <c r="J42" s="14">
        <v>1</v>
      </c>
      <c r="K42" s="14">
        <v>2</v>
      </c>
      <c r="L42" s="14" t="s">
        <v>20674</v>
      </c>
      <c r="M42" s="14" t="s">
        <v>699</v>
      </c>
      <c r="N42" s="14" t="s">
        <v>20675</v>
      </c>
      <c r="O42" s="14" t="s">
        <v>9911</v>
      </c>
      <c r="P42" s="14" t="str">
        <f>HYPERLINK("https://dexscreener.com/solana/9BB6NFEcjBCtnNLFko2FqVQBq8HHM13kCyYcdQbgpump", "View")</f>
        <v>View</v>
      </c>
    </row>
    <row r="43" spans="1:16" x14ac:dyDescent="0.25">
      <c r="A43" s="16" t="s">
        <v>9891</v>
      </c>
      <c r="B43" s="17">
        <v>28999</v>
      </c>
      <c r="C43" s="17">
        <v>0</v>
      </c>
      <c r="D43" s="17" t="s">
        <v>20676</v>
      </c>
      <c r="E43" s="17" t="s">
        <v>4665</v>
      </c>
      <c r="F43" s="17" t="s">
        <v>96</v>
      </c>
      <c r="G43" s="18" t="s">
        <v>4707</v>
      </c>
      <c r="H43" s="18" t="s">
        <v>98</v>
      </c>
      <c r="I43" s="17" t="s">
        <v>20677</v>
      </c>
      <c r="J43" s="17">
        <v>1</v>
      </c>
      <c r="K43" s="17">
        <v>0</v>
      </c>
      <c r="L43" s="17" t="s">
        <v>20678</v>
      </c>
      <c r="M43" s="19" t="s">
        <v>101</v>
      </c>
      <c r="N43" s="17" t="s">
        <v>20679</v>
      </c>
      <c r="O43" s="17" t="s">
        <v>9898</v>
      </c>
      <c r="P43" s="17" t="str">
        <f>HYPERLINK("https://dexscreener.com/solana/5LgNLDTvjV6nKQHBEZ783VDoYN2PqGNAKDWPg8wCpump", "View")</f>
        <v>View</v>
      </c>
    </row>
    <row r="44" spans="1:16" x14ac:dyDescent="0.25">
      <c r="A44" s="13" t="s">
        <v>10297</v>
      </c>
      <c r="B44" s="14">
        <v>17341</v>
      </c>
      <c r="C44" s="14">
        <v>17341</v>
      </c>
      <c r="D44" s="14" t="s">
        <v>20680</v>
      </c>
      <c r="E44" s="14" t="s">
        <v>4665</v>
      </c>
      <c r="F44" s="14" t="s">
        <v>6156</v>
      </c>
      <c r="G44" s="15" t="s">
        <v>2066</v>
      </c>
      <c r="H44" s="15" t="s">
        <v>20681</v>
      </c>
      <c r="I44" s="14" t="s">
        <v>88</v>
      </c>
      <c r="J44" s="14">
        <v>1</v>
      </c>
      <c r="K44" s="14">
        <v>1</v>
      </c>
      <c r="L44" s="14" t="s">
        <v>20682</v>
      </c>
      <c r="M44" s="14" t="s">
        <v>160</v>
      </c>
      <c r="N44" s="14" t="s">
        <v>20683</v>
      </c>
      <c r="O44" s="14" t="s">
        <v>10301</v>
      </c>
      <c r="P44" s="14" t="str">
        <f>HYPERLINK("https://dexscreener.com/solana/6WSppYPevaDEZxdmW2WoHLoSnJMeVyqz8Rqkm8MCpump", "View")</f>
        <v>View</v>
      </c>
    </row>
    <row r="45" spans="1:16" x14ac:dyDescent="0.25">
      <c r="A45" s="16" t="s">
        <v>17050</v>
      </c>
      <c r="B45" s="17">
        <v>129739</v>
      </c>
      <c r="C45" s="17">
        <v>129739</v>
      </c>
      <c r="D45" s="17" t="s">
        <v>20684</v>
      </c>
      <c r="E45" s="17" t="s">
        <v>4665</v>
      </c>
      <c r="F45" s="17" t="s">
        <v>4869</v>
      </c>
      <c r="G45" s="15" t="s">
        <v>5747</v>
      </c>
      <c r="H45" s="15" t="s">
        <v>20685</v>
      </c>
      <c r="I45" s="17" t="s">
        <v>88</v>
      </c>
      <c r="J45" s="17">
        <v>1</v>
      </c>
      <c r="K45" s="17">
        <v>1</v>
      </c>
      <c r="L45" s="17" t="s">
        <v>20686</v>
      </c>
      <c r="M45" s="17" t="s">
        <v>823</v>
      </c>
      <c r="N45" s="17" t="s">
        <v>20687</v>
      </c>
      <c r="O45" s="17" t="s">
        <v>17055</v>
      </c>
      <c r="P45" s="17" t="str">
        <f>HYPERLINK("https://dexscreener.com/solana/J8KoJi7LFNdJiGt8qavfpu2R5jXfiZxeKukhHGXgpump", "View")</f>
        <v>View</v>
      </c>
    </row>
    <row r="46" spans="1:16" x14ac:dyDescent="0.25">
      <c r="A46" s="13" t="s">
        <v>18894</v>
      </c>
      <c r="B46" s="14">
        <v>31627</v>
      </c>
      <c r="C46" s="14">
        <v>31627</v>
      </c>
      <c r="D46" s="14" t="s">
        <v>20688</v>
      </c>
      <c r="E46" s="14" t="s">
        <v>2200</v>
      </c>
      <c r="F46" s="14" t="s">
        <v>15218</v>
      </c>
      <c r="G46" s="21" t="s">
        <v>3636</v>
      </c>
      <c r="H46" s="21" t="s">
        <v>20689</v>
      </c>
      <c r="I46" s="14" t="s">
        <v>88</v>
      </c>
      <c r="J46" s="14">
        <v>1</v>
      </c>
      <c r="K46" s="14">
        <v>3</v>
      </c>
      <c r="L46" s="14" t="s">
        <v>20690</v>
      </c>
      <c r="M46" s="14" t="s">
        <v>7558</v>
      </c>
      <c r="N46" s="14" t="s">
        <v>20691</v>
      </c>
      <c r="O46" s="14" t="s">
        <v>18897</v>
      </c>
      <c r="P46" s="14" t="str">
        <f>HYPERLINK("https://dexscreener.com/solana/BWFKLaEYDoMDYzZRB2bYLPhMJTycD9voNihvSL34pump", "View")</f>
        <v>View</v>
      </c>
    </row>
    <row r="47" spans="1:16" x14ac:dyDescent="0.25">
      <c r="A47" s="16" t="s">
        <v>20692</v>
      </c>
      <c r="B47" s="17">
        <v>5168</v>
      </c>
      <c r="C47" s="17">
        <v>0</v>
      </c>
      <c r="D47" s="17" t="s">
        <v>16730</v>
      </c>
      <c r="E47" s="17" t="s">
        <v>4665</v>
      </c>
      <c r="F47" s="17" t="s">
        <v>96</v>
      </c>
      <c r="G47" s="18" t="s">
        <v>2726</v>
      </c>
      <c r="H47" s="18" t="s">
        <v>98</v>
      </c>
      <c r="I47" s="17" t="s">
        <v>20693</v>
      </c>
      <c r="J47" s="17">
        <v>1</v>
      </c>
      <c r="K47" s="17">
        <v>0</v>
      </c>
      <c r="L47" s="17" t="s">
        <v>20694</v>
      </c>
      <c r="M47" s="19" t="s">
        <v>101</v>
      </c>
      <c r="N47" s="17" t="s">
        <v>20695</v>
      </c>
      <c r="O47" s="17" t="s">
        <v>20696</v>
      </c>
      <c r="P47" s="17" t="str">
        <f>HYPERLINK("https://dexscreener.com/solana/AiYhnwWiqbdSiEHgAzqrurcdoZx4V21mnuMt5ps2pump", "View")</f>
        <v>View</v>
      </c>
    </row>
    <row r="48" spans="1:16" x14ac:dyDescent="0.25">
      <c r="A48" s="13" t="s">
        <v>20697</v>
      </c>
      <c r="B48" s="14">
        <v>22935</v>
      </c>
      <c r="C48" s="14">
        <v>22935</v>
      </c>
      <c r="D48" s="14" t="s">
        <v>7546</v>
      </c>
      <c r="E48" s="14" t="s">
        <v>4665</v>
      </c>
      <c r="F48" s="14" t="s">
        <v>11856</v>
      </c>
      <c r="G48" s="22" t="s">
        <v>5248</v>
      </c>
      <c r="H48" s="22" t="s">
        <v>19399</v>
      </c>
      <c r="I48" s="14" t="s">
        <v>88</v>
      </c>
      <c r="J48" s="14">
        <v>1</v>
      </c>
      <c r="K48" s="14">
        <v>1</v>
      </c>
      <c r="L48" s="14" t="s">
        <v>20698</v>
      </c>
      <c r="M48" s="14" t="s">
        <v>1159</v>
      </c>
      <c r="N48" s="14" t="s">
        <v>20699</v>
      </c>
      <c r="O48" s="14" t="s">
        <v>20700</v>
      </c>
      <c r="P48" s="14" t="str">
        <f>HYPERLINK("https://dexscreener.com/solana/5Qyg1Q9DH9mv7CdFn2Qe1go2BFXe1MgVSvkEnf6Fpump", "View")</f>
        <v>View</v>
      </c>
    </row>
    <row r="49" spans="1:16" x14ac:dyDescent="0.25">
      <c r="A49" s="16" t="s">
        <v>20701</v>
      </c>
      <c r="B49" s="17">
        <v>8359</v>
      </c>
      <c r="C49" s="17">
        <v>0</v>
      </c>
      <c r="D49" s="17" t="s">
        <v>8834</v>
      </c>
      <c r="E49" s="17" t="s">
        <v>4665</v>
      </c>
      <c r="F49" s="17" t="s">
        <v>96</v>
      </c>
      <c r="G49" s="18" t="s">
        <v>2726</v>
      </c>
      <c r="H49" s="18" t="s">
        <v>98</v>
      </c>
      <c r="I49" s="17" t="s">
        <v>20702</v>
      </c>
      <c r="J49" s="17">
        <v>1</v>
      </c>
      <c r="K49" s="17">
        <v>0</v>
      </c>
      <c r="L49" s="17" t="s">
        <v>20703</v>
      </c>
      <c r="M49" s="19" t="s">
        <v>101</v>
      </c>
      <c r="N49" s="17" t="s">
        <v>20704</v>
      </c>
      <c r="O49" s="17" t="s">
        <v>20705</v>
      </c>
      <c r="P49" s="17" t="str">
        <f>HYPERLINK("https://dexscreener.com/solana/FEFwYgVvKaNUMxKaUB7vpoQ9dZkoHAzfHa1p4joXEaKA", "View")</f>
        <v>View</v>
      </c>
    </row>
    <row r="50" spans="1:16" x14ac:dyDescent="0.25">
      <c r="A50" s="13" t="s">
        <v>20706</v>
      </c>
      <c r="B50" s="14">
        <v>652295</v>
      </c>
      <c r="C50" s="14">
        <v>0</v>
      </c>
      <c r="D50" s="14" t="s">
        <v>19373</v>
      </c>
      <c r="E50" s="14" t="s">
        <v>4396</v>
      </c>
      <c r="F50" s="14" t="s">
        <v>96</v>
      </c>
      <c r="G50" s="18" t="s">
        <v>4739</v>
      </c>
      <c r="H50" s="18" t="s">
        <v>98</v>
      </c>
      <c r="I50" s="14" t="s">
        <v>20707</v>
      </c>
      <c r="J50" s="14">
        <v>1</v>
      </c>
      <c r="K50" s="14">
        <v>0</v>
      </c>
      <c r="L50" s="14" t="s">
        <v>20708</v>
      </c>
      <c r="M50" s="19" t="s">
        <v>101</v>
      </c>
      <c r="N50" s="14" t="s">
        <v>16529</v>
      </c>
      <c r="O50" s="14" t="s">
        <v>20709</v>
      </c>
      <c r="P50" s="14" t="str">
        <f>HYPERLINK("https://dexscreener.com/solana/4qtgF3MLRPmMA5JLwv7cq1cMxnTzr79kk4xuicW1Uxn1", "View")</f>
        <v>View</v>
      </c>
    </row>
    <row r="51" spans="1:16" x14ac:dyDescent="0.25">
      <c r="A51" s="16" t="s">
        <v>20710</v>
      </c>
      <c r="B51" s="17">
        <v>74477</v>
      </c>
      <c r="C51" s="17">
        <v>74477</v>
      </c>
      <c r="D51" s="17" t="s">
        <v>20711</v>
      </c>
      <c r="E51" s="17" t="s">
        <v>4396</v>
      </c>
      <c r="F51" s="17" t="s">
        <v>6137</v>
      </c>
      <c r="G51" s="15" t="s">
        <v>13495</v>
      </c>
      <c r="H51" s="15" t="s">
        <v>20712</v>
      </c>
      <c r="I51" s="17" t="s">
        <v>88</v>
      </c>
      <c r="J51" s="17">
        <v>1</v>
      </c>
      <c r="K51" s="17">
        <v>1</v>
      </c>
      <c r="L51" s="17" t="s">
        <v>20713</v>
      </c>
      <c r="M51" s="17" t="s">
        <v>1642</v>
      </c>
      <c r="N51" s="17" t="s">
        <v>20714</v>
      </c>
      <c r="O51" s="17" t="s">
        <v>20715</v>
      </c>
      <c r="P51" s="17" t="str">
        <f>HYPERLINK("https://dexscreener.com/solana/572CVtzp3HySAYG2ok1iWt1tgVWupdj9bqmfGXLzpump", "View")</f>
        <v>View</v>
      </c>
    </row>
    <row r="52" spans="1:16" x14ac:dyDescent="0.25">
      <c r="A52" s="13" t="s">
        <v>20716</v>
      </c>
      <c r="B52" s="14">
        <v>15846</v>
      </c>
      <c r="C52" s="14">
        <v>15846</v>
      </c>
      <c r="D52" s="14" t="s">
        <v>16730</v>
      </c>
      <c r="E52" s="14" t="s">
        <v>2200</v>
      </c>
      <c r="F52" s="14" t="s">
        <v>4180</v>
      </c>
      <c r="G52" s="22" t="s">
        <v>5534</v>
      </c>
      <c r="H52" s="22" t="s">
        <v>20717</v>
      </c>
      <c r="I52" s="14" t="s">
        <v>88</v>
      </c>
      <c r="J52" s="14">
        <v>1</v>
      </c>
      <c r="K52" s="14">
        <v>1</v>
      </c>
      <c r="L52" s="14" t="s">
        <v>20718</v>
      </c>
      <c r="M52" s="14" t="s">
        <v>179</v>
      </c>
      <c r="N52" s="14" t="s">
        <v>20719</v>
      </c>
      <c r="O52" s="14" t="s">
        <v>20720</v>
      </c>
      <c r="P52" s="14" t="str">
        <f>HYPERLINK("https://dexscreener.com/solana/ESVRQ6phc55VCw7sWB6JgW3PeTB6N68kvwjfsMPcpump", "View")</f>
        <v>View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F078-F466-4268-B65F-5FFC083C42C1}">
  <dimension ref="A1:P99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HYPERLINK("https://gmgn.ai/sol/address/8321eKJ6VRfUS9LEJAniU1pWtUynDNQYZtixiPEpkc7A", "GMGN")</f>
        <v>GMGN</v>
      </c>
    </row>
    <row r="2" spans="1:14" x14ac:dyDescent="0.25">
      <c r="A2" s="3" t="s">
        <v>20721</v>
      </c>
      <c r="B2" s="3" t="s">
        <v>20722</v>
      </c>
      <c r="C2" s="3" t="s">
        <v>20470</v>
      </c>
      <c r="D2" s="3" t="s">
        <v>6309</v>
      </c>
      <c r="E2" s="3" t="s">
        <v>20723</v>
      </c>
      <c r="F2" s="3" t="s">
        <v>20724</v>
      </c>
      <c r="G2" s="3" t="s">
        <v>18</v>
      </c>
      <c r="H2" s="3">
        <v>80</v>
      </c>
      <c r="I2" s="3">
        <v>0</v>
      </c>
      <c r="J2" s="3" t="s">
        <v>699</v>
      </c>
      <c r="K2" s="3" t="s">
        <v>2955</v>
      </c>
      <c r="L2" s="3">
        <v>80</v>
      </c>
      <c r="M2" s="3">
        <v>59</v>
      </c>
      <c r="N2" s="3" t="str">
        <f>HYPERLINK("https://solscan.io/account/8321eKJ6VRfUS9LEJAniU1pWtUynDNQYZtixiPEpkc7A", "Solscan")</f>
        <v>Solscan</v>
      </c>
    </row>
    <row r="3" spans="1:14" x14ac:dyDescent="0.25">
      <c r="A3" s="1" t="s">
        <v>21</v>
      </c>
      <c r="B3" s="23" t="s">
        <v>20725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HYPERLINK("https://birdeye.so/profile/8321eKJ6VRfUS9LEJAniU1pWtUynDNQYZtixiPEpkc7A", "Birdeye")</f>
        <v>Birdeye</v>
      </c>
    </row>
    <row r="4" spans="1:14" x14ac:dyDescent="0.25">
      <c r="A4" s="1" t="s">
        <v>25</v>
      </c>
      <c r="B4" s="3" t="s">
        <v>8457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7</v>
      </c>
      <c r="D10" s="1">
        <v>8</v>
      </c>
      <c r="E10" s="1">
        <v>25</v>
      </c>
      <c r="F10" s="1">
        <v>36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20726</v>
      </c>
      <c r="C11" s="1" t="s">
        <v>20727</v>
      </c>
      <c r="D11" s="1" t="s">
        <v>48</v>
      </c>
      <c r="E11" s="1" t="s">
        <v>20728</v>
      </c>
      <c r="F11" s="1" t="s">
        <v>20729</v>
      </c>
      <c r="G11" s="1" t="s">
        <v>20726</v>
      </c>
      <c r="H11" s="3"/>
      <c r="I11" s="3" t="s">
        <v>50</v>
      </c>
      <c r="J11" s="3" t="s">
        <v>4734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20730</v>
      </c>
      <c r="C12" s="1" t="s">
        <v>20731</v>
      </c>
      <c r="D12" s="1" t="s">
        <v>20732</v>
      </c>
      <c r="E12" s="1" t="s">
        <v>20733</v>
      </c>
      <c r="F12" s="1" t="s">
        <v>20734</v>
      </c>
      <c r="G12" s="1" t="s">
        <v>20735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20149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20736</v>
      </c>
      <c r="B20" s="14">
        <v>78785183</v>
      </c>
      <c r="C20" s="14">
        <v>78785183</v>
      </c>
      <c r="D20" s="14" t="s">
        <v>8762</v>
      </c>
      <c r="E20" s="14" t="s">
        <v>14337</v>
      </c>
      <c r="F20" s="14" t="s">
        <v>20737</v>
      </c>
      <c r="G20" s="22" t="s">
        <v>11148</v>
      </c>
      <c r="H20" s="22" t="s">
        <v>20738</v>
      </c>
      <c r="I20" s="14" t="s">
        <v>88</v>
      </c>
      <c r="J20" s="14">
        <v>1</v>
      </c>
      <c r="K20" s="14">
        <v>1</v>
      </c>
      <c r="L20" s="14" t="s">
        <v>20739</v>
      </c>
      <c r="M20" s="19" t="s">
        <v>2955</v>
      </c>
      <c r="N20" s="14" t="s">
        <v>507</v>
      </c>
      <c r="O20" s="14" t="s">
        <v>20740</v>
      </c>
      <c r="P20" s="14" t="str">
        <f>HYPERLINK("https://photon-sol.tinyastro.io/en/lp/BXF8EqjURoD78aqV8juicqxyUfTRt5macp9SVzMzpump?handle=676050794bc1b1657a56b", "View")</f>
        <v>View</v>
      </c>
    </row>
    <row r="21" spans="1:16" x14ac:dyDescent="0.25">
      <c r="A21" s="16" t="s">
        <v>20741</v>
      </c>
      <c r="B21" s="17">
        <v>88721591</v>
      </c>
      <c r="C21" s="17">
        <v>88721591</v>
      </c>
      <c r="D21" s="17" t="s">
        <v>8762</v>
      </c>
      <c r="E21" s="17" t="s">
        <v>20742</v>
      </c>
      <c r="F21" s="17" t="s">
        <v>20743</v>
      </c>
      <c r="G21" s="20" t="s">
        <v>20744</v>
      </c>
      <c r="H21" s="20" t="s">
        <v>20745</v>
      </c>
      <c r="I21" s="17" t="s">
        <v>88</v>
      </c>
      <c r="J21" s="17">
        <v>1</v>
      </c>
      <c r="K21" s="17">
        <v>1</v>
      </c>
      <c r="L21" s="17" t="s">
        <v>20746</v>
      </c>
      <c r="M21" s="19" t="s">
        <v>3069</v>
      </c>
      <c r="N21" s="17" t="s">
        <v>507</v>
      </c>
      <c r="O21" s="17" t="s">
        <v>20747</v>
      </c>
      <c r="P21" s="17" t="str">
        <f>HYPERLINK("https://photon-sol.tinyastro.io/en/lp/9zCKe3S7qSw5Amndisrnr2qSeMrapKg7b6ERvzqFpump?handle=676050794bc1b1657a56b", "View")</f>
        <v>View</v>
      </c>
    </row>
    <row r="22" spans="1:16" x14ac:dyDescent="0.25">
      <c r="A22" s="13" t="s">
        <v>20748</v>
      </c>
      <c r="B22" s="14">
        <v>24118576</v>
      </c>
      <c r="C22" s="14">
        <v>24118576</v>
      </c>
      <c r="D22" s="14" t="s">
        <v>20749</v>
      </c>
      <c r="E22" s="14" t="s">
        <v>20750</v>
      </c>
      <c r="F22" s="14" t="s">
        <v>14496</v>
      </c>
      <c r="G22" s="15" t="s">
        <v>20751</v>
      </c>
      <c r="H22" s="15" t="s">
        <v>20752</v>
      </c>
      <c r="I22" s="14" t="s">
        <v>88</v>
      </c>
      <c r="J22" s="14">
        <v>1</v>
      </c>
      <c r="K22" s="14">
        <v>1</v>
      </c>
      <c r="L22" s="14" t="s">
        <v>20753</v>
      </c>
      <c r="M22" s="19" t="s">
        <v>6781</v>
      </c>
      <c r="N22" s="14" t="s">
        <v>20754</v>
      </c>
      <c r="O22" s="14" t="s">
        <v>20755</v>
      </c>
      <c r="P22" s="14" t="str">
        <f>HYPERLINK("https://photon-sol.tinyastro.io/en/lp/PrnszTip5B15WUuqrtSfh4fVHuojR8TsUBTnGQzpump?handle=676050794bc1b1657a56b", "View")</f>
        <v>View</v>
      </c>
    </row>
    <row r="23" spans="1:16" x14ac:dyDescent="0.25">
      <c r="A23" s="16" t="s">
        <v>20756</v>
      </c>
      <c r="B23" s="17">
        <v>83648841</v>
      </c>
      <c r="C23" s="17">
        <v>83648841</v>
      </c>
      <c r="D23" s="17" t="s">
        <v>8762</v>
      </c>
      <c r="E23" s="17" t="s">
        <v>20757</v>
      </c>
      <c r="F23" s="17" t="s">
        <v>14452</v>
      </c>
      <c r="G23" s="20" t="s">
        <v>18310</v>
      </c>
      <c r="H23" s="20" t="s">
        <v>20758</v>
      </c>
      <c r="I23" s="17" t="s">
        <v>88</v>
      </c>
      <c r="J23" s="17">
        <v>1</v>
      </c>
      <c r="K23" s="17">
        <v>1</v>
      </c>
      <c r="L23" s="17" t="s">
        <v>20759</v>
      </c>
      <c r="M23" s="19" t="s">
        <v>4171</v>
      </c>
      <c r="N23" s="17" t="s">
        <v>1706</v>
      </c>
      <c r="O23" s="17" t="s">
        <v>20760</v>
      </c>
      <c r="P23" s="17" t="str">
        <f>HYPERLINK("https://photon-sol.tinyastro.io/en/lp/AsBNqCEo9wR5H5UWpRSsQm9joYHhENJURMST8ZaEpump?handle=676050794bc1b1657a56b", "View")</f>
        <v>View</v>
      </c>
    </row>
    <row r="24" spans="1:16" x14ac:dyDescent="0.25">
      <c r="A24" s="13" t="s">
        <v>20761</v>
      </c>
      <c r="B24" s="14">
        <v>78785183</v>
      </c>
      <c r="C24" s="14">
        <v>78785183</v>
      </c>
      <c r="D24" s="14" t="s">
        <v>8762</v>
      </c>
      <c r="E24" s="14" t="s">
        <v>20762</v>
      </c>
      <c r="F24" s="14" t="s">
        <v>20763</v>
      </c>
      <c r="G24" s="20" t="s">
        <v>10710</v>
      </c>
      <c r="H24" s="20" t="s">
        <v>4763</v>
      </c>
      <c r="I24" s="14" t="s">
        <v>88</v>
      </c>
      <c r="J24" s="14">
        <v>1</v>
      </c>
      <c r="K24" s="14">
        <v>1</v>
      </c>
      <c r="L24" s="14" t="s">
        <v>20764</v>
      </c>
      <c r="M24" s="19" t="s">
        <v>2955</v>
      </c>
      <c r="N24" s="14" t="s">
        <v>1667</v>
      </c>
      <c r="O24" s="14" t="s">
        <v>20765</v>
      </c>
      <c r="P24" s="14" t="str">
        <f>HYPERLINK("https://photon-sol.tinyastro.io/en/lp/DV3LvrFYmYp8dg9HyfTvpx4ioftfjkNRjbprLiNWpump?handle=676050794bc1b1657a56b", "View")</f>
        <v>View</v>
      </c>
    </row>
    <row r="25" spans="1:16" x14ac:dyDescent="0.25">
      <c r="A25" s="16" t="s">
        <v>8638</v>
      </c>
      <c r="B25" s="17">
        <v>91671554</v>
      </c>
      <c r="C25" s="17">
        <v>91671554</v>
      </c>
      <c r="D25" s="17" t="s">
        <v>8762</v>
      </c>
      <c r="E25" s="17" t="s">
        <v>9920</v>
      </c>
      <c r="F25" s="17" t="s">
        <v>20766</v>
      </c>
      <c r="G25" s="20" t="s">
        <v>20767</v>
      </c>
      <c r="H25" s="20" t="s">
        <v>20768</v>
      </c>
      <c r="I25" s="17" t="s">
        <v>88</v>
      </c>
      <c r="J25" s="17">
        <v>1</v>
      </c>
      <c r="K25" s="17">
        <v>1</v>
      </c>
      <c r="L25" s="17" t="s">
        <v>20769</v>
      </c>
      <c r="M25" s="19" t="s">
        <v>4171</v>
      </c>
      <c r="N25" s="17" t="s">
        <v>20770</v>
      </c>
      <c r="O25" s="17" t="s">
        <v>8645</v>
      </c>
      <c r="P25" s="17" t="str">
        <f>HYPERLINK("https://photon-sol.tinyastro.io/en/lp/3uvc6PNHgPHaW4xcfffs979hqttrc2QzcJyVhMAfpump?handle=676050794bc1b1657a56b", "View")</f>
        <v>View</v>
      </c>
    </row>
    <row r="26" spans="1:16" x14ac:dyDescent="0.25">
      <c r="A26" s="13" t="s">
        <v>8646</v>
      </c>
      <c r="B26" s="14">
        <v>85950413</v>
      </c>
      <c r="C26" s="14">
        <v>85950413</v>
      </c>
      <c r="D26" s="14" t="s">
        <v>8762</v>
      </c>
      <c r="E26" s="14" t="s">
        <v>20771</v>
      </c>
      <c r="F26" s="14" t="s">
        <v>20772</v>
      </c>
      <c r="G26" s="22" t="s">
        <v>20773</v>
      </c>
      <c r="H26" s="22" t="s">
        <v>20774</v>
      </c>
      <c r="I26" s="14" t="s">
        <v>88</v>
      </c>
      <c r="J26" s="14">
        <v>1</v>
      </c>
      <c r="K26" s="14">
        <v>1</v>
      </c>
      <c r="L26" s="14" t="s">
        <v>20775</v>
      </c>
      <c r="M26" s="19" t="s">
        <v>4171</v>
      </c>
      <c r="N26" s="14" t="s">
        <v>2557</v>
      </c>
      <c r="O26" s="14" t="s">
        <v>8653</v>
      </c>
      <c r="P26" s="14" t="str">
        <f>HYPERLINK("https://photon-sol.tinyastro.io/en/lp/3cXZAS1fwqUqQ4Wj7MHXHh47CDTKmgCMNq9g28qEpump?handle=676050794bc1b1657a56b", "View")</f>
        <v>View</v>
      </c>
    </row>
    <row r="27" spans="1:16" x14ac:dyDescent="0.25">
      <c r="A27" s="16" t="s">
        <v>8661</v>
      </c>
      <c r="B27" s="17">
        <v>85950413</v>
      </c>
      <c r="C27" s="17">
        <v>85950413</v>
      </c>
      <c r="D27" s="17" t="s">
        <v>8762</v>
      </c>
      <c r="E27" s="17" t="s">
        <v>20776</v>
      </c>
      <c r="F27" s="17" t="s">
        <v>20777</v>
      </c>
      <c r="G27" s="21" t="s">
        <v>20778</v>
      </c>
      <c r="H27" s="21" t="s">
        <v>20779</v>
      </c>
      <c r="I27" s="17" t="s">
        <v>88</v>
      </c>
      <c r="J27" s="17">
        <v>1</v>
      </c>
      <c r="K27" s="17">
        <v>1</v>
      </c>
      <c r="L27" s="17" t="s">
        <v>20780</v>
      </c>
      <c r="M27" s="19" t="s">
        <v>3069</v>
      </c>
      <c r="N27" s="17" t="s">
        <v>7713</v>
      </c>
      <c r="O27" s="17" t="s">
        <v>8666</v>
      </c>
      <c r="P27" s="17" t="str">
        <f>HYPERLINK("https://photon-sol.tinyastro.io/en/lp/DAsdNS8JVuVQErUbYdADM75LgBmKYumdsLtgxteXpump?handle=676050794bc1b1657a56b", "View")</f>
        <v>View</v>
      </c>
    </row>
    <row r="28" spans="1:16" x14ac:dyDescent="0.25">
      <c r="A28" s="13" t="s">
        <v>20781</v>
      </c>
      <c r="B28" s="14">
        <v>57406008</v>
      </c>
      <c r="C28" s="14">
        <v>57406008</v>
      </c>
      <c r="D28" s="14" t="s">
        <v>8762</v>
      </c>
      <c r="E28" s="14" t="s">
        <v>9539</v>
      </c>
      <c r="F28" s="14" t="s">
        <v>20782</v>
      </c>
      <c r="G28" s="20" t="s">
        <v>2959</v>
      </c>
      <c r="H28" s="20" t="s">
        <v>20783</v>
      </c>
      <c r="I28" s="14" t="s">
        <v>88</v>
      </c>
      <c r="J28" s="14">
        <v>1</v>
      </c>
      <c r="K28" s="14">
        <v>1</v>
      </c>
      <c r="L28" s="14" t="s">
        <v>20784</v>
      </c>
      <c r="M28" s="19" t="s">
        <v>2955</v>
      </c>
      <c r="N28" s="14" t="s">
        <v>2585</v>
      </c>
      <c r="O28" s="14" t="s">
        <v>20785</v>
      </c>
      <c r="P28" s="14" t="str">
        <f>HYPERLINK("https://photon-sol.tinyastro.io/en/lp/6NHsJ8zzh3oaW61tPTYCtk9hAmPqBFB4Q4thrzWTpump?handle=676050794bc1b1657a56b", "View")</f>
        <v>View</v>
      </c>
    </row>
    <row r="29" spans="1:16" x14ac:dyDescent="0.25">
      <c r="A29" s="16" t="s">
        <v>8684</v>
      </c>
      <c r="B29" s="17">
        <v>88972108</v>
      </c>
      <c r="C29" s="17">
        <v>88972108</v>
      </c>
      <c r="D29" s="17" t="s">
        <v>8762</v>
      </c>
      <c r="E29" s="17" t="s">
        <v>6410</v>
      </c>
      <c r="F29" s="17" t="s">
        <v>20786</v>
      </c>
      <c r="G29" s="21" t="s">
        <v>20787</v>
      </c>
      <c r="H29" s="21" t="s">
        <v>20788</v>
      </c>
      <c r="I29" s="17" t="s">
        <v>88</v>
      </c>
      <c r="J29" s="17">
        <v>1</v>
      </c>
      <c r="K29" s="17">
        <v>1</v>
      </c>
      <c r="L29" s="17" t="s">
        <v>20789</v>
      </c>
      <c r="M29" s="19" t="s">
        <v>20790</v>
      </c>
      <c r="N29" s="17" t="s">
        <v>20791</v>
      </c>
      <c r="O29" s="17" t="s">
        <v>8690</v>
      </c>
      <c r="P29" s="17" t="str">
        <f>HYPERLINK("https://photon-sol.tinyastro.io/en/lp/JE5zMmRGq4dhjeFxV9JsAcoDEgMQ3riGPXUBELsBpump?handle=676050794bc1b1657a56b", "View")</f>
        <v>View</v>
      </c>
    </row>
    <row r="30" spans="1:16" x14ac:dyDescent="0.25">
      <c r="A30" s="13" t="s">
        <v>20792</v>
      </c>
      <c r="B30" s="14">
        <v>88721591</v>
      </c>
      <c r="C30" s="14">
        <v>88721591</v>
      </c>
      <c r="D30" s="14" t="s">
        <v>8762</v>
      </c>
      <c r="E30" s="14" t="s">
        <v>13844</v>
      </c>
      <c r="F30" s="14" t="s">
        <v>20793</v>
      </c>
      <c r="G30" s="20" t="s">
        <v>20794</v>
      </c>
      <c r="H30" s="20" t="s">
        <v>20795</v>
      </c>
      <c r="I30" s="14" t="s">
        <v>88</v>
      </c>
      <c r="J30" s="14">
        <v>1</v>
      </c>
      <c r="K30" s="14">
        <v>1</v>
      </c>
      <c r="L30" s="14" t="s">
        <v>20796</v>
      </c>
      <c r="M30" s="19" t="s">
        <v>2955</v>
      </c>
      <c r="N30" s="14" t="s">
        <v>7819</v>
      </c>
      <c r="O30" s="14" t="s">
        <v>20797</v>
      </c>
      <c r="P30" s="14" t="str">
        <f>HYPERLINK("https://photon-sol.tinyastro.io/en/lp/9vbyfijhYJDGPqGJYu2Gs78VmYRivCu8GX7f7Z18pump?handle=676050794bc1b1657a56b", "View")</f>
        <v>View</v>
      </c>
    </row>
    <row r="31" spans="1:16" x14ac:dyDescent="0.25">
      <c r="A31" s="16" t="s">
        <v>20798</v>
      </c>
      <c r="B31" s="17">
        <v>91671554</v>
      </c>
      <c r="C31" s="17">
        <v>91671554</v>
      </c>
      <c r="D31" s="17" t="s">
        <v>20749</v>
      </c>
      <c r="E31" s="17" t="s">
        <v>20799</v>
      </c>
      <c r="F31" s="17" t="s">
        <v>8087</v>
      </c>
      <c r="G31" s="20" t="s">
        <v>11099</v>
      </c>
      <c r="H31" s="20" t="s">
        <v>20800</v>
      </c>
      <c r="I31" s="17" t="s">
        <v>88</v>
      </c>
      <c r="J31" s="17">
        <v>1</v>
      </c>
      <c r="K31" s="17">
        <v>1</v>
      </c>
      <c r="L31" s="17" t="s">
        <v>20801</v>
      </c>
      <c r="M31" s="19" t="s">
        <v>3000</v>
      </c>
      <c r="N31" s="17" t="s">
        <v>1667</v>
      </c>
      <c r="O31" s="17" t="s">
        <v>20802</v>
      </c>
      <c r="P31" s="17" t="str">
        <f>HYPERLINK("https://photon-sol.tinyastro.io/en/lp/41XN5xD3mdFwuqm2hQxHTVMfLw7n58DqFnPrkivkpump?handle=676050794bc1b1657a56b", "View")</f>
        <v>View</v>
      </c>
    </row>
    <row r="32" spans="1:16" x14ac:dyDescent="0.25">
      <c r="A32" s="13" t="s">
        <v>8713</v>
      </c>
      <c r="B32" s="14">
        <v>88972108</v>
      </c>
      <c r="C32" s="14">
        <v>88972108</v>
      </c>
      <c r="D32" s="14" t="s">
        <v>20749</v>
      </c>
      <c r="E32" s="14" t="s">
        <v>20803</v>
      </c>
      <c r="F32" s="14" t="s">
        <v>1380</v>
      </c>
      <c r="G32" s="21" t="s">
        <v>15509</v>
      </c>
      <c r="H32" s="21" t="s">
        <v>20804</v>
      </c>
      <c r="I32" s="14" t="s">
        <v>88</v>
      </c>
      <c r="J32" s="14">
        <v>1</v>
      </c>
      <c r="K32" s="14">
        <v>1</v>
      </c>
      <c r="L32" s="14" t="s">
        <v>20805</v>
      </c>
      <c r="M32" s="14" t="s">
        <v>1434</v>
      </c>
      <c r="N32" s="14" t="s">
        <v>3696</v>
      </c>
      <c r="O32" s="14" t="s">
        <v>8719</v>
      </c>
      <c r="P32" s="14" t="str">
        <f>HYPERLINK("https://photon-sol.tinyastro.io/en/lp/7hUmL7xHWmwpYGdtVfQckPXgGuKxEBhywqZF4WPB5da7?handle=676050794bc1b1657a56b", "View")</f>
        <v>View</v>
      </c>
    </row>
    <row r="33" spans="1:16" x14ac:dyDescent="0.25">
      <c r="A33" s="16" t="s">
        <v>20806</v>
      </c>
      <c r="B33" s="17">
        <v>93852385</v>
      </c>
      <c r="C33" s="17">
        <v>93852385</v>
      </c>
      <c r="D33" s="17" t="s">
        <v>8762</v>
      </c>
      <c r="E33" s="17" t="s">
        <v>20807</v>
      </c>
      <c r="F33" s="17" t="s">
        <v>20808</v>
      </c>
      <c r="G33" s="22" t="s">
        <v>19435</v>
      </c>
      <c r="H33" s="22" t="s">
        <v>20809</v>
      </c>
      <c r="I33" s="17" t="s">
        <v>88</v>
      </c>
      <c r="J33" s="17">
        <v>1</v>
      </c>
      <c r="K33" s="17">
        <v>1</v>
      </c>
      <c r="L33" s="17" t="s">
        <v>20810</v>
      </c>
      <c r="M33" s="19" t="s">
        <v>20790</v>
      </c>
      <c r="N33" s="17" t="s">
        <v>3296</v>
      </c>
      <c r="O33" s="17" t="s">
        <v>20811</v>
      </c>
      <c r="P33" s="17" t="str">
        <f>HYPERLINK("https://photon-sol.tinyastro.io/en/lp/5y2zvZCUVE6bHxT25xdAi7icfAc2jH3rjBj6RfvGpump?handle=676050794bc1b1657a56b", "View")</f>
        <v>View</v>
      </c>
    </row>
    <row r="34" spans="1:16" x14ac:dyDescent="0.25">
      <c r="A34" s="13" t="s">
        <v>20812</v>
      </c>
      <c r="B34" s="14">
        <v>90766773</v>
      </c>
      <c r="C34" s="14">
        <v>90766773</v>
      </c>
      <c r="D34" s="14" t="s">
        <v>20749</v>
      </c>
      <c r="E34" s="14" t="s">
        <v>9016</v>
      </c>
      <c r="F34" s="14" t="s">
        <v>7908</v>
      </c>
      <c r="G34" s="20" t="s">
        <v>13754</v>
      </c>
      <c r="H34" s="20" t="s">
        <v>20813</v>
      </c>
      <c r="I34" s="14" t="s">
        <v>88</v>
      </c>
      <c r="J34" s="14">
        <v>1</v>
      </c>
      <c r="K34" s="14">
        <v>1</v>
      </c>
      <c r="L34" s="14" t="s">
        <v>20814</v>
      </c>
      <c r="M34" s="19" t="s">
        <v>2486</v>
      </c>
      <c r="N34" s="14" t="s">
        <v>2585</v>
      </c>
      <c r="O34" s="14" t="s">
        <v>20815</v>
      </c>
      <c r="P34" s="14" t="str">
        <f>HYPERLINK("https://photon-sol.tinyastro.io/en/lp/EHvFSJSD1MkwW5JexkkZpBB9awzGcfXzD1R2dEUKpump?handle=676050794bc1b1657a56b", "View")</f>
        <v>View</v>
      </c>
    </row>
    <row r="35" spans="1:16" x14ac:dyDescent="0.25">
      <c r="A35" s="16" t="s">
        <v>20816</v>
      </c>
      <c r="B35" s="17">
        <v>78785183</v>
      </c>
      <c r="C35" s="17">
        <v>78785183</v>
      </c>
      <c r="D35" s="17" t="s">
        <v>20749</v>
      </c>
      <c r="E35" s="17" t="s">
        <v>20762</v>
      </c>
      <c r="F35" s="17" t="s">
        <v>20817</v>
      </c>
      <c r="G35" s="20" t="s">
        <v>20818</v>
      </c>
      <c r="H35" s="20" t="s">
        <v>20819</v>
      </c>
      <c r="I35" s="17" t="s">
        <v>88</v>
      </c>
      <c r="J35" s="17">
        <v>1</v>
      </c>
      <c r="K35" s="17">
        <v>1</v>
      </c>
      <c r="L35" s="17" t="s">
        <v>20820</v>
      </c>
      <c r="M35" s="19" t="s">
        <v>3000</v>
      </c>
      <c r="N35" s="17" t="s">
        <v>3188</v>
      </c>
      <c r="O35" s="17" t="s">
        <v>20821</v>
      </c>
      <c r="P35" s="17" t="str">
        <f>HYPERLINK("https://photon-sol.tinyastro.io/en/lp/EaZAoRiAponLCG6QMr3UPmc8hP2g246PwxbfJnmJpump?handle=676050794bc1b1657a56b", "View")</f>
        <v>View</v>
      </c>
    </row>
    <row r="36" spans="1:16" x14ac:dyDescent="0.25">
      <c r="A36" s="13" t="s">
        <v>20822</v>
      </c>
      <c r="B36" s="14">
        <v>91671554</v>
      </c>
      <c r="C36" s="14">
        <v>91671554</v>
      </c>
      <c r="D36" s="14" t="s">
        <v>20749</v>
      </c>
      <c r="E36" s="14" t="s">
        <v>20823</v>
      </c>
      <c r="F36" s="14" t="s">
        <v>20824</v>
      </c>
      <c r="G36" s="22" t="s">
        <v>7644</v>
      </c>
      <c r="H36" s="22" t="s">
        <v>20825</v>
      </c>
      <c r="I36" s="14" t="s">
        <v>88</v>
      </c>
      <c r="J36" s="14">
        <v>1</v>
      </c>
      <c r="K36" s="14">
        <v>1</v>
      </c>
      <c r="L36" s="14" t="s">
        <v>20826</v>
      </c>
      <c r="M36" s="19" t="s">
        <v>2364</v>
      </c>
      <c r="N36" s="14" t="s">
        <v>2827</v>
      </c>
      <c r="O36" s="14" t="s">
        <v>20827</v>
      </c>
      <c r="P36" s="14" t="str">
        <f>HYPERLINK("https://photon-sol.tinyastro.io/en/lp/7dRub4cETgNFfMSgFYeW8HGeSmMu5AJcLuyZMbokpump?handle=676050794bc1b1657a56b", "View")</f>
        <v>View</v>
      </c>
    </row>
    <row r="37" spans="1:16" x14ac:dyDescent="0.25">
      <c r="A37" s="16" t="s">
        <v>20828</v>
      </c>
      <c r="B37" s="17">
        <v>59216017</v>
      </c>
      <c r="C37" s="17">
        <v>59216017</v>
      </c>
      <c r="D37" s="17" t="s">
        <v>8762</v>
      </c>
      <c r="E37" s="17" t="s">
        <v>2505</v>
      </c>
      <c r="F37" s="17" t="s">
        <v>2163</v>
      </c>
      <c r="G37" s="20" t="s">
        <v>20829</v>
      </c>
      <c r="H37" s="20" t="s">
        <v>20830</v>
      </c>
      <c r="I37" s="17" t="s">
        <v>88</v>
      </c>
      <c r="J37" s="17">
        <v>1</v>
      </c>
      <c r="K37" s="17">
        <v>1</v>
      </c>
      <c r="L37" s="17" t="s">
        <v>20831</v>
      </c>
      <c r="M37" s="19" t="s">
        <v>2955</v>
      </c>
      <c r="N37" s="17" t="s">
        <v>1011</v>
      </c>
      <c r="O37" s="17" t="s">
        <v>20832</v>
      </c>
      <c r="P37" s="17" t="str">
        <f>HYPERLINK("https://photon-sol.tinyastro.io/en/lp/BqoWb77bVx9AgyfhMQixP1dhJYsU6Va56oGbGkkJpump?handle=676050794bc1b1657a56b", "View")</f>
        <v>View</v>
      </c>
    </row>
    <row r="38" spans="1:16" x14ac:dyDescent="0.25">
      <c r="A38" s="13" t="s">
        <v>20833</v>
      </c>
      <c r="B38" s="14">
        <v>61994048</v>
      </c>
      <c r="C38" s="14">
        <v>61994048</v>
      </c>
      <c r="D38" s="14" t="s">
        <v>8762</v>
      </c>
      <c r="E38" s="14" t="s">
        <v>19754</v>
      </c>
      <c r="F38" s="14" t="s">
        <v>20834</v>
      </c>
      <c r="G38" s="22" t="s">
        <v>20835</v>
      </c>
      <c r="H38" s="22" t="s">
        <v>20836</v>
      </c>
      <c r="I38" s="14" t="s">
        <v>88</v>
      </c>
      <c r="J38" s="14">
        <v>1</v>
      </c>
      <c r="K38" s="14">
        <v>1</v>
      </c>
      <c r="L38" s="14" t="s">
        <v>20837</v>
      </c>
      <c r="M38" s="19" t="s">
        <v>3069</v>
      </c>
      <c r="N38" s="14" t="s">
        <v>2263</v>
      </c>
      <c r="O38" s="14" t="s">
        <v>20838</v>
      </c>
      <c r="P38" s="14" t="str">
        <f>HYPERLINK("https://photon-sol.tinyastro.io/en/lp/HeqJy4tBdRBzfksbACoT2fsMuUkGAbmUhVMHmA8rpump?handle=676050794bc1b1657a56b", "View")</f>
        <v>View</v>
      </c>
    </row>
    <row r="39" spans="1:16" x14ac:dyDescent="0.25">
      <c r="A39" s="16" t="s">
        <v>7452</v>
      </c>
      <c r="B39" s="17">
        <v>51484146</v>
      </c>
      <c r="C39" s="17">
        <v>51484146</v>
      </c>
      <c r="D39" s="17" t="s">
        <v>8762</v>
      </c>
      <c r="E39" s="17" t="s">
        <v>20839</v>
      </c>
      <c r="F39" s="17" t="s">
        <v>20840</v>
      </c>
      <c r="G39" s="20" t="s">
        <v>20841</v>
      </c>
      <c r="H39" s="20" t="s">
        <v>18037</v>
      </c>
      <c r="I39" s="17" t="s">
        <v>88</v>
      </c>
      <c r="J39" s="17">
        <v>1</v>
      </c>
      <c r="K39" s="17">
        <v>1</v>
      </c>
      <c r="L39" s="17" t="s">
        <v>20842</v>
      </c>
      <c r="M39" s="19" t="s">
        <v>3069</v>
      </c>
      <c r="N39" s="17" t="s">
        <v>507</v>
      </c>
      <c r="O39" s="17" t="s">
        <v>20843</v>
      </c>
      <c r="P39" s="17" t="str">
        <f>HYPERLINK("https://photon-sol.tinyastro.io/en/lp/G3epgsoDVrpEvjejcCyFyfvyR8YhvwSqw5WkELnGpump?handle=676050794bc1b1657a56b", "View")</f>
        <v>View</v>
      </c>
    </row>
    <row r="40" spans="1:16" x14ac:dyDescent="0.25">
      <c r="A40" s="13" t="s">
        <v>20844</v>
      </c>
      <c r="B40" s="14">
        <v>61580556</v>
      </c>
      <c r="C40" s="14">
        <v>61580556</v>
      </c>
      <c r="D40" s="14" t="s">
        <v>8762</v>
      </c>
      <c r="E40" s="14" t="s">
        <v>19136</v>
      </c>
      <c r="F40" s="14" t="s">
        <v>20845</v>
      </c>
      <c r="G40" s="22" t="s">
        <v>19709</v>
      </c>
      <c r="H40" s="22" t="s">
        <v>20312</v>
      </c>
      <c r="I40" s="14" t="s">
        <v>88</v>
      </c>
      <c r="J40" s="14">
        <v>1</v>
      </c>
      <c r="K40" s="14">
        <v>1</v>
      </c>
      <c r="L40" s="14" t="s">
        <v>20846</v>
      </c>
      <c r="M40" s="19" t="s">
        <v>2955</v>
      </c>
      <c r="N40" s="14" t="s">
        <v>8752</v>
      </c>
      <c r="O40" s="14" t="s">
        <v>20847</v>
      </c>
      <c r="P40" s="14" t="str">
        <f>HYPERLINK("https://photon-sol.tinyastro.io/en/lp/DWyhndxZVyL5HHDNQDX7CfxX7bF8pGT3KeriNXLMvAMC?handle=676050794bc1b1657a56b", "View")</f>
        <v>View</v>
      </c>
    </row>
    <row r="41" spans="1:16" x14ac:dyDescent="0.25">
      <c r="A41" s="16" t="s">
        <v>20848</v>
      </c>
      <c r="B41" s="17">
        <v>61994048</v>
      </c>
      <c r="C41" s="17">
        <v>61994048</v>
      </c>
      <c r="D41" s="17" t="s">
        <v>8762</v>
      </c>
      <c r="E41" s="17" t="s">
        <v>20849</v>
      </c>
      <c r="F41" s="17" t="s">
        <v>20850</v>
      </c>
      <c r="G41" s="20" t="s">
        <v>18310</v>
      </c>
      <c r="H41" s="20" t="s">
        <v>20851</v>
      </c>
      <c r="I41" s="17" t="s">
        <v>88</v>
      </c>
      <c r="J41" s="17">
        <v>1</v>
      </c>
      <c r="K41" s="17">
        <v>1</v>
      </c>
      <c r="L41" s="17" t="s">
        <v>20852</v>
      </c>
      <c r="M41" s="19" t="s">
        <v>2993</v>
      </c>
      <c r="N41" s="17" t="s">
        <v>3908</v>
      </c>
      <c r="O41" s="17" t="s">
        <v>20853</v>
      </c>
      <c r="P41" s="17" t="str">
        <f>HYPERLINK("https://photon-sol.tinyastro.io/en/lp/7G7tLo4H9q1CjwRyjf9d13usDPwjWwEueFx3XZiCpump?handle=676050794bc1b1657a56b", "View")</f>
        <v>View</v>
      </c>
    </row>
    <row r="42" spans="1:16" x14ac:dyDescent="0.25">
      <c r="A42" s="13" t="s">
        <v>2559</v>
      </c>
      <c r="B42" s="14">
        <v>50929630</v>
      </c>
      <c r="C42" s="14">
        <v>50929630</v>
      </c>
      <c r="D42" s="14" t="s">
        <v>20749</v>
      </c>
      <c r="E42" s="14" t="s">
        <v>20854</v>
      </c>
      <c r="F42" s="14" t="s">
        <v>12344</v>
      </c>
      <c r="G42" s="20" t="s">
        <v>20855</v>
      </c>
      <c r="H42" s="20" t="s">
        <v>20856</v>
      </c>
      <c r="I42" s="14" t="s">
        <v>88</v>
      </c>
      <c r="J42" s="14">
        <v>1</v>
      </c>
      <c r="K42" s="14">
        <v>1</v>
      </c>
      <c r="L42" s="14" t="s">
        <v>20857</v>
      </c>
      <c r="M42" s="19" t="s">
        <v>1856</v>
      </c>
      <c r="N42" s="14" t="s">
        <v>3115</v>
      </c>
      <c r="O42" s="14" t="s">
        <v>20858</v>
      </c>
      <c r="P42" s="14" t="str">
        <f>HYPERLINK("https://photon-sol.tinyastro.io/en/lp/8hBbGwRttxU1xG6YUGqRwxs2eP26ZYBHxztTC5prpump?handle=676050794bc1b1657a56b", "View")</f>
        <v>View</v>
      </c>
    </row>
    <row r="43" spans="1:16" x14ac:dyDescent="0.25">
      <c r="A43" s="16" t="s">
        <v>20859</v>
      </c>
      <c r="B43" s="17">
        <v>53702249</v>
      </c>
      <c r="C43" s="17">
        <v>53702249</v>
      </c>
      <c r="D43" s="17" t="s">
        <v>8762</v>
      </c>
      <c r="E43" s="17" t="s">
        <v>6733</v>
      </c>
      <c r="F43" s="17" t="s">
        <v>20860</v>
      </c>
      <c r="G43" s="22" t="s">
        <v>20232</v>
      </c>
      <c r="H43" s="22" t="s">
        <v>3660</v>
      </c>
      <c r="I43" s="17" t="s">
        <v>88</v>
      </c>
      <c r="J43" s="17">
        <v>1</v>
      </c>
      <c r="K43" s="17">
        <v>1</v>
      </c>
      <c r="L43" s="17" t="s">
        <v>20861</v>
      </c>
      <c r="M43" s="19" t="s">
        <v>3069</v>
      </c>
      <c r="N43" s="17" t="s">
        <v>2459</v>
      </c>
      <c r="O43" s="17" t="s">
        <v>20862</v>
      </c>
      <c r="P43" s="17" t="str">
        <f>HYPERLINK("https://photon-sol.tinyastro.io/en/lp/EK4VriLqDYxVegnHXNDZ5R6uEoWcQUtYPGEmmcbjpump?handle=676050794bc1b1657a56b", "View")</f>
        <v>View</v>
      </c>
    </row>
    <row r="44" spans="1:16" x14ac:dyDescent="0.25">
      <c r="A44" s="13" t="s">
        <v>20863</v>
      </c>
      <c r="B44" s="14">
        <v>50929630</v>
      </c>
      <c r="C44" s="14">
        <v>50929630</v>
      </c>
      <c r="D44" s="14" t="s">
        <v>20749</v>
      </c>
      <c r="E44" s="14" t="s">
        <v>2304</v>
      </c>
      <c r="F44" s="14" t="s">
        <v>20864</v>
      </c>
      <c r="G44" s="20" t="s">
        <v>20865</v>
      </c>
      <c r="H44" s="20" t="s">
        <v>20866</v>
      </c>
      <c r="I44" s="14" t="s">
        <v>88</v>
      </c>
      <c r="J44" s="14">
        <v>1</v>
      </c>
      <c r="K44" s="14">
        <v>1</v>
      </c>
      <c r="L44" s="14" t="s">
        <v>20867</v>
      </c>
      <c r="M44" s="19" t="s">
        <v>2189</v>
      </c>
      <c r="N44" s="14" t="s">
        <v>1011</v>
      </c>
      <c r="O44" s="14" t="s">
        <v>20868</v>
      </c>
      <c r="P44" s="14" t="str">
        <f>HYPERLINK("https://photon-sol.tinyastro.io/en/lp/7B8m1uatMnx1mkx2WMXGWyH3Wc6egbCbtEgarHbvpump?handle=676050794bc1b1657a56b", "View")</f>
        <v>View</v>
      </c>
    </row>
    <row r="45" spans="1:16" x14ac:dyDescent="0.25">
      <c r="A45" s="16" t="s">
        <v>20869</v>
      </c>
      <c r="B45" s="17">
        <v>57406008</v>
      </c>
      <c r="C45" s="17">
        <v>57406008</v>
      </c>
      <c r="D45" s="17" t="s">
        <v>20749</v>
      </c>
      <c r="E45" s="17" t="s">
        <v>20870</v>
      </c>
      <c r="F45" s="17" t="s">
        <v>20871</v>
      </c>
      <c r="G45" s="20" t="s">
        <v>20865</v>
      </c>
      <c r="H45" s="20" t="s">
        <v>20872</v>
      </c>
      <c r="I45" s="17" t="s">
        <v>88</v>
      </c>
      <c r="J45" s="17">
        <v>1</v>
      </c>
      <c r="K45" s="17">
        <v>1</v>
      </c>
      <c r="L45" s="17" t="s">
        <v>20873</v>
      </c>
      <c r="M45" s="19" t="s">
        <v>3000</v>
      </c>
      <c r="N45" s="17" t="s">
        <v>1667</v>
      </c>
      <c r="O45" s="17" t="s">
        <v>20874</v>
      </c>
      <c r="P45" s="17" t="str">
        <f>HYPERLINK("https://photon-sol.tinyastro.io/en/lp/FtVkMr8KDsiETNJbo5tWh33MeYLoEaBfimNzs3wTnaFx?handle=676050794bc1b1657a56b", "View")</f>
        <v>View</v>
      </c>
    </row>
    <row r="46" spans="1:16" x14ac:dyDescent="0.25">
      <c r="A46" s="13" t="s">
        <v>8777</v>
      </c>
      <c r="B46" s="14">
        <v>88972108</v>
      </c>
      <c r="C46" s="14">
        <v>88972108</v>
      </c>
      <c r="D46" s="14" t="s">
        <v>20749</v>
      </c>
      <c r="E46" s="14" t="s">
        <v>20875</v>
      </c>
      <c r="F46" s="14" t="s">
        <v>20876</v>
      </c>
      <c r="G46" s="21" t="s">
        <v>20877</v>
      </c>
      <c r="H46" s="21" t="s">
        <v>20878</v>
      </c>
      <c r="I46" s="14" t="s">
        <v>88</v>
      </c>
      <c r="J46" s="14">
        <v>1</v>
      </c>
      <c r="K46" s="14">
        <v>1</v>
      </c>
      <c r="L46" s="14" t="s">
        <v>20879</v>
      </c>
      <c r="M46" s="14" t="s">
        <v>1434</v>
      </c>
      <c r="N46" s="14" t="s">
        <v>20880</v>
      </c>
      <c r="O46" s="14" t="s">
        <v>8783</v>
      </c>
      <c r="P46" s="14" t="str">
        <f>HYPERLINK("https://photon-sol.tinyastro.io/en/lp/5Fpoz1xn1dBCD5gLtajVafG8fjqtydLmYYPvz3Pxpump?handle=676050794bc1b1657a56b", "View")</f>
        <v>View</v>
      </c>
    </row>
    <row r="47" spans="1:16" x14ac:dyDescent="0.25">
      <c r="A47" s="16" t="s">
        <v>20881</v>
      </c>
      <c r="B47" s="17">
        <v>85950413</v>
      </c>
      <c r="C47" s="17">
        <v>85950413</v>
      </c>
      <c r="D47" s="17" t="s">
        <v>8762</v>
      </c>
      <c r="E47" s="17" t="s">
        <v>20882</v>
      </c>
      <c r="F47" s="17" t="s">
        <v>20883</v>
      </c>
      <c r="G47" s="20" t="s">
        <v>20884</v>
      </c>
      <c r="H47" s="20" t="s">
        <v>20885</v>
      </c>
      <c r="I47" s="17" t="s">
        <v>88</v>
      </c>
      <c r="J47" s="17">
        <v>1</v>
      </c>
      <c r="K47" s="17">
        <v>1</v>
      </c>
      <c r="L47" s="17" t="s">
        <v>20886</v>
      </c>
      <c r="M47" s="19" t="s">
        <v>3069</v>
      </c>
      <c r="N47" s="17" t="s">
        <v>14412</v>
      </c>
      <c r="O47" s="17" t="s">
        <v>20887</v>
      </c>
      <c r="P47" s="17" t="str">
        <f>HYPERLINK("https://photon-sol.tinyastro.io/en/lp/5pnvwnDcTcJ5jFBpzjTh7p2osPUiU3fUspjEX41Epump?handle=676050794bc1b1657a56b", "View")</f>
        <v>View</v>
      </c>
    </row>
    <row r="48" spans="1:16" x14ac:dyDescent="0.25">
      <c r="A48" s="13" t="s">
        <v>8804</v>
      </c>
      <c r="B48" s="14">
        <v>91671554</v>
      </c>
      <c r="C48" s="14">
        <v>91671554</v>
      </c>
      <c r="D48" s="14" t="s">
        <v>20888</v>
      </c>
      <c r="E48" s="14" t="s">
        <v>20889</v>
      </c>
      <c r="F48" s="14" t="s">
        <v>20890</v>
      </c>
      <c r="G48" s="21" t="s">
        <v>20891</v>
      </c>
      <c r="H48" s="21" t="s">
        <v>20892</v>
      </c>
      <c r="I48" s="14" t="s">
        <v>88</v>
      </c>
      <c r="J48" s="14">
        <v>1</v>
      </c>
      <c r="K48" s="14">
        <v>2</v>
      </c>
      <c r="L48" s="14" t="s">
        <v>20893</v>
      </c>
      <c r="M48" s="14" t="s">
        <v>602</v>
      </c>
      <c r="N48" s="14" t="s">
        <v>9157</v>
      </c>
      <c r="O48" s="14" t="s">
        <v>8812</v>
      </c>
      <c r="P48" s="14" t="str">
        <f>HYPERLINK("https://photon-sol.tinyastro.io/en/lp/5wpT2AWfaBmeD4jf78FGttJysr6coDFWs5YqJabLpump?handle=676050794bc1b1657a56b", "View")</f>
        <v>View</v>
      </c>
    </row>
    <row r="49" spans="1:16" x14ac:dyDescent="0.25">
      <c r="A49" s="16" t="s">
        <v>8813</v>
      </c>
      <c r="B49" s="17">
        <v>74329799</v>
      </c>
      <c r="C49" s="17">
        <v>74329799</v>
      </c>
      <c r="D49" s="17" t="s">
        <v>20749</v>
      </c>
      <c r="E49" s="17" t="s">
        <v>20894</v>
      </c>
      <c r="F49" s="17" t="s">
        <v>20895</v>
      </c>
      <c r="G49" s="20" t="s">
        <v>20896</v>
      </c>
      <c r="H49" s="20" t="s">
        <v>20897</v>
      </c>
      <c r="I49" s="17" t="s">
        <v>88</v>
      </c>
      <c r="J49" s="17">
        <v>1</v>
      </c>
      <c r="K49" s="17">
        <v>1</v>
      </c>
      <c r="L49" s="17" t="s">
        <v>8817</v>
      </c>
      <c r="M49" s="19" t="s">
        <v>2486</v>
      </c>
      <c r="N49" s="17" t="s">
        <v>1667</v>
      </c>
      <c r="O49" s="17" t="s">
        <v>8818</v>
      </c>
      <c r="P49" s="17" t="str">
        <f>HYPERLINK("https://photon-sol.tinyastro.io/en/lp/CYM5QjvJz6JmKJayMniJCPvPAz6JaDDwP3FbVcrUpump?handle=676050794bc1b1657a56b", "View")</f>
        <v>View</v>
      </c>
    </row>
    <row r="50" spans="1:16" x14ac:dyDescent="0.25">
      <c r="A50" s="13" t="s">
        <v>20898</v>
      </c>
      <c r="B50" s="14">
        <v>88972108</v>
      </c>
      <c r="C50" s="14">
        <v>88972108</v>
      </c>
      <c r="D50" s="14" t="s">
        <v>20899</v>
      </c>
      <c r="E50" s="14" t="s">
        <v>8904</v>
      </c>
      <c r="F50" s="14" t="s">
        <v>20900</v>
      </c>
      <c r="G50" s="21" t="s">
        <v>20901</v>
      </c>
      <c r="H50" s="21" t="s">
        <v>20902</v>
      </c>
      <c r="I50" s="14" t="s">
        <v>88</v>
      </c>
      <c r="J50" s="14">
        <v>1</v>
      </c>
      <c r="K50" s="14">
        <v>3</v>
      </c>
      <c r="L50" s="14" t="s">
        <v>20903</v>
      </c>
      <c r="M50" s="14" t="s">
        <v>1566</v>
      </c>
      <c r="N50" s="14" t="s">
        <v>20904</v>
      </c>
      <c r="O50" s="14" t="s">
        <v>20905</v>
      </c>
      <c r="P50" s="14" t="str">
        <f>HYPERLINK("https://photon-sol.tinyastro.io/en/lp/C4BifihNaDcfRFZL9N9xwcd832e8TFQgbPbHMEXipump?handle=676050794bc1b1657a56b", "View")</f>
        <v>View</v>
      </c>
    </row>
    <row r="51" spans="1:16" x14ac:dyDescent="0.25">
      <c r="A51" s="16" t="s">
        <v>20906</v>
      </c>
      <c r="B51" s="17">
        <v>90766773</v>
      </c>
      <c r="C51" s="17">
        <v>90766773</v>
      </c>
      <c r="D51" s="17" t="s">
        <v>8762</v>
      </c>
      <c r="E51" s="17" t="s">
        <v>8209</v>
      </c>
      <c r="F51" s="17" t="s">
        <v>1929</v>
      </c>
      <c r="G51" s="21" t="s">
        <v>15045</v>
      </c>
      <c r="H51" s="21" t="s">
        <v>20907</v>
      </c>
      <c r="I51" s="17" t="s">
        <v>88</v>
      </c>
      <c r="J51" s="17">
        <v>1</v>
      </c>
      <c r="K51" s="17">
        <v>1</v>
      </c>
      <c r="L51" s="17" t="s">
        <v>20908</v>
      </c>
      <c r="M51" s="19" t="s">
        <v>4171</v>
      </c>
      <c r="N51" s="17" t="s">
        <v>20909</v>
      </c>
      <c r="O51" s="17" t="s">
        <v>20910</v>
      </c>
      <c r="P51" s="17" t="str">
        <f>HYPERLINK("https://photon-sol.tinyastro.io/en/lp/H79HgWNrsLYjieNGvN8NuX97RMY1B7RJPowE5cDbpump?handle=676050794bc1b1657a56b", "View")</f>
        <v>View</v>
      </c>
    </row>
    <row r="52" spans="1:16" x14ac:dyDescent="0.25">
      <c r="A52" s="13" t="s">
        <v>7016</v>
      </c>
      <c r="B52" s="14">
        <v>83648841</v>
      </c>
      <c r="C52" s="14">
        <v>83648841</v>
      </c>
      <c r="D52" s="14" t="s">
        <v>8762</v>
      </c>
      <c r="E52" s="14" t="s">
        <v>9009</v>
      </c>
      <c r="F52" s="14" t="s">
        <v>20911</v>
      </c>
      <c r="G52" s="22" t="s">
        <v>20912</v>
      </c>
      <c r="H52" s="22" t="s">
        <v>20913</v>
      </c>
      <c r="I52" s="14" t="s">
        <v>88</v>
      </c>
      <c r="J52" s="14">
        <v>1</v>
      </c>
      <c r="K52" s="14">
        <v>1</v>
      </c>
      <c r="L52" s="14" t="s">
        <v>20914</v>
      </c>
      <c r="M52" s="19" t="s">
        <v>3076</v>
      </c>
      <c r="N52" s="14" t="s">
        <v>2827</v>
      </c>
      <c r="O52" s="14" t="s">
        <v>20915</v>
      </c>
      <c r="P52" s="14" t="str">
        <f>HYPERLINK("https://photon-sol.tinyastro.io/en/lp/E9CZvpPCbz1xxNNeXZe759g5vbw3oHGScde3FhpHpump?handle=676050794bc1b1657a56b", "View")</f>
        <v>View</v>
      </c>
    </row>
    <row r="53" spans="1:16" x14ac:dyDescent="0.25">
      <c r="A53" s="16" t="s">
        <v>6146</v>
      </c>
      <c r="B53" s="17">
        <v>78785183</v>
      </c>
      <c r="C53" s="17">
        <v>78785183</v>
      </c>
      <c r="D53" s="17" t="s">
        <v>8762</v>
      </c>
      <c r="E53" s="17" t="s">
        <v>20916</v>
      </c>
      <c r="F53" s="17" t="s">
        <v>20917</v>
      </c>
      <c r="G53" s="20" t="s">
        <v>20918</v>
      </c>
      <c r="H53" s="20" t="s">
        <v>20919</v>
      </c>
      <c r="I53" s="17" t="s">
        <v>88</v>
      </c>
      <c r="J53" s="17">
        <v>1</v>
      </c>
      <c r="K53" s="17">
        <v>1</v>
      </c>
      <c r="L53" s="17" t="s">
        <v>20920</v>
      </c>
      <c r="M53" s="19" t="s">
        <v>3069</v>
      </c>
      <c r="N53" s="17" t="s">
        <v>1667</v>
      </c>
      <c r="O53" s="17" t="s">
        <v>20921</v>
      </c>
      <c r="P53" s="17" t="str">
        <f>HYPERLINK("https://photon-sol.tinyastro.io/en/lp/FbJryrNvtpJgGnnufZVdbyKkQLjNDtuKjoe8QAwCpump?handle=676050794bc1b1657a56b", "View")</f>
        <v>View</v>
      </c>
    </row>
    <row r="54" spans="1:16" x14ac:dyDescent="0.25">
      <c r="A54" s="13" t="s">
        <v>9849</v>
      </c>
      <c r="B54" s="14">
        <v>86249508</v>
      </c>
      <c r="C54" s="14">
        <v>86249508</v>
      </c>
      <c r="D54" s="14" t="s">
        <v>8762</v>
      </c>
      <c r="E54" s="14" t="s">
        <v>20922</v>
      </c>
      <c r="F54" s="14" t="s">
        <v>20923</v>
      </c>
      <c r="G54" s="20" t="s">
        <v>20924</v>
      </c>
      <c r="H54" s="20" t="s">
        <v>20925</v>
      </c>
      <c r="I54" s="14" t="s">
        <v>88</v>
      </c>
      <c r="J54" s="14">
        <v>1</v>
      </c>
      <c r="K54" s="14">
        <v>1</v>
      </c>
      <c r="L54" s="14" t="s">
        <v>20926</v>
      </c>
      <c r="M54" s="19" t="s">
        <v>2937</v>
      </c>
      <c r="N54" s="14" t="s">
        <v>1706</v>
      </c>
      <c r="O54" s="14" t="s">
        <v>20927</v>
      </c>
      <c r="P54" s="14" t="str">
        <f>HYPERLINK("https://photon-sol.tinyastro.io/en/lp/7UWcAKYqhjRsXny62tjB58esgtNXChWRvAwkZUhLpump?handle=676050794bc1b1657a56b", "View")</f>
        <v>View</v>
      </c>
    </row>
    <row r="55" spans="1:16" x14ac:dyDescent="0.25">
      <c r="A55" s="16" t="s">
        <v>6146</v>
      </c>
      <c r="B55" s="17">
        <v>88972108</v>
      </c>
      <c r="C55" s="17">
        <v>88972108</v>
      </c>
      <c r="D55" s="17" t="s">
        <v>20928</v>
      </c>
      <c r="E55" s="17" t="s">
        <v>20929</v>
      </c>
      <c r="F55" s="17" t="s">
        <v>20930</v>
      </c>
      <c r="G55" s="21" t="s">
        <v>20931</v>
      </c>
      <c r="H55" s="21" t="s">
        <v>20932</v>
      </c>
      <c r="I55" s="17" t="s">
        <v>88</v>
      </c>
      <c r="J55" s="17">
        <v>1</v>
      </c>
      <c r="K55" s="17">
        <v>1</v>
      </c>
      <c r="L55" s="17" t="s">
        <v>20933</v>
      </c>
      <c r="M55" s="17" t="s">
        <v>1434</v>
      </c>
      <c r="N55" s="17" t="s">
        <v>20880</v>
      </c>
      <c r="O55" s="17" t="s">
        <v>8859</v>
      </c>
      <c r="P55" s="17" t="str">
        <f>HYPERLINK("https://photon-sol.tinyastro.io/en/lp/rQKMLk9vDq7pjhcFey6UR4oQttR3cah233zA4Cepump?handle=676050794bc1b1657a56b", "View")</f>
        <v>View</v>
      </c>
    </row>
    <row r="56" spans="1:16" x14ac:dyDescent="0.25">
      <c r="A56" s="13" t="s">
        <v>20934</v>
      </c>
      <c r="B56" s="14">
        <v>57406008</v>
      </c>
      <c r="C56" s="14">
        <v>57406008</v>
      </c>
      <c r="D56" s="14" t="s">
        <v>20935</v>
      </c>
      <c r="E56" s="14" t="s">
        <v>4425</v>
      </c>
      <c r="F56" s="14" t="s">
        <v>20936</v>
      </c>
      <c r="G56" s="22" t="s">
        <v>3682</v>
      </c>
      <c r="H56" s="22" t="s">
        <v>20937</v>
      </c>
      <c r="I56" s="14" t="s">
        <v>88</v>
      </c>
      <c r="J56" s="14">
        <v>1</v>
      </c>
      <c r="K56" s="14">
        <v>1</v>
      </c>
      <c r="L56" s="14" t="s">
        <v>20938</v>
      </c>
      <c r="M56" s="19" t="s">
        <v>1849</v>
      </c>
      <c r="N56" s="14" t="s">
        <v>3908</v>
      </c>
      <c r="O56" s="14" t="s">
        <v>20939</v>
      </c>
      <c r="P56" s="14" t="str">
        <f>HYPERLINK("https://photon-sol.tinyastro.io/en/lp/DFdvhBAB73XfgdQvyTQKvuVQ7FJAHD5QHEPC4ukpump?handle=676050794bc1b1657a56b", "View")</f>
        <v>View</v>
      </c>
    </row>
    <row r="57" spans="1:16" x14ac:dyDescent="0.25">
      <c r="A57" s="16" t="s">
        <v>297</v>
      </c>
      <c r="B57" s="17">
        <v>42833333</v>
      </c>
      <c r="C57" s="17">
        <v>42833333</v>
      </c>
      <c r="D57" s="17" t="s">
        <v>8762</v>
      </c>
      <c r="E57" s="17" t="s">
        <v>20940</v>
      </c>
      <c r="F57" s="17" t="s">
        <v>20941</v>
      </c>
      <c r="G57" s="22" t="s">
        <v>10510</v>
      </c>
      <c r="H57" s="22" t="s">
        <v>20942</v>
      </c>
      <c r="I57" s="17" t="s">
        <v>88</v>
      </c>
      <c r="J57" s="17">
        <v>1</v>
      </c>
      <c r="K57" s="17">
        <v>1</v>
      </c>
      <c r="L57" s="17" t="s">
        <v>20943</v>
      </c>
      <c r="M57" s="19" t="s">
        <v>3069</v>
      </c>
      <c r="N57" s="17" t="s">
        <v>3816</v>
      </c>
      <c r="O57" s="17" t="s">
        <v>20944</v>
      </c>
      <c r="P57" s="17" t="str">
        <f>HYPERLINK("https://photon-sol.tinyastro.io/en/lp/XpTDtXwR3XBx7u8LhHmyrbjbjFXJFCapTX8i2kkpump?handle=676050794bc1b1657a56b", "View")</f>
        <v>View</v>
      </c>
    </row>
    <row r="58" spans="1:16" x14ac:dyDescent="0.25">
      <c r="A58" s="13" t="s">
        <v>2730</v>
      </c>
      <c r="B58" s="14">
        <v>63024194</v>
      </c>
      <c r="C58" s="14">
        <v>63024194</v>
      </c>
      <c r="D58" s="14" t="s">
        <v>8762</v>
      </c>
      <c r="E58" s="14" t="s">
        <v>20945</v>
      </c>
      <c r="F58" s="14" t="s">
        <v>20946</v>
      </c>
      <c r="G58" s="21" t="s">
        <v>20947</v>
      </c>
      <c r="H58" s="21" t="s">
        <v>20948</v>
      </c>
      <c r="I58" s="14" t="s">
        <v>88</v>
      </c>
      <c r="J58" s="14">
        <v>1</v>
      </c>
      <c r="K58" s="14">
        <v>1</v>
      </c>
      <c r="L58" s="14" t="s">
        <v>20949</v>
      </c>
      <c r="M58" s="19" t="s">
        <v>20790</v>
      </c>
      <c r="N58" s="14" t="s">
        <v>8940</v>
      </c>
      <c r="O58" s="14" t="s">
        <v>20950</v>
      </c>
      <c r="P58" s="14" t="str">
        <f>HYPERLINK("https://photon-sol.tinyastro.io/en/lp/AzQ9z5SmBB7utdENgXnKguCfgwZuStB4TspAWEKEpump?handle=676050794bc1b1657a56b", "View")</f>
        <v>View</v>
      </c>
    </row>
    <row r="59" spans="1:16" x14ac:dyDescent="0.25">
      <c r="A59" s="16" t="s">
        <v>20951</v>
      </c>
      <c r="B59" s="17">
        <v>59216017</v>
      </c>
      <c r="C59" s="17">
        <v>59216017</v>
      </c>
      <c r="D59" s="17" t="s">
        <v>8762</v>
      </c>
      <c r="E59" s="17" t="s">
        <v>8186</v>
      </c>
      <c r="F59" s="17" t="s">
        <v>3079</v>
      </c>
      <c r="G59" s="20" t="s">
        <v>11767</v>
      </c>
      <c r="H59" s="20" t="s">
        <v>20952</v>
      </c>
      <c r="I59" s="17" t="s">
        <v>88</v>
      </c>
      <c r="J59" s="17">
        <v>1</v>
      </c>
      <c r="K59" s="17">
        <v>1</v>
      </c>
      <c r="L59" s="17" t="s">
        <v>20953</v>
      </c>
      <c r="M59" s="19" t="s">
        <v>3076</v>
      </c>
      <c r="N59" s="17" t="s">
        <v>1980</v>
      </c>
      <c r="O59" s="17" t="s">
        <v>20954</v>
      </c>
      <c r="P59" s="17" t="str">
        <f>HYPERLINK("https://photon-sol.tinyastro.io/en/lp/FoJYdfkQDQSLYoXahXqY5v17eaaNLgcvsBJ1Jr7Dpump?handle=676050794bc1b1657a56b", "View")</f>
        <v>View</v>
      </c>
    </row>
    <row r="60" spans="1:16" x14ac:dyDescent="0.25">
      <c r="A60" s="13" t="s">
        <v>20955</v>
      </c>
      <c r="B60" s="14">
        <v>57406008</v>
      </c>
      <c r="C60" s="14">
        <v>57406008</v>
      </c>
      <c r="D60" s="14" t="s">
        <v>8762</v>
      </c>
      <c r="E60" s="14" t="s">
        <v>12748</v>
      </c>
      <c r="F60" s="14" t="s">
        <v>9118</v>
      </c>
      <c r="G60" s="22" t="s">
        <v>20956</v>
      </c>
      <c r="H60" s="22" t="s">
        <v>20957</v>
      </c>
      <c r="I60" s="14" t="s">
        <v>88</v>
      </c>
      <c r="J60" s="14">
        <v>1</v>
      </c>
      <c r="K60" s="14">
        <v>1</v>
      </c>
      <c r="L60" s="14" t="s">
        <v>20958</v>
      </c>
      <c r="M60" s="19" t="s">
        <v>3076</v>
      </c>
      <c r="N60" s="14" t="s">
        <v>2316</v>
      </c>
      <c r="O60" s="14" t="s">
        <v>20959</v>
      </c>
      <c r="P60" s="14" t="str">
        <f>HYPERLINK("https://photon-sol.tinyastro.io/en/lp/BZ9hewd3X8KRcYWF5uXcaUNJuTVyunpHFss7NCczpump?handle=676050794bc1b1657a56b", "View")</f>
        <v>View</v>
      </c>
    </row>
    <row r="61" spans="1:16" x14ac:dyDescent="0.25">
      <c r="A61" s="16" t="s">
        <v>20960</v>
      </c>
      <c r="B61" s="17">
        <v>83648841</v>
      </c>
      <c r="C61" s="17">
        <v>83648841</v>
      </c>
      <c r="D61" s="17" t="s">
        <v>8762</v>
      </c>
      <c r="E61" s="17" t="s">
        <v>2035</v>
      </c>
      <c r="F61" s="17" t="s">
        <v>20961</v>
      </c>
      <c r="G61" s="21" t="s">
        <v>20962</v>
      </c>
      <c r="H61" s="21" t="s">
        <v>20963</v>
      </c>
      <c r="I61" s="17" t="s">
        <v>88</v>
      </c>
      <c r="J61" s="17">
        <v>1</v>
      </c>
      <c r="K61" s="17">
        <v>1</v>
      </c>
      <c r="L61" s="17" t="s">
        <v>20964</v>
      </c>
      <c r="M61" s="19" t="s">
        <v>20790</v>
      </c>
      <c r="N61" s="17" t="s">
        <v>6919</v>
      </c>
      <c r="O61" s="17" t="s">
        <v>20965</v>
      </c>
      <c r="P61" s="17" t="str">
        <f>HYPERLINK("https://photon-sol.tinyastro.io/en/lp/A22zdm7aSuXeS26pNQpoazXBZnC4hzY6wkDJL8HBpump?handle=676050794bc1b1657a56b", "View")</f>
        <v>View</v>
      </c>
    </row>
    <row r="62" spans="1:16" x14ac:dyDescent="0.25">
      <c r="A62" s="13" t="s">
        <v>20966</v>
      </c>
      <c r="B62" s="14">
        <v>37637289</v>
      </c>
      <c r="C62" s="14">
        <v>37637289</v>
      </c>
      <c r="D62" s="14" t="s">
        <v>8762</v>
      </c>
      <c r="E62" s="14" t="s">
        <v>8130</v>
      </c>
      <c r="F62" s="14" t="s">
        <v>20967</v>
      </c>
      <c r="G62" s="21" t="s">
        <v>20968</v>
      </c>
      <c r="H62" s="21" t="s">
        <v>20969</v>
      </c>
      <c r="I62" s="14" t="s">
        <v>88</v>
      </c>
      <c r="J62" s="14">
        <v>1</v>
      </c>
      <c r="K62" s="14">
        <v>1</v>
      </c>
      <c r="L62" s="14" t="s">
        <v>20970</v>
      </c>
      <c r="M62" s="19" t="s">
        <v>2993</v>
      </c>
      <c r="N62" s="14" t="s">
        <v>20971</v>
      </c>
      <c r="O62" s="14" t="s">
        <v>20972</v>
      </c>
      <c r="P62" s="14" t="str">
        <f>HYPERLINK("https://photon-sol.tinyastro.io/en/lp/BkVwR9hsVhuTmHfctELB8gwqSX7XBE9Tkvm9rwbupump?handle=676050794bc1b1657a56b", "View")</f>
        <v>View</v>
      </c>
    </row>
    <row r="63" spans="1:16" x14ac:dyDescent="0.25">
      <c r="A63" s="16" t="s">
        <v>20973</v>
      </c>
      <c r="B63" s="17">
        <v>91671554</v>
      </c>
      <c r="C63" s="17">
        <v>91671554</v>
      </c>
      <c r="D63" s="17" t="s">
        <v>20974</v>
      </c>
      <c r="E63" s="17" t="s">
        <v>20975</v>
      </c>
      <c r="F63" s="17" t="s">
        <v>20976</v>
      </c>
      <c r="G63" s="20" t="s">
        <v>20977</v>
      </c>
      <c r="H63" s="20" t="s">
        <v>20978</v>
      </c>
      <c r="I63" s="17" t="s">
        <v>88</v>
      </c>
      <c r="J63" s="17">
        <v>1</v>
      </c>
      <c r="K63" s="17">
        <v>1</v>
      </c>
      <c r="L63" s="17" t="s">
        <v>20979</v>
      </c>
      <c r="M63" s="19" t="s">
        <v>1856</v>
      </c>
      <c r="N63" s="17" t="s">
        <v>2608</v>
      </c>
      <c r="O63" s="17" t="s">
        <v>20980</v>
      </c>
      <c r="P63" s="17" t="str">
        <f>HYPERLINK("https://photon-sol.tinyastro.io/en/lp/6zbiNfZRdK1pKCGdidGJCzjXajFQMZVxLP6GC7b5pump?handle=676050794bc1b1657a56b", "View")</f>
        <v>View</v>
      </c>
    </row>
    <row r="64" spans="1:16" x14ac:dyDescent="0.25">
      <c r="A64" s="13" t="s">
        <v>20522</v>
      </c>
      <c r="B64" s="14">
        <v>62505000</v>
      </c>
      <c r="C64" s="14">
        <v>62505000</v>
      </c>
      <c r="D64" s="14" t="s">
        <v>20981</v>
      </c>
      <c r="E64" s="14" t="s">
        <v>7860</v>
      </c>
      <c r="F64" s="14" t="s">
        <v>20982</v>
      </c>
      <c r="G64" s="20" t="s">
        <v>20983</v>
      </c>
      <c r="H64" s="20" t="s">
        <v>20984</v>
      </c>
      <c r="I64" s="14" t="s">
        <v>88</v>
      </c>
      <c r="J64" s="14">
        <v>1</v>
      </c>
      <c r="K64" s="14">
        <v>1</v>
      </c>
      <c r="L64" s="14" t="s">
        <v>20985</v>
      </c>
      <c r="M64" s="19" t="s">
        <v>1940</v>
      </c>
      <c r="N64" s="14" t="s">
        <v>3188</v>
      </c>
      <c r="O64" s="14" t="s">
        <v>20986</v>
      </c>
      <c r="P64" s="14" t="str">
        <f>HYPERLINK("https://photon-sol.tinyastro.io/en/lp/5JpJH2x1RQL6V197nA63yuzpcq4faRgv3iqhX3gb7P6Y?handle=676050794bc1b1657a56b", "View")</f>
        <v>View</v>
      </c>
    </row>
    <row r="65" spans="1:16" x14ac:dyDescent="0.25">
      <c r="A65" s="16" t="s">
        <v>20987</v>
      </c>
      <c r="B65" s="17">
        <v>83624948</v>
      </c>
      <c r="C65" s="17">
        <v>83624948</v>
      </c>
      <c r="D65" s="17" t="s">
        <v>20988</v>
      </c>
      <c r="E65" s="17" t="s">
        <v>20989</v>
      </c>
      <c r="F65" s="17" t="s">
        <v>20990</v>
      </c>
      <c r="G65" s="22" t="s">
        <v>20991</v>
      </c>
      <c r="H65" s="22" t="s">
        <v>20992</v>
      </c>
      <c r="I65" s="17" t="s">
        <v>88</v>
      </c>
      <c r="J65" s="17">
        <v>1</v>
      </c>
      <c r="K65" s="17">
        <v>1</v>
      </c>
      <c r="L65" s="17" t="s">
        <v>20993</v>
      </c>
      <c r="M65" s="17" t="s">
        <v>1434</v>
      </c>
      <c r="N65" s="17" t="s">
        <v>12595</v>
      </c>
      <c r="O65" s="17" t="s">
        <v>20994</v>
      </c>
      <c r="P65" s="17" t="str">
        <f>HYPERLINK("https://photon-sol.tinyastro.io/en/lp/6oGUHU1MyhdjVfM5aGcHRWEgdE9JJsdhnHNkYgFpZknm?handle=676050794bc1b1657a56b", "View")</f>
        <v>View</v>
      </c>
    </row>
    <row r="66" spans="1:16" x14ac:dyDescent="0.25">
      <c r="A66" s="13" t="s">
        <v>20995</v>
      </c>
      <c r="B66" s="14">
        <v>57406008</v>
      </c>
      <c r="C66" s="14">
        <v>57406008</v>
      </c>
      <c r="D66" s="14" t="s">
        <v>8762</v>
      </c>
      <c r="E66" s="14" t="s">
        <v>7532</v>
      </c>
      <c r="F66" s="14" t="s">
        <v>20996</v>
      </c>
      <c r="G66" s="22" t="s">
        <v>20997</v>
      </c>
      <c r="H66" s="22" t="s">
        <v>20998</v>
      </c>
      <c r="I66" s="14" t="s">
        <v>88</v>
      </c>
      <c r="J66" s="14">
        <v>1</v>
      </c>
      <c r="K66" s="14">
        <v>1</v>
      </c>
      <c r="L66" s="14" t="s">
        <v>20999</v>
      </c>
      <c r="M66" s="19" t="s">
        <v>2955</v>
      </c>
      <c r="N66" s="14" t="s">
        <v>21000</v>
      </c>
      <c r="O66" s="14" t="s">
        <v>21001</v>
      </c>
      <c r="P66" s="14" t="str">
        <f>HYPERLINK("https://photon-sol.tinyastro.io/en/lp/9pXyjZjGcHC5LKviV2RCsrmsLooW16SBNMPj6B6eGJsT?handle=676050794bc1b1657a56b", "View")</f>
        <v>View</v>
      </c>
    </row>
    <row r="67" spans="1:16" x14ac:dyDescent="0.25">
      <c r="A67" s="16" t="s">
        <v>21002</v>
      </c>
      <c r="B67" s="17">
        <v>90173160</v>
      </c>
      <c r="C67" s="17">
        <v>90173160</v>
      </c>
      <c r="D67" s="17" t="s">
        <v>8762</v>
      </c>
      <c r="E67" s="17" t="s">
        <v>21003</v>
      </c>
      <c r="F67" s="17" t="s">
        <v>21004</v>
      </c>
      <c r="G67" s="21" t="s">
        <v>21005</v>
      </c>
      <c r="H67" s="21" t="s">
        <v>21006</v>
      </c>
      <c r="I67" s="17" t="s">
        <v>88</v>
      </c>
      <c r="J67" s="17">
        <v>1</v>
      </c>
      <c r="K67" s="17">
        <v>1</v>
      </c>
      <c r="L67" s="17" t="s">
        <v>21007</v>
      </c>
      <c r="M67" s="19" t="s">
        <v>2955</v>
      </c>
      <c r="N67" s="17" t="s">
        <v>8940</v>
      </c>
      <c r="O67" s="17" t="s">
        <v>21008</v>
      </c>
      <c r="P67" s="17" t="str">
        <f>HYPERLINK("https://photon-sol.tinyastro.io/en/lp/F9jpGjgzpYR4mfz2Mu5jb7PGsX64RAidHfD4AqCApump?handle=676050794bc1b1657a56b", "View")</f>
        <v>View</v>
      </c>
    </row>
    <row r="68" spans="1:16" x14ac:dyDescent="0.25">
      <c r="A68" s="13" t="s">
        <v>21009</v>
      </c>
      <c r="B68" s="14">
        <v>61994048</v>
      </c>
      <c r="C68" s="14">
        <v>61994048</v>
      </c>
      <c r="D68" s="14" t="s">
        <v>8762</v>
      </c>
      <c r="E68" s="14" t="s">
        <v>1187</v>
      </c>
      <c r="F68" s="14" t="s">
        <v>9280</v>
      </c>
      <c r="G68" s="22" t="s">
        <v>17509</v>
      </c>
      <c r="H68" s="22" t="s">
        <v>21010</v>
      </c>
      <c r="I68" s="14" t="s">
        <v>88</v>
      </c>
      <c r="J68" s="14">
        <v>1</v>
      </c>
      <c r="K68" s="14">
        <v>1</v>
      </c>
      <c r="L68" s="14" t="s">
        <v>21011</v>
      </c>
      <c r="M68" s="19" t="s">
        <v>2955</v>
      </c>
      <c r="N68" s="14" t="s">
        <v>1011</v>
      </c>
      <c r="O68" s="14" t="s">
        <v>21012</v>
      </c>
      <c r="P68" s="14" t="str">
        <f>HYPERLINK("https://photon-sol.tinyastro.io/en/lp/TrAhKMKXwrAcauN9Pg2WaAJka6HQKpkEq8ZUn53pump?handle=676050794bc1b1657a56b", "View")</f>
        <v>View</v>
      </c>
    </row>
    <row r="69" spans="1:16" x14ac:dyDescent="0.25">
      <c r="A69" s="16" t="s">
        <v>21013</v>
      </c>
      <c r="B69" s="17">
        <v>83648841</v>
      </c>
      <c r="C69" s="17">
        <v>83648841</v>
      </c>
      <c r="D69" s="17" t="s">
        <v>8762</v>
      </c>
      <c r="E69" s="17" t="s">
        <v>21014</v>
      </c>
      <c r="F69" s="17" t="s">
        <v>21015</v>
      </c>
      <c r="G69" s="15" t="s">
        <v>21016</v>
      </c>
      <c r="H69" s="15" t="s">
        <v>21017</v>
      </c>
      <c r="I69" s="17" t="s">
        <v>88</v>
      </c>
      <c r="J69" s="17">
        <v>1</v>
      </c>
      <c r="K69" s="17">
        <v>1</v>
      </c>
      <c r="L69" s="17" t="s">
        <v>21018</v>
      </c>
      <c r="M69" s="19" t="s">
        <v>3069</v>
      </c>
      <c r="N69" s="17" t="s">
        <v>7635</v>
      </c>
      <c r="O69" s="17" t="s">
        <v>21019</v>
      </c>
      <c r="P69" s="17" t="str">
        <f>HYPERLINK("https://photon-sol.tinyastro.io/en/lp/DnK8H3Aa79fuMPGn4KtuPJbYHRFPRrVqWZRYAZTmpump?handle=676050794bc1b1657a56b", "View")</f>
        <v>View</v>
      </c>
    </row>
    <row r="70" spans="1:16" x14ac:dyDescent="0.25">
      <c r="A70" s="13" t="s">
        <v>5075</v>
      </c>
      <c r="B70" s="14">
        <v>91671554</v>
      </c>
      <c r="C70" s="14">
        <v>91671554</v>
      </c>
      <c r="D70" s="14" t="s">
        <v>21020</v>
      </c>
      <c r="E70" s="14" t="s">
        <v>21021</v>
      </c>
      <c r="F70" s="14" t="s">
        <v>21022</v>
      </c>
      <c r="G70" s="21" t="s">
        <v>21023</v>
      </c>
      <c r="H70" s="21" t="s">
        <v>21024</v>
      </c>
      <c r="I70" s="14" t="s">
        <v>88</v>
      </c>
      <c r="J70" s="14">
        <v>1</v>
      </c>
      <c r="K70" s="14">
        <v>7</v>
      </c>
      <c r="L70" s="14" t="s">
        <v>21025</v>
      </c>
      <c r="M70" s="14" t="s">
        <v>1566</v>
      </c>
      <c r="N70" s="14" t="s">
        <v>21026</v>
      </c>
      <c r="O70" s="14" t="s">
        <v>5081</v>
      </c>
      <c r="P70" s="14" t="str">
        <f>HYPERLINK("https://photon-sol.tinyastro.io/en/lp/8ogBUvzZNPzo7FcsGHi6LCVBHrmL94ZVz7DynnTRpump?handle=676050794bc1b1657a56b", "View")</f>
        <v>View</v>
      </c>
    </row>
    <row r="71" spans="1:16" x14ac:dyDescent="0.25">
      <c r="A71" s="16" t="s">
        <v>21027</v>
      </c>
      <c r="B71" s="17">
        <v>60996094</v>
      </c>
      <c r="C71" s="17">
        <v>60996094</v>
      </c>
      <c r="D71" s="17" t="s">
        <v>21028</v>
      </c>
      <c r="E71" s="17" t="s">
        <v>13403</v>
      </c>
      <c r="F71" s="17" t="s">
        <v>403</v>
      </c>
      <c r="G71" s="20" t="s">
        <v>21029</v>
      </c>
      <c r="H71" s="20" t="s">
        <v>21030</v>
      </c>
      <c r="I71" s="17" t="s">
        <v>88</v>
      </c>
      <c r="J71" s="17">
        <v>1</v>
      </c>
      <c r="K71" s="17">
        <v>1</v>
      </c>
      <c r="L71" s="17" t="s">
        <v>21031</v>
      </c>
      <c r="M71" s="19" t="s">
        <v>2239</v>
      </c>
      <c r="N71" s="17" t="s">
        <v>2585</v>
      </c>
      <c r="O71" s="17" t="s">
        <v>21032</v>
      </c>
      <c r="P71" s="17" t="str">
        <f>HYPERLINK("https://photon-sol.tinyastro.io/en/lp/FiRb4Se6dSUmQfwPRbAoFLAjBPfNVeaNV8dao5xepump?handle=676050794bc1b1657a56b", "View")</f>
        <v>View</v>
      </c>
    </row>
    <row r="72" spans="1:16" x14ac:dyDescent="0.25">
      <c r="A72" s="13" t="s">
        <v>21033</v>
      </c>
      <c r="B72" s="14">
        <v>58002232</v>
      </c>
      <c r="C72" s="14">
        <v>58002232</v>
      </c>
      <c r="D72" s="14" t="s">
        <v>21034</v>
      </c>
      <c r="E72" s="14" t="s">
        <v>8814</v>
      </c>
      <c r="F72" s="14" t="s">
        <v>21035</v>
      </c>
      <c r="G72" s="20" t="s">
        <v>21036</v>
      </c>
      <c r="H72" s="20" t="s">
        <v>21037</v>
      </c>
      <c r="I72" s="14" t="s">
        <v>88</v>
      </c>
      <c r="J72" s="14">
        <v>1</v>
      </c>
      <c r="K72" s="14">
        <v>1</v>
      </c>
      <c r="L72" s="14" t="s">
        <v>21038</v>
      </c>
      <c r="M72" s="19" t="s">
        <v>3000</v>
      </c>
      <c r="N72" s="14" t="s">
        <v>2585</v>
      </c>
      <c r="O72" s="14" t="s">
        <v>21039</v>
      </c>
      <c r="P72" s="14" t="str">
        <f>HYPERLINK("https://photon-sol.tinyastro.io/en/lp/CuaMcgt7fakHKHC6SB5ccbMYqd3HWvKkGpM8pk3cpump?handle=676050794bc1b1657a56b", "View")</f>
        <v>View</v>
      </c>
    </row>
    <row r="73" spans="1:16" x14ac:dyDescent="0.25">
      <c r="A73" s="16" t="s">
        <v>21040</v>
      </c>
      <c r="B73" s="17">
        <v>33960269</v>
      </c>
      <c r="C73" s="17">
        <v>33960269</v>
      </c>
      <c r="D73" s="17" t="s">
        <v>8762</v>
      </c>
      <c r="E73" s="17" t="s">
        <v>21041</v>
      </c>
      <c r="F73" s="17" t="s">
        <v>6879</v>
      </c>
      <c r="G73" s="20" t="s">
        <v>21042</v>
      </c>
      <c r="H73" s="20" t="s">
        <v>21043</v>
      </c>
      <c r="I73" s="17" t="s">
        <v>88</v>
      </c>
      <c r="J73" s="17">
        <v>1</v>
      </c>
      <c r="K73" s="17">
        <v>1</v>
      </c>
      <c r="L73" s="17" t="s">
        <v>21044</v>
      </c>
      <c r="M73" s="19" t="s">
        <v>21045</v>
      </c>
      <c r="N73" s="17" t="s">
        <v>7687</v>
      </c>
      <c r="O73" s="17" t="s">
        <v>21046</v>
      </c>
      <c r="P73" s="17" t="str">
        <f>HYPERLINK("https://photon-sol.tinyastro.io/en/lp/4tEp5G8EpfvzuZNL5oTYfkXD21mhVTbomo4kga6vpump?handle=676050794bc1b1657a56b", "View")</f>
        <v>View</v>
      </c>
    </row>
    <row r="74" spans="1:16" x14ac:dyDescent="0.25">
      <c r="A74" s="13" t="s">
        <v>21047</v>
      </c>
      <c r="B74" s="14">
        <v>57580906</v>
      </c>
      <c r="C74" s="14">
        <v>57580906</v>
      </c>
      <c r="D74" s="14" t="s">
        <v>8762</v>
      </c>
      <c r="E74" s="14" t="s">
        <v>13429</v>
      </c>
      <c r="F74" s="14" t="s">
        <v>21048</v>
      </c>
      <c r="G74" s="22" t="s">
        <v>17061</v>
      </c>
      <c r="H74" s="22" t="s">
        <v>21049</v>
      </c>
      <c r="I74" s="14" t="s">
        <v>88</v>
      </c>
      <c r="J74" s="14">
        <v>1</v>
      </c>
      <c r="K74" s="14">
        <v>1</v>
      </c>
      <c r="L74" s="14" t="s">
        <v>21050</v>
      </c>
      <c r="M74" s="19" t="s">
        <v>4171</v>
      </c>
      <c r="N74" s="14" t="s">
        <v>2316</v>
      </c>
      <c r="O74" s="14" t="s">
        <v>21051</v>
      </c>
      <c r="P74" s="14" t="str">
        <f>HYPERLINK("https://photon-sol.tinyastro.io/en/lp/6KHh21UbaYTkrPkRY9YqnZfGXP2Po5dgphctEnEqpump?handle=676050794bc1b1657a56b", "View")</f>
        <v>View</v>
      </c>
    </row>
    <row r="75" spans="1:16" x14ac:dyDescent="0.25">
      <c r="A75" s="16" t="s">
        <v>21052</v>
      </c>
      <c r="B75" s="17">
        <v>86249508</v>
      </c>
      <c r="C75" s="17">
        <v>86249508</v>
      </c>
      <c r="D75" s="17" t="s">
        <v>8762</v>
      </c>
      <c r="E75" s="17" t="s">
        <v>20923</v>
      </c>
      <c r="F75" s="17" t="s">
        <v>9210</v>
      </c>
      <c r="G75" s="22" t="s">
        <v>18019</v>
      </c>
      <c r="H75" s="22" t="s">
        <v>21053</v>
      </c>
      <c r="I75" s="17" t="s">
        <v>88</v>
      </c>
      <c r="J75" s="17">
        <v>1</v>
      </c>
      <c r="K75" s="17">
        <v>1</v>
      </c>
      <c r="L75" s="17" t="s">
        <v>21054</v>
      </c>
      <c r="M75" s="19" t="s">
        <v>3069</v>
      </c>
      <c r="N75" s="17" t="s">
        <v>3296</v>
      </c>
      <c r="O75" s="17" t="s">
        <v>21055</v>
      </c>
      <c r="P75" s="17" t="str">
        <f>HYPERLINK("https://photon-sol.tinyastro.io/en/lp/CewyDzgbaYfsE6jbYikzYwrCSqXWmZUgboBYGaQ8pump?handle=676050794bc1b1657a56b", "View")</f>
        <v>View</v>
      </c>
    </row>
    <row r="76" spans="1:16" x14ac:dyDescent="0.25">
      <c r="A76" s="13" t="s">
        <v>21056</v>
      </c>
      <c r="B76" s="14">
        <v>62998060</v>
      </c>
      <c r="C76" s="14">
        <v>62998060</v>
      </c>
      <c r="D76" s="14" t="s">
        <v>8762</v>
      </c>
      <c r="E76" s="14" t="s">
        <v>21057</v>
      </c>
      <c r="F76" s="14" t="s">
        <v>7477</v>
      </c>
      <c r="G76" s="20" t="s">
        <v>14882</v>
      </c>
      <c r="H76" s="20" t="s">
        <v>21058</v>
      </c>
      <c r="I76" s="14" t="s">
        <v>88</v>
      </c>
      <c r="J76" s="14">
        <v>1</v>
      </c>
      <c r="K76" s="14">
        <v>1</v>
      </c>
      <c r="L76" s="14" t="s">
        <v>21059</v>
      </c>
      <c r="M76" s="19" t="s">
        <v>2189</v>
      </c>
      <c r="N76" s="14" t="s">
        <v>1667</v>
      </c>
      <c r="O76" s="14" t="s">
        <v>21060</v>
      </c>
      <c r="P76" s="14" t="str">
        <f>HYPERLINK("https://photon-sol.tinyastro.io/en/lp/HFMPhasm9QSV1RPf15FxGmJw8VunK8P3HNFV7kzZbAnN?handle=676050794bc1b1657a56b", "View")</f>
        <v>View</v>
      </c>
    </row>
    <row r="77" spans="1:16" x14ac:dyDescent="0.25">
      <c r="A77" s="16" t="s">
        <v>21052</v>
      </c>
      <c r="B77" s="17">
        <v>6463765</v>
      </c>
      <c r="C77" s="17">
        <v>6463765</v>
      </c>
      <c r="D77" s="17" t="s">
        <v>8762</v>
      </c>
      <c r="E77" s="17" t="s">
        <v>3367</v>
      </c>
      <c r="F77" s="17" t="s">
        <v>8338</v>
      </c>
      <c r="G77" s="20" t="s">
        <v>4962</v>
      </c>
      <c r="H77" s="20" t="s">
        <v>21061</v>
      </c>
      <c r="I77" s="17" t="s">
        <v>88</v>
      </c>
      <c r="J77" s="17">
        <v>1</v>
      </c>
      <c r="K77" s="17">
        <v>1</v>
      </c>
      <c r="L77" s="17" t="s">
        <v>21062</v>
      </c>
      <c r="M77" s="19" t="s">
        <v>20790</v>
      </c>
      <c r="N77" s="17" t="s">
        <v>16638</v>
      </c>
      <c r="O77" s="17" t="s">
        <v>21063</v>
      </c>
      <c r="P77" s="17" t="str">
        <f>HYPERLINK("https://photon-sol.tinyastro.io/en/lp/EsRopjRRKuMhpWdTnTs9WsQZn23JetZ3enLkiVWipump?handle=676050794bc1b1657a56b", "View")</f>
        <v>View</v>
      </c>
    </row>
    <row r="78" spans="1:16" x14ac:dyDescent="0.25">
      <c r="A78" s="13" t="s">
        <v>6642</v>
      </c>
      <c r="B78" s="14">
        <v>88972108</v>
      </c>
      <c r="C78" s="14">
        <v>88972108</v>
      </c>
      <c r="D78" s="14" t="s">
        <v>21064</v>
      </c>
      <c r="E78" s="14" t="s">
        <v>9614</v>
      </c>
      <c r="F78" s="14" t="s">
        <v>21065</v>
      </c>
      <c r="G78" s="21" t="s">
        <v>21066</v>
      </c>
      <c r="H78" s="21" t="s">
        <v>21067</v>
      </c>
      <c r="I78" s="14" t="s">
        <v>88</v>
      </c>
      <c r="J78" s="14">
        <v>1</v>
      </c>
      <c r="K78" s="14">
        <v>1</v>
      </c>
      <c r="L78" s="14" t="s">
        <v>21068</v>
      </c>
      <c r="M78" s="19" t="s">
        <v>2509</v>
      </c>
      <c r="N78" s="14" t="s">
        <v>3384</v>
      </c>
      <c r="O78" s="14" t="s">
        <v>6648</v>
      </c>
      <c r="P78" s="14" t="str">
        <f>HYPERLINK("https://photon-sol.tinyastro.io/en/lp/3jUJuQz8cFweejpxAHCyWwSGAF8BDhr9bDvNhmPLpump?handle=676050794bc1b1657a56b", "View")</f>
        <v>View</v>
      </c>
    </row>
    <row r="79" spans="1:16" x14ac:dyDescent="0.25">
      <c r="A79" s="16" t="s">
        <v>21069</v>
      </c>
      <c r="B79" s="17">
        <v>61112088</v>
      </c>
      <c r="C79" s="17">
        <v>61112088</v>
      </c>
      <c r="D79" s="17" t="s">
        <v>8762</v>
      </c>
      <c r="E79" s="17" t="s">
        <v>9406</v>
      </c>
      <c r="F79" s="17" t="s">
        <v>21070</v>
      </c>
      <c r="G79" s="22" t="s">
        <v>3645</v>
      </c>
      <c r="H79" s="22" t="s">
        <v>21071</v>
      </c>
      <c r="I79" s="17" t="s">
        <v>88</v>
      </c>
      <c r="J79" s="17">
        <v>1</v>
      </c>
      <c r="K79" s="17">
        <v>1</v>
      </c>
      <c r="L79" s="17" t="s">
        <v>21072</v>
      </c>
      <c r="M79" s="19" t="s">
        <v>3069</v>
      </c>
      <c r="N79" s="17" t="s">
        <v>1011</v>
      </c>
      <c r="O79" s="17" t="s">
        <v>21073</v>
      </c>
      <c r="P79" s="17" t="str">
        <f>HYPERLINK("https://photon-sol.tinyastro.io/en/lp/H2usZiLVvPJYLozDHrsFDQLc7qxWsAxNqHaM5WsYpump?handle=676050794bc1b1657a56b", "View")</f>
        <v>View</v>
      </c>
    </row>
    <row r="80" spans="1:16" x14ac:dyDescent="0.25">
      <c r="A80" s="13" t="s">
        <v>8989</v>
      </c>
      <c r="B80" s="14">
        <v>60725730</v>
      </c>
      <c r="C80" s="14">
        <v>60725730</v>
      </c>
      <c r="D80" s="14" t="s">
        <v>8762</v>
      </c>
      <c r="E80" s="14" t="s">
        <v>6778</v>
      </c>
      <c r="F80" s="14" t="s">
        <v>21074</v>
      </c>
      <c r="G80" s="21" t="s">
        <v>21075</v>
      </c>
      <c r="H80" s="21" t="s">
        <v>21076</v>
      </c>
      <c r="I80" s="14" t="s">
        <v>88</v>
      </c>
      <c r="J80" s="14">
        <v>1</v>
      </c>
      <c r="K80" s="14">
        <v>1</v>
      </c>
      <c r="L80" s="14" t="s">
        <v>21077</v>
      </c>
      <c r="M80" s="19" t="s">
        <v>2955</v>
      </c>
      <c r="N80" s="14" t="s">
        <v>3598</v>
      </c>
      <c r="O80" s="14" t="s">
        <v>8994</v>
      </c>
      <c r="P80" s="14" t="str">
        <f>HYPERLINK("https://photon-sol.tinyastro.io/en/lp/9ycHXuZDiP9J5mhckA4Ei6PF7dYKa1MNMKKy7UaGpump?handle=676050794bc1b1657a56b", "View")</f>
        <v>View</v>
      </c>
    </row>
    <row r="81" spans="1:16" x14ac:dyDescent="0.25">
      <c r="A81" s="16" t="s">
        <v>9001</v>
      </c>
      <c r="B81" s="17">
        <v>34048067</v>
      </c>
      <c r="C81" s="17">
        <v>34048067</v>
      </c>
      <c r="D81" s="17" t="s">
        <v>8762</v>
      </c>
      <c r="E81" s="17" t="s">
        <v>12420</v>
      </c>
      <c r="F81" s="17" t="s">
        <v>2333</v>
      </c>
      <c r="G81" s="22" t="s">
        <v>4086</v>
      </c>
      <c r="H81" s="22" t="s">
        <v>21078</v>
      </c>
      <c r="I81" s="17" t="s">
        <v>88</v>
      </c>
      <c r="J81" s="17">
        <v>1</v>
      </c>
      <c r="K81" s="17">
        <v>1</v>
      </c>
      <c r="L81" s="17" t="s">
        <v>21079</v>
      </c>
      <c r="M81" s="19" t="s">
        <v>3076</v>
      </c>
      <c r="N81" s="17" t="s">
        <v>3908</v>
      </c>
      <c r="O81" s="17" t="s">
        <v>21080</v>
      </c>
      <c r="P81" s="17" t="str">
        <f>HYPERLINK("https://photon-sol.tinyastro.io/en/lp/GX21WoLuJJZctuwBb9rGBE38i1EtNNFXqjAsC8mgpump?handle=676050794bc1b1657a56b", "View")</f>
        <v>View</v>
      </c>
    </row>
    <row r="82" spans="1:16" x14ac:dyDescent="0.25">
      <c r="A82" s="13" t="s">
        <v>9020</v>
      </c>
      <c r="B82" s="14">
        <v>49928119</v>
      </c>
      <c r="C82" s="14">
        <v>49928119</v>
      </c>
      <c r="D82" s="14" t="s">
        <v>8762</v>
      </c>
      <c r="E82" s="14" t="s">
        <v>21081</v>
      </c>
      <c r="F82" s="14" t="s">
        <v>21082</v>
      </c>
      <c r="G82" s="20" t="s">
        <v>14814</v>
      </c>
      <c r="H82" s="20" t="s">
        <v>21083</v>
      </c>
      <c r="I82" s="14" t="s">
        <v>88</v>
      </c>
      <c r="J82" s="14">
        <v>1</v>
      </c>
      <c r="K82" s="14">
        <v>1</v>
      </c>
      <c r="L82" s="14" t="s">
        <v>21084</v>
      </c>
      <c r="M82" s="19" t="s">
        <v>3069</v>
      </c>
      <c r="N82" s="14" t="s">
        <v>7819</v>
      </c>
      <c r="O82" s="14" t="s">
        <v>21085</v>
      </c>
      <c r="P82" s="14" t="str">
        <f>HYPERLINK("https://photon-sol.tinyastro.io/en/lp/G2haB7dhfbRvz9LhxP9QcTwcxLWFyvRdvwWrQspBpump?handle=676050794bc1b1657a56b", "View")</f>
        <v>View</v>
      </c>
    </row>
    <row r="83" spans="1:16" x14ac:dyDescent="0.25">
      <c r="A83" s="16" t="s">
        <v>21086</v>
      </c>
      <c r="B83" s="17">
        <v>38575449</v>
      </c>
      <c r="C83" s="17">
        <v>38575449</v>
      </c>
      <c r="D83" s="17" t="s">
        <v>8762</v>
      </c>
      <c r="E83" s="17" t="s">
        <v>21087</v>
      </c>
      <c r="F83" s="17" t="s">
        <v>21088</v>
      </c>
      <c r="G83" s="22" t="s">
        <v>21089</v>
      </c>
      <c r="H83" s="22" t="s">
        <v>21090</v>
      </c>
      <c r="I83" s="17" t="s">
        <v>88</v>
      </c>
      <c r="J83" s="17">
        <v>1</v>
      </c>
      <c r="K83" s="17">
        <v>1</v>
      </c>
      <c r="L83" s="17" t="s">
        <v>21091</v>
      </c>
      <c r="M83" s="19" t="s">
        <v>4171</v>
      </c>
      <c r="N83" s="17" t="s">
        <v>14574</v>
      </c>
      <c r="O83" s="17" t="s">
        <v>21092</v>
      </c>
      <c r="P83" s="17" t="str">
        <f>HYPERLINK("https://photon-sol.tinyastro.io/en/lp/7PCzWWf2raZsYQ6WGAtwea9txZWbJ5L7EZwYhUpApump?handle=676050794bc1b1657a56b", "View")</f>
        <v>View</v>
      </c>
    </row>
    <row r="84" spans="1:16" x14ac:dyDescent="0.25">
      <c r="A84" s="13" t="s">
        <v>21093</v>
      </c>
      <c r="B84" s="14">
        <v>62608173</v>
      </c>
      <c r="C84" s="14">
        <v>62608173</v>
      </c>
      <c r="D84" s="14" t="s">
        <v>8762</v>
      </c>
      <c r="E84" s="14" t="s">
        <v>21094</v>
      </c>
      <c r="F84" s="14" t="s">
        <v>21095</v>
      </c>
      <c r="G84" s="21" t="s">
        <v>6679</v>
      </c>
      <c r="H84" s="21" t="s">
        <v>21096</v>
      </c>
      <c r="I84" s="14" t="s">
        <v>88</v>
      </c>
      <c r="J84" s="14">
        <v>1</v>
      </c>
      <c r="K84" s="14">
        <v>1</v>
      </c>
      <c r="L84" s="14" t="s">
        <v>21097</v>
      </c>
      <c r="M84" s="19" t="s">
        <v>4171</v>
      </c>
      <c r="N84" s="14" t="s">
        <v>21098</v>
      </c>
      <c r="O84" s="14" t="s">
        <v>21099</v>
      </c>
      <c r="P84" s="14" t="str">
        <f>HYPERLINK("https://photon-sol.tinyastro.io/en/lp/EhhdV9bUeKAAB3qMpyQsugP4CGp4fA1e7LQqE1Xpump?handle=676050794bc1b1657a56b", "View")</f>
        <v>View</v>
      </c>
    </row>
    <row r="85" spans="1:16" x14ac:dyDescent="0.25">
      <c r="A85" s="16" t="s">
        <v>21100</v>
      </c>
      <c r="B85" s="17">
        <v>93601410</v>
      </c>
      <c r="C85" s="17">
        <v>93601410</v>
      </c>
      <c r="D85" s="17" t="s">
        <v>8762</v>
      </c>
      <c r="E85" s="17" t="s">
        <v>10784</v>
      </c>
      <c r="F85" s="17" t="s">
        <v>21101</v>
      </c>
      <c r="G85" s="22" t="s">
        <v>21102</v>
      </c>
      <c r="H85" s="22" t="s">
        <v>14608</v>
      </c>
      <c r="I85" s="17" t="s">
        <v>88</v>
      </c>
      <c r="J85" s="17">
        <v>1</v>
      </c>
      <c r="K85" s="17">
        <v>1</v>
      </c>
      <c r="L85" s="17" t="s">
        <v>21103</v>
      </c>
      <c r="M85" s="19" t="s">
        <v>20790</v>
      </c>
      <c r="N85" s="17" t="s">
        <v>3296</v>
      </c>
      <c r="O85" s="17" t="s">
        <v>21104</v>
      </c>
      <c r="P85" s="17" t="str">
        <f>HYPERLINK("https://photon-sol.tinyastro.io/en/lp/7DfhBRC1KAdpycSH58VQhN3AuyNsPDsxiCaRjCdapump?handle=676050794bc1b1657a56b", "View")</f>
        <v>View</v>
      </c>
    </row>
    <row r="86" spans="1:16" x14ac:dyDescent="0.25">
      <c r="A86" s="13" t="s">
        <v>21105</v>
      </c>
      <c r="B86" s="14">
        <v>57406008</v>
      </c>
      <c r="C86" s="14">
        <v>57406008</v>
      </c>
      <c r="D86" s="14" t="s">
        <v>8762</v>
      </c>
      <c r="E86" s="14" t="s">
        <v>9539</v>
      </c>
      <c r="F86" s="14" t="s">
        <v>9222</v>
      </c>
      <c r="G86" s="22" t="s">
        <v>3792</v>
      </c>
      <c r="H86" s="22" t="s">
        <v>21106</v>
      </c>
      <c r="I86" s="14" t="s">
        <v>88</v>
      </c>
      <c r="J86" s="14">
        <v>1</v>
      </c>
      <c r="K86" s="14">
        <v>1</v>
      </c>
      <c r="L86" s="14" t="s">
        <v>21107</v>
      </c>
      <c r="M86" s="19" t="s">
        <v>4171</v>
      </c>
      <c r="N86" s="14" t="s">
        <v>1011</v>
      </c>
      <c r="O86" s="14" t="s">
        <v>21108</v>
      </c>
      <c r="P86" s="14" t="str">
        <f>HYPERLINK("https://photon-sol.tinyastro.io/en/lp/GH8WzSckBr2GhjWjZgVyVb4jSu45kPCdVRbi82D6pump?handle=676050794bc1b1657a56b", "View")</f>
        <v>View</v>
      </c>
    </row>
    <row r="87" spans="1:16" x14ac:dyDescent="0.25">
      <c r="A87" s="16" t="s">
        <v>21109</v>
      </c>
      <c r="B87" s="17">
        <v>52442998</v>
      </c>
      <c r="C87" s="17">
        <v>52442998</v>
      </c>
      <c r="D87" s="17" t="s">
        <v>8762</v>
      </c>
      <c r="E87" s="17" t="s">
        <v>21110</v>
      </c>
      <c r="F87" s="17" t="s">
        <v>21111</v>
      </c>
      <c r="G87" s="20" t="s">
        <v>21112</v>
      </c>
      <c r="H87" s="20" t="s">
        <v>8570</v>
      </c>
      <c r="I87" s="17" t="s">
        <v>88</v>
      </c>
      <c r="J87" s="17">
        <v>1</v>
      </c>
      <c r="K87" s="17">
        <v>1</v>
      </c>
      <c r="L87" s="17" t="s">
        <v>21113</v>
      </c>
      <c r="M87" s="19" t="s">
        <v>1760</v>
      </c>
      <c r="N87" s="17" t="s">
        <v>1706</v>
      </c>
      <c r="O87" s="17" t="s">
        <v>21114</v>
      </c>
      <c r="P87" s="17" t="str">
        <f>HYPERLINK("https://photon-sol.tinyastro.io/en/lp/Sy62iXPSPYhsVKpAJvek4abq7nUZEUUPxonJXg6pump?handle=676050794bc1b1657a56b", "View")</f>
        <v>View</v>
      </c>
    </row>
    <row r="88" spans="1:16" x14ac:dyDescent="0.25">
      <c r="A88" s="13" t="s">
        <v>5571</v>
      </c>
      <c r="B88" s="14">
        <v>27806479</v>
      </c>
      <c r="C88" s="14">
        <v>27806479</v>
      </c>
      <c r="D88" s="14" t="s">
        <v>8762</v>
      </c>
      <c r="E88" s="14" t="s">
        <v>21115</v>
      </c>
      <c r="F88" s="14" t="s">
        <v>14028</v>
      </c>
      <c r="G88" s="21" t="s">
        <v>21116</v>
      </c>
      <c r="H88" s="21" t="s">
        <v>21117</v>
      </c>
      <c r="I88" s="14" t="s">
        <v>88</v>
      </c>
      <c r="J88" s="14">
        <v>1</v>
      </c>
      <c r="K88" s="14">
        <v>1</v>
      </c>
      <c r="L88" s="14" t="s">
        <v>21118</v>
      </c>
      <c r="M88" s="19" t="s">
        <v>2955</v>
      </c>
      <c r="N88" s="14" t="s">
        <v>8752</v>
      </c>
      <c r="O88" s="14" t="s">
        <v>21119</v>
      </c>
      <c r="P88" s="14" t="str">
        <f>HYPERLINK("https://photon-sol.tinyastro.io/en/lp/6fwWweWz2NwbcUhFWFfvmf6t74cw2wBCeKmsqiHbpump?handle=676050794bc1b1657a56b", "View")</f>
        <v>View</v>
      </c>
    </row>
    <row r="89" spans="1:16" x14ac:dyDescent="0.25">
      <c r="A89" s="16" t="s">
        <v>21120</v>
      </c>
      <c r="B89" s="17">
        <v>63024194</v>
      </c>
      <c r="C89" s="17">
        <v>63024194</v>
      </c>
      <c r="D89" s="17" t="s">
        <v>8762</v>
      </c>
      <c r="E89" s="17" t="s">
        <v>21121</v>
      </c>
      <c r="F89" s="17" t="s">
        <v>21122</v>
      </c>
      <c r="G89" s="22" t="s">
        <v>17509</v>
      </c>
      <c r="H89" s="22" t="s">
        <v>21123</v>
      </c>
      <c r="I89" s="17" t="s">
        <v>88</v>
      </c>
      <c r="J89" s="17">
        <v>1</v>
      </c>
      <c r="K89" s="17">
        <v>1</v>
      </c>
      <c r="L89" s="17" t="s">
        <v>21124</v>
      </c>
      <c r="M89" s="19" t="s">
        <v>3069</v>
      </c>
      <c r="N89" s="17" t="s">
        <v>2278</v>
      </c>
      <c r="O89" s="17" t="s">
        <v>21125</v>
      </c>
      <c r="P89" s="17" t="str">
        <f>HYPERLINK("https://photon-sol.tinyastro.io/en/lp/Gidur9smXtqCKd2kHXEipWASpcdrs1rubX7FbVWspump?handle=676050794bc1b1657a56b", "View")</f>
        <v>View</v>
      </c>
    </row>
    <row r="90" spans="1:16" x14ac:dyDescent="0.25">
      <c r="A90" s="13" t="s">
        <v>9229</v>
      </c>
      <c r="B90" s="14">
        <v>54024073</v>
      </c>
      <c r="C90" s="14">
        <v>54024073</v>
      </c>
      <c r="D90" s="14" t="s">
        <v>21126</v>
      </c>
      <c r="E90" s="14" t="s">
        <v>21127</v>
      </c>
      <c r="F90" s="14" t="s">
        <v>21128</v>
      </c>
      <c r="G90" s="22" t="s">
        <v>21129</v>
      </c>
      <c r="H90" s="22" t="s">
        <v>21130</v>
      </c>
      <c r="I90" s="14" t="s">
        <v>88</v>
      </c>
      <c r="J90" s="14">
        <v>1</v>
      </c>
      <c r="K90" s="14">
        <v>1</v>
      </c>
      <c r="L90" s="14" t="s">
        <v>21131</v>
      </c>
      <c r="M90" s="19" t="s">
        <v>2486</v>
      </c>
      <c r="N90" s="14" t="s">
        <v>3296</v>
      </c>
      <c r="O90" s="14" t="s">
        <v>21132</v>
      </c>
      <c r="P90" s="14" t="str">
        <f>HYPERLINK("https://photon-sol.tinyastro.io/en/lp/23hvoMuPmF7qYcEA7AGk3RCYndiLSepJMeomEU6Dpump?handle=676050794bc1b1657a56b", "View")</f>
        <v>View</v>
      </c>
    </row>
    <row r="91" spans="1:16" x14ac:dyDescent="0.25">
      <c r="A91" s="16" t="s">
        <v>21133</v>
      </c>
      <c r="B91" s="17">
        <v>81162947</v>
      </c>
      <c r="C91" s="17">
        <v>81162947</v>
      </c>
      <c r="D91" s="17" t="s">
        <v>8762</v>
      </c>
      <c r="E91" s="17" t="s">
        <v>21134</v>
      </c>
      <c r="F91" s="17" t="s">
        <v>21135</v>
      </c>
      <c r="G91" s="20" t="s">
        <v>21136</v>
      </c>
      <c r="H91" s="20" t="s">
        <v>21137</v>
      </c>
      <c r="I91" s="17" t="s">
        <v>88</v>
      </c>
      <c r="J91" s="17">
        <v>1</v>
      </c>
      <c r="K91" s="17">
        <v>1</v>
      </c>
      <c r="L91" s="17" t="s">
        <v>21138</v>
      </c>
      <c r="M91" s="19" t="s">
        <v>3069</v>
      </c>
      <c r="N91" s="17" t="s">
        <v>1706</v>
      </c>
      <c r="O91" s="17" t="s">
        <v>21139</v>
      </c>
      <c r="P91" s="17" t="str">
        <f>HYPERLINK("https://photon-sol.tinyastro.io/en/lp/Ccc9N3nGL7yYHBbYbNifWQSN5McqkkT7JV9E2viCpump?handle=676050794bc1b1657a56b", "View")</f>
        <v>View</v>
      </c>
    </row>
    <row r="92" spans="1:16" x14ac:dyDescent="0.25">
      <c r="A92" s="13" t="s">
        <v>15136</v>
      </c>
      <c r="B92" s="14">
        <v>61112088</v>
      </c>
      <c r="C92" s="14">
        <v>61112088</v>
      </c>
      <c r="D92" s="14" t="s">
        <v>8762</v>
      </c>
      <c r="E92" s="14" t="s">
        <v>16188</v>
      </c>
      <c r="F92" s="14" t="s">
        <v>21140</v>
      </c>
      <c r="G92" s="22" t="s">
        <v>3699</v>
      </c>
      <c r="H92" s="22" t="s">
        <v>21141</v>
      </c>
      <c r="I92" s="14" t="s">
        <v>88</v>
      </c>
      <c r="J92" s="14">
        <v>1</v>
      </c>
      <c r="K92" s="14">
        <v>1</v>
      </c>
      <c r="L92" s="14" t="s">
        <v>21142</v>
      </c>
      <c r="M92" s="19" t="s">
        <v>3069</v>
      </c>
      <c r="N92" s="14" t="s">
        <v>21143</v>
      </c>
      <c r="O92" s="14" t="s">
        <v>21144</v>
      </c>
      <c r="P92" s="14" t="str">
        <f>HYPERLINK("https://photon-sol.tinyastro.io/en/lp/F3zJzRbdGJUC4PKhZPpokttpesZTgRcVPDWrDGg6pump?handle=676050794bc1b1657a56b", "View")</f>
        <v>View</v>
      </c>
    </row>
    <row r="93" spans="1:16" x14ac:dyDescent="0.25">
      <c r="A93" s="16" t="s">
        <v>21145</v>
      </c>
      <c r="B93" s="17">
        <v>63099752</v>
      </c>
      <c r="C93" s="17">
        <v>63099752</v>
      </c>
      <c r="D93" s="17" t="s">
        <v>21146</v>
      </c>
      <c r="E93" s="17" t="s">
        <v>21147</v>
      </c>
      <c r="F93" s="17" t="s">
        <v>9141</v>
      </c>
      <c r="G93" s="20" t="s">
        <v>21148</v>
      </c>
      <c r="H93" s="20" t="s">
        <v>21149</v>
      </c>
      <c r="I93" s="17" t="s">
        <v>88</v>
      </c>
      <c r="J93" s="17">
        <v>1</v>
      </c>
      <c r="K93" s="17">
        <v>1</v>
      </c>
      <c r="L93" s="17" t="s">
        <v>21150</v>
      </c>
      <c r="M93" s="17" t="s">
        <v>680</v>
      </c>
      <c r="N93" s="17" t="s">
        <v>2585</v>
      </c>
      <c r="O93" s="17" t="s">
        <v>21151</v>
      </c>
      <c r="P93" s="17" t="str">
        <f>HYPERLINK("https://photon-sol.tinyastro.io/en/lp/D2DXxC1sNAaYKDHZYZpxx8gx3ye6hFESLQ3f8acEpump?handle=676050794bc1b1657a56b", "View")</f>
        <v>View</v>
      </c>
    </row>
    <row r="94" spans="1:16" x14ac:dyDescent="0.25">
      <c r="A94" s="13" t="s">
        <v>18096</v>
      </c>
      <c r="B94" s="14">
        <v>50791885</v>
      </c>
      <c r="C94" s="14">
        <v>50791885</v>
      </c>
      <c r="D94" s="14" t="s">
        <v>8762</v>
      </c>
      <c r="E94" s="14" t="s">
        <v>21152</v>
      </c>
      <c r="F94" s="14" t="s">
        <v>21153</v>
      </c>
      <c r="G94" s="20" t="s">
        <v>12072</v>
      </c>
      <c r="H94" s="20" t="s">
        <v>21154</v>
      </c>
      <c r="I94" s="14" t="s">
        <v>88</v>
      </c>
      <c r="J94" s="14">
        <v>1</v>
      </c>
      <c r="K94" s="14">
        <v>1</v>
      </c>
      <c r="L94" s="14" t="s">
        <v>21155</v>
      </c>
      <c r="M94" s="19" t="s">
        <v>4171</v>
      </c>
      <c r="N94" s="14" t="s">
        <v>21156</v>
      </c>
      <c r="O94" s="14" t="s">
        <v>18100</v>
      </c>
      <c r="P94" s="14" t="str">
        <f>HYPERLINK("https://photon-sol.tinyastro.io/en/lp/E43RfRz9toQWpFBuqRHX11chqDzjchq2WpMRa76apump?handle=676050794bc1b1657a56b", "View")</f>
        <v>View</v>
      </c>
    </row>
    <row r="95" spans="1:16" x14ac:dyDescent="0.25">
      <c r="A95" s="16" t="s">
        <v>21157</v>
      </c>
      <c r="B95" s="17">
        <v>91671554</v>
      </c>
      <c r="C95" s="17">
        <v>91671554</v>
      </c>
      <c r="D95" s="17" t="s">
        <v>21158</v>
      </c>
      <c r="E95" s="17" t="s">
        <v>21159</v>
      </c>
      <c r="F95" s="17" t="s">
        <v>21160</v>
      </c>
      <c r="G95" s="20" t="s">
        <v>20641</v>
      </c>
      <c r="H95" s="20" t="s">
        <v>21161</v>
      </c>
      <c r="I95" s="17" t="s">
        <v>88</v>
      </c>
      <c r="J95" s="17">
        <v>1</v>
      </c>
      <c r="K95" s="17">
        <v>1</v>
      </c>
      <c r="L95" s="17" t="s">
        <v>21162</v>
      </c>
      <c r="M95" s="19" t="s">
        <v>1948</v>
      </c>
      <c r="N95" s="17" t="s">
        <v>1980</v>
      </c>
      <c r="O95" s="17" t="s">
        <v>21163</v>
      </c>
      <c r="P95" s="17" t="str">
        <f>HYPERLINK("https://photon-sol.tinyastro.io/en/lp/72CYn6EbjFbHVhdt6segqUbZgZGRFF9Nw6BkKwoSpump?handle=676050794bc1b1657a56b", "View")</f>
        <v>View</v>
      </c>
    </row>
    <row r="96" spans="1:16" x14ac:dyDescent="0.25">
      <c r="A96" s="13" t="s">
        <v>21164</v>
      </c>
      <c r="B96" s="14">
        <v>54024073</v>
      </c>
      <c r="C96" s="14">
        <v>54024073</v>
      </c>
      <c r="D96" s="14" t="s">
        <v>8762</v>
      </c>
      <c r="E96" s="14" t="s">
        <v>21165</v>
      </c>
      <c r="F96" s="14" t="s">
        <v>3241</v>
      </c>
      <c r="G96" s="20" t="s">
        <v>3571</v>
      </c>
      <c r="H96" s="20" t="s">
        <v>21166</v>
      </c>
      <c r="I96" s="14" t="s">
        <v>88</v>
      </c>
      <c r="J96" s="14">
        <v>1</v>
      </c>
      <c r="K96" s="14">
        <v>1</v>
      </c>
      <c r="L96" s="14" t="s">
        <v>21167</v>
      </c>
      <c r="M96" s="19" t="s">
        <v>3069</v>
      </c>
      <c r="N96" s="14" t="s">
        <v>1011</v>
      </c>
      <c r="O96" s="14" t="s">
        <v>21168</v>
      </c>
      <c r="P96" s="14" t="str">
        <f>HYPERLINK("https://photon-sol.tinyastro.io/en/lp/5rHu5UEKyorb2Fz5qBes16GwRt8DSiPyGMVpshtcpump?handle=676050794bc1b1657a56b", "View")</f>
        <v>View</v>
      </c>
    </row>
    <row r="97" spans="1:16" x14ac:dyDescent="0.25">
      <c r="A97" s="16" t="s">
        <v>10542</v>
      </c>
      <c r="B97" s="17">
        <v>59216017</v>
      </c>
      <c r="C97" s="17">
        <v>59216017</v>
      </c>
      <c r="D97" s="17" t="s">
        <v>21169</v>
      </c>
      <c r="E97" s="17" t="s">
        <v>21170</v>
      </c>
      <c r="F97" s="17" t="s">
        <v>21171</v>
      </c>
      <c r="G97" s="20" t="s">
        <v>21172</v>
      </c>
      <c r="H97" s="20" t="s">
        <v>12416</v>
      </c>
      <c r="I97" s="17" t="s">
        <v>88</v>
      </c>
      <c r="J97" s="17">
        <v>1</v>
      </c>
      <c r="K97" s="17">
        <v>1</v>
      </c>
      <c r="L97" s="17" t="s">
        <v>21173</v>
      </c>
      <c r="M97" s="19" t="s">
        <v>2486</v>
      </c>
      <c r="N97" s="17" t="s">
        <v>1011</v>
      </c>
      <c r="O97" s="17" t="s">
        <v>21174</v>
      </c>
      <c r="P97" s="17" t="str">
        <f>HYPERLINK("https://photon-sol.tinyastro.io/en/lp/J3jRvZbneZTDz54Prf7SB9pgHt1JZV2TkFgxocBYpump?handle=676050794bc1b1657a56b", "View")</f>
        <v>View</v>
      </c>
    </row>
    <row r="98" spans="1:16" x14ac:dyDescent="0.25">
      <c r="A98" s="13" t="s">
        <v>21175</v>
      </c>
      <c r="B98" s="14">
        <v>61491142</v>
      </c>
      <c r="C98" s="14">
        <v>61491142</v>
      </c>
      <c r="D98" s="14" t="s">
        <v>21176</v>
      </c>
      <c r="E98" s="14" t="s">
        <v>14443</v>
      </c>
      <c r="F98" s="14" t="s">
        <v>21177</v>
      </c>
      <c r="G98" s="20" t="s">
        <v>21178</v>
      </c>
      <c r="H98" s="20" t="s">
        <v>21179</v>
      </c>
      <c r="I98" s="14" t="s">
        <v>88</v>
      </c>
      <c r="J98" s="14">
        <v>1</v>
      </c>
      <c r="K98" s="14">
        <v>1</v>
      </c>
      <c r="L98" s="14" t="s">
        <v>21180</v>
      </c>
      <c r="M98" s="19" t="s">
        <v>2350</v>
      </c>
      <c r="N98" s="14" t="s">
        <v>2585</v>
      </c>
      <c r="O98" s="14" t="s">
        <v>21181</v>
      </c>
      <c r="P98" s="14" t="str">
        <f>HYPERLINK("https://photon-sol.tinyastro.io/en/lp/AGMB8FmJV2PE4vpUQFUh2o4YMFe4djoLVRzjdstzpump?handle=676050794bc1b1657a56b", "View")</f>
        <v>View</v>
      </c>
    </row>
    <row r="99" spans="1:16" x14ac:dyDescent="0.25">
      <c r="A99" s="16" t="s">
        <v>21182</v>
      </c>
      <c r="B99" s="17">
        <v>60996094</v>
      </c>
      <c r="C99" s="17">
        <v>60996094</v>
      </c>
      <c r="D99" s="17" t="s">
        <v>8762</v>
      </c>
      <c r="E99" s="17" t="s">
        <v>21183</v>
      </c>
      <c r="F99" s="17" t="s">
        <v>21184</v>
      </c>
      <c r="G99" s="22" t="s">
        <v>1884</v>
      </c>
      <c r="H99" s="22" t="s">
        <v>12496</v>
      </c>
      <c r="I99" s="17" t="s">
        <v>88</v>
      </c>
      <c r="J99" s="17">
        <v>1</v>
      </c>
      <c r="K99" s="17">
        <v>1</v>
      </c>
      <c r="L99" s="17" t="s">
        <v>21185</v>
      </c>
      <c r="M99" s="19" t="s">
        <v>3076</v>
      </c>
      <c r="N99" s="17" t="s">
        <v>1980</v>
      </c>
      <c r="O99" s="17" t="s">
        <v>21186</v>
      </c>
      <c r="P99" s="17" t="str">
        <f>HYPERLINK("https://photon-sol.tinyastro.io/en/lp/5oCYTPLznNrFp6n32cE3gtJvF1xn1LBkLiJzzUXfpump?handle=676050794bc1b1657a56b", "View")</f>
        <v>View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7273-34DF-48F9-A5C6-ADAF4B4F1C53}">
  <dimension ref="A1:P3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HYPERLINK("https://gmgn.ai/sol/address/5uVSrj7GCLJjgrZQgPGch7xLDQaZsPmKDs7yEW4iQ4jE", "GMGN")</f>
        <v>GMGN</v>
      </c>
    </row>
    <row r="2" spans="1:14" x14ac:dyDescent="0.25">
      <c r="A2" s="3" t="s">
        <v>21187</v>
      </c>
      <c r="B2" s="3" t="s">
        <v>21188</v>
      </c>
      <c r="C2" s="3" t="s">
        <v>15652</v>
      </c>
      <c r="D2" s="3" t="s">
        <v>21189</v>
      </c>
      <c r="E2" s="3" t="s">
        <v>21190</v>
      </c>
      <c r="F2" s="3" t="s">
        <v>21191</v>
      </c>
      <c r="G2" s="3" t="s">
        <v>18</v>
      </c>
      <c r="H2" s="3">
        <v>15</v>
      </c>
      <c r="I2" s="3">
        <v>0</v>
      </c>
      <c r="J2" s="3" t="s">
        <v>4437</v>
      </c>
      <c r="K2" s="3" t="s">
        <v>20378</v>
      </c>
      <c r="L2" s="3">
        <v>7</v>
      </c>
      <c r="M2" s="3">
        <v>15</v>
      </c>
      <c r="N2" s="3" t="str">
        <f>HYPERLINK("https://solscan.io/account/5uVSrj7GCLJjgrZQgPGch7xLDQaZsPmKDs7yEW4iQ4jE", "Solscan")</f>
        <v>Solscan</v>
      </c>
    </row>
    <row r="3" spans="1:14" x14ac:dyDescent="0.25">
      <c r="A3" s="1" t="s">
        <v>21</v>
      </c>
      <c r="B3" s="4" t="s">
        <v>13817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HYPERLINK("https://birdeye.so/profile/5uVSrj7GCLJjgrZQgPGch7xLDQaZsPmKDs7yEW4iQ4jE", "Birdeye")</f>
        <v>Birdeye</v>
      </c>
    </row>
    <row r="4" spans="1:14" x14ac:dyDescent="0.25">
      <c r="A4" s="1" t="s">
        <v>25</v>
      </c>
      <c r="B4" s="3" t="s">
        <v>4714</v>
      </c>
      <c r="C4" s="3"/>
      <c r="D4" s="3" t="s">
        <v>21192</v>
      </c>
      <c r="E4" s="3" t="s">
        <v>21193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14174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21194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1</v>
      </c>
      <c r="E10" s="1">
        <v>1</v>
      </c>
      <c r="F10" s="1">
        <v>4</v>
      </c>
      <c r="G10" s="1">
        <v>5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21195</v>
      </c>
      <c r="C11" s="1" t="s">
        <v>21196</v>
      </c>
      <c r="D11" s="1" t="s">
        <v>21195</v>
      </c>
      <c r="E11" s="1" t="s">
        <v>21195</v>
      </c>
      <c r="F11" s="1" t="s">
        <v>20141</v>
      </c>
      <c r="G11" s="1" t="s">
        <v>9642</v>
      </c>
      <c r="H11" s="3"/>
      <c r="I11" s="3" t="s">
        <v>50</v>
      </c>
      <c r="J11" s="3" t="s">
        <v>8461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21197</v>
      </c>
      <c r="C12" s="1" t="s">
        <v>21198</v>
      </c>
      <c r="D12" s="1" t="s">
        <v>17859</v>
      </c>
      <c r="E12" s="1" t="s">
        <v>8327</v>
      </c>
      <c r="F12" s="1" t="s">
        <v>16604</v>
      </c>
      <c r="G12" s="1" t="s">
        <v>21199</v>
      </c>
      <c r="H12" s="3"/>
      <c r="I12" s="3" t="s">
        <v>59</v>
      </c>
      <c r="J12" s="3" t="s">
        <v>1583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1792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21200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749037</v>
      </c>
      <c r="C20" s="14">
        <v>749037</v>
      </c>
      <c r="D20" s="14" t="s">
        <v>16054</v>
      </c>
      <c r="E20" s="14" t="s">
        <v>1457</v>
      </c>
      <c r="F20" s="14" t="s">
        <v>14230</v>
      </c>
      <c r="G20" s="21" t="s">
        <v>13670</v>
      </c>
      <c r="H20" s="21" t="s">
        <v>2803</v>
      </c>
      <c r="I20" s="14" t="s">
        <v>88</v>
      </c>
      <c r="J20" s="14">
        <v>1</v>
      </c>
      <c r="K20" s="14">
        <v>2</v>
      </c>
      <c r="L20" s="14" t="s">
        <v>21201</v>
      </c>
      <c r="M20" s="14" t="s">
        <v>364</v>
      </c>
      <c r="N20" s="14" t="s">
        <v>21202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20393</v>
      </c>
      <c r="B21" s="17">
        <v>2938983</v>
      </c>
      <c r="C21" s="17">
        <v>2938983</v>
      </c>
      <c r="D21" s="17" t="s">
        <v>21203</v>
      </c>
      <c r="E21" s="17" t="s">
        <v>2390</v>
      </c>
      <c r="F21" s="17" t="s">
        <v>21204</v>
      </c>
      <c r="G21" s="21" t="s">
        <v>21205</v>
      </c>
      <c r="H21" s="21" t="s">
        <v>21206</v>
      </c>
      <c r="I21" s="17" t="s">
        <v>88</v>
      </c>
      <c r="J21" s="17">
        <v>2</v>
      </c>
      <c r="K21" s="17">
        <v>6</v>
      </c>
      <c r="L21" s="17" t="s">
        <v>21207</v>
      </c>
      <c r="M21" s="17" t="s">
        <v>132</v>
      </c>
      <c r="N21" s="17" t="s">
        <v>21208</v>
      </c>
      <c r="O21" s="17" t="s">
        <v>20399</v>
      </c>
      <c r="P21" s="17" t="str">
        <f>HYPERLINK("https://dexscreener.com/solana/DtWz93pDUZe5cYqBFmZjXq1wzZqZPygCeox5d3ajpump", "View")</f>
        <v>View</v>
      </c>
    </row>
    <row r="22" spans="1:16" x14ac:dyDescent="0.25">
      <c r="A22" s="13" t="s">
        <v>20393</v>
      </c>
      <c r="B22" s="14">
        <v>1782874</v>
      </c>
      <c r="C22" s="14">
        <v>1782874</v>
      </c>
      <c r="D22" s="14" t="s">
        <v>9682</v>
      </c>
      <c r="E22" s="14" t="s">
        <v>569</v>
      </c>
      <c r="F22" s="14" t="s">
        <v>3556</v>
      </c>
      <c r="G22" s="15" t="s">
        <v>21209</v>
      </c>
      <c r="H22" s="15" t="s">
        <v>21210</v>
      </c>
      <c r="I22" s="14" t="s">
        <v>88</v>
      </c>
      <c r="J22" s="14">
        <v>2</v>
      </c>
      <c r="K22" s="14">
        <v>1</v>
      </c>
      <c r="L22" s="14" t="s">
        <v>20402</v>
      </c>
      <c r="M22" s="14" t="s">
        <v>1642</v>
      </c>
      <c r="N22" s="14" t="s">
        <v>21211</v>
      </c>
      <c r="O22" s="14" t="s">
        <v>20404</v>
      </c>
      <c r="P22" s="14" t="str">
        <f>HYPERLINK("https://dexscreener.com/solana/BZasDyB47q8t4TsBDz1QzMEtji5NKcgGD7mWBRjMpump", "View")</f>
        <v>View</v>
      </c>
    </row>
    <row r="23" spans="1:16" x14ac:dyDescent="0.25">
      <c r="A23" s="16" t="s">
        <v>12637</v>
      </c>
      <c r="B23" s="17">
        <v>27411138</v>
      </c>
      <c r="C23" s="17">
        <v>27411138</v>
      </c>
      <c r="D23" s="17" t="s">
        <v>17065</v>
      </c>
      <c r="E23" s="17" t="s">
        <v>20799</v>
      </c>
      <c r="F23" s="17" t="s">
        <v>21212</v>
      </c>
      <c r="G23" s="20" t="s">
        <v>3866</v>
      </c>
      <c r="H23" s="20" t="s">
        <v>21213</v>
      </c>
      <c r="I23" s="17" t="s">
        <v>88</v>
      </c>
      <c r="J23" s="17">
        <v>1</v>
      </c>
      <c r="K23" s="17">
        <v>1</v>
      </c>
      <c r="L23" s="17" t="s">
        <v>21214</v>
      </c>
      <c r="M23" s="17" t="s">
        <v>1566</v>
      </c>
      <c r="N23" s="17" t="s">
        <v>21215</v>
      </c>
      <c r="O23" s="17" t="s">
        <v>12641</v>
      </c>
      <c r="P23" s="17" t="str">
        <f>HYPERLINK("https://photon-sol.tinyastro.io/en/lp/FsThuk1gzeHKyqLcMHNdaArf2V714X63csc6fhFLpump?handle=676050794bc1b1657a56b", "View")</f>
        <v>View</v>
      </c>
    </row>
    <row r="24" spans="1:16" x14ac:dyDescent="0.25">
      <c r="A24" s="13" t="s">
        <v>12637</v>
      </c>
      <c r="B24" s="14">
        <v>45830692</v>
      </c>
      <c r="C24" s="14">
        <v>45830692</v>
      </c>
      <c r="D24" s="14" t="s">
        <v>15598</v>
      </c>
      <c r="E24" s="14" t="s">
        <v>2375</v>
      </c>
      <c r="F24" s="14" t="s">
        <v>12782</v>
      </c>
      <c r="G24" s="20" t="s">
        <v>21216</v>
      </c>
      <c r="H24" s="20" t="s">
        <v>21217</v>
      </c>
      <c r="I24" s="14" t="s">
        <v>88</v>
      </c>
      <c r="J24" s="14">
        <v>1</v>
      </c>
      <c r="K24" s="14">
        <v>1</v>
      </c>
      <c r="L24" s="14" t="s">
        <v>20407</v>
      </c>
      <c r="M24" s="19" t="s">
        <v>2915</v>
      </c>
      <c r="N24" s="14" t="s">
        <v>21218</v>
      </c>
      <c r="O24" s="14" t="s">
        <v>20409</v>
      </c>
      <c r="P24" s="14" t="str">
        <f>HYPERLINK("https://dexscreener.com/solana/39WcEuRp1poYHyjEtDVXA5vcy85F7gy6UurEL157pump", "View")</f>
        <v>View</v>
      </c>
    </row>
    <row r="25" spans="1:16" x14ac:dyDescent="0.25">
      <c r="A25" s="16" t="s">
        <v>21219</v>
      </c>
      <c r="B25" s="17">
        <v>1213876</v>
      </c>
      <c r="C25" s="17">
        <v>1213876</v>
      </c>
      <c r="D25" s="17" t="s">
        <v>19035</v>
      </c>
      <c r="E25" s="17" t="s">
        <v>569</v>
      </c>
      <c r="F25" s="17" t="s">
        <v>17833</v>
      </c>
      <c r="G25" s="15" t="s">
        <v>21220</v>
      </c>
      <c r="H25" s="15" t="s">
        <v>21221</v>
      </c>
      <c r="I25" s="17" t="s">
        <v>88</v>
      </c>
      <c r="J25" s="17">
        <v>1</v>
      </c>
      <c r="K25" s="17">
        <v>1</v>
      </c>
      <c r="L25" s="17" t="s">
        <v>21222</v>
      </c>
      <c r="M25" s="17" t="s">
        <v>9948</v>
      </c>
      <c r="N25" s="17" t="s">
        <v>21223</v>
      </c>
      <c r="O25" s="17" t="s">
        <v>21224</v>
      </c>
      <c r="P25" s="17" t="str">
        <f>HYPERLINK("https://dexscreener.com/solana/6Z8FyduQMGYtM25QhX3BB3FTLK7WuJzcF2QmKV7mpump", "View")</f>
        <v>View</v>
      </c>
    </row>
    <row r="26" spans="1:16" x14ac:dyDescent="0.25">
      <c r="A26" s="13" t="s">
        <v>20410</v>
      </c>
      <c r="B26" s="14">
        <v>1171373</v>
      </c>
      <c r="C26" s="14">
        <v>1171373</v>
      </c>
      <c r="D26" s="14" t="s">
        <v>17173</v>
      </c>
      <c r="E26" s="14" t="s">
        <v>2390</v>
      </c>
      <c r="F26" s="14" t="s">
        <v>21225</v>
      </c>
      <c r="G26" s="21" t="s">
        <v>21226</v>
      </c>
      <c r="H26" s="21" t="s">
        <v>21227</v>
      </c>
      <c r="I26" s="14" t="s">
        <v>88</v>
      </c>
      <c r="J26" s="14">
        <v>5</v>
      </c>
      <c r="K26" s="14">
        <v>2</v>
      </c>
      <c r="L26" s="14" t="s">
        <v>21228</v>
      </c>
      <c r="M26" s="14" t="s">
        <v>132</v>
      </c>
      <c r="N26" s="14" t="s">
        <v>21229</v>
      </c>
      <c r="O26" s="14" t="s">
        <v>20417</v>
      </c>
      <c r="P26" s="14" t="str">
        <f>HYPERLINK("https://dexscreener.com/solana/BhbfgSh5P742DE5eMx24iZXNZeD2vNRFBZe3EP9Mpump", "View")</f>
        <v>View</v>
      </c>
    </row>
    <row r="27" spans="1:16" x14ac:dyDescent="0.25">
      <c r="A27" s="16" t="s">
        <v>10378</v>
      </c>
      <c r="B27" s="17">
        <v>183144</v>
      </c>
      <c r="C27" s="17">
        <v>183144</v>
      </c>
      <c r="D27" s="17" t="s">
        <v>9682</v>
      </c>
      <c r="E27" s="17" t="s">
        <v>5459</v>
      </c>
      <c r="F27" s="17" t="s">
        <v>13547</v>
      </c>
      <c r="G27" s="20" t="s">
        <v>2135</v>
      </c>
      <c r="H27" s="20" t="s">
        <v>13817</v>
      </c>
      <c r="I27" s="17" t="s">
        <v>88</v>
      </c>
      <c r="J27" s="17">
        <v>2</v>
      </c>
      <c r="K27" s="17">
        <v>2</v>
      </c>
      <c r="L27" s="17" t="s">
        <v>20420</v>
      </c>
      <c r="M27" s="17" t="s">
        <v>5061</v>
      </c>
      <c r="N27" s="17" t="s">
        <v>21230</v>
      </c>
      <c r="O27" s="17" t="s">
        <v>10382</v>
      </c>
      <c r="P27" s="17" t="str">
        <f>HYPERLINK("https://dexscreener.com/solana/Er2mtAhfbZUWbLhxY3ShN5Prj2DrnGjy6d8FYoMXpump", "View")</f>
        <v>View</v>
      </c>
    </row>
    <row r="28" spans="1:16" x14ac:dyDescent="0.25">
      <c r="A28" s="13" t="s">
        <v>20422</v>
      </c>
      <c r="B28" s="14">
        <v>2714485</v>
      </c>
      <c r="C28" s="14">
        <v>2714485</v>
      </c>
      <c r="D28" s="14" t="s">
        <v>21231</v>
      </c>
      <c r="E28" s="14" t="s">
        <v>2390</v>
      </c>
      <c r="F28" s="14" t="s">
        <v>21232</v>
      </c>
      <c r="G28" s="20" t="s">
        <v>21233</v>
      </c>
      <c r="H28" s="20" t="s">
        <v>21234</v>
      </c>
      <c r="I28" s="14" t="s">
        <v>88</v>
      </c>
      <c r="J28" s="14">
        <v>3</v>
      </c>
      <c r="K28" s="14">
        <v>1</v>
      </c>
      <c r="L28" s="14" t="s">
        <v>21235</v>
      </c>
      <c r="M28" s="14" t="s">
        <v>5729</v>
      </c>
      <c r="N28" s="14" t="s">
        <v>21236</v>
      </c>
      <c r="O28" s="14" t="s">
        <v>20425</v>
      </c>
      <c r="P28" s="14" t="str">
        <f>HYPERLINK("https://dexscreener.com/solana/54A7rix3sh5n3hKpZ1VMABLAqrnod8PUCs5AXVsGpump", "View")</f>
        <v>View</v>
      </c>
    </row>
    <row r="29" spans="1:16" x14ac:dyDescent="0.25">
      <c r="A29" s="16" t="s">
        <v>20196</v>
      </c>
      <c r="B29" s="17">
        <v>21349260</v>
      </c>
      <c r="C29" s="17">
        <v>21349260</v>
      </c>
      <c r="D29" s="17" t="s">
        <v>10517</v>
      </c>
      <c r="E29" s="17" t="s">
        <v>21237</v>
      </c>
      <c r="F29" s="17" t="s">
        <v>21238</v>
      </c>
      <c r="G29" s="15" t="s">
        <v>21239</v>
      </c>
      <c r="H29" s="15" t="s">
        <v>21240</v>
      </c>
      <c r="I29" s="17" t="s">
        <v>88</v>
      </c>
      <c r="J29" s="17">
        <v>1</v>
      </c>
      <c r="K29" s="17">
        <v>1</v>
      </c>
      <c r="L29" s="17" t="s">
        <v>20430</v>
      </c>
      <c r="M29" s="17" t="s">
        <v>1957</v>
      </c>
      <c r="N29" s="17" t="s">
        <v>21241</v>
      </c>
      <c r="O29" s="17" t="s">
        <v>20432</v>
      </c>
      <c r="P29" s="17" t="str">
        <f>HYPERLINK("https://photon-sol.tinyastro.io/en/lp/2gMovG6QWCubWR5ayTXdJyvq18bFzFxeZ22k5UdKpump?handle=676050794bc1b1657a56b", "View")</f>
        <v>View</v>
      </c>
    </row>
    <row r="30" spans="1:16" x14ac:dyDescent="0.25">
      <c r="A30" s="13" t="s">
        <v>20433</v>
      </c>
      <c r="B30" s="14">
        <v>20278730</v>
      </c>
      <c r="C30" s="14">
        <v>6945397</v>
      </c>
      <c r="D30" s="14" t="s">
        <v>20434</v>
      </c>
      <c r="E30" s="14" t="s">
        <v>21242</v>
      </c>
      <c r="F30" s="14" t="s">
        <v>21243</v>
      </c>
      <c r="G30" s="22" t="s">
        <v>7880</v>
      </c>
      <c r="H30" s="22" t="s">
        <v>21244</v>
      </c>
      <c r="I30" s="14" t="s">
        <v>88</v>
      </c>
      <c r="J30" s="14">
        <v>1</v>
      </c>
      <c r="K30" s="14">
        <v>7</v>
      </c>
      <c r="L30" s="14" t="s">
        <v>21245</v>
      </c>
      <c r="M30" s="14" t="s">
        <v>132</v>
      </c>
      <c r="N30" s="14" t="s">
        <v>21246</v>
      </c>
      <c r="O30" s="14" t="s">
        <v>20440</v>
      </c>
      <c r="P30" s="14" t="str">
        <f>HYPERLINK("https://photon-sol.tinyastro.io/en/lp/3wJ8vbpzdXnWL2SkB3fzkdKgyAUPaK98BD9C9B2bpump?handle=676050794bc1b1657a56b", "View")</f>
        <v>View</v>
      </c>
    </row>
    <row r="31" spans="1:16" x14ac:dyDescent="0.25">
      <c r="A31" s="16" t="s">
        <v>3071</v>
      </c>
      <c r="B31" s="17">
        <v>21601849</v>
      </c>
      <c r="C31" s="17">
        <v>8601849</v>
      </c>
      <c r="D31" s="17" t="s">
        <v>21247</v>
      </c>
      <c r="E31" s="17" t="s">
        <v>21248</v>
      </c>
      <c r="F31" s="17" t="s">
        <v>21249</v>
      </c>
      <c r="G31" s="21" t="s">
        <v>21250</v>
      </c>
      <c r="H31" s="21" t="s">
        <v>21251</v>
      </c>
      <c r="I31" s="17" t="s">
        <v>88</v>
      </c>
      <c r="J31" s="17">
        <v>3</v>
      </c>
      <c r="K31" s="17">
        <v>3</v>
      </c>
      <c r="L31" s="17" t="s">
        <v>21252</v>
      </c>
      <c r="M31" s="17" t="s">
        <v>179</v>
      </c>
      <c r="N31" s="17" t="s">
        <v>21253</v>
      </c>
      <c r="O31" s="17" t="s">
        <v>20448</v>
      </c>
      <c r="P31" s="17" t="str">
        <f>HYPERLINK("https://photon-sol.tinyastro.io/en/lp/CXAtTTTyrHYt1B7pc8CJThygsTLWszd9ASffCE1Npump?handle=676050794bc1b1657a56b", "View")</f>
        <v>View</v>
      </c>
    </row>
    <row r="32" spans="1:16" x14ac:dyDescent="0.25">
      <c r="A32" s="13" t="s">
        <v>3071</v>
      </c>
      <c r="B32" s="14">
        <v>1704538</v>
      </c>
      <c r="C32" s="14">
        <v>1704538</v>
      </c>
      <c r="D32" s="14" t="s">
        <v>10517</v>
      </c>
      <c r="E32" s="14" t="s">
        <v>6268</v>
      </c>
      <c r="F32" s="14" t="s">
        <v>5608</v>
      </c>
      <c r="G32" s="15" t="s">
        <v>21254</v>
      </c>
      <c r="H32" s="15" t="s">
        <v>21255</v>
      </c>
      <c r="I32" s="14" t="s">
        <v>88</v>
      </c>
      <c r="J32" s="14">
        <v>1</v>
      </c>
      <c r="K32" s="14">
        <v>1</v>
      </c>
      <c r="L32" s="14" t="s">
        <v>20450</v>
      </c>
      <c r="M32" s="14" t="s">
        <v>788</v>
      </c>
      <c r="N32" s="14" t="s">
        <v>20451</v>
      </c>
      <c r="O32" s="14" t="s">
        <v>20452</v>
      </c>
      <c r="P32" s="14" t="str">
        <f>HYPERLINK("https://photon-sol.tinyastro.io/en/lp/HwoTcHHEcUNm3AmfnMTUeg4vFxjNrYoBMM8Yy8tLpump?handle=676050794bc1b1657a56b", "View")</f>
        <v>View</v>
      </c>
    </row>
    <row r="33" spans="1:16" x14ac:dyDescent="0.25">
      <c r="A33" s="16" t="s">
        <v>20453</v>
      </c>
      <c r="B33" s="17">
        <v>28131906</v>
      </c>
      <c r="C33" s="17">
        <v>131906</v>
      </c>
      <c r="D33" s="17" t="s">
        <v>12557</v>
      </c>
      <c r="E33" s="17" t="s">
        <v>21256</v>
      </c>
      <c r="F33" s="17" t="s">
        <v>5006</v>
      </c>
      <c r="G33" s="15" t="s">
        <v>21257</v>
      </c>
      <c r="H33" s="15" t="s">
        <v>21258</v>
      </c>
      <c r="I33" s="17" t="s">
        <v>88</v>
      </c>
      <c r="J33" s="17">
        <v>1</v>
      </c>
      <c r="K33" s="17">
        <v>1</v>
      </c>
      <c r="L33" s="17" t="s">
        <v>20457</v>
      </c>
      <c r="M33" s="17" t="s">
        <v>132</v>
      </c>
      <c r="N33" s="17" t="s">
        <v>21259</v>
      </c>
      <c r="O33" s="17" t="s">
        <v>20458</v>
      </c>
      <c r="P33" s="17" t="str">
        <f>HYPERLINK("https://photon-sol.tinyastro.io/en/lp/842FK7G2wxFDgNToxFXFETizmNMJTfKrrJ2kUP6qpump?handle=676050794bc1b1657a56b", "View")</f>
        <v>View</v>
      </c>
    </row>
    <row r="34" spans="1:16" x14ac:dyDescent="0.25">
      <c r="A34" s="13" t="s">
        <v>7531</v>
      </c>
      <c r="B34" s="14">
        <v>26579959</v>
      </c>
      <c r="C34" s="14">
        <v>5679959</v>
      </c>
      <c r="D34" s="14" t="s">
        <v>18993</v>
      </c>
      <c r="E34" s="14" t="s">
        <v>219</v>
      </c>
      <c r="F34" s="14" t="s">
        <v>21260</v>
      </c>
      <c r="G34" s="21" t="s">
        <v>21261</v>
      </c>
      <c r="H34" s="21" t="s">
        <v>21262</v>
      </c>
      <c r="I34" s="14" t="s">
        <v>88</v>
      </c>
      <c r="J34" s="14">
        <v>2</v>
      </c>
      <c r="K34" s="14">
        <v>6</v>
      </c>
      <c r="L34" s="14" t="s">
        <v>21263</v>
      </c>
      <c r="M34" s="14" t="s">
        <v>414</v>
      </c>
      <c r="N34" s="14" t="s">
        <v>21264</v>
      </c>
      <c r="O34" s="14" t="s">
        <v>17669</v>
      </c>
      <c r="P34" s="14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F51-4763-4B6F-8B78-6C244DA0FF15}">
  <dimension ref="A1:P4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HYPERLINK("https://gmgn.ai/sol/address/CjWGTaxJSRLMKkPchBFXVBtRPQbLUT6YD9n9BvjnW1U6", "GMGN")</f>
        <v>GMGN</v>
      </c>
    </row>
    <row r="2" spans="1:14" x14ac:dyDescent="0.25">
      <c r="A2" s="3" t="s">
        <v>21265</v>
      </c>
      <c r="B2" s="3" t="s">
        <v>21266</v>
      </c>
      <c r="C2" s="3" t="s">
        <v>1771</v>
      </c>
      <c r="D2" s="3" t="s">
        <v>21267</v>
      </c>
      <c r="E2" s="3" t="s">
        <v>21268</v>
      </c>
      <c r="F2" s="3" t="s">
        <v>21269</v>
      </c>
      <c r="G2" s="3" t="s">
        <v>18</v>
      </c>
      <c r="H2" s="3">
        <v>28</v>
      </c>
      <c r="I2" s="3">
        <v>0</v>
      </c>
      <c r="J2" s="3" t="s">
        <v>699</v>
      </c>
      <c r="K2" s="3" t="s">
        <v>1566</v>
      </c>
      <c r="L2" s="3">
        <v>25</v>
      </c>
      <c r="M2" s="3">
        <v>14</v>
      </c>
      <c r="N2" s="3" t="str">
        <f>HYPERLINK("https://solscan.io/account/CjWGTaxJSRLMKkPchBFXVBtRPQbLUT6YD9n9BvjnW1U6", "Solscan")</f>
        <v>Solscan</v>
      </c>
    </row>
    <row r="3" spans="1:14" x14ac:dyDescent="0.25">
      <c r="A3" s="1" t="s">
        <v>21</v>
      </c>
      <c r="B3" s="23" t="s">
        <v>21270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HYPERLINK("https://birdeye.so/profile/CjWGTaxJSRLMKkPchBFXVBtRPQbLUT6YD9n9BvjnW1U6", "Birdeye")</f>
        <v>Birdeye</v>
      </c>
    </row>
    <row r="4" spans="1:14" x14ac:dyDescent="0.25">
      <c r="A4" s="1" t="s">
        <v>25</v>
      </c>
      <c r="B4" s="3" t="s">
        <v>20030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8461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4</v>
      </c>
      <c r="D10" s="1">
        <v>6</v>
      </c>
      <c r="E10" s="1">
        <v>9</v>
      </c>
      <c r="F10" s="1">
        <v>3</v>
      </c>
      <c r="G10" s="1">
        <v>4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21271</v>
      </c>
      <c r="C11" s="1" t="s">
        <v>21272</v>
      </c>
      <c r="D11" s="1" t="s">
        <v>21273</v>
      </c>
      <c r="E11" s="1" t="s">
        <v>21274</v>
      </c>
      <c r="F11" s="1" t="s">
        <v>21275</v>
      </c>
      <c r="G11" s="1" t="s">
        <v>21272</v>
      </c>
      <c r="H11" s="3"/>
      <c r="I11" s="3" t="s">
        <v>50</v>
      </c>
      <c r="J11" s="3" t="s">
        <v>21276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21277</v>
      </c>
      <c r="C12" s="1" t="s">
        <v>18977</v>
      </c>
      <c r="D12" s="1" t="s">
        <v>21278</v>
      </c>
      <c r="E12" s="1" t="s">
        <v>21279</v>
      </c>
      <c r="F12" s="1" t="s">
        <v>4130</v>
      </c>
      <c r="G12" s="1" t="s">
        <v>21280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21281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21282</v>
      </c>
      <c r="B20" s="14">
        <v>29263037</v>
      </c>
      <c r="C20" s="14">
        <v>29263037</v>
      </c>
      <c r="D20" s="14" t="s">
        <v>9552</v>
      </c>
      <c r="E20" s="14" t="s">
        <v>19689</v>
      </c>
      <c r="F20" s="14" t="s">
        <v>21283</v>
      </c>
      <c r="G20" s="21" t="s">
        <v>14488</v>
      </c>
      <c r="H20" s="21" t="s">
        <v>21284</v>
      </c>
      <c r="I20" s="14" t="s">
        <v>88</v>
      </c>
      <c r="J20" s="14">
        <v>1</v>
      </c>
      <c r="K20" s="14">
        <v>1</v>
      </c>
      <c r="L20" s="14" t="s">
        <v>21285</v>
      </c>
      <c r="M20" s="14" t="s">
        <v>602</v>
      </c>
      <c r="N20" s="14" t="s">
        <v>1011</v>
      </c>
      <c r="O20" s="14" t="s">
        <v>21286</v>
      </c>
      <c r="P20" s="14" t="str">
        <f>HYPERLINK("https://photon-sol.tinyastro.io/en/lp/AoYP54Mb6iur6qe5UgvM1Y7UgBirAp3doKmADJS6pump?handle=676050794bc1b1657a56b", "View")</f>
        <v>View</v>
      </c>
    </row>
    <row r="21" spans="1:16" x14ac:dyDescent="0.25">
      <c r="A21" s="16" t="s">
        <v>21287</v>
      </c>
      <c r="B21" s="17">
        <v>28109862</v>
      </c>
      <c r="C21" s="17">
        <v>28109862</v>
      </c>
      <c r="D21" s="17" t="s">
        <v>9552</v>
      </c>
      <c r="E21" s="17" t="s">
        <v>2340</v>
      </c>
      <c r="F21" s="17" t="s">
        <v>21288</v>
      </c>
      <c r="G21" s="15" t="s">
        <v>21289</v>
      </c>
      <c r="H21" s="15" t="s">
        <v>21290</v>
      </c>
      <c r="I21" s="17" t="s">
        <v>88</v>
      </c>
      <c r="J21" s="17">
        <v>1</v>
      </c>
      <c r="K21" s="17">
        <v>1</v>
      </c>
      <c r="L21" s="17" t="s">
        <v>21291</v>
      </c>
      <c r="M21" s="17" t="s">
        <v>1434</v>
      </c>
      <c r="N21" s="17" t="s">
        <v>407</v>
      </c>
      <c r="O21" s="17" t="s">
        <v>21292</v>
      </c>
      <c r="P21" s="17" t="str">
        <f>HYPERLINK("https://photon-sol.tinyastro.io/en/lp/jYQU2FGq99B7Gd8LMHndn7DDBmkr1FRpUhAuS7Kpump?handle=676050794bc1b1657a56b", "View")</f>
        <v>View</v>
      </c>
    </row>
    <row r="22" spans="1:16" x14ac:dyDescent="0.25">
      <c r="A22" s="13" t="s">
        <v>3589</v>
      </c>
      <c r="B22" s="14">
        <v>20353925</v>
      </c>
      <c r="C22" s="14">
        <v>20353925</v>
      </c>
      <c r="D22" s="14" t="s">
        <v>9552</v>
      </c>
      <c r="E22" s="14" t="s">
        <v>13738</v>
      </c>
      <c r="F22" s="14" t="s">
        <v>8264</v>
      </c>
      <c r="G22" s="22" t="s">
        <v>16962</v>
      </c>
      <c r="H22" s="22" t="s">
        <v>21293</v>
      </c>
      <c r="I22" s="14" t="s">
        <v>88</v>
      </c>
      <c r="J22" s="14">
        <v>1</v>
      </c>
      <c r="K22" s="14">
        <v>1</v>
      </c>
      <c r="L22" s="14" t="s">
        <v>21294</v>
      </c>
      <c r="M22" s="14" t="s">
        <v>1566</v>
      </c>
      <c r="N22" s="14" t="s">
        <v>6572</v>
      </c>
      <c r="O22" s="14" t="s">
        <v>21295</v>
      </c>
      <c r="P22" s="14" t="str">
        <f>HYPERLINK("https://photon-sol.tinyastro.io/en/lp/CeyrR2WKghUTPgA1y29ja3q2MsZxdvUfzXCq4Dp9pump?handle=676050794bc1b1657a56b", "View")</f>
        <v>View</v>
      </c>
    </row>
    <row r="23" spans="1:16" x14ac:dyDescent="0.25">
      <c r="A23" s="16" t="s">
        <v>218</v>
      </c>
      <c r="B23" s="17">
        <v>17872298</v>
      </c>
      <c r="C23" s="17">
        <v>17872298</v>
      </c>
      <c r="D23" s="17" t="s">
        <v>9552</v>
      </c>
      <c r="E23" s="17" t="s">
        <v>21296</v>
      </c>
      <c r="F23" s="17" t="s">
        <v>21297</v>
      </c>
      <c r="G23" s="21" t="s">
        <v>21298</v>
      </c>
      <c r="H23" s="21" t="s">
        <v>21299</v>
      </c>
      <c r="I23" s="17" t="s">
        <v>88</v>
      </c>
      <c r="J23" s="17">
        <v>1</v>
      </c>
      <c r="K23" s="17">
        <v>1</v>
      </c>
      <c r="L23" s="17" t="s">
        <v>21300</v>
      </c>
      <c r="M23" s="17" t="s">
        <v>1610</v>
      </c>
      <c r="N23" s="17" t="s">
        <v>21301</v>
      </c>
      <c r="O23" s="17" t="s">
        <v>224</v>
      </c>
      <c r="P23" s="17" t="str">
        <f>HYPERLINK("https://photon-sol.tinyastro.io/en/lp/3vabXAGCdWWcudUKK7JM8TfVg6q5hRh6LcD8mN8Xpump?handle=676050794bc1b1657a56b", "View")</f>
        <v>View</v>
      </c>
    </row>
    <row r="24" spans="1:16" x14ac:dyDescent="0.25">
      <c r="A24" s="13" t="s">
        <v>21302</v>
      </c>
      <c r="B24" s="14">
        <v>39174441</v>
      </c>
      <c r="C24" s="14">
        <v>39174441</v>
      </c>
      <c r="D24" s="14" t="s">
        <v>1629</v>
      </c>
      <c r="E24" s="14" t="s">
        <v>19007</v>
      </c>
      <c r="F24" s="14" t="s">
        <v>17174</v>
      </c>
      <c r="G24" s="21" t="s">
        <v>13588</v>
      </c>
      <c r="H24" s="21" t="s">
        <v>21303</v>
      </c>
      <c r="I24" s="14" t="s">
        <v>88</v>
      </c>
      <c r="J24" s="14">
        <v>1</v>
      </c>
      <c r="K24" s="14">
        <v>2</v>
      </c>
      <c r="L24" s="14" t="s">
        <v>21304</v>
      </c>
      <c r="M24" s="14" t="s">
        <v>1448</v>
      </c>
      <c r="N24" s="14" t="s">
        <v>1980</v>
      </c>
      <c r="O24" s="14" t="s">
        <v>21305</v>
      </c>
      <c r="P24" s="14" t="str">
        <f>HYPERLINK("https://photon-sol.tinyastro.io/en/lp/F9yjswuJPKtDLyV6FC1SRCNs978of13YVUe284gGBLB9?handle=676050794bc1b1657a56b", "View")</f>
        <v>View</v>
      </c>
    </row>
    <row r="25" spans="1:16" x14ac:dyDescent="0.25">
      <c r="A25" s="16" t="s">
        <v>21306</v>
      </c>
      <c r="B25" s="17">
        <v>21824400</v>
      </c>
      <c r="C25" s="17">
        <v>21824400</v>
      </c>
      <c r="D25" s="17" t="s">
        <v>9552</v>
      </c>
      <c r="E25" s="17" t="s">
        <v>21307</v>
      </c>
      <c r="F25" s="17" t="s">
        <v>21308</v>
      </c>
      <c r="G25" s="21" t="s">
        <v>21309</v>
      </c>
      <c r="H25" s="21" t="s">
        <v>21310</v>
      </c>
      <c r="I25" s="17" t="s">
        <v>88</v>
      </c>
      <c r="J25" s="17">
        <v>1</v>
      </c>
      <c r="K25" s="17">
        <v>1</v>
      </c>
      <c r="L25" s="17" t="s">
        <v>21311</v>
      </c>
      <c r="M25" s="17" t="s">
        <v>1566</v>
      </c>
      <c r="N25" s="17" t="s">
        <v>21312</v>
      </c>
      <c r="O25" s="17" t="s">
        <v>21313</v>
      </c>
      <c r="P25" s="17" t="str">
        <f>HYPERLINK("https://photon-sol.tinyastro.io/en/lp/CWiBWhGfbe1en8cBcgSP5wbPDtjMyxUFgftTJ4B3pump?handle=676050794bc1b1657a56b", "View")</f>
        <v>View</v>
      </c>
    </row>
    <row r="26" spans="1:16" x14ac:dyDescent="0.25">
      <c r="A26" s="13" t="s">
        <v>21314</v>
      </c>
      <c r="B26" s="14">
        <v>30453394</v>
      </c>
      <c r="C26" s="14">
        <v>30453394</v>
      </c>
      <c r="D26" s="14" t="s">
        <v>9552</v>
      </c>
      <c r="E26" s="14" t="s">
        <v>21315</v>
      </c>
      <c r="F26" s="14" t="s">
        <v>21316</v>
      </c>
      <c r="G26" s="22" t="s">
        <v>5449</v>
      </c>
      <c r="H26" s="22" t="s">
        <v>21317</v>
      </c>
      <c r="I26" s="14" t="s">
        <v>88</v>
      </c>
      <c r="J26" s="14">
        <v>1</v>
      </c>
      <c r="K26" s="14">
        <v>1</v>
      </c>
      <c r="L26" s="14" t="s">
        <v>21318</v>
      </c>
      <c r="M26" s="14" t="s">
        <v>1957</v>
      </c>
      <c r="N26" s="14" t="s">
        <v>507</v>
      </c>
      <c r="O26" s="14" t="s">
        <v>21319</v>
      </c>
      <c r="P26" s="14" t="str">
        <f>HYPERLINK("https://photon-sol.tinyastro.io/en/lp/86PUZKz1GeYoyVbQ11orSPsyfE3b7z4N5SgmdNeopEKN?handle=676050794bc1b1657a56b", "View")</f>
        <v>View</v>
      </c>
    </row>
    <row r="27" spans="1:16" x14ac:dyDescent="0.25">
      <c r="A27" s="16" t="s">
        <v>21320</v>
      </c>
      <c r="B27" s="17">
        <v>20005163</v>
      </c>
      <c r="C27" s="17">
        <v>20005163</v>
      </c>
      <c r="D27" s="17" t="s">
        <v>9552</v>
      </c>
      <c r="E27" s="17" t="s">
        <v>14400</v>
      </c>
      <c r="F27" s="17" t="s">
        <v>3066</v>
      </c>
      <c r="G27" s="22" t="s">
        <v>5983</v>
      </c>
      <c r="H27" s="22" t="s">
        <v>21321</v>
      </c>
      <c r="I27" s="17" t="s">
        <v>88</v>
      </c>
      <c r="J27" s="17">
        <v>1</v>
      </c>
      <c r="K27" s="17">
        <v>1</v>
      </c>
      <c r="L27" s="17" t="s">
        <v>21322</v>
      </c>
      <c r="M27" s="17" t="s">
        <v>2047</v>
      </c>
      <c r="N27" s="17" t="s">
        <v>14689</v>
      </c>
      <c r="O27" s="17" t="s">
        <v>21323</v>
      </c>
      <c r="P27" s="17" t="str">
        <f>HYPERLINK("https://photon-sol.tinyastro.io/en/lp/AqbnH8F9asgRbbUnNtsChhmPipA5gf6CG6pA8KYCpump?handle=676050794bc1b1657a56b", "View")</f>
        <v>View</v>
      </c>
    </row>
    <row r="28" spans="1:16" x14ac:dyDescent="0.25">
      <c r="A28" s="13" t="s">
        <v>346</v>
      </c>
      <c r="B28" s="14">
        <v>33615378</v>
      </c>
      <c r="C28" s="14">
        <v>33615378</v>
      </c>
      <c r="D28" s="14" t="s">
        <v>21324</v>
      </c>
      <c r="E28" s="14" t="s">
        <v>21325</v>
      </c>
      <c r="F28" s="14" t="s">
        <v>21326</v>
      </c>
      <c r="G28" s="21" t="s">
        <v>21327</v>
      </c>
      <c r="H28" s="21" t="s">
        <v>21328</v>
      </c>
      <c r="I28" s="14" t="s">
        <v>88</v>
      </c>
      <c r="J28" s="14">
        <v>2</v>
      </c>
      <c r="K28" s="14">
        <v>9</v>
      </c>
      <c r="L28" s="14" t="s">
        <v>21329</v>
      </c>
      <c r="M28" s="14" t="s">
        <v>160</v>
      </c>
      <c r="N28" s="14" t="s">
        <v>21330</v>
      </c>
      <c r="O28" s="14" t="s">
        <v>350</v>
      </c>
      <c r="P28" s="14" t="str">
        <f>HYPERLINK("https://photon-sol.tinyastro.io/en/lp/51Di9FPc2ZGtJ5UkynkY34QGsXVXyPW8JnmBL6Ljpump?handle=676050794bc1b1657a56b", "View")</f>
        <v>View</v>
      </c>
    </row>
    <row r="29" spans="1:16" x14ac:dyDescent="0.25">
      <c r="A29" s="16" t="s">
        <v>21331</v>
      </c>
      <c r="B29" s="17">
        <v>48992773</v>
      </c>
      <c r="C29" s="17">
        <v>48992773</v>
      </c>
      <c r="D29" s="17" t="s">
        <v>9552</v>
      </c>
      <c r="E29" s="17" t="s">
        <v>21332</v>
      </c>
      <c r="F29" s="17" t="s">
        <v>21333</v>
      </c>
      <c r="G29" s="20" t="s">
        <v>21334</v>
      </c>
      <c r="H29" s="20" t="s">
        <v>8021</v>
      </c>
      <c r="I29" s="17" t="s">
        <v>88</v>
      </c>
      <c r="J29" s="17">
        <v>1</v>
      </c>
      <c r="K29" s="17">
        <v>1</v>
      </c>
      <c r="L29" s="17" t="s">
        <v>21335</v>
      </c>
      <c r="M29" s="17" t="s">
        <v>1566</v>
      </c>
      <c r="N29" s="17" t="s">
        <v>2585</v>
      </c>
      <c r="O29" s="17" t="s">
        <v>21336</v>
      </c>
      <c r="P29" s="17" t="str">
        <f>HYPERLINK("https://photon-sol.tinyastro.io/en/lp/9TE8MhzDUCXyW8yqcQ2UFsfsQdDPc8woGtPXqpptpump?handle=676050794bc1b1657a56b", "View")</f>
        <v>View</v>
      </c>
    </row>
    <row r="30" spans="1:16" x14ac:dyDescent="0.25">
      <c r="A30" s="13" t="s">
        <v>21337</v>
      </c>
      <c r="B30" s="14">
        <v>25922483</v>
      </c>
      <c r="C30" s="14">
        <v>25922483</v>
      </c>
      <c r="D30" s="14" t="s">
        <v>9552</v>
      </c>
      <c r="E30" s="14" t="s">
        <v>21338</v>
      </c>
      <c r="F30" s="14" t="s">
        <v>18370</v>
      </c>
      <c r="G30" s="15" t="s">
        <v>21339</v>
      </c>
      <c r="H30" s="15" t="s">
        <v>21340</v>
      </c>
      <c r="I30" s="14" t="s">
        <v>88</v>
      </c>
      <c r="J30" s="14">
        <v>1</v>
      </c>
      <c r="K30" s="14">
        <v>1</v>
      </c>
      <c r="L30" s="14" t="s">
        <v>21341</v>
      </c>
      <c r="M30" s="14" t="s">
        <v>602</v>
      </c>
      <c r="N30" s="14" t="s">
        <v>3928</v>
      </c>
      <c r="O30" s="14" t="s">
        <v>21342</v>
      </c>
      <c r="P30" s="14" t="str">
        <f>HYPERLINK("https://photon-sol.tinyastro.io/en/lp/9sx2rvX8rYugFHgc4AjVPkZp2d5cMGS9Eo4TTCkvpump?handle=676050794bc1b1657a56b", "View")</f>
        <v>View</v>
      </c>
    </row>
    <row r="31" spans="1:16" x14ac:dyDescent="0.25">
      <c r="A31" s="16" t="s">
        <v>2784</v>
      </c>
      <c r="B31" s="17">
        <v>7054010</v>
      </c>
      <c r="C31" s="17">
        <v>7054010</v>
      </c>
      <c r="D31" s="17" t="s">
        <v>9552</v>
      </c>
      <c r="E31" s="17" t="s">
        <v>12500</v>
      </c>
      <c r="F31" s="17" t="s">
        <v>21343</v>
      </c>
      <c r="G31" s="21" t="s">
        <v>21344</v>
      </c>
      <c r="H31" s="21" t="s">
        <v>21345</v>
      </c>
      <c r="I31" s="17" t="s">
        <v>88</v>
      </c>
      <c r="J31" s="17">
        <v>1</v>
      </c>
      <c r="K31" s="17">
        <v>1</v>
      </c>
      <c r="L31" s="17" t="s">
        <v>21346</v>
      </c>
      <c r="M31" s="17" t="s">
        <v>1434</v>
      </c>
      <c r="N31" s="17" t="s">
        <v>21347</v>
      </c>
      <c r="O31" s="17" t="s">
        <v>2791</v>
      </c>
      <c r="P31" s="17" t="str">
        <f>HYPERLINK("https://photon-sol.tinyastro.io/en/lp/cbQq5WWrPPBFAv66GXBArm8BhmP1ZHWiBHUsWBupump?handle=676050794bc1b1657a56b", "View")</f>
        <v>View</v>
      </c>
    </row>
    <row r="32" spans="1:16" x14ac:dyDescent="0.25">
      <c r="A32" s="13" t="s">
        <v>359</v>
      </c>
      <c r="B32" s="14">
        <v>20555255</v>
      </c>
      <c r="C32" s="14">
        <v>20555255</v>
      </c>
      <c r="D32" s="14" t="s">
        <v>21348</v>
      </c>
      <c r="E32" s="14" t="s">
        <v>21349</v>
      </c>
      <c r="F32" s="14" t="s">
        <v>21350</v>
      </c>
      <c r="G32" s="21" t="s">
        <v>21351</v>
      </c>
      <c r="H32" s="21" t="s">
        <v>21352</v>
      </c>
      <c r="I32" s="14" t="s">
        <v>88</v>
      </c>
      <c r="J32" s="14">
        <v>2</v>
      </c>
      <c r="K32" s="14">
        <v>2</v>
      </c>
      <c r="L32" s="14" t="s">
        <v>21353</v>
      </c>
      <c r="M32" s="14" t="s">
        <v>364</v>
      </c>
      <c r="N32" s="14" t="s">
        <v>21354</v>
      </c>
      <c r="O32" s="14" t="s">
        <v>366</v>
      </c>
      <c r="P32" s="14" t="str">
        <f>HYPERLINK("https://photon-sol.tinyastro.io/en/lp/FFUqMLqYuSjKr19r6NDpYSoHu5Qzg51cUmgwnSyipump?handle=676050794bc1b1657a56b", "View")</f>
        <v>View</v>
      </c>
    </row>
    <row r="33" spans="1:16" x14ac:dyDescent="0.25">
      <c r="A33" s="16" t="s">
        <v>9568</v>
      </c>
      <c r="B33" s="17">
        <v>17349500</v>
      </c>
      <c r="C33" s="17">
        <v>17349500</v>
      </c>
      <c r="D33" s="17" t="s">
        <v>9552</v>
      </c>
      <c r="E33" s="17" t="s">
        <v>6679</v>
      </c>
      <c r="F33" s="17" t="s">
        <v>21355</v>
      </c>
      <c r="G33" s="21" t="s">
        <v>3405</v>
      </c>
      <c r="H33" s="21" t="s">
        <v>21356</v>
      </c>
      <c r="I33" s="17" t="s">
        <v>88</v>
      </c>
      <c r="J33" s="17">
        <v>1</v>
      </c>
      <c r="K33" s="17">
        <v>1</v>
      </c>
      <c r="L33" s="17" t="s">
        <v>21357</v>
      </c>
      <c r="M33" s="17" t="s">
        <v>1434</v>
      </c>
      <c r="N33" s="17" t="s">
        <v>1680</v>
      </c>
      <c r="O33" s="17" t="s">
        <v>9574</v>
      </c>
      <c r="P33" s="17" t="str">
        <f>HYPERLINK("https://photon-sol.tinyastro.io/en/lp/cZAdM85JveqWcmFmzEEYLFDjkkdQoS7PVVskcefpump?handle=676050794bc1b1657a56b", "View")</f>
        <v>View</v>
      </c>
    </row>
    <row r="34" spans="1:16" x14ac:dyDescent="0.25">
      <c r="A34" s="13" t="s">
        <v>21358</v>
      </c>
      <c r="B34" s="14">
        <v>62911106</v>
      </c>
      <c r="C34" s="14">
        <v>62911106</v>
      </c>
      <c r="D34" s="14" t="s">
        <v>7092</v>
      </c>
      <c r="E34" s="14" t="s">
        <v>8709</v>
      </c>
      <c r="F34" s="14" t="s">
        <v>21359</v>
      </c>
      <c r="G34" s="22" t="s">
        <v>9649</v>
      </c>
      <c r="H34" s="22" t="s">
        <v>21360</v>
      </c>
      <c r="I34" s="14" t="s">
        <v>88</v>
      </c>
      <c r="J34" s="14">
        <v>3</v>
      </c>
      <c r="K34" s="14">
        <v>2</v>
      </c>
      <c r="L34" s="14" t="s">
        <v>21361</v>
      </c>
      <c r="M34" s="14" t="s">
        <v>788</v>
      </c>
      <c r="N34" s="14" t="s">
        <v>3296</v>
      </c>
      <c r="O34" s="14" t="s">
        <v>21362</v>
      </c>
      <c r="P34" s="14" t="str">
        <f>HYPERLINK("https://photon-sol.tinyastro.io/en/lp/CQMtZwp3dT5HuvCaUUpZC1RLCC8NrXUXTirJM9hHpump?handle=676050794bc1b1657a56b", "View")</f>
        <v>View</v>
      </c>
    </row>
    <row r="35" spans="1:16" x14ac:dyDescent="0.25">
      <c r="A35" s="16" t="s">
        <v>491</v>
      </c>
      <c r="B35" s="17">
        <v>9687573</v>
      </c>
      <c r="C35" s="17">
        <v>9687573</v>
      </c>
      <c r="D35" s="17" t="s">
        <v>9552</v>
      </c>
      <c r="E35" s="17" t="s">
        <v>21363</v>
      </c>
      <c r="F35" s="17" t="s">
        <v>21364</v>
      </c>
      <c r="G35" s="15" t="s">
        <v>21365</v>
      </c>
      <c r="H35" s="15" t="s">
        <v>21366</v>
      </c>
      <c r="I35" s="17" t="s">
        <v>88</v>
      </c>
      <c r="J35" s="17">
        <v>1</v>
      </c>
      <c r="K35" s="17">
        <v>1</v>
      </c>
      <c r="L35" s="17" t="s">
        <v>21367</v>
      </c>
      <c r="M35" s="17" t="s">
        <v>602</v>
      </c>
      <c r="N35" s="17" t="s">
        <v>5857</v>
      </c>
      <c r="O35" s="17" t="s">
        <v>21368</v>
      </c>
      <c r="P35" s="17" t="str">
        <f>HYPERLINK("https://photon-sol.tinyastro.io/en/lp/rm5QLKRycSyrUvrohUqezs9oCU4RvLQyni5dLNrpump?handle=676050794bc1b1657a56b", "View")</f>
        <v>View</v>
      </c>
    </row>
    <row r="36" spans="1:16" x14ac:dyDescent="0.25">
      <c r="A36" s="13" t="s">
        <v>5184</v>
      </c>
      <c r="B36" s="14">
        <v>10545295</v>
      </c>
      <c r="C36" s="14">
        <v>10545295</v>
      </c>
      <c r="D36" s="14" t="s">
        <v>7161</v>
      </c>
      <c r="E36" s="14" t="s">
        <v>14080</v>
      </c>
      <c r="F36" s="14" t="s">
        <v>18283</v>
      </c>
      <c r="G36" s="22" t="s">
        <v>19818</v>
      </c>
      <c r="H36" s="22" t="s">
        <v>21270</v>
      </c>
      <c r="I36" s="14" t="s">
        <v>88</v>
      </c>
      <c r="J36" s="14">
        <v>2</v>
      </c>
      <c r="K36" s="14">
        <v>1</v>
      </c>
      <c r="L36" s="14" t="s">
        <v>21369</v>
      </c>
      <c r="M36" s="14" t="s">
        <v>1986</v>
      </c>
      <c r="N36" s="14" t="s">
        <v>21370</v>
      </c>
      <c r="O36" s="14" t="s">
        <v>5188</v>
      </c>
      <c r="P36" s="14" t="str">
        <f>HYPERLINK("https://photon-sol.tinyastro.io/en/lp/4H2kQgC4hdt35AryM4NjB6RoNuuX4WR6fRMQ4cqcg1zr?handle=676050794bc1b1657a56b", "View")</f>
        <v>View</v>
      </c>
    </row>
    <row r="37" spans="1:16" x14ac:dyDescent="0.25">
      <c r="A37" s="16" t="s">
        <v>12388</v>
      </c>
      <c r="B37" s="17">
        <v>29698916</v>
      </c>
      <c r="C37" s="17">
        <v>29698916</v>
      </c>
      <c r="D37" s="17" t="s">
        <v>9552</v>
      </c>
      <c r="E37" s="17" t="s">
        <v>21371</v>
      </c>
      <c r="F37" s="17" t="s">
        <v>2660</v>
      </c>
      <c r="G37" s="20" t="s">
        <v>21372</v>
      </c>
      <c r="H37" s="20" t="s">
        <v>21373</v>
      </c>
      <c r="I37" s="17" t="s">
        <v>88</v>
      </c>
      <c r="J37" s="17">
        <v>1</v>
      </c>
      <c r="K37" s="17">
        <v>1</v>
      </c>
      <c r="L37" s="17" t="s">
        <v>21374</v>
      </c>
      <c r="M37" s="19" t="s">
        <v>2167</v>
      </c>
      <c r="N37" s="17" t="s">
        <v>1667</v>
      </c>
      <c r="O37" s="17" t="s">
        <v>21375</v>
      </c>
      <c r="P37" s="17" t="str">
        <f>HYPERLINK("https://photon-sol.tinyastro.io/en/lp/DoBWcVPKnyma6xGQypSJGMUibeDh4rCZskwaPxJEpump?handle=676050794bc1b1657a56b", "View")</f>
        <v>View</v>
      </c>
    </row>
    <row r="38" spans="1:16" x14ac:dyDescent="0.25">
      <c r="A38" s="13" t="s">
        <v>21376</v>
      </c>
      <c r="B38" s="14">
        <v>13452461</v>
      </c>
      <c r="C38" s="14">
        <v>13452461</v>
      </c>
      <c r="D38" s="14" t="s">
        <v>9552</v>
      </c>
      <c r="E38" s="14" t="s">
        <v>3404</v>
      </c>
      <c r="F38" s="14" t="s">
        <v>7943</v>
      </c>
      <c r="G38" s="21" t="s">
        <v>21377</v>
      </c>
      <c r="H38" s="21" t="s">
        <v>21378</v>
      </c>
      <c r="I38" s="14" t="s">
        <v>88</v>
      </c>
      <c r="J38" s="14">
        <v>1</v>
      </c>
      <c r="K38" s="14">
        <v>1</v>
      </c>
      <c r="L38" s="14" t="s">
        <v>21379</v>
      </c>
      <c r="M38" s="14" t="s">
        <v>1705</v>
      </c>
      <c r="N38" s="14" t="s">
        <v>21380</v>
      </c>
      <c r="O38" s="14" t="s">
        <v>21381</v>
      </c>
      <c r="P38" s="14" t="str">
        <f>HYPERLINK("https://dexscreener.com/solana/2DrfBeGy3iXWgmUfwxqPcA4QHkR3aPmDquu1dj5Zpump", "View")</f>
        <v>View</v>
      </c>
    </row>
    <row r="39" spans="1:16" x14ac:dyDescent="0.25">
      <c r="A39" s="16" t="s">
        <v>21382</v>
      </c>
      <c r="B39" s="17">
        <v>14188665</v>
      </c>
      <c r="C39" s="17">
        <v>14188665</v>
      </c>
      <c r="D39" s="17" t="s">
        <v>9552</v>
      </c>
      <c r="E39" s="17" t="s">
        <v>14539</v>
      </c>
      <c r="F39" s="17" t="s">
        <v>9383</v>
      </c>
      <c r="G39" s="20" t="s">
        <v>21383</v>
      </c>
      <c r="H39" s="20" t="s">
        <v>9035</v>
      </c>
      <c r="I39" s="17" t="s">
        <v>88</v>
      </c>
      <c r="J39" s="17">
        <v>1</v>
      </c>
      <c r="K39" s="17">
        <v>1</v>
      </c>
      <c r="L39" s="17" t="s">
        <v>21384</v>
      </c>
      <c r="M39" s="17" t="s">
        <v>1957</v>
      </c>
      <c r="N39" s="17" t="s">
        <v>21385</v>
      </c>
      <c r="O39" s="17" t="s">
        <v>21386</v>
      </c>
      <c r="P39" s="17" t="str">
        <f>HYPERLINK("https://photon-sol.tinyastro.io/en/lp/HQpyJhMPcC2DqKGraja626q2zwjreHGoMJV6hVVEpump?handle=676050794bc1b1657a56b", "View")</f>
        <v>View</v>
      </c>
    </row>
    <row r="40" spans="1:16" x14ac:dyDescent="0.25">
      <c r="A40" s="13" t="s">
        <v>21387</v>
      </c>
      <c r="B40" s="14">
        <v>21869108</v>
      </c>
      <c r="C40" s="14">
        <v>21869108</v>
      </c>
      <c r="D40" s="14" t="s">
        <v>9552</v>
      </c>
      <c r="E40" s="14" t="s">
        <v>21388</v>
      </c>
      <c r="F40" s="14" t="s">
        <v>19677</v>
      </c>
      <c r="G40" s="22" t="s">
        <v>5036</v>
      </c>
      <c r="H40" s="22" t="s">
        <v>21389</v>
      </c>
      <c r="I40" s="14" t="s">
        <v>88</v>
      </c>
      <c r="J40" s="14">
        <v>1</v>
      </c>
      <c r="K40" s="14">
        <v>1</v>
      </c>
      <c r="L40" s="14" t="s">
        <v>21390</v>
      </c>
      <c r="M40" s="14" t="s">
        <v>1448</v>
      </c>
      <c r="N40" s="14" t="s">
        <v>407</v>
      </c>
      <c r="O40" s="14" t="s">
        <v>21391</v>
      </c>
      <c r="P40" s="14" t="str">
        <f>HYPERLINK("https://photon-sol.tinyastro.io/en/lp/4X3ELQXGtcdqCghUwxsQPW3SmTUNiQQ75sKVux8apump?handle=676050794bc1b1657a56b", "View")</f>
        <v>View</v>
      </c>
    </row>
    <row r="41" spans="1:16" x14ac:dyDescent="0.25">
      <c r="A41" s="16" t="s">
        <v>21392</v>
      </c>
      <c r="B41" s="17">
        <v>37666392</v>
      </c>
      <c r="C41" s="17">
        <v>37666392</v>
      </c>
      <c r="D41" s="17" t="s">
        <v>9552</v>
      </c>
      <c r="E41" s="17" t="s">
        <v>21343</v>
      </c>
      <c r="F41" s="17" t="s">
        <v>8445</v>
      </c>
      <c r="G41" s="21" t="s">
        <v>21393</v>
      </c>
      <c r="H41" s="21" t="s">
        <v>21394</v>
      </c>
      <c r="I41" s="17" t="s">
        <v>88</v>
      </c>
      <c r="J41" s="17">
        <v>1</v>
      </c>
      <c r="K41" s="17">
        <v>1</v>
      </c>
      <c r="L41" s="17" t="s">
        <v>21395</v>
      </c>
      <c r="M41" s="17" t="s">
        <v>788</v>
      </c>
      <c r="N41" s="17" t="s">
        <v>12662</v>
      </c>
      <c r="O41" s="17" t="s">
        <v>21396</v>
      </c>
      <c r="P41" s="17" t="str">
        <f>HYPERLINK("https://photon-sol.tinyastro.io/en/lp/BNiqJWdU61R7SHPLEpP96srpxVyPA7mZKnBmuxh6pump?handle=676050794bc1b1657a56b", "View")</f>
        <v>View</v>
      </c>
    </row>
    <row r="42" spans="1:16" x14ac:dyDescent="0.25">
      <c r="A42" s="13" t="s">
        <v>21397</v>
      </c>
      <c r="B42" s="14">
        <v>10781497</v>
      </c>
      <c r="C42" s="14">
        <v>10781497</v>
      </c>
      <c r="D42" s="14" t="s">
        <v>9552</v>
      </c>
      <c r="E42" s="14" t="s">
        <v>21398</v>
      </c>
      <c r="F42" s="14" t="s">
        <v>1936</v>
      </c>
      <c r="G42" s="15" t="s">
        <v>21399</v>
      </c>
      <c r="H42" s="15" t="s">
        <v>21400</v>
      </c>
      <c r="I42" s="14" t="s">
        <v>88</v>
      </c>
      <c r="J42" s="14">
        <v>1</v>
      </c>
      <c r="K42" s="14">
        <v>1</v>
      </c>
      <c r="L42" s="14" t="s">
        <v>21401</v>
      </c>
      <c r="M42" s="14" t="s">
        <v>1448</v>
      </c>
      <c r="N42" s="14" t="s">
        <v>14898</v>
      </c>
      <c r="O42" s="14" t="s">
        <v>21402</v>
      </c>
      <c r="P42" s="14" t="str">
        <f>HYPERLINK("https://photon-sol.tinyastro.io/en/lp/6vJ686Js22gV57Qy5Lb94JKeT6DBF7E7hoEcNoy5pump?handle=676050794bc1b1657a56b", "View")</f>
        <v>View</v>
      </c>
    </row>
    <row r="43" spans="1:16" x14ac:dyDescent="0.25">
      <c r="A43" s="16" t="s">
        <v>9945</v>
      </c>
      <c r="B43" s="17">
        <v>67134700</v>
      </c>
      <c r="C43" s="17">
        <v>67134700</v>
      </c>
      <c r="D43" s="17" t="s">
        <v>21348</v>
      </c>
      <c r="E43" s="17" t="s">
        <v>21403</v>
      </c>
      <c r="F43" s="17" t="s">
        <v>21404</v>
      </c>
      <c r="G43" s="22" t="s">
        <v>3438</v>
      </c>
      <c r="H43" s="22" t="s">
        <v>21405</v>
      </c>
      <c r="I43" s="17" t="s">
        <v>88</v>
      </c>
      <c r="J43" s="17">
        <v>2</v>
      </c>
      <c r="K43" s="17">
        <v>2</v>
      </c>
      <c r="L43" s="17" t="s">
        <v>21406</v>
      </c>
      <c r="M43" s="17" t="s">
        <v>1566</v>
      </c>
      <c r="N43" s="17" t="s">
        <v>12595</v>
      </c>
      <c r="O43" s="17" t="s">
        <v>9950</v>
      </c>
      <c r="P43" s="17" t="str">
        <f>HYPERLINK("https://photon-sol.tinyastro.io/en/lp/B6X51M56VjmmTZ4sZ6tdPEWefSuqLp1GYSRrCzYpump?handle=676050794bc1b1657a56b", "View")</f>
        <v>View</v>
      </c>
    </row>
    <row r="44" spans="1:16" x14ac:dyDescent="0.25">
      <c r="A44" s="13" t="s">
        <v>21407</v>
      </c>
      <c r="B44" s="14">
        <v>3233604</v>
      </c>
      <c r="C44" s="14">
        <v>3233604</v>
      </c>
      <c r="D44" s="14" t="s">
        <v>9552</v>
      </c>
      <c r="E44" s="14" t="s">
        <v>1457</v>
      </c>
      <c r="F44" s="14" t="s">
        <v>21408</v>
      </c>
      <c r="G44" s="22" t="s">
        <v>18315</v>
      </c>
      <c r="H44" s="22" t="s">
        <v>21409</v>
      </c>
      <c r="I44" s="14" t="s">
        <v>88</v>
      </c>
      <c r="J44" s="14">
        <v>1</v>
      </c>
      <c r="K44" s="14">
        <v>1</v>
      </c>
      <c r="L44" s="14" t="s">
        <v>21410</v>
      </c>
      <c r="M44" s="14" t="s">
        <v>1434</v>
      </c>
      <c r="N44" s="14" t="s">
        <v>21411</v>
      </c>
      <c r="O44" s="14" t="s">
        <v>21412</v>
      </c>
      <c r="P44" s="14" t="str">
        <f>HYPERLINK("https://dexscreener.com/solana/AoeAh1Cu2qBFVAPRuKxUkn275sTksT6nFWPrt8Twpump", "View")</f>
        <v>View</v>
      </c>
    </row>
    <row r="45" spans="1:16" x14ac:dyDescent="0.25">
      <c r="A45" s="16" t="s">
        <v>5285</v>
      </c>
      <c r="B45" s="17">
        <v>34371339</v>
      </c>
      <c r="C45" s="17">
        <v>34371339</v>
      </c>
      <c r="D45" s="17" t="s">
        <v>9552</v>
      </c>
      <c r="E45" s="17" t="s">
        <v>21398</v>
      </c>
      <c r="F45" s="17" t="s">
        <v>21413</v>
      </c>
      <c r="G45" s="21" t="s">
        <v>4080</v>
      </c>
      <c r="H45" s="21" t="s">
        <v>21414</v>
      </c>
      <c r="I45" s="17" t="s">
        <v>88</v>
      </c>
      <c r="J45" s="17">
        <v>1</v>
      </c>
      <c r="K45" s="17">
        <v>1</v>
      </c>
      <c r="L45" s="17" t="s">
        <v>21415</v>
      </c>
      <c r="M45" s="17" t="s">
        <v>1610</v>
      </c>
      <c r="N45" s="17" t="s">
        <v>507</v>
      </c>
      <c r="O45" s="17" t="s">
        <v>21416</v>
      </c>
      <c r="P45" s="17" t="str">
        <f>HYPERLINK("https://photon-sol.tinyastro.io/en/lp/8WQTMFRs9mBYz2nzsXknv7i9tJFGNiUQPyEZendQpump?handle=676050794bc1b1657a56b", "View")</f>
        <v>View</v>
      </c>
    </row>
    <row r="46" spans="1:16" x14ac:dyDescent="0.25">
      <c r="A46" s="13" t="s">
        <v>9229</v>
      </c>
      <c r="B46" s="14">
        <v>17563241</v>
      </c>
      <c r="C46" s="14">
        <v>17563241</v>
      </c>
      <c r="D46" s="14" t="s">
        <v>9552</v>
      </c>
      <c r="E46" s="14" t="s">
        <v>21417</v>
      </c>
      <c r="F46" s="14" t="s">
        <v>21418</v>
      </c>
      <c r="G46" s="21" t="s">
        <v>17653</v>
      </c>
      <c r="H46" s="21" t="s">
        <v>21419</v>
      </c>
      <c r="I46" s="14" t="s">
        <v>88</v>
      </c>
      <c r="J46" s="14">
        <v>1</v>
      </c>
      <c r="K46" s="14">
        <v>1</v>
      </c>
      <c r="L46" s="14" t="s">
        <v>21420</v>
      </c>
      <c r="M46" s="19" t="s">
        <v>3231</v>
      </c>
      <c r="N46" s="14" t="s">
        <v>21421</v>
      </c>
      <c r="O46" s="14" t="s">
        <v>21422</v>
      </c>
      <c r="P46" s="14" t="str">
        <f>HYPERLINK("https://photon-sol.tinyastro.io/en/lp/76pKbRjyFyz8YyWBuT9gzP8nu6xXnH3Q4MB2xaTzpump?handle=676050794bc1b1657a56b", "View")</f>
        <v>View</v>
      </c>
    </row>
    <row r="47" spans="1:16" x14ac:dyDescent="0.25">
      <c r="A47" s="16" t="s">
        <v>19796</v>
      </c>
      <c r="B47" s="17">
        <v>69230940</v>
      </c>
      <c r="C47" s="17">
        <v>69230940</v>
      </c>
      <c r="D47" s="17" t="s">
        <v>19278</v>
      </c>
      <c r="E47" s="17" t="s">
        <v>402</v>
      </c>
      <c r="F47" s="17" t="s">
        <v>2958</v>
      </c>
      <c r="G47" s="22" t="s">
        <v>17061</v>
      </c>
      <c r="H47" s="22" t="s">
        <v>21423</v>
      </c>
      <c r="I47" s="17" t="s">
        <v>88</v>
      </c>
      <c r="J47" s="17">
        <v>3</v>
      </c>
      <c r="K47" s="17">
        <v>2</v>
      </c>
      <c r="L47" s="17" t="s">
        <v>21424</v>
      </c>
      <c r="M47" s="17" t="s">
        <v>304</v>
      </c>
      <c r="N47" s="17" t="s">
        <v>4634</v>
      </c>
      <c r="O47" s="17" t="s">
        <v>19800</v>
      </c>
      <c r="P47" s="17" t="str">
        <f>HYPERLINK("https://dexscreener.com/solana/8jepeomB4DBZiRqdSpADfoPdoXWRybCn9q3dDtHDpump", "View")</f>
        <v>View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665B-8A72-45E2-9E72-2DBDFBCB56F2}">
  <dimension ref="A1:P4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HYPERLINK("https://gmgn.ai/sol/address/BrPgVDyiPvpFjUypKCaBA29uGNDTUXar5zsNtMzzz779", "GMGN")</f>
        <v>GMGN</v>
      </c>
    </row>
    <row r="2" spans="1:14" x14ac:dyDescent="0.25">
      <c r="A2" s="3" t="s">
        <v>1768</v>
      </c>
      <c r="B2" s="3" t="s">
        <v>1769</v>
      </c>
      <c r="C2" s="3" t="s">
        <v>1770</v>
      </c>
      <c r="D2" s="3" t="s">
        <v>1771</v>
      </c>
      <c r="E2" s="3" t="s">
        <v>1772</v>
      </c>
      <c r="F2" s="3" t="s">
        <v>1773</v>
      </c>
      <c r="G2" s="3" t="s">
        <v>18</v>
      </c>
      <c r="H2" s="3">
        <v>26</v>
      </c>
      <c r="I2" s="3">
        <v>0</v>
      </c>
      <c r="J2" s="3" t="s">
        <v>150</v>
      </c>
      <c r="K2" s="3" t="s">
        <v>1448</v>
      </c>
      <c r="L2" s="3">
        <v>17</v>
      </c>
      <c r="M2" s="3">
        <v>7</v>
      </c>
      <c r="N2" s="3" t="str">
        <f>HYPERLINK("https://solscan.io/account/BrPgVDyiPvpFjUypKCaBA29uGNDTUXar5zsNtMzzz779", "Solscan")</f>
        <v>Solscan</v>
      </c>
    </row>
    <row r="3" spans="1:14" x14ac:dyDescent="0.25">
      <c r="A3" s="1" t="s">
        <v>21</v>
      </c>
      <c r="B3" s="23" t="s">
        <v>1774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HYPERLINK("https://birdeye.so/profile/BrPgVDyiPvpFjUypKCaBA29uGNDTUXar5zsNtMzzz779", "Birdeye")</f>
        <v>Birdeye</v>
      </c>
    </row>
    <row r="4" spans="1:14" x14ac:dyDescent="0.25">
      <c r="A4" s="1" t="s">
        <v>25</v>
      </c>
      <c r="B4" s="3" t="s">
        <v>1775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1777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5</v>
      </c>
      <c r="D10" s="1">
        <v>4</v>
      </c>
      <c r="E10" s="1">
        <v>7</v>
      </c>
      <c r="F10" s="1">
        <v>8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1780</v>
      </c>
      <c r="D11" s="1" t="s">
        <v>1781</v>
      </c>
      <c r="E11" s="1" t="s">
        <v>1782</v>
      </c>
      <c r="F11" s="1" t="s">
        <v>1783</v>
      </c>
      <c r="G11" s="1" t="s">
        <v>1784</v>
      </c>
      <c r="H11" s="3"/>
      <c r="I11" s="3" t="s">
        <v>50</v>
      </c>
      <c r="J11" s="3" t="s">
        <v>1785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1787</v>
      </c>
      <c r="D12" s="1" t="s">
        <v>1788</v>
      </c>
      <c r="E12" s="1" t="s">
        <v>1789</v>
      </c>
      <c r="F12" s="1" t="s">
        <v>1790</v>
      </c>
      <c r="G12" s="1" t="s">
        <v>1791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1777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1793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1794</v>
      </c>
      <c r="B20" s="14">
        <v>30598512</v>
      </c>
      <c r="C20" s="14">
        <v>30598512</v>
      </c>
      <c r="D20" s="14" t="s">
        <v>1795</v>
      </c>
      <c r="E20" s="14" t="s">
        <v>1796</v>
      </c>
      <c r="F20" s="14" t="s">
        <v>1797</v>
      </c>
      <c r="G20" s="21" t="s">
        <v>1798</v>
      </c>
      <c r="H20" s="21" t="s">
        <v>1799</v>
      </c>
      <c r="I20" s="14" t="s">
        <v>88</v>
      </c>
      <c r="J20" s="14">
        <v>3</v>
      </c>
      <c r="K20" s="14">
        <v>7</v>
      </c>
      <c r="L20" s="14" t="s">
        <v>1800</v>
      </c>
      <c r="M20" s="14" t="s">
        <v>231</v>
      </c>
      <c r="N20" s="14" t="s">
        <v>1801</v>
      </c>
      <c r="O20" s="14" t="s">
        <v>1802</v>
      </c>
      <c r="P20" s="14" t="str">
        <f>HYPERLINK("https://photon-sol.tinyastro.io/en/lp/WziqSdg6EGYooGBmoxeUWLe2Czwk7AsEH2J42cepump?handle=676050794bc1b1657a56b", "View")</f>
        <v>View</v>
      </c>
    </row>
    <row r="21" spans="1:16" x14ac:dyDescent="0.25">
      <c r="A21" s="16" t="s">
        <v>1803</v>
      </c>
      <c r="B21" s="17">
        <v>7757618</v>
      </c>
      <c r="C21" s="17">
        <v>7757618</v>
      </c>
      <c r="D21" s="17" t="s">
        <v>883</v>
      </c>
      <c r="E21" s="17" t="s">
        <v>1804</v>
      </c>
      <c r="F21" s="17" t="s">
        <v>1805</v>
      </c>
      <c r="G21" s="21" t="s">
        <v>1806</v>
      </c>
      <c r="H21" s="21" t="s">
        <v>1807</v>
      </c>
      <c r="I21" s="17" t="s">
        <v>88</v>
      </c>
      <c r="J21" s="17">
        <v>1</v>
      </c>
      <c r="K21" s="17">
        <v>3</v>
      </c>
      <c r="L21" s="17" t="s">
        <v>1808</v>
      </c>
      <c r="M21" s="17" t="s">
        <v>1809</v>
      </c>
      <c r="N21" s="17" t="s">
        <v>1810</v>
      </c>
      <c r="O21" s="17" t="s">
        <v>1811</v>
      </c>
      <c r="P21" s="17" t="str">
        <f>HYPERLINK("https://dexscreener.com/solana/GxQoXUBMwPbJm46vcWV59in6QAzGDufYug6D56Jopump", "View")</f>
        <v>View</v>
      </c>
    </row>
    <row r="22" spans="1:16" x14ac:dyDescent="0.25">
      <c r="A22" s="13" t="s">
        <v>1812</v>
      </c>
      <c r="B22" s="14">
        <v>25418461</v>
      </c>
      <c r="C22" s="14">
        <v>25418461</v>
      </c>
      <c r="D22" s="14" t="s">
        <v>1813</v>
      </c>
      <c r="E22" s="14" t="s">
        <v>1814</v>
      </c>
      <c r="F22" s="14" t="s">
        <v>1815</v>
      </c>
      <c r="G22" s="22" t="s">
        <v>1816</v>
      </c>
      <c r="H22" s="22" t="s">
        <v>1817</v>
      </c>
      <c r="I22" s="14" t="s">
        <v>88</v>
      </c>
      <c r="J22" s="14">
        <v>2</v>
      </c>
      <c r="K22" s="14">
        <v>1</v>
      </c>
      <c r="L22" s="14" t="s">
        <v>1818</v>
      </c>
      <c r="M22" s="14" t="s">
        <v>1705</v>
      </c>
      <c r="N22" s="14" t="s">
        <v>1819</v>
      </c>
      <c r="O22" s="14" t="s">
        <v>1820</v>
      </c>
      <c r="P22" s="14" t="str">
        <f>HYPERLINK("https://photon-sol.tinyastro.io/en/lp/4LNbUU6gLkBccnWLccHYvWH2TUBDhDNRwMkLjdo3pump?handle=676050794bc1b1657a56b", "View")</f>
        <v>View</v>
      </c>
    </row>
    <row r="23" spans="1:16" x14ac:dyDescent="0.25">
      <c r="A23" s="16" t="s">
        <v>1821</v>
      </c>
      <c r="B23" s="17">
        <v>27250135</v>
      </c>
      <c r="C23" s="17">
        <v>27250135</v>
      </c>
      <c r="D23" s="17" t="s">
        <v>1813</v>
      </c>
      <c r="E23" s="17" t="s">
        <v>1822</v>
      </c>
      <c r="F23" s="17" t="s">
        <v>1823</v>
      </c>
      <c r="G23" s="20" t="s">
        <v>1824</v>
      </c>
      <c r="H23" s="20" t="s">
        <v>1825</v>
      </c>
      <c r="I23" s="17" t="s">
        <v>88</v>
      </c>
      <c r="J23" s="17">
        <v>1</v>
      </c>
      <c r="K23" s="17">
        <v>1</v>
      </c>
      <c r="L23" s="17" t="s">
        <v>1826</v>
      </c>
      <c r="M23" s="19" t="s">
        <v>1827</v>
      </c>
      <c r="N23" s="17" t="s">
        <v>1706</v>
      </c>
      <c r="O23" s="17" t="s">
        <v>1828</v>
      </c>
      <c r="P23" s="17" t="str">
        <f>HYPERLINK("https://photon-sol.tinyastro.io/en/lp/58GzX3hPxWq1gT6UASiU7jebLqJM1JqRQtuFDuNhxRY7?handle=676050794bc1b1657a56b", "View")</f>
        <v>View</v>
      </c>
    </row>
    <row r="24" spans="1:16" x14ac:dyDescent="0.25">
      <c r="A24" s="13" t="s">
        <v>1829</v>
      </c>
      <c r="B24" s="14">
        <v>24410663</v>
      </c>
      <c r="C24" s="14">
        <v>24410663</v>
      </c>
      <c r="D24" s="14" t="s">
        <v>864</v>
      </c>
      <c r="E24" s="14" t="s">
        <v>1822</v>
      </c>
      <c r="F24" s="14" t="s">
        <v>1830</v>
      </c>
      <c r="G24" s="21" t="s">
        <v>1831</v>
      </c>
      <c r="H24" s="21" t="s">
        <v>1832</v>
      </c>
      <c r="I24" s="14" t="s">
        <v>88</v>
      </c>
      <c r="J24" s="14">
        <v>1</v>
      </c>
      <c r="K24" s="14">
        <v>1</v>
      </c>
      <c r="L24" s="14" t="s">
        <v>1833</v>
      </c>
      <c r="M24" s="14" t="s">
        <v>602</v>
      </c>
      <c r="N24" s="14" t="s">
        <v>1834</v>
      </c>
      <c r="O24" s="14" t="s">
        <v>1835</v>
      </c>
      <c r="P24" s="14" t="str">
        <f>HYPERLINK("https://photon-sol.tinyastro.io/en/lp/4rNwbqZwUjbRmV5pjNZm3NuhUqvwQGJdwnjde7Ls1gXr?handle=676050794bc1b1657a56b", "View")</f>
        <v>View</v>
      </c>
    </row>
    <row r="25" spans="1:16" x14ac:dyDescent="0.25">
      <c r="A25" s="16" t="s">
        <v>1836</v>
      </c>
      <c r="B25" s="17">
        <v>9461094</v>
      </c>
      <c r="C25" s="17">
        <v>9461094</v>
      </c>
      <c r="D25" s="17" t="s">
        <v>864</v>
      </c>
      <c r="E25" s="17" t="s">
        <v>1837</v>
      </c>
      <c r="F25" s="17" t="s">
        <v>1838</v>
      </c>
      <c r="G25" s="22" t="s">
        <v>1839</v>
      </c>
      <c r="H25" s="22" t="s">
        <v>1840</v>
      </c>
      <c r="I25" s="17" t="s">
        <v>88</v>
      </c>
      <c r="J25" s="17">
        <v>1</v>
      </c>
      <c r="K25" s="17">
        <v>1</v>
      </c>
      <c r="L25" s="17" t="s">
        <v>1841</v>
      </c>
      <c r="M25" s="17" t="s">
        <v>1448</v>
      </c>
      <c r="N25" s="17" t="s">
        <v>1842</v>
      </c>
      <c r="O25" s="17" t="s">
        <v>1843</v>
      </c>
      <c r="P25" s="17" t="str">
        <f>HYPERLINK("https://dexscreener.com/solana/24TwWT77pb6F1R54UD1iSEqeysrMCGvStUiXxd7xpump", "View")</f>
        <v>View</v>
      </c>
    </row>
    <row r="26" spans="1:16" x14ac:dyDescent="0.25">
      <c r="A26" s="13" t="s">
        <v>1844</v>
      </c>
      <c r="B26" s="14">
        <v>17396877</v>
      </c>
      <c r="C26" s="14">
        <v>17396877</v>
      </c>
      <c r="D26" s="14" t="s">
        <v>864</v>
      </c>
      <c r="E26" s="14" t="s">
        <v>1822</v>
      </c>
      <c r="F26" s="14" t="s">
        <v>1845</v>
      </c>
      <c r="G26" s="20" t="s">
        <v>1846</v>
      </c>
      <c r="H26" s="20" t="s">
        <v>1847</v>
      </c>
      <c r="I26" s="14" t="s">
        <v>88</v>
      </c>
      <c r="J26" s="14">
        <v>1</v>
      </c>
      <c r="K26" s="14">
        <v>1</v>
      </c>
      <c r="L26" s="14" t="s">
        <v>1848</v>
      </c>
      <c r="M26" s="19" t="s">
        <v>1849</v>
      </c>
      <c r="N26" s="14" t="s">
        <v>507</v>
      </c>
      <c r="O26" s="14" t="s">
        <v>1850</v>
      </c>
      <c r="P26" s="14" t="str">
        <f>HYPERLINK("https://photon-sol.tinyastro.io/en/lp/21crJmqcDTnvApF74iGv1BaSLMFRwnYpgaAZqJXZc3f6?handle=676050794bc1b1657a56b", "View")</f>
        <v>View</v>
      </c>
    </row>
    <row r="27" spans="1:16" x14ac:dyDescent="0.25">
      <c r="A27" s="16" t="s">
        <v>1851</v>
      </c>
      <c r="B27" s="17">
        <v>6011822</v>
      </c>
      <c r="C27" s="17">
        <v>6011822</v>
      </c>
      <c r="D27" s="17" t="s">
        <v>864</v>
      </c>
      <c r="E27" s="17" t="s">
        <v>1804</v>
      </c>
      <c r="F27" s="17" t="s">
        <v>1852</v>
      </c>
      <c r="G27" s="21" t="s">
        <v>1853</v>
      </c>
      <c r="H27" s="21" t="s">
        <v>1854</v>
      </c>
      <c r="I27" s="17" t="s">
        <v>88</v>
      </c>
      <c r="J27" s="17">
        <v>1</v>
      </c>
      <c r="K27" s="17">
        <v>1</v>
      </c>
      <c r="L27" s="17" t="s">
        <v>1855</v>
      </c>
      <c r="M27" s="19" t="s">
        <v>1856</v>
      </c>
      <c r="N27" s="17" t="s">
        <v>1857</v>
      </c>
      <c r="O27" s="17" t="s">
        <v>1858</v>
      </c>
      <c r="P27" s="17" t="str">
        <f>HYPERLINK("https://dexscreener.com/solana/7uBPP56neXLhRyT5mWecRbiQNCpb9phqvnQqDf8vpump", "View")</f>
        <v>View</v>
      </c>
    </row>
    <row r="28" spans="1:16" x14ac:dyDescent="0.25">
      <c r="A28" s="13" t="s">
        <v>1859</v>
      </c>
      <c r="B28" s="14">
        <v>11736735</v>
      </c>
      <c r="C28" s="14">
        <v>11736735</v>
      </c>
      <c r="D28" s="14" t="s">
        <v>883</v>
      </c>
      <c r="E28" s="14" t="s">
        <v>1822</v>
      </c>
      <c r="F28" s="14" t="s">
        <v>1860</v>
      </c>
      <c r="G28" s="21" t="s">
        <v>1861</v>
      </c>
      <c r="H28" s="21" t="s">
        <v>1862</v>
      </c>
      <c r="I28" s="14" t="s">
        <v>88</v>
      </c>
      <c r="J28" s="14">
        <v>1</v>
      </c>
      <c r="K28" s="14">
        <v>2</v>
      </c>
      <c r="L28" s="14" t="s">
        <v>1863</v>
      </c>
      <c r="M28" s="14" t="s">
        <v>1566</v>
      </c>
      <c r="N28" s="14" t="s">
        <v>1864</v>
      </c>
      <c r="O28" s="14" t="s">
        <v>1865</v>
      </c>
      <c r="P28" s="14" t="str">
        <f>HYPERLINK("https://photon-sol.tinyastro.io/en/lp/ATkW7R4yBNSZDSpWBv39ZdPHV8RYYoohctyBpzanpump?handle=676050794bc1b1657a56b", "View")</f>
        <v>View</v>
      </c>
    </row>
    <row r="29" spans="1:16" x14ac:dyDescent="0.25">
      <c r="A29" s="16" t="s">
        <v>1866</v>
      </c>
      <c r="B29" s="17">
        <v>33952473</v>
      </c>
      <c r="C29" s="17">
        <v>33952473</v>
      </c>
      <c r="D29" s="17" t="s">
        <v>1813</v>
      </c>
      <c r="E29" s="17" t="s">
        <v>1867</v>
      </c>
      <c r="F29" s="17" t="s">
        <v>1868</v>
      </c>
      <c r="G29" s="20" t="s">
        <v>1869</v>
      </c>
      <c r="H29" s="20" t="s">
        <v>1870</v>
      </c>
      <c r="I29" s="17" t="s">
        <v>88</v>
      </c>
      <c r="J29" s="17">
        <v>1</v>
      </c>
      <c r="K29" s="17">
        <v>1</v>
      </c>
      <c r="L29" s="17" t="s">
        <v>1871</v>
      </c>
      <c r="M29" s="19" t="s">
        <v>1872</v>
      </c>
      <c r="N29" s="17" t="s">
        <v>507</v>
      </c>
      <c r="O29" s="17" t="s">
        <v>1873</v>
      </c>
      <c r="P29" s="17" t="str">
        <f>HYPERLINK("https://photon-sol.tinyastro.io/en/lp/5JmKXM3ERHFYbaaBnMEVv97Jzf1Es9kpWGZZH2Wz5tqe?handle=676050794bc1b1657a56b", "View")</f>
        <v>View</v>
      </c>
    </row>
    <row r="30" spans="1:16" x14ac:dyDescent="0.25">
      <c r="A30" s="13" t="s">
        <v>1874</v>
      </c>
      <c r="B30" s="14">
        <v>14088250</v>
      </c>
      <c r="C30" s="14">
        <v>14088250</v>
      </c>
      <c r="D30" s="14" t="s">
        <v>864</v>
      </c>
      <c r="E30" s="14" t="s">
        <v>1804</v>
      </c>
      <c r="F30" s="14" t="s">
        <v>1875</v>
      </c>
      <c r="G30" s="22" t="s">
        <v>1876</v>
      </c>
      <c r="H30" s="22" t="s">
        <v>1877</v>
      </c>
      <c r="I30" s="14" t="s">
        <v>88</v>
      </c>
      <c r="J30" s="14">
        <v>1</v>
      </c>
      <c r="K30" s="14">
        <v>1</v>
      </c>
      <c r="L30" s="14" t="s">
        <v>1878</v>
      </c>
      <c r="M30" s="19" t="s">
        <v>1849</v>
      </c>
      <c r="N30" s="14" t="s">
        <v>1879</v>
      </c>
      <c r="O30" s="14" t="s">
        <v>1880</v>
      </c>
      <c r="P30" s="14" t="str">
        <f>HYPERLINK("https://dexscreener.com/solana/GPrF7LXiQAY8Y9Fci7et2C7a9JsrCBDRvEAKLCjLpump", "View")</f>
        <v>View</v>
      </c>
    </row>
    <row r="31" spans="1:16" x14ac:dyDescent="0.25">
      <c r="A31" s="16" t="s">
        <v>1881</v>
      </c>
      <c r="B31" s="17">
        <v>6540071</v>
      </c>
      <c r="C31" s="17">
        <v>6540071</v>
      </c>
      <c r="D31" s="17" t="s">
        <v>1882</v>
      </c>
      <c r="E31" s="17" t="s">
        <v>1837</v>
      </c>
      <c r="F31" s="17" t="s">
        <v>1883</v>
      </c>
      <c r="G31" s="22" t="s">
        <v>1884</v>
      </c>
      <c r="H31" s="22" t="s">
        <v>1885</v>
      </c>
      <c r="I31" s="17" t="s">
        <v>88</v>
      </c>
      <c r="J31" s="17">
        <v>1</v>
      </c>
      <c r="K31" s="17">
        <v>1</v>
      </c>
      <c r="L31" s="17" t="s">
        <v>1886</v>
      </c>
      <c r="M31" s="17" t="s">
        <v>937</v>
      </c>
      <c r="N31" s="17" t="s">
        <v>1887</v>
      </c>
      <c r="O31" s="17" t="s">
        <v>1888</v>
      </c>
      <c r="P31" s="17" t="str">
        <f>HYPERLINK("https://dexscreener.com/solana/CxtXnjRYxQPKWwDeWhDgFuMY562gLP2Jp5WoMeZZpump", "View")</f>
        <v>View</v>
      </c>
    </row>
    <row r="32" spans="1:16" x14ac:dyDescent="0.25">
      <c r="A32" s="13" t="s">
        <v>1889</v>
      </c>
      <c r="B32" s="14">
        <v>69571011</v>
      </c>
      <c r="C32" s="14">
        <v>69571011</v>
      </c>
      <c r="D32" s="14" t="s">
        <v>1890</v>
      </c>
      <c r="E32" s="14" t="s">
        <v>1891</v>
      </c>
      <c r="F32" s="14" t="s">
        <v>1892</v>
      </c>
      <c r="G32" s="21" t="s">
        <v>1893</v>
      </c>
      <c r="H32" s="21" t="s">
        <v>1894</v>
      </c>
      <c r="I32" s="14" t="s">
        <v>88</v>
      </c>
      <c r="J32" s="14">
        <v>5</v>
      </c>
      <c r="K32" s="14">
        <v>10</v>
      </c>
      <c r="L32" s="14" t="s">
        <v>1895</v>
      </c>
      <c r="M32" s="14" t="s">
        <v>179</v>
      </c>
      <c r="N32" s="14" t="s">
        <v>1896</v>
      </c>
      <c r="O32" s="14" t="s">
        <v>1897</v>
      </c>
      <c r="P32" s="14" t="str">
        <f>HYPERLINK("https://photon-sol.tinyastro.io/en/lp/Ep6NNeHwBGTHyg58SbeThbkpiKHvdR1MDp8ZvFmY9j1E?handle=676050794bc1b1657a56b", "View")</f>
        <v>View</v>
      </c>
    </row>
    <row r="33" spans="1:16" x14ac:dyDescent="0.25">
      <c r="A33" s="16" t="s">
        <v>1898</v>
      </c>
      <c r="B33" s="17">
        <v>12599505</v>
      </c>
      <c r="C33" s="17">
        <v>12599505</v>
      </c>
      <c r="D33" s="17" t="s">
        <v>864</v>
      </c>
      <c r="E33" s="17" t="s">
        <v>1899</v>
      </c>
      <c r="F33" s="17" t="s">
        <v>1900</v>
      </c>
      <c r="G33" s="20" t="s">
        <v>1901</v>
      </c>
      <c r="H33" s="20" t="s">
        <v>1902</v>
      </c>
      <c r="I33" s="17" t="s">
        <v>88</v>
      </c>
      <c r="J33" s="17">
        <v>1</v>
      </c>
      <c r="K33" s="17">
        <v>1</v>
      </c>
      <c r="L33" s="17" t="s">
        <v>1903</v>
      </c>
      <c r="M33" s="17" t="s">
        <v>1434</v>
      </c>
      <c r="N33" s="17" t="s">
        <v>1904</v>
      </c>
      <c r="O33" s="17" t="s">
        <v>1905</v>
      </c>
      <c r="P33" s="17" t="str">
        <f>HYPERLINK("https://photon-sol.tinyastro.io/en/lp/d9oyyTx4oAwFG41zJLi5EbU1mKcPg32XCAoqNQcpump?handle=676050794bc1b1657a56b", "View")</f>
        <v>View</v>
      </c>
    </row>
    <row r="34" spans="1:16" x14ac:dyDescent="0.25">
      <c r="A34" s="13" t="s">
        <v>1906</v>
      </c>
      <c r="B34" s="14">
        <v>21768879</v>
      </c>
      <c r="C34" s="14">
        <v>21768879</v>
      </c>
      <c r="D34" s="14" t="s">
        <v>864</v>
      </c>
      <c r="E34" s="14" t="s">
        <v>1907</v>
      </c>
      <c r="F34" s="14" t="s">
        <v>1908</v>
      </c>
      <c r="G34" s="20" t="s">
        <v>1909</v>
      </c>
      <c r="H34" s="20" t="s">
        <v>1910</v>
      </c>
      <c r="I34" s="14" t="s">
        <v>88</v>
      </c>
      <c r="J34" s="14">
        <v>1</v>
      </c>
      <c r="K34" s="14">
        <v>1</v>
      </c>
      <c r="L34" s="14" t="s">
        <v>1911</v>
      </c>
      <c r="M34" s="14" t="s">
        <v>937</v>
      </c>
      <c r="N34" s="14" t="s">
        <v>507</v>
      </c>
      <c r="O34" s="14" t="s">
        <v>1912</v>
      </c>
      <c r="P34" s="14" t="str">
        <f>HYPERLINK("https://photon-sol.tinyastro.io/en/lp/HuNbZDt5jt4XJvTpTZSYXnz6g6VjyCWVTtQU3A4Apump?handle=676050794bc1b1657a56b", "View")</f>
        <v>View</v>
      </c>
    </row>
    <row r="35" spans="1:16" x14ac:dyDescent="0.25">
      <c r="A35" s="16" t="s">
        <v>1913</v>
      </c>
      <c r="B35" s="17">
        <v>6247100</v>
      </c>
      <c r="C35" s="17">
        <v>6247100</v>
      </c>
      <c r="D35" s="17" t="s">
        <v>864</v>
      </c>
      <c r="E35" s="17" t="s">
        <v>1804</v>
      </c>
      <c r="F35" s="17" t="s">
        <v>1914</v>
      </c>
      <c r="G35" s="22" t="s">
        <v>1915</v>
      </c>
      <c r="H35" s="22" t="s">
        <v>1916</v>
      </c>
      <c r="I35" s="17" t="s">
        <v>88</v>
      </c>
      <c r="J35" s="17">
        <v>1</v>
      </c>
      <c r="K35" s="17">
        <v>1</v>
      </c>
      <c r="L35" s="17" t="s">
        <v>1917</v>
      </c>
      <c r="M35" s="17" t="s">
        <v>179</v>
      </c>
      <c r="N35" s="17" t="s">
        <v>1918</v>
      </c>
      <c r="O35" s="17" t="s">
        <v>1919</v>
      </c>
      <c r="P35" s="17" t="str">
        <f>HYPERLINK("https://dexscreener.com/solana/9fgVG37Eb4Ec6G2YSHrZGMXkeXhLjNtxSKXu8P9epump", "View")</f>
        <v>View</v>
      </c>
    </row>
    <row r="36" spans="1:16" x14ac:dyDescent="0.25">
      <c r="A36" s="13" t="s">
        <v>1920</v>
      </c>
      <c r="B36" s="14">
        <v>26284954</v>
      </c>
      <c r="C36" s="14">
        <v>26284954</v>
      </c>
      <c r="D36" s="14" t="s">
        <v>864</v>
      </c>
      <c r="E36" s="14" t="s">
        <v>1899</v>
      </c>
      <c r="F36" s="14" t="s">
        <v>1921</v>
      </c>
      <c r="G36" s="22" t="s">
        <v>1922</v>
      </c>
      <c r="H36" s="22" t="s">
        <v>1923</v>
      </c>
      <c r="I36" s="14" t="s">
        <v>88</v>
      </c>
      <c r="J36" s="14">
        <v>1</v>
      </c>
      <c r="K36" s="14">
        <v>1</v>
      </c>
      <c r="L36" s="14" t="s">
        <v>1924</v>
      </c>
      <c r="M36" s="14" t="s">
        <v>1434</v>
      </c>
      <c r="N36" s="14" t="s">
        <v>1925</v>
      </c>
      <c r="O36" s="14" t="s">
        <v>1926</v>
      </c>
      <c r="P36" s="14" t="str">
        <f>HYPERLINK("https://photon-sol.tinyastro.io/en/lp/5kNM8HLSPa4W8Syrjo64gzBVLorZbAcGFQ4czGQApump?handle=676050794bc1b1657a56b", "View")</f>
        <v>View</v>
      </c>
    </row>
    <row r="37" spans="1:16" x14ac:dyDescent="0.25">
      <c r="A37" s="16" t="s">
        <v>1927</v>
      </c>
      <c r="B37" s="17">
        <v>7460398</v>
      </c>
      <c r="C37" s="17">
        <v>7460398</v>
      </c>
      <c r="D37" s="17" t="s">
        <v>883</v>
      </c>
      <c r="E37" s="17" t="s">
        <v>1837</v>
      </c>
      <c r="F37" s="17" t="s">
        <v>1928</v>
      </c>
      <c r="G37" s="21" t="s">
        <v>1929</v>
      </c>
      <c r="H37" s="21" t="s">
        <v>1930</v>
      </c>
      <c r="I37" s="17" t="s">
        <v>88</v>
      </c>
      <c r="J37" s="17">
        <v>1</v>
      </c>
      <c r="K37" s="17">
        <v>2</v>
      </c>
      <c r="L37" s="17" t="s">
        <v>1931</v>
      </c>
      <c r="M37" s="17" t="s">
        <v>1932</v>
      </c>
      <c r="N37" s="17" t="s">
        <v>1933</v>
      </c>
      <c r="O37" s="17" t="s">
        <v>1934</v>
      </c>
      <c r="P37" s="17" t="str">
        <f>HYPERLINK("https://dexscreener.com/solana/75vq3ZhQZmkdvZZi1a4xS3Gs8muifwf9AXn3q62Xpump", "View")</f>
        <v>View</v>
      </c>
    </row>
    <row r="38" spans="1:16" x14ac:dyDescent="0.25">
      <c r="A38" s="13" t="s">
        <v>1935</v>
      </c>
      <c r="B38" s="14">
        <v>26759504</v>
      </c>
      <c r="C38" s="14">
        <v>26759504</v>
      </c>
      <c r="D38" s="14" t="s">
        <v>864</v>
      </c>
      <c r="E38" s="14" t="s">
        <v>1899</v>
      </c>
      <c r="F38" s="14" t="s">
        <v>1936</v>
      </c>
      <c r="G38" s="15" t="s">
        <v>1937</v>
      </c>
      <c r="H38" s="15" t="s">
        <v>1938</v>
      </c>
      <c r="I38" s="14" t="s">
        <v>88</v>
      </c>
      <c r="J38" s="14">
        <v>1</v>
      </c>
      <c r="K38" s="14">
        <v>1</v>
      </c>
      <c r="L38" s="14" t="s">
        <v>1939</v>
      </c>
      <c r="M38" s="19" t="s">
        <v>1940</v>
      </c>
      <c r="N38" s="14" t="s">
        <v>1941</v>
      </c>
      <c r="O38" s="14" t="s">
        <v>1942</v>
      </c>
      <c r="P38" s="14" t="str">
        <f>HYPERLINK("https://photon-sol.tinyastro.io/en/lp/4h2vk2UBxvq86uSAknn3f85Gbx1mjPQFAJVSY7yapump?handle=676050794bc1b1657a56b", "View")</f>
        <v>View</v>
      </c>
    </row>
    <row r="39" spans="1:16" x14ac:dyDescent="0.25">
      <c r="A39" s="16" t="s">
        <v>1943</v>
      </c>
      <c r="B39" s="17">
        <v>22980617</v>
      </c>
      <c r="C39" s="17">
        <v>22980617</v>
      </c>
      <c r="D39" s="17" t="s">
        <v>864</v>
      </c>
      <c r="E39" s="17" t="s">
        <v>1899</v>
      </c>
      <c r="F39" s="17" t="s">
        <v>1944</v>
      </c>
      <c r="G39" s="20" t="s">
        <v>1945</v>
      </c>
      <c r="H39" s="20" t="s">
        <v>1946</v>
      </c>
      <c r="I39" s="17" t="s">
        <v>88</v>
      </c>
      <c r="J39" s="17">
        <v>1</v>
      </c>
      <c r="K39" s="17">
        <v>1</v>
      </c>
      <c r="L39" s="17" t="s">
        <v>1947</v>
      </c>
      <c r="M39" s="19" t="s">
        <v>1948</v>
      </c>
      <c r="N39" s="17" t="s">
        <v>1949</v>
      </c>
      <c r="O39" s="17" t="s">
        <v>1950</v>
      </c>
      <c r="P39" s="17" t="str">
        <f>HYPERLINK("https://photon-sol.tinyastro.io/en/lp/Z3mjhkSXGAq6GKxKFifaitcunag68q1TbMhjK27pump?handle=676050794bc1b1657a56b", "View")</f>
        <v>View</v>
      </c>
    </row>
    <row r="40" spans="1:16" x14ac:dyDescent="0.25">
      <c r="A40" s="13" t="s">
        <v>1951</v>
      </c>
      <c r="B40" s="14">
        <v>45687830</v>
      </c>
      <c r="C40" s="14">
        <v>45687830</v>
      </c>
      <c r="D40" s="14" t="s">
        <v>1813</v>
      </c>
      <c r="E40" s="14" t="s">
        <v>1952</v>
      </c>
      <c r="F40" s="14" t="s">
        <v>1953</v>
      </c>
      <c r="G40" s="15" t="s">
        <v>1954</v>
      </c>
      <c r="H40" s="15" t="s">
        <v>1955</v>
      </c>
      <c r="I40" s="14" t="s">
        <v>88</v>
      </c>
      <c r="J40" s="14">
        <v>2</v>
      </c>
      <c r="K40" s="14">
        <v>1</v>
      </c>
      <c r="L40" s="14" t="s">
        <v>1956</v>
      </c>
      <c r="M40" s="14" t="s">
        <v>1957</v>
      </c>
      <c r="N40" s="14" t="s">
        <v>1958</v>
      </c>
      <c r="O40" s="14" t="s">
        <v>1959</v>
      </c>
      <c r="P40" s="14" t="str">
        <f>HYPERLINK("https://photon-sol.tinyastro.io/en/lp/8mC4Ro2VerbFcUGXWu6Zj8VC9LLoJ92eNh7YurzMpump?handle=676050794bc1b1657a56b", "View")</f>
        <v>View</v>
      </c>
    </row>
    <row r="41" spans="1:16" x14ac:dyDescent="0.25">
      <c r="A41" s="16" t="s">
        <v>1960</v>
      </c>
      <c r="B41" s="17">
        <v>36045096</v>
      </c>
      <c r="C41" s="17">
        <v>36045096</v>
      </c>
      <c r="D41" s="17" t="s">
        <v>883</v>
      </c>
      <c r="E41" s="17" t="s">
        <v>1961</v>
      </c>
      <c r="F41" s="17" t="s">
        <v>1962</v>
      </c>
      <c r="G41" s="20" t="s">
        <v>1963</v>
      </c>
      <c r="H41" s="20" t="s">
        <v>1964</v>
      </c>
      <c r="I41" s="17" t="s">
        <v>88</v>
      </c>
      <c r="J41" s="17">
        <v>2</v>
      </c>
      <c r="K41" s="17">
        <v>2</v>
      </c>
      <c r="L41" s="17" t="s">
        <v>1965</v>
      </c>
      <c r="M41" s="17" t="s">
        <v>602</v>
      </c>
      <c r="N41" s="17" t="s">
        <v>1966</v>
      </c>
      <c r="O41" s="17" t="s">
        <v>1967</v>
      </c>
      <c r="P41" s="17" t="str">
        <f>HYPERLINK("https://photon-sol.tinyastro.io/en/lp/EPonj1mzuy5ffcgZg5EF6DjYnmmRjUVz8RibMSPpa7Cg?handle=676050794bc1b1657a56b", "View")</f>
        <v>View</v>
      </c>
    </row>
    <row r="42" spans="1:16" x14ac:dyDescent="0.25">
      <c r="A42" s="13" t="s">
        <v>1968</v>
      </c>
      <c r="B42" s="14">
        <v>13123960</v>
      </c>
      <c r="C42" s="14">
        <v>13123960</v>
      </c>
      <c r="D42" s="14" t="s">
        <v>864</v>
      </c>
      <c r="E42" s="14" t="s">
        <v>1822</v>
      </c>
      <c r="F42" s="14" t="s">
        <v>1969</v>
      </c>
      <c r="G42" s="22" t="s">
        <v>1970</v>
      </c>
      <c r="H42" s="22" t="s">
        <v>1971</v>
      </c>
      <c r="I42" s="14" t="s">
        <v>88</v>
      </c>
      <c r="J42" s="14">
        <v>1</v>
      </c>
      <c r="K42" s="14">
        <v>1</v>
      </c>
      <c r="L42" s="14" t="s">
        <v>1972</v>
      </c>
      <c r="M42" s="19" t="s">
        <v>1940</v>
      </c>
      <c r="N42" s="14" t="s">
        <v>1973</v>
      </c>
      <c r="O42" s="14" t="s">
        <v>1974</v>
      </c>
      <c r="P42" s="14" t="str">
        <f>HYPERLINK("https://photon-sol.tinyastro.io/en/lp/5ZkkA7pWmrXedAywLHuGRvsMDbyxP6HSdv8sUyAxpump?handle=676050794bc1b1657a56b", "View")</f>
        <v>View</v>
      </c>
    </row>
    <row r="43" spans="1:16" x14ac:dyDescent="0.25">
      <c r="A43" s="16" t="s">
        <v>1975</v>
      </c>
      <c r="B43" s="17">
        <v>22064049</v>
      </c>
      <c r="C43" s="17">
        <v>22064049</v>
      </c>
      <c r="D43" s="17" t="s">
        <v>1813</v>
      </c>
      <c r="E43" s="17" t="s">
        <v>1867</v>
      </c>
      <c r="F43" s="17" t="s">
        <v>1976</v>
      </c>
      <c r="G43" s="20" t="s">
        <v>1977</v>
      </c>
      <c r="H43" s="20" t="s">
        <v>1978</v>
      </c>
      <c r="I43" s="17" t="s">
        <v>88</v>
      </c>
      <c r="J43" s="17">
        <v>1</v>
      </c>
      <c r="K43" s="17">
        <v>1</v>
      </c>
      <c r="L43" s="17" t="s">
        <v>1979</v>
      </c>
      <c r="M43" s="19" t="s">
        <v>1721</v>
      </c>
      <c r="N43" s="17" t="s">
        <v>1980</v>
      </c>
      <c r="O43" s="17" t="s">
        <v>1981</v>
      </c>
      <c r="P43" s="17" t="str">
        <f>HYPERLINK("https://photon-sol.tinyastro.io/en/lp/5kxyKbxrCRS4b8xit6TsS674FswBACP4wF4uH6wvpump?handle=676050794bc1b1657a56b", "View")</f>
        <v>View</v>
      </c>
    </row>
    <row r="44" spans="1:16" x14ac:dyDescent="0.25">
      <c r="A44" s="13" t="s">
        <v>851</v>
      </c>
      <c r="B44" s="14">
        <v>22475062</v>
      </c>
      <c r="C44" s="14">
        <v>22475062</v>
      </c>
      <c r="D44" s="14" t="s">
        <v>883</v>
      </c>
      <c r="E44" s="14" t="s">
        <v>1804</v>
      </c>
      <c r="F44" s="14" t="s">
        <v>1982</v>
      </c>
      <c r="G44" s="21" t="s">
        <v>1983</v>
      </c>
      <c r="H44" s="21" t="s">
        <v>1984</v>
      </c>
      <c r="I44" s="14" t="s">
        <v>88</v>
      </c>
      <c r="J44" s="14">
        <v>1</v>
      </c>
      <c r="K44" s="14">
        <v>2</v>
      </c>
      <c r="L44" s="14" t="s">
        <v>1985</v>
      </c>
      <c r="M44" s="14" t="s">
        <v>1986</v>
      </c>
      <c r="N44" s="14" t="s">
        <v>1987</v>
      </c>
      <c r="O44" s="14" t="s">
        <v>855</v>
      </c>
      <c r="P44" s="14" t="str">
        <f>HYPERLINK("https://dexscreener.com/solana/AJASqFZxU8Kw3Sg4wQTAARACgfhsJoZGMMmHgYigpump", "View")</f>
        <v>View</v>
      </c>
    </row>
    <row r="45" spans="1:16" x14ac:dyDescent="0.25">
      <c r="A45" s="16" t="s">
        <v>1988</v>
      </c>
      <c r="B45" s="17">
        <v>24342498</v>
      </c>
      <c r="C45" s="17">
        <v>24342498</v>
      </c>
      <c r="D45" s="17" t="s">
        <v>864</v>
      </c>
      <c r="E45" s="17" t="s">
        <v>1989</v>
      </c>
      <c r="F45" s="17" t="s">
        <v>1990</v>
      </c>
      <c r="G45" s="21" t="s">
        <v>1991</v>
      </c>
      <c r="H45" s="21" t="s">
        <v>1992</v>
      </c>
      <c r="I45" s="17" t="s">
        <v>88</v>
      </c>
      <c r="J45" s="17">
        <v>1</v>
      </c>
      <c r="K45" s="17">
        <v>1</v>
      </c>
      <c r="L45" s="17" t="s">
        <v>1993</v>
      </c>
      <c r="M45" s="17" t="s">
        <v>1434</v>
      </c>
      <c r="N45" s="17" t="s">
        <v>1994</v>
      </c>
      <c r="O45" s="17" t="s">
        <v>1995</v>
      </c>
      <c r="P45" s="17" t="str">
        <f>HYPERLINK("https://dexscreener.com/solana/9XC5gobmKZfeYRmaStxo1BDeFhYPX1eyCpQUehHepump", "View")</f>
        <v>View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1645-1AB6-436A-B71A-14015AB3B9B9}">
  <dimension ref="A1:P3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HYPERLINK("https://gmgn.ai/sol/address/CdTBh3kn4wY8CV8o29M7CB4borfn6FeK8WFih6fq3m3h", "GMGN")</f>
        <v>GMGN</v>
      </c>
    </row>
    <row r="2" spans="1:14" x14ac:dyDescent="0.25">
      <c r="A2" s="3" t="s">
        <v>21425</v>
      </c>
      <c r="B2" s="3" t="s">
        <v>21426</v>
      </c>
      <c r="C2" s="3" t="s">
        <v>20565</v>
      </c>
      <c r="D2" s="3" t="s">
        <v>21427</v>
      </c>
      <c r="E2" s="3" t="s">
        <v>21428</v>
      </c>
      <c r="F2" s="3" t="s">
        <v>21191</v>
      </c>
      <c r="G2" s="3" t="s">
        <v>18</v>
      </c>
      <c r="H2" s="3">
        <v>14</v>
      </c>
      <c r="I2" s="3">
        <v>0</v>
      </c>
      <c r="J2" s="3" t="s">
        <v>4437</v>
      </c>
      <c r="K2" s="3" t="s">
        <v>21429</v>
      </c>
      <c r="L2" s="3">
        <v>7</v>
      </c>
      <c r="M2" s="3">
        <v>20</v>
      </c>
      <c r="N2" s="3" t="str">
        <f>HYPERLINK("https://solscan.io/account/CdTBh3kn4wY8CV8o29M7CB4borfn6FeK8WFih6fq3m3h", "Solscan")</f>
        <v>Solscan</v>
      </c>
    </row>
    <row r="3" spans="1:14" x14ac:dyDescent="0.25">
      <c r="A3" s="1" t="s">
        <v>21</v>
      </c>
      <c r="B3" s="4" t="s">
        <v>21430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HYPERLINK("https://birdeye.so/profile/CdTBh3kn4wY8CV8o29M7CB4borfn6FeK8WFih6fq3m3h", "Birdeye")</f>
        <v>Birdeye</v>
      </c>
    </row>
    <row r="4" spans="1:14" x14ac:dyDescent="0.25">
      <c r="A4" s="1" t="s">
        <v>25</v>
      </c>
      <c r="B4" s="3" t="s">
        <v>11184</v>
      </c>
      <c r="C4" s="3"/>
      <c r="D4" s="3" t="s">
        <v>4264</v>
      </c>
      <c r="E4" s="3" t="s">
        <v>21431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14174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16077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1</v>
      </c>
      <c r="E10" s="1">
        <v>0</v>
      </c>
      <c r="F10" s="1">
        <v>2</v>
      </c>
      <c r="G10" s="1">
        <v>7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21271</v>
      </c>
      <c r="C11" s="1" t="s">
        <v>21273</v>
      </c>
      <c r="D11" s="1" t="s">
        <v>21271</v>
      </c>
      <c r="E11" s="1" t="s">
        <v>1779</v>
      </c>
      <c r="F11" s="1" t="s">
        <v>21272</v>
      </c>
      <c r="G11" s="1" t="s">
        <v>9643</v>
      </c>
      <c r="H11" s="3"/>
      <c r="I11" s="3" t="s">
        <v>50</v>
      </c>
      <c r="J11" s="3" t="s">
        <v>8461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21432</v>
      </c>
      <c r="C12" s="1" t="s">
        <v>21433</v>
      </c>
      <c r="D12" s="1" t="s">
        <v>32</v>
      </c>
      <c r="E12" s="1" t="s">
        <v>1786</v>
      </c>
      <c r="F12" s="1" t="s">
        <v>9496</v>
      </c>
      <c r="G12" s="1" t="s">
        <v>21434</v>
      </c>
      <c r="H12" s="3"/>
      <c r="I12" s="3" t="s">
        <v>59</v>
      </c>
      <c r="J12" s="3" t="s">
        <v>1583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1792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21435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858790</v>
      </c>
      <c r="C20" s="14">
        <v>858790</v>
      </c>
      <c r="D20" s="14" t="s">
        <v>10157</v>
      </c>
      <c r="E20" s="14" t="s">
        <v>1457</v>
      </c>
      <c r="F20" s="14" t="s">
        <v>21436</v>
      </c>
      <c r="G20" s="21" t="s">
        <v>2567</v>
      </c>
      <c r="H20" s="21" t="s">
        <v>21437</v>
      </c>
      <c r="I20" s="14" t="s">
        <v>88</v>
      </c>
      <c r="J20" s="14">
        <v>1</v>
      </c>
      <c r="K20" s="14">
        <v>1</v>
      </c>
      <c r="L20" s="14" t="s">
        <v>21438</v>
      </c>
      <c r="M20" s="14" t="s">
        <v>364</v>
      </c>
      <c r="N20" s="14" t="s">
        <v>21439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20393</v>
      </c>
      <c r="B21" s="17">
        <v>3913864</v>
      </c>
      <c r="C21" s="17">
        <v>3913864</v>
      </c>
      <c r="D21" s="17" t="s">
        <v>16431</v>
      </c>
      <c r="E21" s="17" t="s">
        <v>2390</v>
      </c>
      <c r="F21" s="17" t="s">
        <v>21440</v>
      </c>
      <c r="G21" s="21" t="s">
        <v>21441</v>
      </c>
      <c r="H21" s="21" t="s">
        <v>21442</v>
      </c>
      <c r="I21" s="17" t="s">
        <v>88</v>
      </c>
      <c r="J21" s="17">
        <v>2</v>
      </c>
      <c r="K21" s="17">
        <v>5</v>
      </c>
      <c r="L21" s="17" t="s">
        <v>21443</v>
      </c>
      <c r="M21" s="17" t="s">
        <v>132</v>
      </c>
      <c r="N21" s="17" t="s">
        <v>21444</v>
      </c>
      <c r="O21" s="17" t="s">
        <v>20399</v>
      </c>
      <c r="P21" s="17" t="str">
        <f>HYPERLINK("https://dexscreener.com/solana/DtWz93pDUZe5cYqBFmZjXq1wzZqZPygCeox5d3ajpump", "View")</f>
        <v>View</v>
      </c>
    </row>
    <row r="22" spans="1:16" x14ac:dyDescent="0.25">
      <c r="A22" s="13" t="s">
        <v>20393</v>
      </c>
      <c r="B22" s="14">
        <v>2032750</v>
      </c>
      <c r="C22" s="14">
        <v>2032750</v>
      </c>
      <c r="D22" s="14" t="s">
        <v>9682</v>
      </c>
      <c r="E22" s="14" t="s">
        <v>569</v>
      </c>
      <c r="F22" s="14" t="s">
        <v>12743</v>
      </c>
      <c r="G22" s="15" t="s">
        <v>21445</v>
      </c>
      <c r="H22" s="15" t="s">
        <v>21446</v>
      </c>
      <c r="I22" s="14" t="s">
        <v>88</v>
      </c>
      <c r="J22" s="14">
        <v>2</v>
      </c>
      <c r="K22" s="14">
        <v>1</v>
      </c>
      <c r="L22" s="14" t="s">
        <v>20402</v>
      </c>
      <c r="M22" s="14" t="s">
        <v>1642</v>
      </c>
      <c r="N22" s="14" t="s">
        <v>21447</v>
      </c>
      <c r="O22" s="14" t="s">
        <v>20404</v>
      </c>
      <c r="P22" s="14" t="str">
        <f>HYPERLINK("https://dexscreener.com/solana/BZasDyB47q8t4TsBDz1QzMEtji5NKcgGD7mWBRjMpump", "View")</f>
        <v>View</v>
      </c>
    </row>
    <row r="23" spans="1:16" x14ac:dyDescent="0.25">
      <c r="A23" s="16" t="s">
        <v>12637</v>
      </c>
      <c r="B23" s="17">
        <v>27411138</v>
      </c>
      <c r="C23" s="17">
        <v>27411138</v>
      </c>
      <c r="D23" s="17" t="s">
        <v>17065</v>
      </c>
      <c r="E23" s="17" t="s">
        <v>8211</v>
      </c>
      <c r="F23" s="17" t="s">
        <v>21448</v>
      </c>
      <c r="G23" s="21" t="s">
        <v>21449</v>
      </c>
      <c r="H23" s="21" t="s">
        <v>21450</v>
      </c>
      <c r="I23" s="17" t="s">
        <v>88</v>
      </c>
      <c r="J23" s="17">
        <v>1</v>
      </c>
      <c r="K23" s="17">
        <v>1</v>
      </c>
      <c r="L23" s="17" t="s">
        <v>21451</v>
      </c>
      <c r="M23" s="17" t="s">
        <v>1566</v>
      </c>
      <c r="N23" s="17" t="s">
        <v>21452</v>
      </c>
      <c r="O23" s="17" t="s">
        <v>12641</v>
      </c>
      <c r="P23" s="17" t="str">
        <f>HYPERLINK("https://photon-sol.tinyastro.io/en/lp/FsThuk1gzeHKyqLcMHNdaArf2V714X63csc6fhFLpump?handle=676050794bc1b1657a56b", "View")</f>
        <v>View</v>
      </c>
    </row>
    <row r="24" spans="1:16" x14ac:dyDescent="0.25">
      <c r="A24" s="13" t="s">
        <v>12637</v>
      </c>
      <c r="B24" s="14">
        <v>16098516</v>
      </c>
      <c r="C24" s="14">
        <v>16098516</v>
      </c>
      <c r="D24" s="14" t="s">
        <v>15598</v>
      </c>
      <c r="E24" s="14" t="s">
        <v>2375</v>
      </c>
      <c r="F24" s="14" t="s">
        <v>13666</v>
      </c>
      <c r="G24" s="15" t="s">
        <v>21453</v>
      </c>
      <c r="H24" s="15" t="s">
        <v>21454</v>
      </c>
      <c r="I24" s="14" t="s">
        <v>88</v>
      </c>
      <c r="J24" s="14">
        <v>1</v>
      </c>
      <c r="K24" s="14">
        <v>1</v>
      </c>
      <c r="L24" s="14" t="s">
        <v>20407</v>
      </c>
      <c r="M24" s="19" t="s">
        <v>2915</v>
      </c>
      <c r="N24" s="14" t="s">
        <v>21455</v>
      </c>
      <c r="O24" s="14" t="s">
        <v>20409</v>
      </c>
      <c r="P24" s="14" t="str">
        <f>HYPERLINK("https://dexscreener.com/solana/39WcEuRp1poYHyjEtDVXA5vcy85F7gy6UurEL157pump", "View")</f>
        <v>View</v>
      </c>
    </row>
    <row r="25" spans="1:16" x14ac:dyDescent="0.25">
      <c r="A25" s="16" t="s">
        <v>20410</v>
      </c>
      <c r="B25" s="17">
        <v>1266826</v>
      </c>
      <c r="C25" s="17">
        <v>1266826</v>
      </c>
      <c r="D25" s="17" t="s">
        <v>20411</v>
      </c>
      <c r="E25" s="17" t="s">
        <v>2390</v>
      </c>
      <c r="F25" s="17" t="s">
        <v>21456</v>
      </c>
      <c r="G25" s="21" t="s">
        <v>21457</v>
      </c>
      <c r="H25" s="21" t="s">
        <v>21458</v>
      </c>
      <c r="I25" s="17" t="s">
        <v>88</v>
      </c>
      <c r="J25" s="17">
        <v>5</v>
      </c>
      <c r="K25" s="17">
        <v>2</v>
      </c>
      <c r="L25" s="17" t="s">
        <v>20415</v>
      </c>
      <c r="M25" s="17" t="s">
        <v>132</v>
      </c>
      <c r="N25" s="17" t="s">
        <v>21459</v>
      </c>
      <c r="O25" s="17" t="s">
        <v>20417</v>
      </c>
      <c r="P25" s="17" t="str">
        <f>HYPERLINK("https://dexscreener.com/solana/BhbfgSh5P742DE5eMx24iZXNZeD2vNRFBZe3EP9Mpump", "View")</f>
        <v>View</v>
      </c>
    </row>
    <row r="26" spans="1:16" x14ac:dyDescent="0.25">
      <c r="A26" s="13" t="s">
        <v>10378</v>
      </c>
      <c r="B26" s="14">
        <v>185705</v>
      </c>
      <c r="C26" s="14">
        <v>185705</v>
      </c>
      <c r="D26" s="14" t="s">
        <v>9682</v>
      </c>
      <c r="E26" s="14" t="s">
        <v>5459</v>
      </c>
      <c r="F26" s="14" t="s">
        <v>9683</v>
      </c>
      <c r="G26" s="20" t="s">
        <v>4081</v>
      </c>
      <c r="H26" s="20" t="s">
        <v>21460</v>
      </c>
      <c r="I26" s="14" t="s">
        <v>88</v>
      </c>
      <c r="J26" s="14">
        <v>2</v>
      </c>
      <c r="K26" s="14">
        <v>2</v>
      </c>
      <c r="L26" s="14" t="s">
        <v>20420</v>
      </c>
      <c r="M26" s="14" t="s">
        <v>5061</v>
      </c>
      <c r="N26" s="14" t="s">
        <v>21461</v>
      </c>
      <c r="O26" s="14" t="s">
        <v>10382</v>
      </c>
      <c r="P26" s="14" t="str">
        <f>HYPERLINK("https://dexscreener.com/solana/Er2mtAhfbZUWbLhxY3ShN5Prj2DrnGjy6d8FYoMXpump", "View")</f>
        <v>View</v>
      </c>
    </row>
    <row r="27" spans="1:16" x14ac:dyDescent="0.25">
      <c r="A27" s="16" t="s">
        <v>20422</v>
      </c>
      <c r="B27" s="17">
        <v>3208379</v>
      </c>
      <c r="C27" s="17">
        <v>3208379</v>
      </c>
      <c r="D27" s="17" t="s">
        <v>16054</v>
      </c>
      <c r="E27" s="17" t="s">
        <v>2390</v>
      </c>
      <c r="F27" s="17" t="s">
        <v>7612</v>
      </c>
      <c r="G27" s="20" t="s">
        <v>21462</v>
      </c>
      <c r="H27" s="20" t="s">
        <v>21463</v>
      </c>
      <c r="I27" s="17" t="s">
        <v>88</v>
      </c>
      <c r="J27" s="17">
        <v>3</v>
      </c>
      <c r="K27" s="17">
        <v>2</v>
      </c>
      <c r="L27" s="17" t="s">
        <v>20423</v>
      </c>
      <c r="M27" s="17" t="s">
        <v>5729</v>
      </c>
      <c r="N27" s="17" t="s">
        <v>21464</v>
      </c>
      <c r="O27" s="17" t="s">
        <v>20425</v>
      </c>
      <c r="P27" s="17" t="str">
        <f>HYPERLINK("https://dexscreener.com/solana/54A7rix3sh5n3hKpZ1VMABLAqrnod8PUCs5AXVsGpump", "View")</f>
        <v>View</v>
      </c>
    </row>
    <row r="28" spans="1:16" x14ac:dyDescent="0.25">
      <c r="A28" s="13" t="s">
        <v>20196</v>
      </c>
      <c r="B28" s="14">
        <v>21349260</v>
      </c>
      <c r="C28" s="14">
        <v>21349260</v>
      </c>
      <c r="D28" s="14" t="s">
        <v>10517</v>
      </c>
      <c r="E28" s="14" t="s">
        <v>14356</v>
      </c>
      <c r="F28" s="14" t="s">
        <v>21465</v>
      </c>
      <c r="G28" s="15" t="s">
        <v>21466</v>
      </c>
      <c r="H28" s="15" t="s">
        <v>21467</v>
      </c>
      <c r="I28" s="14" t="s">
        <v>88</v>
      </c>
      <c r="J28" s="14">
        <v>1</v>
      </c>
      <c r="K28" s="14">
        <v>1</v>
      </c>
      <c r="L28" s="14" t="s">
        <v>20430</v>
      </c>
      <c r="M28" s="14" t="s">
        <v>1957</v>
      </c>
      <c r="N28" s="14" t="s">
        <v>21468</v>
      </c>
      <c r="O28" s="14" t="s">
        <v>20432</v>
      </c>
      <c r="P28" s="14" t="str">
        <f>HYPERLINK("https://photon-sol.tinyastro.io/en/lp/2gMovG6QWCubWR5ayTXdJyvq18bFzFxeZ22k5UdKpump?handle=676050794bc1b1657a56b", "View")</f>
        <v>View</v>
      </c>
    </row>
    <row r="29" spans="1:16" x14ac:dyDescent="0.25">
      <c r="A29" s="16" t="s">
        <v>20433</v>
      </c>
      <c r="B29" s="17">
        <v>20278730</v>
      </c>
      <c r="C29" s="17">
        <v>778730</v>
      </c>
      <c r="D29" s="17" t="s">
        <v>20434</v>
      </c>
      <c r="E29" s="17" t="s">
        <v>21469</v>
      </c>
      <c r="F29" s="17" t="s">
        <v>2537</v>
      </c>
      <c r="G29" s="15" t="s">
        <v>21470</v>
      </c>
      <c r="H29" s="15" t="s">
        <v>21471</v>
      </c>
      <c r="I29" s="17" t="s">
        <v>88</v>
      </c>
      <c r="J29" s="17">
        <v>1</v>
      </c>
      <c r="K29" s="17">
        <v>7</v>
      </c>
      <c r="L29" s="17" t="s">
        <v>21245</v>
      </c>
      <c r="M29" s="17" t="s">
        <v>132</v>
      </c>
      <c r="N29" s="17" t="s">
        <v>21472</v>
      </c>
      <c r="O29" s="17" t="s">
        <v>20440</v>
      </c>
      <c r="P29" s="17" t="str">
        <f>HYPERLINK("https://photon-sol.tinyastro.io/en/lp/3wJ8vbpzdXnWL2SkB3fzkdKgyAUPaK98BD9C9B2bpump?handle=676050794bc1b1657a56b", "View")</f>
        <v>View</v>
      </c>
    </row>
    <row r="30" spans="1:16" x14ac:dyDescent="0.25">
      <c r="A30" s="13" t="s">
        <v>3071</v>
      </c>
      <c r="B30" s="14">
        <v>21792330</v>
      </c>
      <c r="C30" s="14">
        <v>8792330</v>
      </c>
      <c r="D30" s="14" t="s">
        <v>9236</v>
      </c>
      <c r="E30" s="14" t="s">
        <v>21473</v>
      </c>
      <c r="F30" s="14" t="s">
        <v>21474</v>
      </c>
      <c r="G30" s="21" t="s">
        <v>21475</v>
      </c>
      <c r="H30" s="21" t="s">
        <v>21476</v>
      </c>
      <c r="I30" s="14" t="s">
        <v>88</v>
      </c>
      <c r="J30" s="14">
        <v>3</v>
      </c>
      <c r="K30" s="14">
        <v>4</v>
      </c>
      <c r="L30" s="14" t="s">
        <v>21477</v>
      </c>
      <c r="M30" s="14" t="s">
        <v>179</v>
      </c>
      <c r="N30" s="14" t="s">
        <v>21478</v>
      </c>
      <c r="O30" s="14" t="s">
        <v>20448</v>
      </c>
      <c r="P30" s="14" t="str">
        <f>HYPERLINK("https://photon-sol.tinyastro.io/en/lp/CXAtTTTyrHYt1B7pc8CJThygsTLWszd9ASffCE1Npump?handle=676050794bc1b1657a56b", "View")</f>
        <v>View</v>
      </c>
    </row>
    <row r="31" spans="1:16" x14ac:dyDescent="0.25">
      <c r="A31" s="16" t="s">
        <v>3071</v>
      </c>
      <c r="B31" s="17">
        <v>1704538</v>
      </c>
      <c r="C31" s="17">
        <v>1704538</v>
      </c>
      <c r="D31" s="17" t="s">
        <v>10517</v>
      </c>
      <c r="E31" s="17" t="s">
        <v>7344</v>
      </c>
      <c r="F31" s="17" t="s">
        <v>6111</v>
      </c>
      <c r="G31" s="15" t="s">
        <v>18356</v>
      </c>
      <c r="H31" s="15" t="s">
        <v>21479</v>
      </c>
      <c r="I31" s="17" t="s">
        <v>88</v>
      </c>
      <c r="J31" s="17">
        <v>1</v>
      </c>
      <c r="K31" s="17">
        <v>1</v>
      </c>
      <c r="L31" s="17" t="s">
        <v>20450</v>
      </c>
      <c r="M31" s="17" t="s">
        <v>788</v>
      </c>
      <c r="N31" s="17" t="s">
        <v>8177</v>
      </c>
      <c r="O31" s="17" t="s">
        <v>20452</v>
      </c>
      <c r="P31" s="17" t="str">
        <f>HYPERLINK("https://photon-sol.tinyastro.io/en/lp/HwoTcHHEcUNm3AmfnMTUeg4vFxjNrYoBMM8Yy8tLpump?handle=676050794bc1b1657a56b", "View")</f>
        <v>View</v>
      </c>
    </row>
    <row r="32" spans="1:16" x14ac:dyDescent="0.25">
      <c r="A32" s="13" t="s">
        <v>20453</v>
      </c>
      <c r="B32" s="14">
        <v>28131906</v>
      </c>
      <c r="C32" s="14">
        <v>131906</v>
      </c>
      <c r="D32" s="14" t="s">
        <v>12557</v>
      </c>
      <c r="E32" s="14" t="s">
        <v>21480</v>
      </c>
      <c r="F32" s="14" t="s">
        <v>1816</v>
      </c>
      <c r="G32" s="15" t="s">
        <v>21481</v>
      </c>
      <c r="H32" s="15" t="s">
        <v>21482</v>
      </c>
      <c r="I32" s="14" t="s">
        <v>88</v>
      </c>
      <c r="J32" s="14">
        <v>1</v>
      </c>
      <c r="K32" s="14">
        <v>1</v>
      </c>
      <c r="L32" s="14" t="s">
        <v>20457</v>
      </c>
      <c r="M32" s="14" t="s">
        <v>132</v>
      </c>
      <c r="N32" s="14" t="s">
        <v>21483</v>
      </c>
      <c r="O32" s="14" t="s">
        <v>20458</v>
      </c>
      <c r="P32" s="14" t="str">
        <f>HYPERLINK("https://photon-sol.tinyastro.io/en/lp/842FK7G2wxFDgNToxFXFETizmNMJTfKrrJ2kUP6qpump?handle=676050794bc1b1657a56b", "View")</f>
        <v>View</v>
      </c>
    </row>
    <row r="33" spans="1:16" x14ac:dyDescent="0.25">
      <c r="A33" s="16" t="s">
        <v>7531</v>
      </c>
      <c r="B33" s="17">
        <v>26583744</v>
      </c>
      <c r="C33" s="17">
        <v>28189</v>
      </c>
      <c r="D33" s="17" t="s">
        <v>8834</v>
      </c>
      <c r="E33" s="17" t="s">
        <v>21484</v>
      </c>
      <c r="F33" s="17" t="s">
        <v>5641</v>
      </c>
      <c r="G33" s="15" t="s">
        <v>21485</v>
      </c>
      <c r="H33" s="15" t="s">
        <v>21486</v>
      </c>
      <c r="I33" s="17" t="s">
        <v>88</v>
      </c>
      <c r="J33" s="17">
        <v>2</v>
      </c>
      <c r="K33" s="17">
        <v>2</v>
      </c>
      <c r="L33" s="17" t="s">
        <v>21487</v>
      </c>
      <c r="M33" s="17" t="s">
        <v>414</v>
      </c>
      <c r="N33" s="17" t="s">
        <v>21488</v>
      </c>
      <c r="O33" s="17" t="s">
        <v>17669</v>
      </c>
      <c r="P33" s="17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9C5B-0C8D-4A2E-9F15-75835DDEA56B}">
  <dimension ref="A1:P3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HYPERLINK("https://gmgn.ai/sol/address/DyzM5wENV6YwvC5umXYjGxb1WCE4FfZy11bc7A3EsXLJ", "GMGN")</f>
        <v>GMGN</v>
      </c>
    </row>
    <row r="2" spans="1:14" x14ac:dyDescent="0.25">
      <c r="A2" s="3" t="s">
        <v>21489</v>
      </c>
      <c r="B2" s="3" t="s">
        <v>21490</v>
      </c>
      <c r="C2" s="3" t="s">
        <v>4714</v>
      </c>
      <c r="D2" s="3" t="s">
        <v>21491</v>
      </c>
      <c r="E2" s="3" t="s">
        <v>21492</v>
      </c>
      <c r="F2" s="3" t="s">
        <v>18</v>
      </c>
      <c r="G2" s="3" t="s">
        <v>21493</v>
      </c>
      <c r="H2" s="3">
        <v>15</v>
      </c>
      <c r="I2" s="3">
        <v>2</v>
      </c>
      <c r="J2" s="3" t="s">
        <v>538</v>
      </c>
      <c r="K2" s="3" t="s">
        <v>699</v>
      </c>
      <c r="L2" s="3">
        <v>0</v>
      </c>
      <c r="M2" s="3">
        <v>30</v>
      </c>
      <c r="N2" s="3" t="str">
        <f>HYPERLINK("https://solscan.io/account/DyzM5wENV6YwvC5umXYjGxb1WCE4FfZy11bc7A3EsXLJ",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HYPERLINK("https://birdeye.so/profile/DyzM5wENV6YwvC5umXYjGxb1WCE4FfZy11bc7A3EsXLJ", "Birdeye")</f>
        <v>Birdeye</v>
      </c>
    </row>
    <row r="4" spans="1:14" x14ac:dyDescent="0.25">
      <c r="A4" s="1" t="s">
        <v>25</v>
      </c>
      <c r="B4" s="3" t="s">
        <v>19655</v>
      </c>
      <c r="C4" s="3"/>
      <c r="D4" s="3" t="s">
        <v>21494</v>
      </c>
      <c r="E4" s="3" t="s">
        <v>21495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21496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21497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1</v>
      </c>
      <c r="D10" s="1">
        <v>0</v>
      </c>
      <c r="E10" s="1">
        <v>3</v>
      </c>
      <c r="F10" s="1">
        <v>2</v>
      </c>
      <c r="G10" s="1">
        <v>9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21195</v>
      </c>
      <c r="D11" s="1" t="s">
        <v>1779</v>
      </c>
      <c r="E11" s="1" t="s">
        <v>21196</v>
      </c>
      <c r="F11" s="1" t="s">
        <v>21498</v>
      </c>
      <c r="G11" s="1" t="s">
        <v>21499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21500</v>
      </c>
      <c r="D12" s="1" t="s">
        <v>1786</v>
      </c>
      <c r="E12" s="1" t="s">
        <v>21501</v>
      </c>
      <c r="F12" s="1" t="s">
        <v>9495</v>
      </c>
      <c r="G12" s="1" t="s">
        <v>21502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1785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21503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5544</v>
      </c>
      <c r="B20" s="14">
        <v>630010</v>
      </c>
      <c r="C20" s="14">
        <v>0</v>
      </c>
      <c r="D20" s="14" t="s">
        <v>21504</v>
      </c>
      <c r="E20" s="14" t="s">
        <v>21505</v>
      </c>
      <c r="F20" s="14" t="s">
        <v>96</v>
      </c>
      <c r="G20" s="18" t="s">
        <v>21506</v>
      </c>
      <c r="H20" s="18" t="s">
        <v>98</v>
      </c>
      <c r="I20" s="14" t="s">
        <v>21507</v>
      </c>
      <c r="J20" s="14">
        <v>6</v>
      </c>
      <c r="K20" s="14">
        <v>0</v>
      </c>
      <c r="L20" s="14" t="s">
        <v>21508</v>
      </c>
      <c r="M20" s="14" t="s">
        <v>132</v>
      </c>
      <c r="N20" s="14" t="s">
        <v>21509</v>
      </c>
      <c r="O20" s="14" t="s">
        <v>5550</v>
      </c>
      <c r="P20" s="14" t="str">
        <f>HYPERLINK("https://dexscreener.com/solana/Bz4MhmVRQENiCou7ZpJ575wpjNFjBjVBSiVhuNg1pump", "View")</f>
        <v>View</v>
      </c>
    </row>
    <row r="21" spans="1:16" x14ac:dyDescent="0.25">
      <c r="A21" s="16" t="s">
        <v>9891</v>
      </c>
      <c r="B21" s="17">
        <v>1765879</v>
      </c>
      <c r="C21" s="17">
        <v>1765879</v>
      </c>
      <c r="D21" s="17" t="s">
        <v>7589</v>
      </c>
      <c r="E21" s="17" t="s">
        <v>21510</v>
      </c>
      <c r="F21" s="17" t="s">
        <v>21511</v>
      </c>
      <c r="G21" s="22" t="s">
        <v>10121</v>
      </c>
      <c r="H21" s="22" t="s">
        <v>21512</v>
      </c>
      <c r="I21" s="17" t="s">
        <v>88</v>
      </c>
      <c r="J21" s="17">
        <v>1</v>
      </c>
      <c r="K21" s="17">
        <v>2</v>
      </c>
      <c r="L21" s="17" t="s">
        <v>21513</v>
      </c>
      <c r="M21" s="17" t="s">
        <v>699</v>
      </c>
      <c r="N21" s="17" t="s">
        <v>21514</v>
      </c>
      <c r="O21" s="17" t="s">
        <v>9898</v>
      </c>
      <c r="P21" s="17" t="str">
        <f>HYPERLINK("https://dexscreener.com/solana/5LgNLDTvjV6nKQHBEZ783VDoYN2PqGNAKDWPg8wCpump", "View")</f>
        <v>View</v>
      </c>
    </row>
    <row r="22" spans="1:16" x14ac:dyDescent="0.25">
      <c r="A22" s="13" t="s">
        <v>21515</v>
      </c>
      <c r="B22" s="14">
        <v>5068131</v>
      </c>
      <c r="C22" s="14">
        <v>5068131</v>
      </c>
      <c r="D22" s="14" t="s">
        <v>21516</v>
      </c>
      <c r="E22" s="14" t="s">
        <v>12776</v>
      </c>
      <c r="F22" s="14" t="s">
        <v>21517</v>
      </c>
      <c r="G22" s="20" t="s">
        <v>11509</v>
      </c>
      <c r="H22" s="20" t="s">
        <v>11918</v>
      </c>
      <c r="I22" s="14" t="s">
        <v>88</v>
      </c>
      <c r="J22" s="14">
        <v>1</v>
      </c>
      <c r="K22" s="14">
        <v>1</v>
      </c>
      <c r="L22" s="14" t="s">
        <v>21518</v>
      </c>
      <c r="M22" s="14" t="s">
        <v>699</v>
      </c>
      <c r="N22" s="14" t="s">
        <v>21519</v>
      </c>
      <c r="O22" s="14" t="s">
        <v>21520</v>
      </c>
      <c r="P22" s="14" t="str">
        <f>HYPERLINK("https://dexscreener.com/solana/9MnSGZn2PMMpo21SiMjCMnUnhh8JpFWE8xy9gtzGpump", "View")</f>
        <v>View</v>
      </c>
    </row>
    <row r="23" spans="1:16" x14ac:dyDescent="0.25">
      <c r="A23" s="16" t="s">
        <v>21521</v>
      </c>
      <c r="B23" s="17">
        <v>1935786</v>
      </c>
      <c r="C23" s="17">
        <v>21234607</v>
      </c>
      <c r="D23" s="17" t="s">
        <v>21522</v>
      </c>
      <c r="E23" s="17" t="s">
        <v>1267</v>
      </c>
      <c r="F23" s="17" t="s">
        <v>21523</v>
      </c>
      <c r="G23" s="15" t="s">
        <v>21524</v>
      </c>
      <c r="H23" s="15" t="s">
        <v>21525</v>
      </c>
      <c r="I23" s="17" t="s">
        <v>88</v>
      </c>
      <c r="J23" s="17">
        <v>3</v>
      </c>
      <c r="K23" s="17">
        <v>1</v>
      </c>
      <c r="L23" s="17" t="s">
        <v>21526</v>
      </c>
      <c r="M23" s="17" t="s">
        <v>150</v>
      </c>
      <c r="N23" s="17" t="s">
        <v>21527</v>
      </c>
      <c r="O23" s="17" t="s">
        <v>21528</v>
      </c>
      <c r="P23" s="17" t="str">
        <f>HYPERLINK("https://dexscreener.com/solana/6G9UoNmvtpgdwzwNQuqCrTD4Bz3j8VyKVJPsjKnrpump", "View")</f>
        <v>View</v>
      </c>
    </row>
    <row r="24" spans="1:16" x14ac:dyDescent="0.25">
      <c r="A24" s="13" t="s">
        <v>21529</v>
      </c>
      <c r="B24" s="14">
        <v>4523545</v>
      </c>
      <c r="C24" s="14">
        <v>0</v>
      </c>
      <c r="D24" s="14" t="s">
        <v>9885</v>
      </c>
      <c r="E24" s="14" t="s">
        <v>569</v>
      </c>
      <c r="F24" s="14" t="s">
        <v>96</v>
      </c>
      <c r="G24" s="18" t="s">
        <v>21530</v>
      </c>
      <c r="H24" s="18" t="s">
        <v>98</v>
      </c>
      <c r="I24" s="14" t="s">
        <v>21531</v>
      </c>
      <c r="J24" s="14">
        <v>2</v>
      </c>
      <c r="K24" s="14">
        <v>0</v>
      </c>
      <c r="L24" s="14" t="s">
        <v>21532</v>
      </c>
      <c r="M24" s="14" t="s">
        <v>602</v>
      </c>
      <c r="N24" s="14" t="s">
        <v>21533</v>
      </c>
      <c r="O24" s="14" t="s">
        <v>21534</v>
      </c>
      <c r="P24" s="14" t="str">
        <f>HYPERLINK("https://dexscreener.com/solana/8q3PiifMQxnjs1NAETVXw8xMVN8q3Zfuoops9BSjpump", "View")</f>
        <v>View</v>
      </c>
    </row>
    <row r="25" spans="1:16" x14ac:dyDescent="0.25">
      <c r="A25" s="16" t="s">
        <v>21535</v>
      </c>
      <c r="B25" s="17">
        <v>660693445</v>
      </c>
      <c r="C25" s="17">
        <v>330000000</v>
      </c>
      <c r="D25" s="17" t="s">
        <v>21536</v>
      </c>
      <c r="E25" s="17" t="s">
        <v>7656</v>
      </c>
      <c r="F25" s="17" t="s">
        <v>21537</v>
      </c>
      <c r="G25" s="22" t="s">
        <v>21538</v>
      </c>
      <c r="H25" s="22" t="s">
        <v>21539</v>
      </c>
      <c r="I25" s="17" t="s">
        <v>88</v>
      </c>
      <c r="J25" s="17">
        <v>1</v>
      </c>
      <c r="K25" s="17">
        <v>2</v>
      </c>
      <c r="L25" s="17" t="s">
        <v>21540</v>
      </c>
      <c r="M25" s="17" t="s">
        <v>4454</v>
      </c>
      <c r="N25" s="17" t="s">
        <v>21541</v>
      </c>
      <c r="O25" s="17" t="s">
        <v>21542</v>
      </c>
      <c r="P25" s="17" t="str">
        <f>HYPERLINK("https://dexscreener.com/solana/Dnb9dLSXxAarXVexehzeH8W8nFmLMNJSuGoaddZSwtog", "View")</f>
        <v>View</v>
      </c>
    </row>
    <row r="26" spans="1:16" x14ac:dyDescent="0.25">
      <c r="A26" s="13" t="s">
        <v>392</v>
      </c>
      <c r="B26" s="14">
        <v>589653</v>
      </c>
      <c r="C26" s="14">
        <v>0</v>
      </c>
      <c r="D26" s="14" t="s">
        <v>12585</v>
      </c>
      <c r="E26" s="14" t="s">
        <v>21510</v>
      </c>
      <c r="F26" s="14" t="s">
        <v>96</v>
      </c>
      <c r="G26" s="18" t="s">
        <v>21543</v>
      </c>
      <c r="H26" s="18" t="s">
        <v>98</v>
      </c>
      <c r="I26" s="14" t="s">
        <v>21544</v>
      </c>
      <c r="J26" s="14">
        <v>1</v>
      </c>
      <c r="K26" s="14">
        <v>0</v>
      </c>
      <c r="L26" s="14" t="s">
        <v>21545</v>
      </c>
      <c r="M26" s="19" t="s">
        <v>101</v>
      </c>
      <c r="N26" s="14" t="s">
        <v>21546</v>
      </c>
      <c r="O26" s="14" t="s">
        <v>400</v>
      </c>
      <c r="P26" s="14" t="str">
        <f>HYPERLINK("https://dexscreener.com/solana/BTdGTUjHz5FUSf91Ufo9L9r4LFMTRhE1qDtvUUfypump", "View")</f>
        <v>View</v>
      </c>
    </row>
    <row r="27" spans="1:16" x14ac:dyDescent="0.25">
      <c r="A27" s="16" t="s">
        <v>21547</v>
      </c>
      <c r="B27" s="17">
        <v>1573522</v>
      </c>
      <c r="C27" s="17">
        <v>0</v>
      </c>
      <c r="D27" s="17" t="s">
        <v>21548</v>
      </c>
      <c r="E27" s="17" t="s">
        <v>21549</v>
      </c>
      <c r="F27" s="17" t="s">
        <v>96</v>
      </c>
      <c r="G27" s="18" t="s">
        <v>21550</v>
      </c>
      <c r="H27" s="18" t="s">
        <v>98</v>
      </c>
      <c r="I27" s="17" t="s">
        <v>21551</v>
      </c>
      <c r="J27" s="17">
        <v>3</v>
      </c>
      <c r="K27" s="17">
        <v>0</v>
      </c>
      <c r="L27" s="17" t="s">
        <v>21552</v>
      </c>
      <c r="M27" s="17" t="s">
        <v>132</v>
      </c>
      <c r="N27" s="17" t="s">
        <v>21553</v>
      </c>
      <c r="O27" s="17" t="s">
        <v>21554</v>
      </c>
      <c r="P27" s="17" t="str">
        <f>HYPERLINK("https://dexscreener.com/solana/HnKkzR1YtFbUUxM6g3iVRS2RY68KHhGV7bNdfF1GCsJB", "View")</f>
        <v>View</v>
      </c>
    </row>
    <row r="28" spans="1:16" x14ac:dyDescent="0.25">
      <c r="A28" s="13" t="s">
        <v>21555</v>
      </c>
      <c r="B28" s="14">
        <v>56444</v>
      </c>
      <c r="C28" s="14">
        <v>0</v>
      </c>
      <c r="D28" s="14" t="s">
        <v>21556</v>
      </c>
      <c r="E28" s="14" t="s">
        <v>21557</v>
      </c>
      <c r="F28" s="14" t="s">
        <v>96</v>
      </c>
      <c r="G28" s="18" t="s">
        <v>21558</v>
      </c>
      <c r="H28" s="18" t="s">
        <v>98</v>
      </c>
      <c r="I28" s="14" t="s">
        <v>21559</v>
      </c>
      <c r="J28" s="14">
        <v>3</v>
      </c>
      <c r="K28" s="14">
        <v>0</v>
      </c>
      <c r="L28" s="14" t="s">
        <v>21560</v>
      </c>
      <c r="M28" s="14" t="s">
        <v>379</v>
      </c>
      <c r="N28" s="14" t="s">
        <v>21561</v>
      </c>
      <c r="O28" s="14" t="s">
        <v>21562</v>
      </c>
      <c r="P28" s="14" t="str">
        <f>HYPERLINK("https://dexscreener.com/solana/FU1q8vJpZNUrmqsciSjp8bAKKidGsLmouB8CBdf8TKQv", "View")</f>
        <v>View</v>
      </c>
    </row>
    <row r="29" spans="1:16" x14ac:dyDescent="0.25">
      <c r="A29" s="16" t="s">
        <v>702</v>
      </c>
      <c r="B29" s="17">
        <v>4004209</v>
      </c>
      <c r="C29" s="17">
        <v>4586629</v>
      </c>
      <c r="D29" s="17" t="s">
        <v>21563</v>
      </c>
      <c r="E29" s="17" t="s">
        <v>21564</v>
      </c>
      <c r="F29" s="17" t="s">
        <v>21565</v>
      </c>
      <c r="G29" s="22" t="s">
        <v>21256</v>
      </c>
      <c r="H29" s="22" t="s">
        <v>9579</v>
      </c>
      <c r="I29" s="17" t="s">
        <v>88</v>
      </c>
      <c r="J29" s="17">
        <v>9</v>
      </c>
      <c r="K29" s="17">
        <v>3</v>
      </c>
      <c r="L29" s="17" t="s">
        <v>21566</v>
      </c>
      <c r="M29" s="17" t="s">
        <v>699</v>
      </c>
      <c r="N29" s="17" t="s">
        <v>21567</v>
      </c>
      <c r="O29" s="17" t="s">
        <v>708</v>
      </c>
      <c r="P29" s="17" t="str">
        <f>HYPERLINK("https://dexscreener.com/solana/BoBj68cWnCvzMNUKzJyR7Jq7tLM3v76D1pYL1E8rpump", "View")</f>
        <v>View</v>
      </c>
    </row>
    <row r="30" spans="1:16" x14ac:dyDescent="0.25">
      <c r="A30" s="13" t="s">
        <v>20548</v>
      </c>
      <c r="B30" s="14">
        <v>2361725</v>
      </c>
      <c r="C30" s="14">
        <v>0</v>
      </c>
      <c r="D30" s="14" t="s">
        <v>12753</v>
      </c>
      <c r="E30" s="14" t="s">
        <v>12776</v>
      </c>
      <c r="F30" s="14" t="s">
        <v>96</v>
      </c>
      <c r="G30" s="18" t="s">
        <v>21568</v>
      </c>
      <c r="H30" s="18" t="s">
        <v>98</v>
      </c>
      <c r="I30" s="14" t="s">
        <v>21569</v>
      </c>
      <c r="J30" s="14">
        <v>1</v>
      </c>
      <c r="K30" s="14">
        <v>0</v>
      </c>
      <c r="L30" s="14" t="s">
        <v>21570</v>
      </c>
      <c r="M30" s="19" t="s">
        <v>101</v>
      </c>
      <c r="N30" s="14" t="s">
        <v>21571</v>
      </c>
      <c r="O30" s="14" t="s">
        <v>20553</v>
      </c>
      <c r="P30" s="14" t="str">
        <f>HYPERLINK("https://dexscreener.com/solana/5ZqPs7FK9EQwXHqdygfqHCV2r7VEYBcd5qVH9vU9pump", "View")</f>
        <v>View</v>
      </c>
    </row>
    <row r="31" spans="1:16" x14ac:dyDescent="0.25">
      <c r="A31" s="16" t="s">
        <v>21219</v>
      </c>
      <c r="B31" s="17">
        <v>531968</v>
      </c>
      <c r="C31" s="17">
        <v>0</v>
      </c>
      <c r="D31" s="17" t="s">
        <v>4347</v>
      </c>
      <c r="E31" s="17" t="s">
        <v>12776</v>
      </c>
      <c r="F31" s="17" t="s">
        <v>96</v>
      </c>
      <c r="G31" s="18" t="s">
        <v>21568</v>
      </c>
      <c r="H31" s="18" t="s">
        <v>98</v>
      </c>
      <c r="I31" s="17" t="s">
        <v>21572</v>
      </c>
      <c r="J31" s="17">
        <v>1</v>
      </c>
      <c r="K31" s="17">
        <v>0</v>
      </c>
      <c r="L31" s="17" t="s">
        <v>21573</v>
      </c>
      <c r="M31" s="19" t="s">
        <v>101</v>
      </c>
      <c r="N31" s="17" t="s">
        <v>21574</v>
      </c>
      <c r="O31" s="17" t="s">
        <v>21575</v>
      </c>
      <c r="P31" s="17" t="str">
        <f>HYPERLINK("https://dexscreener.com/solana/GRpS5quvyxPCx3nARqyyNSyd51D8MwWw1Rb5GT6Zpump", "View")</f>
        <v>View</v>
      </c>
    </row>
    <row r="32" spans="1:16" x14ac:dyDescent="0.25">
      <c r="A32" s="13" t="s">
        <v>11577</v>
      </c>
      <c r="B32" s="14">
        <v>337204</v>
      </c>
      <c r="C32" s="14">
        <v>237204</v>
      </c>
      <c r="D32" s="14" t="s">
        <v>7681</v>
      </c>
      <c r="E32" s="14" t="s">
        <v>21576</v>
      </c>
      <c r="F32" s="14" t="s">
        <v>21577</v>
      </c>
      <c r="G32" s="21" t="s">
        <v>21578</v>
      </c>
      <c r="H32" s="21" t="s">
        <v>21579</v>
      </c>
      <c r="I32" s="14" t="s">
        <v>88</v>
      </c>
      <c r="J32" s="14">
        <v>2</v>
      </c>
      <c r="K32" s="14">
        <v>3</v>
      </c>
      <c r="L32" s="14" t="s">
        <v>21580</v>
      </c>
      <c r="M32" s="14" t="s">
        <v>2145</v>
      </c>
      <c r="N32" s="14" t="s">
        <v>21581</v>
      </c>
      <c r="O32" s="14" t="s">
        <v>11581</v>
      </c>
      <c r="P32" s="14" t="str">
        <f>HYPERLINK("https://dexscreener.com/solana/GJAFwWjJ3vnTsrQVabjBVK2TYB1YtRCQXRDfDgUnpump", "View")</f>
        <v>View</v>
      </c>
    </row>
    <row r="33" spans="1:16" x14ac:dyDescent="0.25">
      <c r="A33" s="16" t="s">
        <v>15064</v>
      </c>
      <c r="B33" s="17">
        <v>220408</v>
      </c>
      <c r="C33" s="17">
        <v>220408</v>
      </c>
      <c r="D33" s="17" t="s">
        <v>21582</v>
      </c>
      <c r="E33" s="17" t="s">
        <v>21583</v>
      </c>
      <c r="F33" s="17" t="s">
        <v>21584</v>
      </c>
      <c r="G33" s="20" t="s">
        <v>21585</v>
      </c>
      <c r="H33" s="20" t="s">
        <v>13828</v>
      </c>
      <c r="I33" s="17" t="s">
        <v>88</v>
      </c>
      <c r="J33" s="17">
        <v>1</v>
      </c>
      <c r="K33" s="17">
        <v>1</v>
      </c>
      <c r="L33" s="17" t="s">
        <v>21586</v>
      </c>
      <c r="M33" s="17" t="s">
        <v>179</v>
      </c>
      <c r="N33" s="17" t="s">
        <v>21587</v>
      </c>
      <c r="O33" s="17" t="s">
        <v>15070</v>
      </c>
      <c r="P33" s="17" t="str">
        <f>HYPERLINK("https://dexscreener.com/solana/2KgAN8nLAU74wjiyKi85m4ZT6Z9MtqrUTGfse8Xapump", "View")</f>
        <v>View</v>
      </c>
    </row>
    <row r="34" spans="1:16" x14ac:dyDescent="0.25">
      <c r="A34" s="13" t="s">
        <v>21145</v>
      </c>
      <c r="B34" s="14">
        <v>2321547</v>
      </c>
      <c r="C34" s="14">
        <v>0</v>
      </c>
      <c r="D34" s="14" t="s">
        <v>21588</v>
      </c>
      <c r="E34" s="14" t="s">
        <v>21589</v>
      </c>
      <c r="F34" s="14" t="s">
        <v>96</v>
      </c>
      <c r="G34" s="18" t="s">
        <v>21590</v>
      </c>
      <c r="H34" s="18" t="s">
        <v>98</v>
      </c>
      <c r="I34" s="14" t="s">
        <v>21591</v>
      </c>
      <c r="J34" s="14">
        <v>3</v>
      </c>
      <c r="K34" s="14">
        <v>0</v>
      </c>
      <c r="L34" s="14" t="s">
        <v>21592</v>
      </c>
      <c r="M34" s="14" t="s">
        <v>1526</v>
      </c>
      <c r="N34" s="14" t="s">
        <v>21593</v>
      </c>
      <c r="O34" s="14" t="s">
        <v>21594</v>
      </c>
      <c r="P34" s="14" t="str">
        <f>HYPERLINK("https://dexscreener.com/solana/ASYYqwd3opdXHmmK3KSDHrtB1gCmZzB8PA8QVbaB39Qx", "View")</f>
        <v>View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279-6E07-4849-816C-4439D6995B4B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HYPERLINK("https://gmgn.ai/sol/address/3rAXtQcRZdihvjENs3h5atuYzzShvMqq9Hdp93roexTo", "GMGN")</f>
        <v>GMGN</v>
      </c>
    </row>
    <row r="2" spans="1:14" x14ac:dyDescent="0.25">
      <c r="A2" s="3" t="s">
        <v>21595</v>
      </c>
      <c r="B2" s="3" t="s">
        <v>21596</v>
      </c>
      <c r="C2" s="3" t="s">
        <v>21597</v>
      </c>
      <c r="D2" s="3" t="s">
        <v>21598</v>
      </c>
      <c r="E2" s="3" t="s">
        <v>21599</v>
      </c>
      <c r="F2" s="3" t="s">
        <v>18</v>
      </c>
      <c r="G2" s="3" t="s">
        <v>18</v>
      </c>
      <c r="H2" s="3">
        <v>9</v>
      </c>
      <c r="I2" s="3">
        <v>0</v>
      </c>
      <c r="J2" s="3" t="s">
        <v>21600</v>
      </c>
      <c r="K2" s="3" t="s">
        <v>2617</v>
      </c>
      <c r="L2" s="3">
        <v>7</v>
      </c>
      <c r="M2" s="3">
        <v>6</v>
      </c>
      <c r="N2" s="3" t="str">
        <f>HYPERLINK("https://solscan.io/account/3rAXtQcRZdihvjENs3h5atuYzzShvMqq9Hdp93roexTo", "Solscan")</f>
        <v>Solscan</v>
      </c>
    </row>
    <row r="3" spans="1:14" x14ac:dyDescent="0.25">
      <c r="A3" s="1" t="s">
        <v>21</v>
      </c>
      <c r="B3" s="23" t="s">
        <v>21601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HYPERLINK("https://birdeye.so/profile/3rAXtQcRZdihvjENs3h5atuYzzShvMqq9Hdp93roexTo", "Birdeye")</f>
        <v>Birdeye</v>
      </c>
    </row>
    <row r="4" spans="1:14" x14ac:dyDescent="0.25">
      <c r="A4" s="1" t="s">
        <v>25</v>
      </c>
      <c r="B4" s="23" t="s">
        <v>13977</v>
      </c>
      <c r="C4" s="3"/>
      <c r="D4" s="3" t="s">
        <v>1568</v>
      </c>
      <c r="E4" s="3" t="s">
        <v>21602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11197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1</v>
      </c>
      <c r="E10" s="1">
        <v>1</v>
      </c>
      <c r="F10" s="1">
        <v>1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4275</v>
      </c>
      <c r="C11" s="1" t="s">
        <v>9642</v>
      </c>
      <c r="D11" s="1" t="s">
        <v>4275</v>
      </c>
      <c r="E11" s="1" t="s">
        <v>4275</v>
      </c>
      <c r="F11" s="1" t="s">
        <v>4275</v>
      </c>
      <c r="G11" s="1" t="s">
        <v>4274</v>
      </c>
      <c r="H11" s="3"/>
      <c r="I11" s="3" t="s">
        <v>50</v>
      </c>
      <c r="J11" s="3" t="s">
        <v>8461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21603</v>
      </c>
      <c r="C12" s="1" t="s">
        <v>21604</v>
      </c>
      <c r="D12" s="1" t="s">
        <v>4129</v>
      </c>
      <c r="E12" s="1" t="s">
        <v>1786</v>
      </c>
      <c r="F12" s="1" t="s">
        <v>4279</v>
      </c>
      <c r="G12" s="1" t="s">
        <v>21605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8326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21606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21607</v>
      </c>
      <c r="B20" s="14">
        <v>9624281</v>
      </c>
      <c r="C20" s="14">
        <v>9624281</v>
      </c>
      <c r="D20" s="14" t="s">
        <v>21608</v>
      </c>
      <c r="E20" s="14" t="s">
        <v>2448</v>
      </c>
      <c r="F20" s="14" t="s">
        <v>16188</v>
      </c>
      <c r="G20" s="21" t="s">
        <v>21609</v>
      </c>
      <c r="H20" s="21" t="s">
        <v>21610</v>
      </c>
      <c r="I20" s="14" t="s">
        <v>88</v>
      </c>
      <c r="J20" s="14">
        <v>1</v>
      </c>
      <c r="K20" s="14">
        <v>3</v>
      </c>
      <c r="L20" s="14" t="s">
        <v>21611</v>
      </c>
      <c r="M20" s="14" t="s">
        <v>5445</v>
      </c>
      <c r="N20" s="14" t="s">
        <v>21612</v>
      </c>
      <c r="O20" s="14" t="s">
        <v>21613</v>
      </c>
      <c r="P20" s="14" t="str">
        <f>HYPERLINK("https://photon-sol.tinyastro.io/en/lp/6AgVRn4XTq8Pdw48otNhB1wju32xENzj5eLdrXAtpump?handle=676050794bc1b1657a56b", "View")</f>
        <v>View</v>
      </c>
    </row>
    <row r="21" spans="1:16" x14ac:dyDescent="0.25">
      <c r="A21" s="16" t="s">
        <v>21614</v>
      </c>
      <c r="B21" s="17">
        <v>23322216</v>
      </c>
      <c r="C21" s="17">
        <v>23322216</v>
      </c>
      <c r="D21" s="17" t="s">
        <v>21615</v>
      </c>
      <c r="E21" s="17" t="s">
        <v>2448</v>
      </c>
      <c r="F21" s="17" t="s">
        <v>21616</v>
      </c>
      <c r="G21" s="21" t="s">
        <v>21617</v>
      </c>
      <c r="H21" s="21" t="s">
        <v>21618</v>
      </c>
      <c r="I21" s="17" t="s">
        <v>88</v>
      </c>
      <c r="J21" s="17">
        <v>1</v>
      </c>
      <c r="K21" s="17">
        <v>5</v>
      </c>
      <c r="L21" s="17" t="s">
        <v>21619</v>
      </c>
      <c r="M21" s="17" t="s">
        <v>2617</v>
      </c>
      <c r="N21" s="17" t="s">
        <v>21620</v>
      </c>
      <c r="O21" s="17" t="s">
        <v>21621</v>
      </c>
      <c r="P21" s="17" t="str">
        <f>HYPERLINK("https://photon-sol.tinyastro.io/en/lp/DKco1J7LLv8mm4HCHEXudVJ3YGP9SDn4ig3dUD1qpump?handle=676050794bc1b1657a56b", "View")</f>
        <v>View</v>
      </c>
    </row>
    <row r="22" spans="1:16" x14ac:dyDescent="0.25">
      <c r="A22" s="13" t="s">
        <v>21622</v>
      </c>
      <c r="B22" s="14">
        <v>526267</v>
      </c>
      <c r="C22" s="14">
        <v>416267</v>
      </c>
      <c r="D22" s="14" t="s">
        <v>2026</v>
      </c>
      <c r="E22" s="14" t="s">
        <v>13566</v>
      </c>
      <c r="F22" s="14" t="s">
        <v>11226</v>
      </c>
      <c r="G22" s="15" t="s">
        <v>21623</v>
      </c>
      <c r="H22" s="15" t="s">
        <v>21624</v>
      </c>
      <c r="I22" s="14" t="s">
        <v>88</v>
      </c>
      <c r="J22" s="14">
        <v>2</v>
      </c>
      <c r="K22" s="14">
        <v>1</v>
      </c>
      <c r="L22" s="14" t="s">
        <v>21625</v>
      </c>
      <c r="M22" s="14" t="s">
        <v>2145</v>
      </c>
      <c r="N22" s="14" t="s">
        <v>21626</v>
      </c>
      <c r="O22" s="14" t="s">
        <v>21627</v>
      </c>
      <c r="P22" s="14" t="str">
        <f>HYPERLINK("https://dexscreener.com/solana/C1jXwDMkaLEpFUAJ8yrr7tLavCeNdZgbHC8rvcG1pump", "View")</f>
        <v>View</v>
      </c>
    </row>
    <row r="23" spans="1:16" x14ac:dyDescent="0.25">
      <c r="A23" s="16" t="s">
        <v>21628</v>
      </c>
      <c r="B23" s="17">
        <v>71528</v>
      </c>
      <c r="C23" s="17">
        <v>71528</v>
      </c>
      <c r="D23" s="17" t="s">
        <v>14097</v>
      </c>
      <c r="E23" s="17" t="s">
        <v>9395</v>
      </c>
      <c r="F23" s="17" t="s">
        <v>4240</v>
      </c>
      <c r="G23" s="21" t="s">
        <v>3670</v>
      </c>
      <c r="H23" s="21" t="s">
        <v>21629</v>
      </c>
      <c r="I23" s="17" t="s">
        <v>88</v>
      </c>
      <c r="J23" s="17">
        <v>1</v>
      </c>
      <c r="K23" s="17">
        <v>3</v>
      </c>
      <c r="L23" s="17" t="s">
        <v>21630</v>
      </c>
      <c r="M23" s="17" t="s">
        <v>179</v>
      </c>
      <c r="N23" s="17" t="s">
        <v>21631</v>
      </c>
      <c r="O23" s="17" t="s">
        <v>21632</v>
      </c>
      <c r="P23" s="17" t="str">
        <f>HYPERLINK("https://dexscreener.com/solana/2ho4cNvfFV9DWvw7DzCqrN2HMRdvzYJFHTR2Ts8Kpump", "View")</f>
        <v>View</v>
      </c>
    </row>
    <row r="24" spans="1:16" x14ac:dyDescent="0.25">
      <c r="A24" s="13" t="s">
        <v>21633</v>
      </c>
      <c r="B24" s="14">
        <v>18494059</v>
      </c>
      <c r="C24" s="14">
        <v>18494059</v>
      </c>
      <c r="D24" s="14" t="s">
        <v>14097</v>
      </c>
      <c r="E24" s="14" t="s">
        <v>16128</v>
      </c>
      <c r="F24" s="14" t="s">
        <v>15612</v>
      </c>
      <c r="G24" s="21" t="s">
        <v>13930</v>
      </c>
      <c r="H24" s="21" t="s">
        <v>21601</v>
      </c>
      <c r="I24" s="14" t="s">
        <v>88</v>
      </c>
      <c r="J24" s="14">
        <v>1</v>
      </c>
      <c r="K24" s="14">
        <v>3</v>
      </c>
      <c r="L24" s="14" t="s">
        <v>21634</v>
      </c>
      <c r="M24" s="14" t="s">
        <v>2617</v>
      </c>
      <c r="N24" s="14" t="s">
        <v>21635</v>
      </c>
      <c r="O24" s="14" t="s">
        <v>21636</v>
      </c>
      <c r="P24" s="14" t="str">
        <f>HYPERLINK("https://photon-sol.tinyastro.io/en/lp/YkwABffuPCRwkXj5zwd9Ad21Pmjdas5HK85EUezpump?handle=676050794bc1b1657a56b", "View")</f>
        <v>View</v>
      </c>
    </row>
    <row r="25" spans="1:16" x14ac:dyDescent="0.25">
      <c r="A25" s="16" t="s">
        <v>21637</v>
      </c>
      <c r="B25" s="17">
        <v>8301342</v>
      </c>
      <c r="C25" s="17">
        <v>8301342</v>
      </c>
      <c r="D25" s="17" t="s">
        <v>14276</v>
      </c>
      <c r="E25" s="17" t="s">
        <v>3236</v>
      </c>
      <c r="F25" s="17" t="s">
        <v>21638</v>
      </c>
      <c r="G25" s="20" t="s">
        <v>11022</v>
      </c>
      <c r="H25" s="20" t="s">
        <v>21639</v>
      </c>
      <c r="I25" s="17" t="s">
        <v>88</v>
      </c>
      <c r="J25" s="17">
        <v>1</v>
      </c>
      <c r="K25" s="17">
        <v>1</v>
      </c>
      <c r="L25" s="17" t="s">
        <v>21640</v>
      </c>
      <c r="M25" s="17" t="s">
        <v>1566</v>
      </c>
      <c r="N25" s="17" t="s">
        <v>507</v>
      </c>
      <c r="O25" s="17" t="s">
        <v>21641</v>
      </c>
      <c r="P25" s="17" t="str">
        <f>HYPERLINK("https://photon-sol.tinyastro.io/en/lp/7daivae3qLwR6BE2ChagJNbkNEHkNGrb36tGyQHkpump?handle=676050794bc1b1657a56b", "View")</f>
        <v>View</v>
      </c>
    </row>
    <row r="26" spans="1:16" x14ac:dyDescent="0.25">
      <c r="A26" s="13" t="s">
        <v>21642</v>
      </c>
      <c r="B26" s="14">
        <v>5064146</v>
      </c>
      <c r="C26" s="14">
        <v>5064146</v>
      </c>
      <c r="D26" s="14" t="s">
        <v>14276</v>
      </c>
      <c r="E26" s="14" t="s">
        <v>19894</v>
      </c>
      <c r="F26" s="14" t="s">
        <v>2465</v>
      </c>
      <c r="G26" s="21" t="s">
        <v>6575</v>
      </c>
      <c r="H26" s="21" t="s">
        <v>21643</v>
      </c>
      <c r="I26" s="14" t="s">
        <v>88</v>
      </c>
      <c r="J26" s="14">
        <v>1</v>
      </c>
      <c r="K26" s="14">
        <v>1</v>
      </c>
      <c r="L26" s="14" t="s">
        <v>21644</v>
      </c>
      <c r="M26" s="14" t="s">
        <v>1434</v>
      </c>
      <c r="N26" s="14" t="s">
        <v>21645</v>
      </c>
      <c r="O26" s="14" t="s">
        <v>21646</v>
      </c>
      <c r="P26" s="14" t="str">
        <f>HYPERLINK("https://photon-sol.tinyastro.io/en/lp/8fjdpbBiDC7zYSgTnX78VR9pJv11YpHJKdqUfB6Apump?handle=676050794bc1b1657a56b", "View")</f>
        <v>View</v>
      </c>
    </row>
    <row r="27" spans="1:16" x14ac:dyDescent="0.25">
      <c r="A27" s="16" t="s">
        <v>21647</v>
      </c>
      <c r="B27" s="17">
        <v>4718058</v>
      </c>
      <c r="C27" s="17">
        <v>4718058</v>
      </c>
      <c r="D27" s="17" t="s">
        <v>14276</v>
      </c>
      <c r="E27" s="17" t="s">
        <v>21648</v>
      </c>
      <c r="F27" s="17" t="s">
        <v>17326</v>
      </c>
      <c r="G27" s="15" t="s">
        <v>21649</v>
      </c>
      <c r="H27" s="15" t="s">
        <v>21650</v>
      </c>
      <c r="I27" s="17" t="s">
        <v>88</v>
      </c>
      <c r="J27" s="17">
        <v>1</v>
      </c>
      <c r="K27" s="17">
        <v>1</v>
      </c>
      <c r="L27" s="17" t="s">
        <v>21651</v>
      </c>
      <c r="M27" s="17" t="s">
        <v>304</v>
      </c>
      <c r="N27" s="17" t="s">
        <v>507</v>
      </c>
      <c r="O27" s="17" t="s">
        <v>21652</v>
      </c>
      <c r="P27" s="17" t="str">
        <f>HYPERLINK("https://photon-sol.tinyastro.io/en/lp/BP5SWoed66yLAjZwM6aDR6YfBHEUgEtkGSJdAQ2rpump?handle=676050794bc1b1657a56b", "View")</f>
        <v>View</v>
      </c>
    </row>
    <row r="28" spans="1:16" x14ac:dyDescent="0.25">
      <c r="A28" s="13" t="s">
        <v>21653</v>
      </c>
      <c r="B28" s="14">
        <v>11445279</v>
      </c>
      <c r="C28" s="14">
        <v>11445279</v>
      </c>
      <c r="D28" s="14" t="s">
        <v>14276</v>
      </c>
      <c r="E28" s="14" t="s">
        <v>19113</v>
      </c>
      <c r="F28" s="14" t="s">
        <v>2889</v>
      </c>
      <c r="G28" s="22" t="s">
        <v>5012</v>
      </c>
      <c r="H28" s="22" t="s">
        <v>3940</v>
      </c>
      <c r="I28" s="14" t="s">
        <v>88</v>
      </c>
      <c r="J28" s="14">
        <v>1</v>
      </c>
      <c r="K28" s="14">
        <v>1</v>
      </c>
      <c r="L28" s="14" t="s">
        <v>21654</v>
      </c>
      <c r="M28" s="14" t="s">
        <v>4922</v>
      </c>
      <c r="N28" s="14" t="s">
        <v>507</v>
      </c>
      <c r="O28" s="14" t="s">
        <v>21655</v>
      </c>
      <c r="P28" s="14" t="str">
        <f>HYPERLINK("https://photon-sol.tinyastro.io/en/lp/JDmbyH3vaY5BJ1sniMUNVeBe78CgK1FLJ32Qxw2Lpump?handle=676050794bc1b1657a56b", "View")</f>
        <v>View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582F-F855-4B1F-BD7F-69EE7977104F}">
  <dimension ref="A1:P7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HYPERLINK("https://gmgn.ai/sol/address/7t7WLyaPZV3F7i2DTDAq853kxFg81qQhZhQ2BzmCxn5a", "GMGN")</f>
        <v>GMGN</v>
      </c>
    </row>
    <row r="2" spans="1:14" x14ac:dyDescent="0.25">
      <c r="A2" s="3" t="s">
        <v>21656</v>
      </c>
      <c r="B2" s="3" t="s">
        <v>21657</v>
      </c>
      <c r="C2" s="3" t="s">
        <v>15652</v>
      </c>
      <c r="D2" s="3" t="s">
        <v>8452</v>
      </c>
      <c r="E2" s="3" t="s">
        <v>21658</v>
      </c>
      <c r="F2" s="3" t="s">
        <v>21659</v>
      </c>
      <c r="G2" s="3" t="s">
        <v>18</v>
      </c>
      <c r="H2" s="3">
        <v>53</v>
      </c>
      <c r="I2" s="3">
        <v>0</v>
      </c>
      <c r="J2" s="3" t="s">
        <v>4413</v>
      </c>
      <c r="K2" s="3" t="s">
        <v>2047</v>
      </c>
      <c r="L2" s="3">
        <v>44</v>
      </c>
      <c r="M2" s="3">
        <v>92</v>
      </c>
      <c r="N2" s="3" t="str">
        <f>HYPERLINK("https://solscan.io/account/7t7WLyaPZV3F7i2DTDAq853kxFg81qQhZhQ2BzmCxn5a", "Solscan")</f>
        <v>Solscan</v>
      </c>
    </row>
    <row r="3" spans="1:14" x14ac:dyDescent="0.25">
      <c r="A3" s="1" t="s">
        <v>21</v>
      </c>
      <c r="B3" s="4" t="s">
        <v>21660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HYPERLINK("https://birdeye.so/profile/7t7WLyaPZV3F7i2DTDAq853kxFg81qQhZhQ2BzmCxn5a", "Birdeye")</f>
        <v>Birdeye</v>
      </c>
    </row>
    <row r="4" spans="1:14" x14ac:dyDescent="0.25">
      <c r="A4" s="1" t="s">
        <v>25</v>
      </c>
      <c r="B4" s="3" t="s">
        <v>2004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15564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3</v>
      </c>
      <c r="D10" s="1">
        <v>4</v>
      </c>
      <c r="E10" s="1">
        <v>12</v>
      </c>
      <c r="F10" s="1">
        <v>26</v>
      </c>
      <c r="G10" s="1">
        <v>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21661</v>
      </c>
      <c r="C11" s="1" t="s">
        <v>45</v>
      </c>
      <c r="D11" s="1" t="s">
        <v>16081</v>
      </c>
      <c r="E11" s="1" t="s">
        <v>21662</v>
      </c>
      <c r="F11" s="1" t="s">
        <v>21663</v>
      </c>
      <c r="G11" s="1" t="s">
        <v>21664</v>
      </c>
      <c r="H11" s="3"/>
      <c r="I11" s="3" t="s">
        <v>50</v>
      </c>
      <c r="J11" s="3" t="s">
        <v>21665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21666</v>
      </c>
      <c r="C12" s="1" t="s">
        <v>15565</v>
      </c>
      <c r="D12" s="1" t="s">
        <v>21667</v>
      </c>
      <c r="E12" s="1" t="s">
        <v>4365</v>
      </c>
      <c r="F12" s="1" t="s">
        <v>21668</v>
      </c>
      <c r="G12" s="1" t="s">
        <v>21669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4131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21670</v>
      </c>
      <c r="B20" s="14">
        <v>18973573</v>
      </c>
      <c r="C20" s="14">
        <v>18973573</v>
      </c>
      <c r="D20" s="14" t="s">
        <v>15962</v>
      </c>
      <c r="E20" s="14" t="s">
        <v>21671</v>
      </c>
      <c r="F20" s="14" t="s">
        <v>8829</v>
      </c>
      <c r="G20" s="20" t="s">
        <v>13284</v>
      </c>
      <c r="H20" s="20" t="s">
        <v>21672</v>
      </c>
      <c r="I20" s="14" t="s">
        <v>88</v>
      </c>
      <c r="J20" s="14">
        <v>1</v>
      </c>
      <c r="K20" s="14">
        <v>1</v>
      </c>
      <c r="L20" s="14" t="s">
        <v>21673</v>
      </c>
      <c r="M20" s="14" t="s">
        <v>1434</v>
      </c>
      <c r="N20" s="14" t="s">
        <v>1706</v>
      </c>
      <c r="O20" s="14" t="s">
        <v>21674</v>
      </c>
      <c r="P20" s="14" t="str">
        <f>HYPERLINK("https://photon-sol.tinyastro.io/en/lp/92wtJ1W6a8utz68oBWAmvt4mhUH9kEriG48NJ1P3pump?handle=676050794bc1b1657a56b", "View")</f>
        <v>View</v>
      </c>
    </row>
    <row r="21" spans="1:16" x14ac:dyDescent="0.25">
      <c r="A21" s="16" t="s">
        <v>21675</v>
      </c>
      <c r="B21" s="17">
        <v>32257177</v>
      </c>
      <c r="C21" s="17">
        <v>32257177</v>
      </c>
      <c r="D21" s="17" t="s">
        <v>15962</v>
      </c>
      <c r="E21" s="17" t="s">
        <v>21676</v>
      </c>
      <c r="F21" s="17" t="s">
        <v>16967</v>
      </c>
      <c r="G21" s="20" t="s">
        <v>7797</v>
      </c>
      <c r="H21" s="20" t="s">
        <v>21677</v>
      </c>
      <c r="I21" s="17" t="s">
        <v>88</v>
      </c>
      <c r="J21" s="17">
        <v>1</v>
      </c>
      <c r="K21" s="17">
        <v>1</v>
      </c>
      <c r="L21" s="17" t="s">
        <v>21678</v>
      </c>
      <c r="M21" s="17" t="s">
        <v>680</v>
      </c>
      <c r="N21" s="17" t="s">
        <v>1011</v>
      </c>
      <c r="O21" s="17" t="s">
        <v>21679</v>
      </c>
      <c r="P21" s="17" t="str">
        <f>HYPERLINK("https://photon-sol.tinyastro.io/en/lp/GQ6DeVBzQiDMZe9MeG5MRvbVXzjGi6mjTX5TbaANpump?handle=676050794bc1b1657a56b", "View")</f>
        <v>View</v>
      </c>
    </row>
    <row r="22" spans="1:16" x14ac:dyDescent="0.25">
      <c r="A22" s="13" t="s">
        <v>21680</v>
      </c>
      <c r="B22" s="14">
        <v>23614984</v>
      </c>
      <c r="C22" s="14">
        <v>23614984</v>
      </c>
      <c r="D22" s="14" t="s">
        <v>15962</v>
      </c>
      <c r="E22" s="14" t="s">
        <v>1007</v>
      </c>
      <c r="F22" s="14" t="s">
        <v>9299</v>
      </c>
      <c r="G22" s="22" t="s">
        <v>5380</v>
      </c>
      <c r="H22" s="22" t="s">
        <v>5249</v>
      </c>
      <c r="I22" s="14" t="s">
        <v>88</v>
      </c>
      <c r="J22" s="14">
        <v>1</v>
      </c>
      <c r="K22" s="14">
        <v>1</v>
      </c>
      <c r="L22" s="14" t="s">
        <v>21681</v>
      </c>
      <c r="M22" s="14" t="s">
        <v>117</v>
      </c>
      <c r="N22" s="14" t="s">
        <v>21682</v>
      </c>
      <c r="O22" s="14" t="s">
        <v>21683</v>
      </c>
      <c r="P22" s="14" t="str">
        <f>HYPERLINK("https://dexscreener.com/solana/GuK1VZoVkejHeuBu2UYGRbvwRsKMk9TrVpGNBfRdpump", "View")</f>
        <v>View</v>
      </c>
    </row>
    <row r="23" spans="1:16" x14ac:dyDescent="0.25">
      <c r="A23" s="16" t="s">
        <v>21684</v>
      </c>
      <c r="B23" s="17">
        <v>3086023</v>
      </c>
      <c r="C23" s="17">
        <v>3086023</v>
      </c>
      <c r="D23" s="17" t="s">
        <v>21685</v>
      </c>
      <c r="E23" s="17" t="s">
        <v>16629</v>
      </c>
      <c r="F23" s="17" t="s">
        <v>5837</v>
      </c>
      <c r="G23" s="15" t="s">
        <v>21686</v>
      </c>
      <c r="H23" s="15" t="s">
        <v>21687</v>
      </c>
      <c r="I23" s="17" t="s">
        <v>88</v>
      </c>
      <c r="J23" s="17">
        <v>1</v>
      </c>
      <c r="K23" s="17">
        <v>1</v>
      </c>
      <c r="L23" s="17" t="s">
        <v>21688</v>
      </c>
      <c r="M23" s="17" t="s">
        <v>656</v>
      </c>
      <c r="N23" s="17" t="s">
        <v>2411</v>
      </c>
      <c r="O23" s="17" t="s">
        <v>21689</v>
      </c>
      <c r="P23" s="17" t="str">
        <f>HYPERLINK("https://photon-sol.tinyastro.io/en/lp/9uuFvWWx7hV766DqQAxJQeixt2wth5druyDHE9VGpump?handle=676050794bc1b1657a56b", "View")</f>
        <v>View</v>
      </c>
    </row>
    <row r="24" spans="1:16" x14ac:dyDescent="0.25">
      <c r="A24" s="13" t="s">
        <v>21690</v>
      </c>
      <c r="B24" s="14">
        <v>30983743</v>
      </c>
      <c r="C24" s="14">
        <v>30983743</v>
      </c>
      <c r="D24" s="14" t="s">
        <v>10737</v>
      </c>
      <c r="E24" s="14" t="s">
        <v>21691</v>
      </c>
      <c r="F24" s="14" t="s">
        <v>21692</v>
      </c>
      <c r="G24" s="20" t="s">
        <v>4681</v>
      </c>
      <c r="H24" s="20" t="s">
        <v>21693</v>
      </c>
      <c r="I24" s="14" t="s">
        <v>88</v>
      </c>
      <c r="J24" s="14">
        <v>1</v>
      </c>
      <c r="K24" s="14">
        <v>1</v>
      </c>
      <c r="L24" s="14" t="s">
        <v>21694</v>
      </c>
      <c r="M24" s="19" t="s">
        <v>3069</v>
      </c>
      <c r="N24" s="14" t="s">
        <v>1011</v>
      </c>
      <c r="O24" s="14" t="s">
        <v>21695</v>
      </c>
      <c r="P24" s="14" t="str">
        <f>HYPERLINK("https://photon-sol.tinyastro.io/en/lp/9g3UjSZfY1GUU5F9yHGjzEGmgZwGhKPm2Gut4HGWpump?handle=676050794bc1b1657a56b", "View")</f>
        <v>View</v>
      </c>
    </row>
    <row r="25" spans="1:16" x14ac:dyDescent="0.25">
      <c r="A25" s="16" t="s">
        <v>21696</v>
      </c>
      <c r="B25" s="17">
        <v>26963458</v>
      </c>
      <c r="C25" s="17">
        <v>26963458</v>
      </c>
      <c r="D25" s="17" t="s">
        <v>4379</v>
      </c>
      <c r="E25" s="17" t="s">
        <v>21697</v>
      </c>
      <c r="F25" s="17" t="s">
        <v>21698</v>
      </c>
      <c r="G25" s="22" t="s">
        <v>21699</v>
      </c>
      <c r="H25" s="22" t="s">
        <v>15067</v>
      </c>
      <c r="I25" s="17" t="s">
        <v>88</v>
      </c>
      <c r="J25" s="17">
        <v>1</v>
      </c>
      <c r="K25" s="17">
        <v>2</v>
      </c>
      <c r="L25" s="17" t="s">
        <v>21700</v>
      </c>
      <c r="M25" s="17" t="s">
        <v>2047</v>
      </c>
      <c r="N25" s="17" t="s">
        <v>21701</v>
      </c>
      <c r="O25" s="17" t="s">
        <v>21702</v>
      </c>
      <c r="P25" s="17" t="str">
        <f>HYPERLINK("https://photon-sol.tinyastro.io/en/lp/6NYCTKHWEN6Bzpsbo7RQCpRdEmhTVTa1Yw4CJQtkpump?handle=676050794bc1b1657a56b", "View")</f>
        <v>View</v>
      </c>
    </row>
    <row r="26" spans="1:16" x14ac:dyDescent="0.25">
      <c r="A26" s="13" t="s">
        <v>21703</v>
      </c>
      <c r="B26" s="14">
        <v>27493272</v>
      </c>
      <c r="C26" s="14">
        <v>27493272</v>
      </c>
      <c r="D26" s="14" t="s">
        <v>15704</v>
      </c>
      <c r="E26" s="14" t="s">
        <v>21704</v>
      </c>
      <c r="F26" s="14" t="s">
        <v>21705</v>
      </c>
      <c r="G26" s="20" t="s">
        <v>21706</v>
      </c>
      <c r="H26" s="20" t="s">
        <v>21707</v>
      </c>
      <c r="I26" s="14" t="s">
        <v>88</v>
      </c>
      <c r="J26" s="14">
        <v>1</v>
      </c>
      <c r="K26" s="14">
        <v>1</v>
      </c>
      <c r="L26" s="14" t="s">
        <v>21708</v>
      </c>
      <c r="M26" s="19" t="s">
        <v>7601</v>
      </c>
      <c r="N26" s="14" t="s">
        <v>7819</v>
      </c>
      <c r="O26" s="14" t="s">
        <v>21709</v>
      </c>
      <c r="P26" s="14" t="str">
        <f>HYPERLINK("https://photon-sol.tinyastro.io/en/lp/2Tza5kqyreMnCgfotTsSVS4PUzjSqnYFDiJYXkZWpump?handle=676050794bc1b1657a56b", "View")</f>
        <v>View</v>
      </c>
    </row>
    <row r="27" spans="1:16" x14ac:dyDescent="0.25">
      <c r="A27" s="16" t="s">
        <v>558</v>
      </c>
      <c r="B27" s="17">
        <v>27550662</v>
      </c>
      <c r="C27" s="17">
        <v>27550662</v>
      </c>
      <c r="D27" s="17" t="s">
        <v>9478</v>
      </c>
      <c r="E27" s="17" t="s">
        <v>3467</v>
      </c>
      <c r="F27" s="17" t="s">
        <v>8264</v>
      </c>
      <c r="G27" s="22" t="s">
        <v>4073</v>
      </c>
      <c r="H27" s="22" t="s">
        <v>21710</v>
      </c>
      <c r="I27" s="17" t="s">
        <v>88</v>
      </c>
      <c r="J27" s="17">
        <v>1</v>
      </c>
      <c r="K27" s="17">
        <v>1</v>
      </c>
      <c r="L27" s="17" t="s">
        <v>21711</v>
      </c>
      <c r="M27" s="17" t="s">
        <v>2047</v>
      </c>
      <c r="N27" s="17" t="s">
        <v>507</v>
      </c>
      <c r="O27" s="17" t="s">
        <v>21712</v>
      </c>
      <c r="P27" s="17" t="str">
        <f>HYPERLINK("https://photon-sol.tinyastro.io/en/lp/AhLpvnNvaMRK1it5iDgtnjCvpyqHrSsitwYJmTQ9tHRQ?handle=676050794bc1b1657a56b", "View")</f>
        <v>View</v>
      </c>
    </row>
    <row r="28" spans="1:16" x14ac:dyDescent="0.25">
      <c r="A28" s="13" t="s">
        <v>21713</v>
      </c>
      <c r="B28" s="14">
        <v>45414304</v>
      </c>
      <c r="C28" s="14">
        <v>45414304</v>
      </c>
      <c r="D28" s="14" t="s">
        <v>16577</v>
      </c>
      <c r="E28" s="14" t="s">
        <v>21714</v>
      </c>
      <c r="F28" s="14" t="s">
        <v>21715</v>
      </c>
      <c r="G28" s="20" t="s">
        <v>5133</v>
      </c>
      <c r="H28" s="20" t="s">
        <v>21716</v>
      </c>
      <c r="I28" s="14" t="s">
        <v>88</v>
      </c>
      <c r="J28" s="14">
        <v>1</v>
      </c>
      <c r="K28" s="14">
        <v>2</v>
      </c>
      <c r="L28" s="14" t="s">
        <v>21717</v>
      </c>
      <c r="M28" s="14" t="s">
        <v>3269</v>
      </c>
      <c r="N28" s="14" t="s">
        <v>21718</v>
      </c>
      <c r="O28" s="14" t="s">
        <v>21719</v>
      </c>
      <c r="P28" s="14" t="str">
        <f>HYPERLINK("https://dexscreener.com/solana/8LUoiJEWVSTNa8PmqkGiNczzXqCYtuPShCkpQYK1kZz5", "View")</f>
        <v>View</v>
      </c>
    </row>
    <row r="29" spans="1:16" x14ac:dyDescent="0.25">
      <c r="A29" s="16" t="s">
        <v>4776</v>
      </c>
      <c r="B29" s="17">
        <v>42162946</v>
      </c>
      <c r="C29" s="17">
        <v>42162946</v>
      </c>
      <c r="D29" s="17" t="s">
        <v>21720</v>
      </c>
      <c r="E29" s="17" t="s">
        <v>21721</v>
      </c>
      <c r="F29" s="17" t="s">
        <v>21722</v>
      </c>
      <c r="G29" s="21" t="s">
        <v>21723</v>
      </c>
      <c r="H29" s="21" t="s">
        <v>21724</v>
      </c>
      <c r="I29" s="17" t="s">
        <v>88</v>
      </c>
      <c r="J29" s="17">
        <v>1</v>
      </c>
      <c r="K29" s="17">
        <v>6</v>
      </c>
      <c r="L29" s="17" t="s">
        <v>21725</v>
      </c>
      <c r="M29" s="17" t="s">
        <v>1642</v>
      </c>
      <c r="N29" s="17" t="s">
        <v>21726</v>
      </c>
      <c r="O29" s="17" t="s">
        <v>21727</v>
      </c>
      <c r="P29" s="17" t="str">
        <f>HYPERLINK("https://photon-sol.tinyastro.io/en/lp/27EnpSWPXANqnYQqTD9Pe1QPJgQzgawNzj7DATcipump?handle=676050794bc1b1657a56b", "View")</f>
        <v>View</v>
      </c>
    </row>
    <row r="30" spans="1:16" x14ac:dyDescent="0.25">
      <c r="A30" s="13" t="s">
        <v>21728</v>
      </c>
      <c r="B30" s="14">
        <v>4139508</v>
      </c>
      <c r="C30" s="14">
        <v>4139508</v>
      </c>
      <c r="D30" s="14" t="s">
        <v>21729</v>
      </c>
      <c r="E30" s="14" t="s">
        <v>2200</v>
      </c>
      <c r="F30" s="14" t="s">
        <v>10061</v>
      </c>
      <c r="G30" s="15" t="s">
        <v>21730</v>
      </c>
      <c r="H30" s="15" t="s">
        <v>21731</v>
      </c>
      <c r="I30" s="14" t="s">
        <v>88</v>
      </c>
      <c r="J30" s="14">
        <v>1</v>
      </c>
      <c r="K30" s="14">
        <v>1</v>
      </c>
      <c r="L30" s="14" t="s">
        <v>21732</v>
      </c>
      <c r="M30" s="14" t="s">
        <v>5695</v>
      </c>
      <c r="N30" s="14" t="s">
        <v>3916</v>
      </c>
      <c r="O30" s="14" t="s">
        <v>21733</v>
      </c>
      <c r="P30" s="14" t="str">
        <f>HYPERLINK("https://dexscreener.com/solana/3BpRk7eDSg1GPsY5qkLATeMc9sYiKRS1V6p4RPNFpump", "View")</f>
        <v>View</v>
      </c>
    </row>
    <row r="31" spans="1:16" x14ac:dyDescent="0.25">
      <c r="A31" s="16" t="s">
        <v>21734</v>
      </c>
      <c r="B31" s="17">
        <v>17621561</v>
      </c>
      <c r="C31" s="17">
        <v>17621561</v>
      </c>
      <c r="D31" s="17" t="s">
        <v>21735</v>
      </c>
      <c r="E31" s="17" t="s">
        <v>21736</v>
      </c>
      <c r="F31" s="17" t="s">
        <v>18725</v>
      </c>
      <c r="G31" s="20" t="s">
        <v>21042</v>
      </c>
      <c r="H31" s="20" t="s">
        <v>21737</v>
      </c>
      <c r="I31" s="17" t="s">
        <v>88</v>
      </c>
      <c r="J31" s="17">
        <v>1</v>
      </c>
      <c r="K31" s="17">
        <v>2</v>
      </c>
      <c r="L31" s="17" t="s">
        <v>21738</v>
      </c>
      <c r="M31" s="17" t="s">
        <v>2113</v>
      </c>
      <c r="N31" s="17" t="s">
        <v>2585</v>
      </c>
      <c r="O31" s="17" t="s">
        <v>21739</v>
      </c>
      <c r="P31" s="17" t="str">
        <f>HYPERLINK("https://photon-sol.tinyastro.io/en/lp/5ns6Uat1SbE5LhJvhp73weDPuCYeb33LN2FUCdKvndQU?handle=676050794bc1b1657a56b", "View")</f>
        <v>View</v>
      </c>
    </row>
    <row r="32" spans="1:16" x14ac:dyDescent="0.25">
      <c r="A32" s="13" t="s">
        <v>21740</v>
      </c>
      <c r="B32" s="14">
        <v>35864921</v>
      </c>
      <c r="C32" s="14">
        <v>35864921</v>
      </c>
      <c r="D32" s="14" t="s">
        <v>21741</v>
      </c>
      <c r="E32" s="14" t="s">
        <v>9054</v>
      </c>
      <c r="F32" s="14" t="s">
        <v>21742</v>
      </c>
      <c r="G32" s="15" t="s">
        <v>21743</v>
      </c>
      <c r="H32" s="15" t="s">
        <v>20348</v>
      </c>
      <c r="I32" s="14" t="s">
        <v>88</v>
      </c>
      <c r="J32" s="14">
        <v>3</v>
      </c>
      <c r="K32" s="14">
        <v>3</v>
      </c>
      <c r="L32" s="14" t="s">
        <v>21744</v>
      </c>
      <c r="M32" s="14" t="s">
        <v>680</v>
      </c>
      <c r="N32" s="14" t="s">
        <v>6489</v>
      </c>
      <c r="O32" s="14" t="s">
        <v>21745</v>
      </c>
      <c r="P32" s="14" t="str">
        <f>HYPERLINK("https://photon-sol.tinyastro.io/en/lp/ARsKsw5eBtihJ3JDyX7qfsiLXNHaRA7Box8Ct2RPpump?handle=676050794bc1b1657a56b", "View")</f>
        <v>View</v>
      </c>
    </row>
    <row r="33" spans="1:16" x14ac:dyDescent="0.25">
      <c r="A33" s="16" t="s">
        <v>13843</v>
      </c>
      <c r="B33" s="17">
        <v>8006749</v>
      </c>
      <c r="C33" s="17">
        <v>8006749</v>
      </c>
      <c r="D33" s="17" t="s">
        <v>21746</v>
      </c>
      <c r="E33" s="17" t="s">
        <v>2200</v>
      </c>
      <c r="F33" s="17" t="s">
        <v>5006</v>
      </c>
      <c r="G33" s="15" t="s">
        <v>21747</v>
      </c>
      <c r="H33" s="15" t="s">
        <v>21748</v>
      </c>
      <c r="I33" s="17" t="s">
        <v>88</v>
      </c>
      <c r="J33" s="17">
        <v>1</v>
      </c>
      <c r="K33" s="17">
        <v>1</v>
      </c>
      <c r="L33" s="17" t="s">
        <v>21749</v>
      </c>
      <c r="M33" s="17" t="s">
        <v>3462</v>
      </c>
      <c r="N33" s="17" t="s">
        <v>21750</v>
      </c>
      <c r="O33" s="17" t="s">
        <v>21751</v>
      </c>
      <c r="P33" s="17" t="str">
        <f>HYPERLINK("https://dexscreener.com/solana/7Ur24uf2VgDf1NXA5CmhxGfVbvHrwBJW8GDtEzUnsWj5", "View")</f>
        <v>View</v>
      </c>
    </row>
    <row r="34" spans="1:16" x14ac:dyDescent="0.25">
      <c r="A34" s="13" t="s">
        <v>21752</v>
      </c>
      <c r="B34" s="14">
        <v>11738416</v>
      </c>
      <c r="C34" s="14">
        <v>11738416</v>
      </c>
      <c r="D34" s="14" t="s">
        <v>4408</v>
      </c>
      <c r="E34" s="14" t="s">
        <v>21753</v>
      </c>
      <c r="F34" s="14" t="s">
        <v>21754</v>
      </c>
      <c r="G34" s="22" t="s">
        <v>4014</v>
      </c>
      <c r="H34" s="22" t="s">
        <v>21755</v>
      </c>
      <c r="I34" s="14" t="s">
        <v>88</v>
      </c>
      <c r="J34" s="14">
        <v>2</v>
      </c>
      <c r="K34" s="14">
        <v>2</v>
      </c>
      <c r="L34" s="14" t="s">
        <v>21756</v>
      </c>
      <c r="M34" s="14" t="s">
        <v>937</v>
      </c>
      <c r="N34" s="14" t="s">
        <v>21757</v>
      </c>
      <c r="O34" s="14" t="s">
        <v>21758</v>
      </c>
      <c r="P34" s="14" t="str">
        <f>HYPERLINK("https://photon-sol.tinyastro.io/en/lp/EVEWgtCYLtAXLC9Qn8sqoaGaAM6EVyMFjMBGAhapump?handle=676050794bc1b1657a56b", "View")</f>
        <v>View</v>
      </c>
    </row>
    <row r="35" spans="1:16" x14ac:dyDescent="0.25">
      <c r="A35" s="16" t="s">
        <v>21759</v>
      </c>
      <c r="B35" s="17">
        <v>31456625</v>
      </c>
      <c r="C35" s="17">
        <v>31456625</v>
      </c>
      <c r="D35" s="17" t="s">
        <v>21760</v>
      </c>
      <c r="E35" s="17" t="s">
        <v>21754</v>
      </c>
      <c r="F35" s="17" t="s">
        <v>21761</v>
      </c>
      <c r="G35" s="21" t="s">
        <v>20864</v>
      </c>
      <c r="H35" s="21" t="s">
        <v>21762</v>
      </c>
      <c r="I35" s="17" t="s">
        <v>88</v>
      </c>
      <c r="J35" s="17">
        <v>1</v>
      </c>
      <c r="K35" s="17">
        <v>2</v>
      </c>
      <c r="L35" s="17" t="s">
        <v>21763</v>
      </c>
      <c r="M35" s="17" t="s">
        <v>5445</v>
      </c>
      <c r="N35" s="17" t="s">
        <v>21764</v>
      </c>
      <c r="O35" s="17" t="s">
        <v>21765</v>
      </c>
      <c r="P35" s="17" t="str">
        <f>HYPERLINK("https://photon-sol.tinyastro.io/en/lp/DekUj1FjwCzK4uNA1zH6tdyn2fXVuTDUTq4a45tZpump?handle=676050794bc1b1657a56b", "View")</f>
        <v>View</v>
      </c>
    </row>
    <row r="36" spans="1:16" x14ac:dyDescent="0.25">
      <c r="A36" s="13" t="s">
        <v>21766</v>
      </c>
      <c r="B36" s="14">
        <v>14822690</v>
      </c>
      <c r="C36" s="14">
        <v>14822690</v>
      </c>
      <c r="D36" s="14" t="s">
        <v>15770</v>
      </c>
      <c r="E36" s="14" t="s">
        <v>21767</v>
      </c>
      <c r="F36" s="14" t="s">
        <v>15004</v>
      </c>
      <c r="G36" s="20" t="s">
        <v>21768</v>
      </c>
      <c r="H36" s="20" t="s">
        <v>21769</v>
      </c>
      <c r="I36" s="14" t="s">
        <v>88</v>
      </c>
      <c r="J36" s="14">
        <v>1</v>
      </c>
      <c r="K36" s="14">
        <v>1</v>
      </c>
      <c r="L36" s="14" t="s">
        <v>21770</v>
      </c>
      <c r="M36" s="14" t="s">
        <v>602</v>
      </c>
      <c r="N36" s="14" t="s">
        <v>407</v>
      </c>
      <c r="O36" s="14" t="s">
        <v>21771</v>
      </c>
      <c r="P36" s="14" t="str">
        <f>HYPERLINK("https://photon-sol.tinyastro.io/en/lp/4JefKowhk11mm3dLmkG6idvTgSy4fQLtkRwLxnNvpump?handle=676050794bc1b1657a56b", "View")</f>
        <v>View</v>
      </c>
    </row>
    <row r="37" spans="1:16" x14ac:dyDescent="0.25">
      <c r="A37" s="16" t="s">
        <v>21772</v>
      </c>
      <c r="B37" s="17">
        <v>30804026</v>
      </c>
      <c r="C37" s="17">
        <v>30804026</v>
      </c>
      <c r="D37" s="17" t="s">
        <v>18540</v>
      </c>
      <c r="E37" s="17" t="s">
        <v>12700</v>
      </c>
      <c r="F37" s="17" t="s">
        <v>21773</v>
      </c>
      <c r="G37" s="22" t="s">
        <v>12462</v>
      </c>
      <c r="H37" s="22" t="s">
        <v>21774</v>
      </c>
      <c r="I37" s="17" t="s">
        <v>88</v>
      </c>
      <c r="J37" s="17">
        <v>1</v>
      </c>
      <c r="K37" s="17">
        <v>2</v>
      </c>
      <c r="L37" s="17" t="s">
        <v>21775</v>
      </c>
      <c r="M37" s="17" t="s">
        <v>1566</v>
      </c>
      <c r="N37" s="17" t="s">
        <v>2557</v>
      </c>
      <c r="O37" s="17" t="s">
        <v>21776</v>
      </c>
      <c r="P37" s="17" t="str">
        <f>HYPERLINK("https://photon-sol.tinyastro.io/en/lp/EuKJKo1tx4YT8eSRw3hxSECDiy98iuwhhhMw8o1Rpump?handle=676050794bc1b1657a56b", "View")</f>
        <v>View</v>
      </c>
    </row>
    <row r="38" spans="1:16" x14ac:dyDescent="0.25">
      <c r="A38" s="13" t="s">
        <v>21777</v>
      </c>
      <c r="B38" s="14">
        <v>23923208</v>
      </c>
      <c r="C38" s="14">
        <v>23923208</v>
      </c>
      <c r="D38" s="14" t="s">
        <v>8609</v>
      </c>
      <c r="E38" s="14" t="s">
        <v>12242</v>
      </c>
      <c r="F38" s="14" t="s">
        <v>21778</v>
      </c>
      <c r="G38" s="22" t="s">
        <v>5065</v>
      </c>
      <c r="H38" s="22" t="s">
        <v>21779</v>
      </c>
      <c r="I38" s="14" t="s">
        <v>88</v>
      </c>
      <c r="J38" s="14">
        <v>1</v>
      </c>
      <c r="K38" s="14">
        <v>1</v>
      </c>
      <c r="L38" s="14" t="s">
        <v>21780</v>
      </c>
      <c r="M38" s="19" t="s">
        <v>2323</v>
      </c>
      <c r="N38" s="14" t="s">
        <v>1980</v>
      </c>
      <c r="O38" s="14" t="s">
        <v>21781</v>
      </c>
      <c r="P38" s="14" t="str">
        <f>HYPERLINK("https://photon-sol.tinyastro.io/en/lp/H5rPqALZmc7v1zwJHTnbhcukiXV7bRREgWzKK6YPpump?handle=676050794bc1b1657a56b", "View")</f>
        <v>View</v>
      </c>
    </row>
    <row r="39" spans="1:16" x14ac:dyDescent="0.25">
      <c r="A39" s="16" t="s">
        <v>21782</v>
      </c>
      <c r="B39" s="17">
        <v>24441890</v>
      </c>
      <c r="C39" s="17">
        <v>24441890</v>
      </c>
      <c r="D39" s="17" t="s">
        <v>8609</v>
      </c>
      <c r="E39" s="17" t="s">
        <v>2243</v>
      </c>
      <c r="F39" s="17" t="s">
        <v>19379</v>
      </c>
      <c r="G39" s="20" t="s">
        <v>1445</v>
      </c>
      <c r="H39" s="20" t="s">
        <v>21783</v>
      </c>
      <c r="I39" s="17" t="s">
        <v>88</v>
      </c>
      <c r="J39" s="17">
        <v>1</v>
      </c>
      <c r="K39" s="17">
        <v>1</v>
      </c>
      <c r="L39" s="17" t="s">
        <v>21784</v>
      </c>
      <c r="M39" s="19" t="s">
        <v>2853</v>
      </c>
      <c r="N39" s="17" t="s">
        <v>1011</v>
      </c>
      <c r="O39" s="17" t="s">
        <v>21785</v>
      </c>
      <c r="P39" s="17" t="str">
        <f>HYPERLINK("https://photon-sol.tinyastro.io/en/lp/Fn2rq1CMxnDuP4oojqWGU5uEwRmujM5RUrvJcxcPpump?handle=676050794bc1b1657a56b", "View")</f>
        <v>View</v>
      </c>
    </row>
    <row r="40" spans="1:16" x14ac:dyDescent="0.25">
      <c r="A40" s="13" t="s">
        <v>6124</v>
      </c>
      <c r="B40" s="14">
        <v>4528658</v>
      </c>
      <c r="C40" s="14">
        <v>4528658</v>
      </c>
      <c r="D40" s="14" t="s">
        <v>21729</v>
      </c>
      <c r="E40" s="14" t="s">
        <v>2200</v>
      </c>
      <c r="F40" s="14" t="s">
        <v>21699</v>
      </c>
      <c r="G40" s="20" t="s">
        <v>13754</v>
      </c>
      <c r="H40" s="20" t="s">
        <v>15812</v>
      </c>
      <c r="I40" s="14" t="s">
        <v>88</v>
      </c>
      <c r="J40" s="14">
        <v>1</v>
      </c>
      <c r="K40" s="14">
        <v>1</v>
      </c>
      <c r="L40" s="14" t="s">
        <v>21786</v>
      </c>
      <c r="M40" s="14" t="s">
        <v>1705</v>
      </c>
      <c r="N40" s="14" t="s">
        <v>2411</v>
      </c>
      <c r="O40" s="14" t="s">
        <v>21787</v>
      </c>
      <c r="P40" s="14" t="str">
        <f>HYPERLINK("https://dexscreener.com/solana/A7eqVn6W9FPPL1aiHj7rxjgv4jATPYwHoiXEVaUspump", "View")</f>
        <v>View</v>
      </c>
    </row>
    <row r="41" spans="1:16" x14ac:dyDescent="0.25">
      <c r="A41" s="16" t="s">
        <v>20177</v>
      </c>
      <c r="B41" s="17">
        <v>42194927</v>
      </c>
      <c r="C41" s="17">
        <v>42194927</v>
      </c>
      <c r="D41" s="17" t="s">
        <v>19880</v>
      </c>
      <c r="E41" s="17" t="s">
        <v>21788</v>
      </c>
      <c r="F41" s="17" t="s">
        <v>21789</v>
      </c>
      <c r="G41" s="20" t="s">
        <v>2974</v>
      </c>
      <c r="H41" s="20" t="s">
        <v>3447</v>
      </c>
      <c r="I41" s="17" t="s">
        <v>88</v>
      </c>
      <c r="J41" s="17">
        <v>1</v>
      </c>
      <c r="K41" s="17">
        <v>2</v>
      </c>
      <c r="L41" s="17" t="s">
        <v>21790</v>
      </c>
      <c r="M41" s="17" t="s">
        <v>3180</v>
      </c>
      <c r="N41" s="17" t="s">
        <v>507</v>
      </c>
      <c r="O41" s="17" t="s">
        <v>21791</v>
      </c>
      <c r="P41" s="17" t="str">
        <f>HYPERLINK("https://photon-sol.tinyastro.io/en/lp/3UbpyNgS1wpDeYqhWEFoigEpgNCkqY5zRj8kEQfGpump?handle=676050794bc1b1657a56b", "View")</f>
        <v>View</v>
      </c>
    </row>
    <row r="42" spans="1:16" x14ac:dyDescent="0.25">
      <c r="A42" s="13" t="s">
        <v>18359</v>
      </c>
      <c r="B42" s="14">
        <v>10128661</v>
      </c>
      <c r="C42" s="14">
        <v>10128661</v>
      </c>
      <c r="D42" s="14" t="s">
        <v>21792</v>
      </c>
      <c r="E42" s="14" t="s">
        <v>13341</v>
      </c>
      <c r="F42" s="14" t="s">
        <v>8491</v>
      </c>
      <c r="G42" s="20" t="s">
        <v>2726</v>
      </c>
      <c r="H42" s="20" t="s">
        <v>21793</v>
      </c>
      <c r="I42" s="14" t="s">
        <v>88</v>
      </c>
      <c r="J42" s="14">
        <v>1</v>
      </c>
      <c r="K42" s="14">
        <v>1</v>
      </c>
      <c r="L42" s="14" t="s">
        <v>21794</v>
      </c>
      <c r="M42" s="19" t="s">
        <v>2189</v>
      </c>
      <c r="N42" s="14" t="s">
        <v>21795</v>
      </c>
      <c r="O42" s="14" t="s">
        <v>18363</v>
      </c>
      <c r="P42" s="14" t="str">
        <f>HYPERLINK("https://photon-sol.tinyastro.io/en/lp/GjXpowEmJecAxHaMgYrxrTsWfuPR7DyLxwe8z2v4YvKW?handle=676050794bc1b1657a56b", "View")</f>
        <v>View</v>
      </c>
    </row>
    <row r="43" spans="1:16" x14ac:dyDescent="0.25">
      <c r="A43" s="16" t="s">
        <v>21796</v>
      </c>
      <c r="B43" s="17">
        <v>20327201</v>
      </c>
      <c r="C43" s="17">
        <v>20327201</v>
      </c>
      <c r="D43" s="17" t="s">
        <v>21797</v>
      </c>
      <c r="E43" s="17" t="s">
        <v>1867</v>
      </c>
      <c r="F43" s="17" t="s">
        <v>4154</v>
      </c>
      <c r="G43" s="20" t="s">
        <v>8569</v>
      </c>
      <c r="H43" s="20" t="s">
        <v>21798</v>
      </c>
      <c r="I43" s="17" t="s">
        <v>88</v>
      </c>
      <c r="J43" s="17">
        <v>1</v>
      </c>
      <c r="K43" s="17">
        <v>1</v>
      </c>
      <c r="L43" s="17" t="s">
        <v>21799</v>
      </c>
      <c r="M43" s="17" t="s">
        <v>3180</v>
      </c>
      <c r="N43" s="17" t="s">
        <v>1980</v>
      </c>
      <c r="O43" s="17" t="s">
        <v>21800</v>
      </c>
      <c r="P43" s="17" t="str">
        <f>HYPERLINK("https://photon-sol.tinyastro.io/en/lp/D1YX7shum4NUX7ucfXLApDabWnbDxLYQpKaz1Ybxpump?handle=676050794bc1b1657a56b", "View")</f>
        <v>View</v>
      </c>
    </row>
    <row r="44" spans="1:16" x14ac:dyDescent="0.25">
      <c r="A44" s="13" t="s">
        <v>21801</v>
      </c>
      <c r="B44" s="14">
        <v>18624714</v>
      </c>
      <c r="C44" s="14">
        <v>18624714</v>
      </c>
      <c r="D44" s="14" t="s">
        <v>19488</v>
      </c>
      <c r="E44" s="14" t="s">
        <v>21802</v>
      </c>
      <c r="F44" s="14" t="s">
        <v>21803</v>
      </c>
      <c r="G44" s="22" t="s">
        <v>21804</v>
      </c>
      <c r="H44" s="22" t="s">
        <v>21805</v>
      </c>
      <c r="I44" s="14" t="s">
        <v>88</v>
      </c>
      <c r="J44" s="14">
        <v>1</v>
      </c>
      <c r="K44" s="14">
        <v>1</v>
      </c>
      <c r="L44" s="14" t="s">
        <v>21806</v>
      </c>
      <c r="M44" s="14" t="s">
        <v>1434</v>
      </c>
      <c r="N44" s="14" t="s">
        <v>19351</v>
      </c>
      <c r="O44" s="14" t="s">
        <v>21807</v>
      </c>
      <c r="P44" s="14" t="str">
        <f>HYPERLINK("https://photon-sol.tinyastro.io/en/lp/4kaAUW5d3gRTYzQTDopoAavzw9wRH6W5BSY4vcAVpump?handle=676050794bc1b1657a56b", "View")</f>
        <v>View</v>
      </c>
    </row>
    <row r="45" spans="1:16" x14ac:dyDescent="0.25">
      <c r="A45" s="16" t="s">
        <v>21808</v>
      </c>
      <c r="B45" s="17">
        <v>50842627</v>
      </c>
      <c r="C45" s="17">
        <v>50842627</v>
      </c>
      <c r="D45" s="17" t="s">
        <v>21809</v>
      </c>
      <c r="E45" s="17" t="s">
        <v>21810</v>
      </c>
      <c r="F45" s="17" t="s">
        <v>21811</v>
      </c>
      <c r="G45" s="20" t="s">
        <v>1616</v>
      </c>
      <c r="H45" s="20" t="s">
        <v>21812</v>
      </c>
      <c r="I45" s="17" t="s">
        <v>88</v>
      </c>
      <c r="J45" s="17">
        <v>2</v>
      </c>
      <c r="K45" s="17">
        <v>3</v>
      </c>
      <c r="L45" s="17" t="s">
        <v>21813</v>
      </c>
      <c r="M45" s="17" t="s">
        <v>1932</v>
      </c>
      <c r="N45" s="17" t="s">
        <v>507</v>
      </c>
      <c r="O45" s="17" t="s">
        <v>21814</v>
      </c>
      <c r="P45" s="17" t="str">
        <f>HYPERLINK("https://photon-sol.tinyastro.io/en/lp/4qJKESevbjNmBsRdrZjXcLEokpbErckEQPW7iVx4pump?handle=676050794bc1b1657a56b", "View")</f>
        <v>View</v>
      </c>
    </row>
    <row r="46" spans="1:16" x14ac:dyDescent="0.25">
      <c r="A46" s="13" t="s">
        <v>21815</v>
      </c>
      <c r="B46" s="14">
        <v>4006590</v>
      </c>
      <c r="C46" s="14">
        <v>4006590</v>
      </c>
      <c r="D46" s="14" t="s">
        <v>21729</v>
      </c>
      <c r="E46" s="14" t="s">
        <v>2200</v>
      </c>
      <c r="F46" s="14" t="s">
        <v>8485</v>
      </c>
      <c r="G46" s="20" t="s">
        <v>5747</v>
      </c>
      <c r="H46" s="20" t="s">
        <v>21816</v>
      </c>
      <c r="I46" s="14" t="s">
        <v>88</v>
      </c>
      <c r="J46" s="14">
        <v>1</v>
      </c>
      <c r="K46" s="14">
        <v>1</v>
      </c>
      <c r="L46" s="14" t="s">
        <v>21817</v>
      </c>
      <c r="M46" s="19" t="s">
        <v>1940</v>
      </c>
      <c r="N46" s="14" t="s">
        <v>21818</v>
      </c>
      <c r="O46" s="14" t="s">
        <v>21819</v>
      </c>
      <c r="P46" s="14" t="str">
        <f>HYPERLINK("https://dexscreener.com/solana/FeYQWQL1s9kYVvNTb8ZnwamoZV8hTWxcAVNNfWadpump", "View")</f>
        <v>View</v>
      </c>
    </row>
    <row r="47" spans="1:16" x14ac:dyDescent="0.25">
      <c r="A47" s="16" t="s">
        <v>21120</v>
      </c>
      <c r="B47" s="17">
        <v>12357851</v>
      </c>
      <c r="C47" s="17">
        <v>12357851</v>
      </c>
      <c r="D47" s="17" t="s">
        <v>21792</v>
      </c>
      <c r="E47" s="17" t="s">
        <v>2057</v>
      </c>
      <c r="F47" s="17" t="s">
        <v>9597</v>
      </c>
      <c r="G47" s="15" t="s">
        <v>21820</v>
      </c>
      <c r="H47" s="15" t="s">
        <v>21821</v>
      </c>
      <c r="I47" s="17" t="s">
        <v>88</v>
      </c>
      <c r="J47" s="17">
        <v>1</v>
      </c>
      <c r="K47" s="17">
        <v>1</v>
      </c>
      <c r="L47" s="17" t="s">
        <v>21822</v>
      </c>
      <c r="M47" s="19" t="s">
        <v>2479</v>
      </c>
      <c r="N47" s="17" t="s">
        <v>15106</v>
      </c>
      <c r="O47" s="17" t="s">
        <v>21125</v>
      </c>
      <c r="P47" s="17" t="str">
        <f>HYPERLINK("https://photon-sol.tinyastro.io/en/lp/Gidur9smXtqCKd2kHXEipWASpcdrs1rubX7FbVWspump?handle=676050794bc1b1657a56b", "View")</f>
        <v>View</v>
      </c>
    </row>
    <row r="48" spans="1:16" x14ac:dyDescent="0.25">
      <c r="A48" s="13" t="s">
        <v>21823</v>
      </c>
      <c r="B48" s="14">
        <v>26761483</v>
      </c>
      <c r="C48" s="14">
        <v>26761483</v>
      </c>
      <c r="D48" s="14" t="s">
        <v>21792</v>
      </c>
      <c r="E48" s="14" t="s">
        <v>7004</v>
      </c>
      <c r="F48" s="14" t="s">
        <v>21824</v>
      </c>
      <c r="G48" s="20" t="s">
        <v>21825</v>
      </c>
      <c r="H48" s="20" t="s">
        <v>21826</v>
      </c>
      <c r="I48" s="14" t="s">
        <v>88</v>
      </c>
      <c r="J48" s="14">
        <v>1</v>
      </c>
      <c r="K48" s="14">
        <v>1</v>
      </c>
      <c r="L48" s="14" t="s">
        <v>21827</v>
      </c>
      <c r="M48" s="14" t="s">
        <v>680</v>
      </c>
      <c r="N48" s="14" t="s">
        <v>6675</v>
      </c>
      <c r="O48" s="14" t="s">
        <v>21828</v>
      </c>
      <c r="P48" s="14" t="str">
        <f>HYPERLINK("https://photon-sol.tinyastro.io/en/lp/8Laj2YQbYr8JoRfacFu9xHLoZGnFhqZp6rf9spT3pump?handle=676050794bc1b1657a56b", "View")</f>
        <v>View</v>
      </c>
    </row>
    <row r="49" spans="1:16" x14ac:dyDescent="0.25">
      <c r="A49" s="16" t="s">
        <v>20273</v>
      </c>
      <c r="B49" s="17">
        <v>123824957</v>
      </c>
      <c r="C49" s="17">
        <v>123824957</v>
      </c>
      <c r="D49" s="17" t="s">
        <v>4379</v>
      </c>
      <c r="E49" s="17" t="s">
        <v>21829</v>
      </c>
      <c r="F49" s="17" t="s">
        <v>2319</v>
      </c>
      <c r="G49" s="20" t="s">
        <v>21830</v>
      </c>
      <c r="H49" s="20" t="s">
        <v>21831</v>
      </c>
      <c r="I49" s="17" t="s">
        <v>88</v>
      </c>
      <c r="J49" s="17">
        <v>2</v>
      </c>
      <c r="K49" s="17">
        <v>2</v>
      </c>
      <c r="L49" s="17" t="s">
        <v>21832</v>
      </c>
      <c r="M49" s="17" t="s">
        <v>5501</v>
      </c>
      <c r="N49" s="17" t="s">
        <v>507</v>
      </c>
      <c r="O49" s="17" t="s">
        <v>20277</v>
      </c>
      <c r="P49" s="17" t="str">
        <f>HYPERLINK("https://photon-sol.tinyastro.io/en/lp/13kgoNWyqxnDrs3UfWjzVwTy5h8UEEZrRsQjXGy7pump?handle=676050794bc1b1657a56b", "View")</f>
        <v>View</v>
      </c>
    </row>
    <row r="50" spans="1:16" x14ac:dyDescent="0.25">
      <c r="A50" s="13" t="s">
        <v>20300</v>
      </c>
      <c r="B50" s="14">
        <v>59719916</v>
      </c>
      <c r="C50" s="14">
        <v>59719916</v>
      </c>
      <c r="D50" s="14" t="s">
        <v>21833</v>
      </c>
      <c r="E50" s="14" t="s">
        <v>21834</v>
      </c>
      <c r="F50" s="14" t="s">
        <v>8815</v>
      </c>
      <c r="G50" s="22" t="s">
        <v>21835</v>
      </c>
      <c r="H50" s="22" t="s">
        <v>21836</v>
      </c>
      <c r="I50" s="14" t="s">
        <v>88</v>
      </c>
      <c r="J50" s="14">
        <v>1</v>
      </c>
      <c r="K50" s="14">
        <v>1</v>
      </c>
      <c r="L50" s="14" t="s">
        <v>21837</v>
      </c>
      <c r="M50" s="14" t="s">
        <v>1434</v>
      </c>
      <c r="N50" s="14" t="s">
        <v>507</v>
      </c>
      <c r="O50" s="14" t="s">
        <v>20310</v>
      </c>
      <c r="P50" s="14" t="str">
        <f>HYPERLINK("https://photon-sol.tinyastro.io/en/lp/9TfYwLqYXuNNBo2yorgFXpK8Z7XZ2QjVzMaNRdKypump?handle=676050794bc1b1657a56b", "View")</f>
        <v>View</v>
      </c>
    </row>
    <row r="51" spans="1:16" x14ac:dyDescent="0.25">
      <c r="A51" s="16" t="s">
        <v>20327</v>
      </c>
      <c r="B51" s="17">
        <v>65055105</v>
      </c>
      <c r="C51" s="17">
        <v>65055105</v>
      </c>
      <c r="D51" s="17" t="s">
        <v>7092</v>
      </c>
      <c r="E51" s="17" t="s">
        <v>21838</v>
      </c>
      <c r="F51" s="17" t="s">
        <v>13749</v>
      </c>
      <c r="G51" s="20" t="s">
        <v>21839</v>
      </c>
      <c r="H51" s="20" t="s">
        <v>21840</v>
      </c>
      <c r="I51" s="17" t="s">
        <v>88</v>
      </c>
      <c r="J51" s="17">
        <v>1</v>
      </c>
      <c r="K51" s="17">
        <v>2</v>
      </c>
      <c r="L51" s="17" t="s">
        <v>21841</v>
      </c>
      <c r="M51" s="17" t="s">
        <v>1448</v>
      </c>
      <c r="N51" s="17" t="s">
        <v>507</v>
      </c>
      <c r="O51" s="17" t="s">
        <v>20331</v>
      </c>
      <c r="P51" s="17" t="str">
        <f>HYPERLINK("https://photon-sol.tinyastro.io/en/lp/8mKhWVJBqTVcyhUv1j1L8sjfXYAxj6Y6eWrCwWy3eZyq?handle=676050794bc1b1657a56b", "View")</f>
        <v>View</v>
      </c>
    </row>
    <row r="52" spans="1:16" x14ac:dyDescent="0.25">
      <c r="A52" s="13" t="s">
        <v>21842</v>
      </c>
      <c r="B52" s="14">
        <v>40192003</v>
      </c>
      <c r="C52" s="14">
        <v>40192003</v>
      </c>
      <c r="D52" s="14" t="s">
        <v>21843</v>
      </c>
      <c r="E52" s="14" t="s">
        <v>21844</v>
      </c>
      <c r="F52" s="14" t="s">
        <v>21845</v>
      </c>
      <c r="G52" s="22" t="s">
        <v>21846</v>
      </c>
      <c r="H52" s="22" t="s">
        <v>21847</v>
      </c>
      <c r="I52" s="14" t="s">
        <v>88</v>
      </c>
      <c r="J52" s="14">
        <v>2</v>
      </c>
      <c r="K52" s="14">
        <v>2</v>
      </c>
      <c r="L52" s="14" t="s">
        <v>21848</v>
      </c>
      <c r="M52" s="14" t="s">
        <v>980</v>
      </c>
      <c r="N52" s="14" t="s">
        <v>21849</v>
      </c>
      <c r="O52" s="14" t="s">
        <v>21850</v>
      </c>
      <c r="P52" s="14" t="str">
        <f>HYPERLINK("https://photon-sol.tinyastro.io/en/lp/HS7Ro4ZbcrFgbbfHvppzkmD7wAAD36gpFQ2nKsQWpump?handle=676050794bc1b1657a56b", "View")</f>
        <v>View</v>
      </c>
    </row>
    <row r="53" spans="1:16" x14ac:dyDescent="0.25">
      <c r="A53" s="16" t="s">
        <v>21851</v>
      </c>
      <c r="B53" s="17">
        <v>45694218</v>
      </c>
      <c r="C53" s="17">
        <v>45694218</v>
      </c>
      <c r="D53" s="17" t="s">
        <v>21852</v>
      </c>
      <c r="E53" s="17" t="s">
        <v>21296</v>
      </c>
      <c r="F53" s="17" t="s">
        <v>21853</v>
      </c>
      <c r="G53" s="21" t="s">
        <v>13778</v>
      </c>
      <c r="H53" s="21" t="s">
        <v>21854</v>
      </c>
      <c r="I53" s="17" t="s">
        <v>88</v>
      </c>
      <c r="J53" s="17">
        <v>1</v>
      </c>
      <c r="K53" s="17">
        <v>3</v>
      </c>
      <c r="L53" s="17" t="s">
        <v>21855</v>
      </c>
      <c r="M53" s="17" t="s">
        <v>1642</v>
      </c>
      <c r="N53" s="17" t="s">
        <v>21856</v>
      </c>
      <c r="O53" s="17" t="s">
        <v>21857</v>
      </c>
      <c r="P53" s="17" t="str">
        <f>HYPERLINK("https://photon-sol.tinyastro.io/en/lp/AU9nmK9YeVvM1h57jKzytdfuNLoV8dhPedQdLceepump?handle=676050794bc1b1657a56b", "View")</f>
        <v>View</v>
      </c>
    </row>
    <row r="54" spans="1:16" x14ac:dyDescent="0.25">
      <c r="A54" s="13" t="s">
        <v>21858</v>
      </c>
      <c r="B54" s="14">
        <v>51023075</v>
      </c>
      <c r="C54" s="14">
        <v>51023075</v>
      </c>
      <c r="D54" s="14" t="s">
        <v>21859</v>
      </c>
      <c r="E54" s="14" t="s">
        <v>21860</v>
      </c>
      <c r="F54" s="14" t="s">
        <v>9449</v>
      </c>
      <c r="G54" s="20" t="s">
        <v>18138</v>
      </c>
      <c r="H54" s="20" t="s">
        <v>21861</v>
      </c>
      <c r="I54" s="14" t="s">
        <v>88</v>
      </c>
      <c r="J54" s="14">
        <v>3</v>
      </c>
      <c r="K54" s="14">
        <v>2</v>
      </c>
      <c r="L54" s="14" t="s">
        <v>21862</v>
      </c>
      <c r="M54" s="14" t="s">
        <v>179</v>
      </c>
      <c r="N54" s="14" t="s">
        <v>507</v>
      </c>
      <c r="O54" s="14" t="s">
        <v>21863</v>
      </c>
      <c r="P54" s="14" t="str">
        <f>HYPERLINK("https://photon-sol.tinyastro.io/en/lp/5jyY898Rx3MTw1kHX92LQSUvDNHDRyiJ7BQW7eaCpump?handle=676050794bc1b1657a56b", "View")</f>
        <v>View</v>
      </c>
    </row>
    <row r="55" spans="1:16" x14ac:dyDescent="0.25">
      <c r="A55" s="16" t="s">
        <v>6799</v>
      </c>
      <c r="B55" s="17">
        <v>7768399</v>
      </c>
      <c r="C55" s="17">
        <v>7768399</v>
      </c>
      <c r="D55" s="17" t="s">
        <v>21792</v>
      </c>
      <c r="E55" s="17" t="s">
        <v>21864</v>
      </c>
      <c r="F55" s="17" t="s">
        <v>3610</v>
      </c>
      <c r="G55" s="15" t="s">
        <v>2051</v>
      </c>
      <c r="H55" s="15" t="s">
        <v>21865</v>
      </c>
      <c r="I55" s="17" t="s">
        <v>88</v>
      </c>
      <c r="J55" s="17">
        <v>1</v>
      </c>
      <c r="K55" s="17">
        <v>1</v>
      </c>
      <c r="L55" s="17" t="s">
        <v>21866</v>
      </c>
      <c r="M55" s="17" t="s">
        <v>680</v>
      </c>
      <c r="N55" s="17" t="s">
        <v>21867</v>
      </c>
      <c r="O55" s="17" t="s">
        <v>21868</v>
      </c>
      <c r="P55" s="17" t="str">
        <f>HYPERLINK("https://photon-sol.tinyastro.io/en/lp/BhNwyd3QGBwfy4mUPGsqPUBnV9AgKN5U9nkSAH5fpump?handle=676050794bc1b1657a56b", "View")</f>
        <v>View</v>
      </c>
    </row>
    <row r="56" spans="1:16" x14ac:dyDescent="0.25">
      <c r="A56" s="13" t="s">
        <v>21869</v>
      </c>
      <c r="B56" s="14">
        <v>42226722</v>
      </c>
      <c r="C56" s="14">
        <v>42226722</v>
      </c>
      <c r="D56" s="14" t="s">
        <v>9131</v>
      </c>
      <c r="E56" s="14" t="s">
        <v>21870</v>
      </c>
      <c r="F56" s="14" t="s">
        <v>21871</v>
      </c>
      <c r="G56" s="20" t="s">
        <v>14109</v>
      </c>
      <c r="H56" s="20" t="s">
        <v>21872</v>
      </c>
      <c r="I56" s="14" t="s">
        <v>88</v>
      </c>
      <c r="J56" s="14">
        <v>1</v>
      </c>
      <c r="K56" s="14">
        <v>1</v>
      </c>
      <c r="L56" s="14" t="s">
        <v>21873</v>
      </c>
      <c r="M56" s="14" t="s">
        <v>117</v>
      </c>
      <c r="N56" s="14" t="s">
        <v>1011</v>
      </c>
      <c r="O56" s="14" t="s">
        <v>21874</v>
      </c>
      <c r="P56" s="14" t="str">
        <f>HYPERLINK("https://photon-sol.tinyastro.io/en/lp/EGiQ6KgDD4eWdvQ5oUQPFCVXAN7uCFRqcYAX2f2Mpump?handle=676050794bc1b1657a56b", "View")</f>
        <v>View</v>
      </c>
    </row>
    <row r="57" spans="1:16" x14ac:dyDescent="0.25">
      <c r="A57" s="16" t="s">
        <v>21875</v>
      </c>
      <c r="B57" s="17">
        <v>66166886</v>
      </c>
      <c r="C57" s="17">
        <v>66166886</v>
      </c>
      <c r="D57" s="17" t="s">
        <v>21876</v>
      </c>
      <c r="E57" s="17" t="s">
        <v>21877</v>
      </c>
      <c r="F57" s="17" t="s">
        <v>21878</v>
      </c>
      <c r="G57" s="20" t="s">
        <v>3707</v>
      </c>
      <c r="H57" s="20" t="s">
        <v>21660</v>
      </c>
      <c r="I57" s="17" t="s">
        <v>88</v>
      </c>
      <c r="J57" s="17">
        <v>4</v>
      </c>
      <c r="K57" s="17">
        <v>4</v>
      </c>
      <c r="L57" s="17" t="s">
        <v>21879</v>
      </c>
      <c r="M57" s="17" t="s">
        <v>788</v>
      </c>
      <c r="N57" s="17" t="s">
        <v>7687</v>
      </c>
      <c r="O57" s="17" t="s">
        <v>21880</v>
      </c>
      <c r="P57" s="17" t="str">
        <f>HYPERLINK("https://photon-sol.tinyastro.io/en/lp/Cose1iLX2N1SE9XwZjkwnQ8oKWnqLu4wRMtqvjp6pump?handle=676050794bc1b1657a56b", "View")</f>
        <v>View</v>
      </c>
    </row>
    <row r="58" spans="1:16" x14ac:dyDescent="0.25">
      <c r="A58" s="13" t="s">
        <v>21881</v>
      </c>
      <c r="B58" s="14">
        <v>37148047</v>
      </c>
      <c r="C58" s="14">
        <v>37148047</v>
      </c>
      <c r="D58" s="14" t="s">
        <v>21608</v>
      </c>
      <c r="E58" s="14" t="s">
        <v>8943</v>
      </c>
      <c r="F58" s="14" t="s">
        <v>21882</v>
      </c>
      <c r="G58" s="22" t="s">
        <v>15950</v>
      </c>
      <c r="H58" s="22" t="s">
        <v>21883</v>
      </c>
      <c r="I58" s="14" t="s">
        <v>88</v>
      </c>
      <c r="J58" s="14">
        <v>1</v>
      </c>
      <c r="K58" s="14">
        <v>2</v>
      </c>
      <c r="L58" s="14" t="s">
        <v>21884</v>
      </c>
      <c r="M58" s="14" t="s">
        <v>1566</v>
      </c>
      <c r="N58" s="14" t="s">
        <v>1471</v>
      </c>
      <c r="O58" s="14" t="s">
        <v>21885</v>
      </c>
      <c r="P58" s="14" t="str">
        <f>HYPERLINK("https://photon-sol.tinyastro.io/en/lp/CQYMbho9FPLy8QxuJquhr34PQCT6LtJuHzpQ2Mvpump?handle=676050794bc1b1657a56b", "View")</f>
        <v>View</v>
      </c>
    </row>
    <row r="59" spans="1:16" x14ac:dyDescent="0.25">
      <c r="A59" s="16" t="s">
        <v>21886</v>
      </c>
      <c r="B59" s="17">
        <v>25777160</v>
      </c>
      <c r="C59" s="17">
        <v>25777160</v>
      </c>
      <c r="D59" s="17" t="s">
        <v>21887</v>
      </c>
      <c r="E59" s="17" t="s">
        <v>21888</v>
      </c>
      <c r="F59" s="17" t="s">
        <v>21889</v>
      </c>
      <c r="G59" s="21" t="s">
        <v>21890</v>
      </c>
      <c r="H59" s="21" t="s">
        <v>21891</v>
      </c>
      <c r="I59" s="17" t="s">
        <v>88</v>
      </c>
      <c r="J59" s="17">
        <v>1</v>
      </c>
      <c r="K59" s="17">
        <v>6</v>
      </c>
      <c r="L59" s="17" t="s">
        <v>21892</v>
      </c>
      <c r="M59" s="17" t="s">
        <v>179</v>
      </c>
      <c r="N59" s="17" t="s">
        <v>21893</v>
      </c>
      <c r="O59" s="17" t="s">
        <v>21894</v>
      </c>
      <c r="P59" s="17" t="str">
        <f>HYPERLINK("https://photon-sol.tinyastro.io/en/lp/64wxywau8FvYQXVKxusf5nc4ACBeiCaCyRpBxbHzpump?handle=676050794bc1b1657a56b", "View")</f>
        <v>View</v>
      </c>
    </row>
    <row r="60" spans="1:16" x14ac:dyDescent="0.25">
      <c r="A60" s="13" t="s">
        <v>5811</v>
      </c>
      <c r="B60" s="14">
        <v>39361349</v>
      </c>
      <c r="C60" s="14">
        <v>39361349</v>
      </c>
      <c r="D60" s="14" t="s">
        <v>21895</v>
      </c>
      <c r="E60" s="14" t="s">
        <v>17972</v>
      </c>
      <c r="F60" s="14" t="s">
        <v>1953</v>
      </c>
      <c r="G60" s="20" t="s">
        <v>19201</v>
      </c>
      <c r="H60" s="20" t="s">
        <v>11504</v>
      </c>
      <c r="I60" s="14" t="s">
        <v>88</v>
      </c>
      <c r="J60" s="14">
        <v>1</v>
      </c>
      <c r="K60" s="14">
        <v>1</v>
      </c>
      <c r="L60" s="14" t="s">
        <v>21896</v>
      </c>
      <c r="M60" s="14" t="s">
        <v>117</v>
      </c>
      <c r="N60" s="14" t="s">
        <v>2308</v>
      </c>
      <c r="O60" s="14" t="s">
        <v>21897</v>
      </c>
      <c r="P60" s="14" t="str">
        <f>HYPERLINK("https://photon-sol.tinyastro.io/en/lp/3YTN37Q5RzJ5TJEMyZSTYMtiRozn9UUXySno9GNTpump?handle=676050794bc1b1657a56b", "View")</f>
        <v>View</v>
      </c>
    </row>
    <row r="61" spans="1:16" x14ac:dyDescent="0.25">
      <c r="A61" s="16" t="s">
        <v>9199</v>
      </c>
      <c r="B61" s="17">
        <v>18270977</v>
      </c>
      <c r="C61" s="17">
        <v>18270977</v>
      </c>
      <c r="D61" s="17" t="s">
        <v>21898</v>
      </c>
      <c r="E61" s="17" t="s">
        <v>21899</v>
      </c>
      <c r="F61" s="17" t="s">
        <v>21900</v>
      </c>
      <c r="G61" s="21" t="s">
        <v>13726</v>
      </c>
      <c r="H61" s="21" t="s">
        <v>21901</v>
      </c>
      <c r="I61" s="17" t="s">
        <v>88</v>
      </c>
      <c r="J61" s="17">
        <v>1</v>
      </c>
      <c r="K61" s="17">
        <v>2</v>
      </c>
      <c r="L61" s="17" t="s">
        <v>21902</v>
      </c>
      <c r="M61" s="17" t="s">
        <v>1566</v>
      </c>
      <c r="N61" s="17" t="s">
        <v>21903</v>
      </c>
      <c r="O61" s="17" t="s">
        <v>21904</v>
      </c>
      <c r="P61" s="17" t="str">
        <f>HYPERLINK("https://photon-sol.tinyastro.io/en/lp/2cvMDBEgDu3K8tZVPUvpa3A394V1MswP7Y5mD3LYpump?handle=676050794bc1b1657a56b", "View")</f>
        <v>View</v>
      </c>
    </row>
    <row r="62" spans="1:16" x14ac:dyDescent="0.25">
      <c r="A62" s="13" t="s">
        <v>21905</v>
      </c>
      <c r="B62" s="14">
        <v>35155662</v>
      </c>
      <c r="C62" s="14">
        <v>35155662</v>
      </c>
      <c r="D62" s="14" t="s">
        <v>21895</v>
      </c>
      <c r="E62" s="14" t="s">
        <v>21906</v>
      </c>
      <c r="F62" s="14" t="s">
        <v>21907</v>
      </c>
      <c r="G62" s="20" t="s">
        <v>21908</v>
      </c>
      <c r="H62" s="20" t="s">
        <v>21909</v>
      </c>
      <c r="I62" s="14" t="s">
        <v>88</v>
      </c>
      <c r="J62" s="14">
        <v>1</v>
      </c>
      <c r="K62" s="14">
        <v>1</v>
      </c>
      <c r="L62" s="14" t="s">
        <v>21910</v>
      </c>
      <c r="M62" s="19" t="s">
        <v>3000</v>
      </c>
      <c r="N62" s="14" t="s">
        <v>2249</v>
      </c>
      <c r="O62" s="14" t="s">
        <v>21911</v>
      </c>
      <c r="P62" s="14" t="str">
        <f>HYPERLINK("https://photon-sol.tinyastro.io/en/lp/AKTCoYT1F1wf5hveHfBzwaZH9xKLWcCgDN6w13gppump?handle=676050794bc1b1657a56b", "View")</f>
        <v>View</v>
      </c>
    </row>
    <row r="63" spans="1:16" x14ac:dyDescent="0.25">
      <c r="A63" s="16" t="s">
        <v>1943</v>
      </c>
      <c r="B63" s="17">
        <v>4282224</v>
      </c>
      <c r="C63" s="17">
        <v>4282224</v>
      </c>
      <c r="D63" s="17" t="s">
        <v>19488</v>
      </c>
      <c r="E63" s="17" t="s">
        <v>21912</v>
      </c>
      <c r="F63" s="17" t="s">
        <v>2822</v>
      </c>
      <c r="G63" s="20" t="s">
        <v>4707</v>
      </c>
      <c r="H63" s="20" t="s">
        <v>21913</v>
      </c>
      <c r="I63" s="17" t="s">
        <v>88</v>
      </c>
      <c r="J63" s="17">
        <v>1</v>
      </c>
      <c r="K63" s="17">
        <v>1</v>
      </c>
      <c r="L63" s="17" t="s">
        <v>21914</v>
      </c>
      <c r="M63" s="19" t="s">
        <v>2955</v>
      </c>
      <c r="N63" s="17" t="s">
        <v>21915</v>
      </c>
      <c r="O63" s="17" t="s">
        <v>21916</v>
      </c>
      <c r="P63" s="17" t="str">
        <f>HYPERLINK("https://photon-sol.tinyastro.io/en/lp/8B5rfcbs3dMzocUjhbrAH5yVi6uz5hPvCXVdVYsvpump?handle=676050794bc1b1657a56b", "View")</f>
        <v>View</v>
      </c>
    </row>
    <row r="64" spans="1:16" x14ac:dyDescent="0.25">
      <c r="A64" s="13" t="s">
        <v>21917</v>
      </c>
      <c r="B64" s="14">
        <v>23910351</v>
      </c>
      <c r="C64" s="14">
        <v>23910351</v>
      </c>
      <c r="D64" s="14" t="s">
        <v>16545</v>
      </c>
      <c r="E64" s="14" t="s">
        <v>1007</v>
      </c>
      <c r="F64" s="14" t="s">
        <v>13566</v>
      </c>
      <c r="G64" s="20" t="s">
        <v>3420</v>
      </c>
      <c r="H64" s="20" t="s">
        <v>21918</v>
      </c>
      <c r="I64" s="14" t="s">
        <v>88</v>
      </c>
      <c r="J64" s="14">
        <v>1</v>
      </c>
      <c r="K64" s="14">
        <v>1</v>
      </c>
      <c r="L64" s="14" t="s">
        <v>21919</v>
      </c>
      <c r="M64" s="19" t="s">
        <v>1948</v>
      </c>
      <c r="N64" s="14" t="s">
        <v>4634</v>
      </c>
      <c r="O64" s="14" t="s">
        <v>21920</v>
      </c>
      <c r="P64" s="14" t="str">
        <f>HYPERLINK("https://dexscreener.com/solana/CNHGRkiYdt39jq8rgZ6rBhzFrJbK8BFQpQFdNdTYpump", "View")</f>
        <v>View</v>
      </c>
    </row>
    <row r="65" spans="1:16" x14ac:dyDescent="0.25">
      <c r="A65" s="16" t="s">
        <v>21921</v>
      </c>
      <c r="B65" s="17">
        <v>17051986</v>
      </c>
      <c r="C65" s="17">
        <v>17051986</v>
      </c>
      <c r="D65" s="17" t="s">
        <v>4389</v>
      </c>
      <c r="E65" s="17" t="s">
        <v>3959</v>
      </c>
      <c r="F65" s="17" t="s">
        <v>13499</v>
      </c>
      <c r="G65" s="20" t="s">
        <v>2760</v>
      </c>
      <c r="H65" s="20" t="s">
        <v>20952</v>
      </c>
      <c r="I65" s="17" t="s">
        <v>88</v>
      </c>
      <c r="J65" s="17">
        <v>1</v>
      </c>
      <c r="K65" s="17">
        <v>1</v>
      </c>
      <c r="L65" s="17" t="s">
        <v>21922</v>
      </c>
      <c r="M65" s="17" t="s">
        <v>364</v>
      </c>
      <c r="N65" s="17" t="s">
        <v>12978</v>
      </c>
      <c r="O65" s="17" t="s">
        <v>21923</v>
      </c>
      <c r="P65" s="17" t="str">
        <f>HYPERLINK("https://photon-sol.tinyastro.io/en/lp/3aXBQf6ghaTy3HQWDTdwcE8WJ4AuLrcJeEuJEdzPpump?handle=676050794bc1b1657a56b", "View")</f>
        <v>View</v>
      </c>
    </row>
    <row r="66" spans="1:16" x14ac:dyDescent="0.25">
      <c r="A66" s="13" t="s">
        <v>21924</v>
      </c>
      <c r="B66" s="14">
        <v>27527382</v>
      </c>
      <c r="C66" s="14">
        <v>27527382</v>
      </c>
      <c r="D66" s="14" t="s">
        <v>21925</v>
      </c>
      <c r="E66" s="14" t="s">
        <v>21926</v>
      </c>
      <c r="F66" s="14" t="s">
        <v>21134</v>
      </c>
      <c r="G66" s="21" t="s">
        <v>21927</v>
      </c>
      <c r="H66" s="21" t="s">
        <v>21928</v>
      </c>
      <c r="I66" s="14" t="s">
        <v>88</v>
      </c>
      <c r="J66" s="14">
        <v>1</v>
      </c>
      <c r="K66" s="14">
        <v>2</v>
      </c>
      <c r="L66" s="14" t="s">
        <v>21929</v>
      </c>
      <c r="M66" s="14" t="s">
        <v>1448</v>
      </c>
      <c r="N66" s="14" t="s">
        <v>2459</v>
      </c>
      <c r="O66" s="14" t="s">
        <v>21930</v>
      </c>
      <c r="P66" s="14" t="str">
        <f>HYPERLINK("https://photon-sol.tinyastro.io/en/lp/GqCzSCFUDCgY3jdgN1bRcRDrTJbvu2LXQyCRHqMbpump?handle=676050794bc1b1657a56b", "View")</f>
        <v>View</v>
      </c>
    </row>
    <row r="67" spans="1:16" x14ac:dyDescent="0.25">
      <c r="A67" s="16" t="s">
        <v>21931</v>
      </c>
      <c r="B67" s="17">
        <v>31177341</v>
      </c>
      <c r="C67" s="17">
        <v>31177341</v>
      </c>
      <c r="D67" s="17" t="s">
        <v>19488</v>
      </c>
      <c r="E67" s="17" t="s">
        <v>21932</v>
      </c>
      <c r="F67" s="17" t="s">
        <v>2636</v>
      </c>
      <c r="G67" s="21" t="s">
        <v>7631</v>
      </c>
      <c r="H67" s="21" t="s">
        <v>21933</v>
      </c>
      <c r="I67" s="17" t="s">
        <v>88</v>
      </c>
      <c r="J67" s="17">
        <v>1</v>
      </c>
      <c r="K67" s="17">
        <v>1</v>
      </c>
      <c r="L67" s="17" t="s">
        <v>21934</v>
      </c>
      <c r="M67" s="17" t="s">
        <v>1566</v>
      </c>
      <c r="N67" s="17" t="s">
        <v>14035</v>
      </c>
      <c r="O67" s="17" t="s">
        <v>21935</v>
      </c>
      <c r="P67" s="17" t="str">
        <f>HYPERLINK("https://photon-sol.tinyastro.io/en/lp/4vUPAZMg3UJAbYDxYVnGJEgQ7Vye2e5AwXsRcHEVpump?handle=676050794bc1b1657a56b", "View")</f>
        <v>View</v>
      </c>
    </row>
    <row r="68" spans="1:16" x14ac:dyDescent="0.25">
      <c r="A68" s="13" t="s">
        <v>21936</v>
      </c>
      <c r="B68" s="14">
        <v>44396845</v>
      </c>
      <c r="C68" s="14">
        <v>44396845</v>
      </c>
      <c r="D68" s="14" t="s">
        <v>21937</v>
      </c>
      <c r="E68" s="14" t="s">
        <v>15021</v>
      </c>
      <c r="F68" s="14" t="s">
        <v>21938</v>
      </c>
      <c r="G68" s="21" t="s">
        <v>21939</v>
      </c>
      <c r="H68" s="21" t="s">
        <v>21940</v>
      </c>
      <c r="I68" s="14" t="s">
        <v>88</v>
      </c>
      <c r="J68" s="14">
        <v>1</v>
      </c>
      <c r="K68" s="14">
        <v>7</v>
      </c>
      <c r="L68" s="14" t="s">
        <v>21941</v>
      </c>
      <c r="M68" s="14" t="s">
        <v>2047</v>
      </c>
      <c r="N68" s="14" t="s">
        <v>21942</v>
      </c>
      <c r="O68" s="14" t="s">
        <v>21943</v>
      </c>
      <c r="P68" s="14" t="str">
        <f>HYPERLINK("https://photon-sol.tinyastro.io/en/lp/DfFXNtqWf37ToztB3tKQqbcdA9rQCX8TU3WHPaYApump?handle=676050794bc1b1657a56b", "View")</f>
        <v>View</v>
      </c>
    </row>
    <row r="69" spans="1:16" x14ac:dyDescent="0.25">
      <c r="A69" s="16" t="s">
        <v>10597</v>
      </c>
      <c r="B69" s="17">
        <v>44660325</v>
      </c>
      <c r="C69" s="17">
        <v>44660325</v>
      </c>
      <c r="D69" s="17" t="s">
        <v>11337</v>
      </c>
      <c r="E69" s="17" t="s">
        <v>9253</v>
      </c>
      <c r="F69" s="17" t="s">
        <v>9244</v>
      </c>
      <c r="G69" s="21" t="s">
        <v>18270</v>
      </c>
      <c r="H69" s="21" t="s">
        <v>21944</v>
      </c>
      <c r="I69" s="17" t="s">
        <v>88</v>
      </c>
      <c r="J69" s="17">
        <v>1</v>
      </c>
      <c r="K69" s="17">
        <v>4</v>
      </c>
      <c r="L69" s="17" t="s">
        <v>21945</v>
      </c>
      <c r="M69" s="17" t="s">
        <v>788</v>
      </c>
      <c r="N69" s="17" t="s">
        <v>21946</v>
      </c>
      <c r="O69" s="17" t="s">
        <v>21947</v>
      </c>
      <c r="P69" s="17" t="str">
        <f>HYPERLINK("https://photon-sol.tinyastro.io/en/lp/7L2yu8ACjp4W3T79yZkK5M2FWmRgq9T4rMjiUSgopump?handle=676050794bc1b1657a56b", "View")</f>
        <v>View</v>
      </c>
    </row>
    <row r="70" spans="1:16" x14ac:dyDescent="0.25">
      <c r="A70" s="13" t="s">
        <v>21948</v>
      </c>
      <c r="B70" s="14">
        <v>11194513</v>
      </c>
      <c r="C70" s="14">
        <v>11194513</v>
      </c>
      <c r="D70" s="14" t="s">
        <v>21792</v>
      </c>
      <c r="E70" s="14" t="s">
        <v>4180</v>
      </c>
      <c r="F70" s="14" t="s">
        <v>3813</v>
      </c>
      <c r="G70" s="22" t="s">
        <v>8575</v>
      </c>
      <c r="H70" s="22" t="s">
        <v>21949</v>
      </c>
      <c r="I70" s="14" t="s">
        <v>88</v>
      </c>
      <c r="J70" s="14">
        <v>1</v>
      </c>
      <c r="K70" s="14">
        <v>1</v>
      </c>
      <c r="L70" s="14" t="s">
        <v>21950</v>
      </c>
      <c r="M70" s="14" t="s">
        <v>680</v>
      </c>
      <c r="N70" s="14" t="s">
        <v>2827</v>
      </c>
      <c r="O70" s="14" t="s">
        <v>21951</v>
      </c>
      <c r="P70" s="14" t="str">
        <f>HYPERLINK("https://dexscreener.com/solana/AF7gwu4SFa4Uo28DLe4trpMoYeu8QiRbZSziFgctpump", "View")</f>
        <v>View</v>
      </c>
    </row>
    <row r="71" spans="1:16" x14ac:dyDescent="0.25">
      <c r="A71" s="16" t="s">
        <v>21952</v>
      </c>
      <c r="B71" s="17">
        <v>24610053</v>
      </c>
      <c r="C71" s="17">
        <v>24610053</v>
      </c>
      <c r="D71" s="17" t="s">
        <v>9131</v>
      </c>
      <c r="E71" s="17" t="s">
        <v>21953</v>
      </c>
      <c r="F71" s="17" t="s">
        <v>21238</v>
      </c>
      <c r="G71" s="20" t="s">
        <v>20744</v>
      </c>
      <c r="H71" s="20" t="s">
        <v>21954</v>
      </c>
      <c r="I71" s="17" t="s">
        <v>88</v>
      </c>
      <c r="J71" s="17">
        <v>1</v>
      </c>
      <c r="K71" s="17">
        <v>1</v>
      </c>
      <c r="L71" s="17" t="s">
        <v>21955</v>
      </c>
      <c r="M71" s="17" t="s">
        <v>364</v>
      </c>
      <c r="N71" s="17" t="s">
        <v>21956</v>
      </c>
      <c r="O71" s="17" t="s">
        <v>21957</v>
      </c>
      <c r="P71" s="17" t="str">
        <f>HYPERLINK("https://photon-sol.tinyastro.io/en/lp/DnHmMD9KBnVMDDY3nisRZVVyF1LB382VadWU1nJhpump?handle=676050794bc1b1657a56b", "View")</f>
        <v>View</v>
      </c>
    </row>
    <row r="72" spans="1:16" x14ac:dyDescent="0.25">
      <c r="A72" s="13" t="s">
        <v>21958</v>
      </c>
      <c r="B72" s="14">
        <v>30277242</v>
      </c>
      <c r="C72" s="14">
        <v>30277242</v>
      </c>
      <c r="D72" s="14" t="s">
        <v>21608</v>
      </c>
      <c r="E72" s="14" t="s">
        <v>1007</v>
      </c>
      <c r="F72" s="14" t="s">
        <v>2057</v>
      </c>
      <c r="G72" s="22" t="s">
        <v>6058</v>
      </c>
      <c r="H72" s="22" t="s">
        <v>21959</v>
      </c>
      <c r="I72" s="14" t="s">
        <v>88</v>
      </c>
      <c r="J72" s="14">
        <v>2</v>
      </c>
      <c r="K72" s="14">
        <v>2</v>
      </c>
      <c r="L72" s="14" t="s">
        <v>21960</v>
      </c>
      <c r="M72" s="14" t="s">
        <v>1159</v>
      </c>
      <c r="N72" s="14" t="s">
        <v>2223</v>
      </c>
      <c r="O72" s="14" t="s">
        <v>21961</v>
      </c>
      <c r="P72" s="14" t="str">
        <f>HYPERLINK("https://dexscreener.com/solana/Bo8JgJUhg9HzvnhHTMuHg3BznjLQ5FtzycVLrk82F3L2", "View")</f>
        <v>View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9232-0CEC-472B-A253-E5F0F35CB71E}">
  <dimension ref="A1:P7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HYPERLINK("https://gmgn.ai/sol/address/66VRzczw81D31rpraaApSJQnqUu56x6U1Qa6BV2darrj", "GMGN")</f>
        <v>GMGN</v>
      </c>
    </row>
    <row r="2" spans="1:14" x14ac:dyDescent="0.25">
      <c r="A2" s="3" t="s">
        <v>21962</v>
      </c>
      <c r="B2" s="3" t="s">
        <v>21963</v>
      </c>
      <c r="C2" s="3" t="s">
        <v>7496</v>
      </c>
      <c r="D2" s="3" t="s">
        <v>21964</v>
      </c>
      <c r="E2" s="3" t="s">
        <v>21965</v>
      </c>
      <c r="F2" s="3" t="s">
        <v>18</v>
      </c>
      <c r="G2" s="3" t="s">
        <v>18</v>
      </c>
      <c r="H2" s="3">
        <v>58</v>
      </c>
      <c r="I2" s="3">
        <v>6</v>
      </c>
      <c r="J2" s="3" t="s">
        <v>414</v>
      </c>
      <c r="K2" s="3" t="s">
        <v>788</v>
      </c>
      <c r="L2" s="3">
        <v>32</v>
      </c>
      <c r="M2" s="3">
        <v>86</v>
      </c>
      <c r="N2" s="3" t="str">
        <f>HYPERLINK("https://solscan.io/account/66VRzczw81D31rpraaApSJQnqUu56x6U1Qa6BV2darrj",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HYPERLINK("https://birdeye.so/profile/66VRzczw81D31rpraaApSJQnqUu56x6U1Qa6BV2darrj", "Birdeye")</f>
        <v>Birdeye</v>
      </c>
    </row>
    <row r="4" spans="1:14" x14ac:dyDescent="0.25">
      <c r="A4" s="1" t="s">
        <v>25</v>
      </c>
      <c r="B4" s="3" t="s">
        <v>8594</v>
      </c>
      <c r="C4" s="3"/>
      <c r="D4" s="3" t="s">
        <v>20030</v>
      </c>
      <c r="E4" s="3" t="s">
        <v>21966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1792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0</v>
      </c>
      <c r="E10" s="1">
        <v>5</v>
      </c>
      <c r="F10" s="1">
        <v>9</v>
      </c>
      <c r="G10" s="1">
        <v>42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4722</v>
      </c>
      <c r="C11" s="1" t="s">
        <v>4722</v>
      </c>
      <c r="D11" s="1" t="s">
        <v>1779</v>
      </c>
      <c r="E11" s="1" t="s">
        <v>21967</v>
      </c>
      <c r="F11" s="1" t="s">
        <v>21968</v>
      </c>
      <c r="G11" s="1" t="s">
        <v>21969</v>
      </c>
      <c r="H11" s="3"/>
      <c r="I11" s="3" t="s">
        <v>50</v>
      </c>
      <c r="J11" s="3" t="s">
        <v>21970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21971</v>
      </c>
      <c r="C12" s="1" t="s">
        <v>1778</v>
      </c>
      <c r="D12" s="1" t="s">
        <v>1786</v>
      </c>
      <c r="E12" s="1" t="s">
        <v>20034</v>
      </c>
      <c r="F12" s="1" t="s">
        <v>21972</v>
      </c>
      <c r="G12" s="1" t="s">
        <v>21973</v>
      </c>
      <c r="H12" s="3"/>
      <c r="I12" s="3" t="s">
        <v>59</v>
      </c>
      <c r="J12" s="3" t="s">
        <v>19660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15564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21974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21975</v>
      </c>
      <c r="B20" s="14">
        <v>4623813</v>
      </c>
      <c r="C20" s="14">
        <v>1155953</v>
      </c>
      <c r="D20" s="14" t="s">
        <v>21976</v>
      </c>
      <c r="E20" s="14" t="s">
        <v>5358</v>
      </c>
      <c r="F20" s="14" t="s">
        <v>16263</v>
      </c>
      <c r="G20" s="22" t="s">
        <v>4924</v>
      </c>
      <c r="H20" s="22" t="s">
        <v>21977</v>
      </c>
      <c r="I20" s="14" t="s">
        <v>88</v>
      </c>
      <c r="J20" s="14">
        <v>1</v>
      </c>
      <c r="K20" s="14">
        <v>1</v>
      </c>
      <c r="L20" s="14" t="s">
        <v>21978</v>
      </c>
      <c r="M20" s="14" t="s">
        <v>1448</v>
      </c>
      <c r="N20" s="14" t="s">
        <v>21979</v>
      </c>
      <c r="O20" s="14" t="s">
        <v>21980</v>
      </c>
      <c r="P20" s="14" t="str">
        <f>HYPERLINK("https://photon-sol.tinyastro.io/en/lp/C8jdetV1VZhYDtCEQnYwPxz5aPeBMr5hAyrtQmAEpump?handle=676050794bc1b1657a56b", "View")</f>
        <v>View</v>
      </c>
    </row>
    <row r="21" spans="1:16" x14ac:dyDescent="0.25">
      <c r="A21" s="16" t="s">
        <v>21981</v>
      </c>
      <c r="B21" s="17">
        <v>3198709</v>
      </c>
      <c r="C21" s="17">
        <v>0</v>
      </c>
      <c r="D21" s="17" t="s">
        <v>19035</v>
      </c>
      <c r="E21" s="17" t="s">
        <v>16246</v>
      </c>
      <c r="F21" s="17" t="s">
        <v>96</v>
      </c>
      <c r="G21" s="18" t="s">
        <v>3707</v>
      </c>
      <c r="H21" s="18" t="s">
        <v>98</v>
      </c>
      <c r="I21" s="17" t="s">
        <v>21982</v>
      </c>
      <c r="J21" s="17">
        <v>1</v>
      </c>
      <c r="K21" s="17">
        <v>0</v>
      </c>
      <c r="L21" s="17" t="s">
        <v>21983</v>
      </c>
      <c r="M21" s="19" t="s">
        <v>101</v>
      </c>
      <c r="N21" s="17" t="s">
        <v>407</v>
      </c>
      <c r="O21" s="17" t="s">
        <v>21984</v>
      </c>
      <c r="P21" s="17" t="str">
        <f>HYPERLINK("https://photon-sol.tinyastro.io/en/lp/FmKQFFGGXao7HX3qSVQs9gqyvsjr2NakYbDkRR4upump?handle=676050794bc1b1657a56b", "View")</f>
        <v>View</v>
      </c>
    </row>
    <row r="22" spans="1:16" x14ac:dyDescent="0.25">
      <c r="A22" s="13" t="s">
        <v>21985</v>
      </c>
      <c r="B22" s="14">
        <v>5702570</v>
      </c>
      <c r="C22" s="14">
        <v>0</v>
      </c>
      <c r="D22" s="14" t="s">
        <v>19035</v>
      </c>
      <c r="E22" s="14" t="s">
        <v>16246</v>
      </c>
      <c r="F22" s="14" t="s">
        <v>96</v>
      </c>
      <c r="G22" s="18" t="s">
        <v>3707</v>
      </c>
      <c r="H22" s="18" t="s">
        <v>98</v>
      </c>
      <c r="I22" s="14" t="s">
        <v>21986</v>
      </c>
      <c r="J22" s="14">
        <v>1</v>
      </c>
      <c r="K22" s="14">
        <v>0</v>
      </c>
      <c r="L22" s="14" t="s">
        <v>16098</v>
      </c>
      <c r="M22" s="19" t="s">
        <v>101</v>
      </c>
      <c r="N22" s="14" t="s">
        <v>556</v>
      </c>
      <c r="O22" s="14" t="s">
        <v>21987</v>
      </c>
      <c r="P22" s="14" t="str">
        <f>HYPERLINK("https://photon-sol.tinyastro.io/en/lp/EFT5ANnvvoykCdLNoxYhqmJCfaEg7SMNbWYYQcnLpump?handle=676050794bc1b1657a56b", "View")</f>
        <v>View</v>
      </c>
    </row>
    <row r="23" spans="1:16" x14ac:dyDescent="0.25">
      <c r="A23" s="16" t="s">
        <v>21988</v>
      </c>
      <c r="B23" s="17">
        <v>3900022</v>
      </c>
      <c r="C23" s="17">
        <v>0</v>
      </c>
      <c r="D23" s="17" t="s">
        <v>19035</v>
      </c>
      <c r="E23" s="17" t="s">
        <v>12035</v>
      </c>
      <c r="F23" s="17" t="s">
        <v>96</v>
      </c>
      <c r="G23" s="18" t="s">
        <v>13631</v>
      </c>
      <c r="H23" s="18" t="s">
        <v>98</v>
      </c>
      <c r="I23" s="17" t="s">
        <v>21989</v>
      </c>
      <c r="J23" s="17">
        <v>1</v>
      </c>
      <c r="K23" s="17">
        <v>0</v>
      </c>
      <c r="L23" s="17" t="s">
        <v>21990</v>
      </c>
      <c r="M23" s="19" t="s">
        <v>101</v>
      </c>
      <c r="N23" s="17" t="s">
        <v>1980</v>
      </c>
      <c r="O23" s="17" t="s">
        <v>21991</v>
      </c>
      <c r="P23" s="17" t="str">
        <f>HYPERLINK("https://photon-sol.tinyastro.io/en/lp/5i1354qt9xk2W7FRuHUvQBjjXavSL9MFNwtnLGkHpump?handle=676050794bc1b1657a56b", "View")</f>
        <v>View</v>
      </c>
    </row>
    <row r="24" spans="1:16" x14ac:dyDescent="0.25">
      <c r="A24" s="13" t="s">
        <v>21992</v>
      </c>
      <c r="B24" s="14">
        <v>408267</v>
      </c>
      <c r="C24" s="14">
        <v>0</v>
      </c>
      <c r="D24" s="14" t="s">
        <v>19035</v>
      </c>
      <c r="E24" s="14" t="s">
        <v>5573</v>
      </c>
      <c r="F24" s="14" t="s">
        <v>96</v>
      </c>
      <c r="G24" s="18" t="s">
        <v>16660</v>
      </c>
      <c r="H24" s="18" t="s">
        <v>98</v>
      </c>
      <c r="I24" s="14" t="s">
        <v>21993</v>
      </c>
      <c r="J24" s="14">
        <v>1</v>
      </c>
      <c r="K24" s="14">
        <v>0</v>
      </c>
      <c r="L24" s="14" t="s">
        <v>21994</v>
      </c>
      <c r="M24" s="19" t="s">
        <v>101</v>
      </c>
      <c r="N24" s="14" t="s">
        <v>21995</v>
      </c>
      <c r="O24" s="14" t="s">
        <v>21996</v>
      </c>
      <c r="P24" s="14" t="str">
        <f>HYPERLINK("https://dexscreener.com/solana/2hXcuLXuTe8u16XiKGijfMCWRAfCd9HV4b5QKFLypump", "View")</f>
        <v>View</v>
      </c>
    </row>
    <row r="25" spans="1:16" x14ac:dyDescent="0.25">
      <c r="A25" s="16" t="s">
        <v>21997</v>
      </c>
      <c r="B25" s="17">
        <v>2505356</v>
      </c>
      <c r="C25" s="17">
        <v>0</v>
      </c>
      <c r="D25" s="17" t="s">
        <v>19035</v>
      </c>
      <c r="E25" s="17" t="s">
        <v>12035</v>
      </c>
      <c r="F25" s="17" t="s">
        <v>96</v>
      </c>
      <c r="G25" s="18" t="s">
        <v>13631</v>
      </c>
      <c r="H25" s="18" t="s">
        <v>98</v>
      </c>
      <c r="I25" s="17" t="s">
        <v>21998</v>
      </c>
      <c r="J25" s="17">
        <v>1</v>
      </c>
      <c r="K25" s="17">
        <v>0</v>
      </c>
      <c r="L25" s="17" t="s">
        <v>21999</v>
      </c>
      <c r="M25" s="19" t="s">
        <v>101</v>
      </c>
      <c r="N25" s="17" t="s">
        <v>407</v>
      </c>
      <c r="O25" s="17" t="s">
        <v>22000</v>
      </c>
      <c r="P25" s="17" t="str">
        <f>HYPERLINK("https://photon-sol.tinyastro.io/en/lp/C6gSSAgnsKEG7UQqFiWhnQaaVZY7kYpfdS4o6hvWpump?handle=676050794bc1b1657a56b", "View")</f>
        <v>View</v>
      </c>
    </row>
    <row r="26" spans="1:16" x14ac:dyDescent="0.25">
      <c r="A26" s="13" t="s">
        <v>22001</v>
      </c>
      <c r="B26" s="14">
        <v>1354101</v>
      </c>
      <c r="C26" s="14">
        <v>0</v>
      </c>
      <c r="D26" s="14" t="s">
        <v>19035</v>
      </c>
      <c r="E26" s="14" t="s">
        <v>5573</v>
      </c>
      <c r="F26" s="14" t="s">
        <v>96</v>
      </c>
      <c r="G26" s="18" t="s">
        <v>16660</v>
      </c>
      <c r="H26" s="18" t="s">
        <v>98</v>
      </c>
      <c r="I26" s="14" t="s">
        <v>22002</v>
      </c>
      <c r="J26" s="14">
        <v>1</v>
      </c>
      <c r="K26" s="14">
        <v>0</v>
      </c>
      <c r="L26" s="14" t="s">
        <v>22003</v>
      </c>
      <c r="M26" s="19" t="s">
        <v>101</v>
      </c>
      <c r="N26" s="14" t="s">
        <v>11294</v>
      </c>
      <c r="O26" s="14" t="s">
        <v>22004</v>
      </c>
      <c r="P26" s="14" t="str">
        <f>HYPERLINK("https://dexscreener.com/solana/HhSRJUqq9jvdw8BjYBMxpEmyTxtr1ze1NGLTuvPNpump", "View")</f>
        <v>View</v>
      </c>
    </row>
    <row r="27" spans="1:16" x14ac:dyDescent="0.25">
      <c r="A27" s="16" t="s">
        <v>6178</v>
      </c>
      <c r="B27" s="17">
        <v>376418</v>
      </c>
      <c r="C27" s="17">
        <v>0</v>
      </c>
      <c r="D27" s="17" t="s">
        <v>19035</v>
      </c>
      <c r="E27" s="17" t="s">
        <v>5573</v>
      </c>
      <c r="F27" s="17" t="s">
        <v>96</v>
      </c>
      <c r="G27" s="18" t="s">
        <v>16660</v>
      </c>
      <c r="H27" s="18" t="s">
        <v>98</v>
      </c>
      <c r="I27" s="17" t="s">
        <v>22005</v>
      </c>
      <c r="J27" s="17">
        <v>1</v>
      </c>
      <c r="K27" s="17">
        <v>0</v>
      </c>
      <c r="L27" s="17" t="s">
        <v>22006</v>
      </c>
      <c r="M27" s="19" t="s">
        <v>101</v>
      </c>
      <c r="N27" s="17" t="s">
        <v>544</v>
      </c>
      <c r="O27" s="17" t="s">
        <v>18195</v>
      </c>
      <c r="P27" s="17" t="str">
        <f>HYPERLINK("https://dexscreener.com/solana/7aJjN1NYcCoUeavKcDfY8rsGZXyF1RoYg9fDqtbepump", "View")</f>
        <v>View</v>
      </c>
    </row>
    <row r="28" spans="1:16" x14ac:dyDescent="0.25">
      <c r="A28" s="13" t="s">
        <v>21607</v>
      </c>
      <c r="B28" s="14">
        <v>552315</v>
      </c>
      <c r="C28" s="14">
        <v>0</v>
      </c>
      <c r="D28" s="14" t="s">
        <v>19035</v>
      </c>
      <c r="E28" s="14" t="s">
        <v>5573</v>
      </c>
      <c r="F28" s="14" t="s">
        <v>96</v>
      </c>
      <c r="G28" s="18" t="s">
        <v>16660</v>
      </c>
      <c r="H28" s="18" t="s">
        <v>98</v>
      </c>
      <c r="I28" s="14" t="s">
        <v>22007</v>
      </c>
      <c r="J28" s="14">
        <v>1</v>
      </c>
      <c r="K28" s="14">
        <v>0</v>
      </c>
      <c r="L28" s="14" t="s">
        <v>22008</v>
      </c>
      <c r="M28" s="19" t="s">
        <v>101</v>
      </c>
      <c r="N28" s="14" t="s">
        <v>18497</v>
      </c>
      <c r="O28" s="14" t="s">
        <v>21613</v>
      </c>
      <c r="P28" s="14" t="str">
        <f>HYPERLINK("https://dexscreener.com/solana/6AgVRn4XTq8Pdw48otNhB1wju32xENzj5eLdrXAtpump", "View")</f>
        <v>View</v>
      </c>
    </row>
    <row r="29" spans="1:16" x14ac:dyDescent="0.25">
      <c r="A29" s="16" t="s">
        <v>2995</v>
      </c>
      <c r="B29" s="17">
        <v>1906234</v>
      </c>
      <c r="C29" s="17">
        <v>0</v>
      </c>
      <c r="D29" s="17" t="s">
        <v>1281</v>
      </c>
      <c r="E29" s="17" t="s">
        <v>1007</v>
      </c>
      <c r="F29" s="17" t="s">
        <v>96</v>
      </c>
      <c r="G29" s="18" t="s">
        <v>1008</v>
      </c>
      <c r="H29" s="18" t="s">
        <v>98</v>
      </c>
      <c r="I29" s="17" t="s">
        <v>22009</v>
      </c>
      <c r="J29" s="17">
        <v>1</v>
      </c>
      <c r="K29" s="17">
        <v>0</v>
      </c>
      <c r="L29" s="17" t="s">
        <v>22010</v>
      </c>
      <c r="M29" s="19" t="s">
        <v>101</v>
      </c>
      <c r="N29" s="17" t="s">
        <v>22011</v>
      </c>
      <c r="O29" s="17" t="s">
        <v>3002</v>
      </c>
      <c r="P29" s="17" t="str">
        <f>HYPERLINK("https://dexscreener.com/solana/8r8xXP3eHgn19HYRX9Qe2AzSaSXrWCj6URAmFpvUpump", "View")</f>
        <v>View</v>
      </c>
    </row>
    <row r="30" spans="1:16" x14ac:dyDescent="0.25">
      <c r="A30" s="13" t="s">
        <v>22012</v>
      </c>
      <c r="B30" s="14">
        <v>225442</v>
      </c>
      <c r="C30" s="14">
        <v>0</v>
      </c>
      <c r="D30" s="14" t="s">
        <v>20588</v>
      </c>
      <c r="E30" s="14" t="s">
        <v>5573</v>
      </c>
      <c r="F30" s="14" t="s">
        <v>96</v>
      </c>
      <c r="G30" s="18" t="s">
        <v>22013</v>
      </c>
      <c r="H30" s="18" t="s">
        <v>98</v>
      </c>
      <c r="I30" s="14" t="s">
        <v>22014</v>
      </c>
      <c r="J30" s="14">
        <v>1</v>
      </c>
      <c r="K30" s="14">
        <v>0</v>
      </c>
      <c r="L30" s="14" t="s">
        <v>22015</v>
      </c>
      <c r="M30" s="19" t="s">
        <v>101</v>
      </c>
      <c r="N30" s="14" t="s">
        <v>22016</v>
      </c>
      <c r="O30" s="14" t="s">
        <v>22017</v>
      </c>
      <c r="P30" s="14" t="str">
        <f>HYPERLINK("https://dexscreener.com/solana/62QyG6oudoTb4kMyfZKzz3TmSgEaq6aMrW7Hd2wXpump", "View")</f>
        <v>View</v>
      </c>
    </row>
    <row r="31" spans="1:16" x14ac:dyDescent="0.25">
      <c r="A31" s="16" t="s">
        <v>21306</v>
      </c>
      <c r="B31" s="17">
        <v>878661</v>
      </c>
      <c r="C31" s="17">
        <v>0</v>
      </c>
      <c r="D31" s="17" t="s">
        <v>19035</v>
      </c>
      <c r="E31" s="17" t="s">
        <v>11734</v>
      </c>
      <c r="F31" s="17" t="s">
        <v>96</v>
      </c>
      <c r="G31" s="18" t="s">
        <v>3898</v>
      </c>
      <c r="H31" s="18" t="s">
        <v>98</v>
      </c>
      <c r="I31" s="17" t="s">
        <v>22018</v>
      </c>
      <c r="J31" s="17">
        <v>1</v>
      </c>
      <c r="K31" s="17">
        <v>0</v>
      </c>
      <c r="L31" s="17" t="s">
        <v>22019</v>
      </c>
      <c r="M31" s="19" t="s">
        <v>101</v>
      </c>
      <c r="N31" s="17" t="s">
        <v>9985</v>
      </c>
      <c r="O31" s="17" t="s">
        <v>21313</v>
      </c>
      <c r="P31" s="17" t="str">
        <f>HYPERLINK("https://photon-sol.tinyastro.io/en/lp/CWiBWhGfbe1en8cBcgSP5wbPDtjMyxUFgftTJ4B3pump?handle=676050794bc1b1657a56b", "View")</f>
        <v>View</v>
      </c>
    </row>
    <row r="32" spans="1:16" x14ac:dyDescent="0.25">
      <c r="A32" s="13" t="s">
        <v>22020</v>
      </c>
      <c r="B32" s="14">
        <v>2702265</v>
      </c>
      <c r="C32" s="14">
        <v>0</v>
      </c>
      <c r="D32" s="14" t="s">
        <v>19035</v>
      </c>
      <c r="E32" s="14" t="s">
        <v>16246</v>
      </c>
      <c r="F32" s="14" t="s">
        <v>96</v>
      </c>
      <c r="G32" s="18" t="s">
        <v>3707</v>
      </c>
      <c r="H32" s="18" t="s">
        <v>98</v>
      </c>
      <c r="I32" s="14" t="s">
        <v>22021</v>
      </c>
      <c r="J32" s="14">
        <v>1</v>
      </c>
      <c r="K32" s="14">
        <v>0</v>
      </c>
      <c r="L32" s="14" t="s">
        <v>22022</v>
      </c>
      <c r="M32" s="19" t="s">
        <v>101</v>
      </c>
      <c r="N32" s="14" t="s">
        <v>1393</v>
      </c>
      <c r="O32" s="14" t="s">
        <v>22023</v>
      </c>
      <c r="P32" s="14" t="str">
        <f>HYPERLINK("https://photon-sol.tinyastro.io/en/lp/AoXoZehv1C8gj1vzkonFprH4PNnnY3MmZJvEf2xTpump?handle=676050794bc1b1657a56b", "View")</f>
        <v>View</v>
      </c>
    </row>
    <row r="33" spans="1:16" x14ac:dyDescent="0.25">
      <c r="A33" s="16" t="s">
        <v>22024</v>
      </c>
      <c r="B33" s="17">
        <v>918428</v>
      </c>
      <c r="C33" s="17">
        <v>229607</v>
      </c>
      <c r="D33" s="17" t="s">
        <v>21976</v>
      </c>
      <c r="E33" s="17" t="s">
        <v>5573</v>
      </c>
      <c r="F33" s="17" t="s">
        <v>11780</v>
      </c>
      <c r="G33" s="20" t="s">
        <v>4134</v>
      </c>
      <c r="H33" s="20" t="s">
        <v>20023</v>
      </c>
      <c r="I33" s="17" t="s">
        <v>88</v>
      </c>
      <c r="J33" s="17">
        <v>1</v>
      </c>
      <c r="K33" s="17">
        <v>1</v>
      </c>
      <c r="L33" s="17" t="s">
        <v>22025</v>
      </c>
      <c r="M33" s="17" t="s">
        <v>3180</v>
      </c>
      <c r="N33" s="17" t="s">
        <v>22026</v>
      </c>
      <c r="O33" s="17" t="s">
        <v>22027</v>
      </c>
      <c r="P33" s="17" t="str">
        <f>HYPERLINK("https://dexscreener.com/solana/55mboDZnLzV5uFsH8egLcW2Q6Yh5UUeM86DndJcbpump", "View")</f>
        <v>View</v>
      </c>
    </row>
    <row r="34" spans="1:16" x14ac:dyDescent="0.25">
      <c r="A34" s="13" t="s">
        <v>20863</v>
      </c>
      <c r="B34" s="14">
        <v>5209099</v>
      </c>
      <c r="C34" s="14">
        <v>0</v>
      </c>
      <c r="D34" s="14" t="s">
        <v>19035</v>
      </c>
      <c r="E34" s="14" t="s">
        <v>16246</v>
      </c>
      <c r="F34" s="14" t="s">
        <v>96</v>
      </c>
      <c r="G34" s="18" t="s">
        <v>3707</v>
      </c>
      <c r="H34" s="18" t="s">
        <v>98</v>
      </c>
      <c r="I34" s="14" t="s">
        <v>22028</v>
      </c>
      <c r="J34" s="14">
        <v>1</v>
      </c>
      <c r="K34" s="14">
        <v>0</v>
      </c>
      <c r="L34" s="14" t="s">
        <v>22029</v>
      </c>
      <c r="M34" s="19" t="s">
        <v>101</v>
      </c>
      <c r="N34" s="14" t="s">
        <v>1980</v>
      </c>
      <c r="O34" s="14" t="s">
        <v>20868</v>
      </c>
      <c r="P34" s="14" t="str">
        <f>HYPERLINK("https://photon-sol.tinyastro.io/en/lp/7B8m1uatMnx1mkx2WMXGWyH3Wc6egbCbtEgarHbvpump?handle=676050794bc1b1657a56b", "View")</f>
        <v>View</v>
      </c>
    </row>
    <row r="35" spans="1:16" x14ac:dyDescent="0.25">
      <c r="A35" s="16" t="s">
        <v>2602</v>
      </c>
      <c r="B35" s="17">
        <v>1528276</v>
      </c>
      <c r="C35" s="17">
        <v>0</v>
      </c>
      <c r="D35" s="17" t="s">
        <v>19035</v>
      </c>
      <c r="E35" s="17" t="s">
        <v>5573</v>
      </c>
      <c r="F35" s="17" t="s">
        <v>96</v>
      </c>
      <c r="G35" s="18" t="s">
        <v>16660</v>
      </c>
      <c r="H35" s="18" t="s">
        <v>98</v>
      </c>
      <c r="I35" s="17" t="s">
        <v>22030</v>
      </c>
      <c r="J35" s="17">
        <v>1</v>
      </c>
      <c r="K35" s="17">
        <v>0</v>
      </c>
      <c r="L35" s="17" t="s">
        <v>22031</v>
      </c>
      <c r="M35" s="19" t="s">
        <v>101</v>
      </c>
      <c r="N35" s="17" t="s">
        <v>22032</v>
      </c>
      <c r="O35" s="17" t="s">
        <v>22033</v>
      </c>
      <c r="P35" s="17" t="str">
        <f>HYPERLINK("https://dexscreener.com/solana/7KXJouu7ET4CLiBEd83RpuUGPhWgsHNsSRr5WFCgpump", "View")</f>
        <v>View</v>
      </c>
    </row>
    <row r="36" spans="1:16" x14ac:dyDescent="0.25">
      <c r="A36" s="13" t="s">
        <v>22034</v>
      </c>
      <c r="B36" s="14">
        <v>5510288</v>
      </c>
      <c r="C36" s="14">
        <v>0</v>
      </c>
      <c r="D36" s="14" t="s">
        <v>19035</v>
      </c>
      <c r="E36" s="14" t="s">
        <v>16246</v>
      </c>
      <c r="F36" s="14" t="s">
        <v>96</v>
      </c>
      <c r="G36" s="18" t="s">
        <v>3707</v>
      </c>
      <c r="H36" s="18" t="s">
        <v>98</v>
      </c>
      <c r="I36" s="14" t="s">
        <v>22035</v>
      </c>
      <c r="J36" s="14">
        <v>1</v>
      </c>
      <c r="K36" s="14">
        <v>0</v>
      </c>
      <c r="L36" s="14" t="s">
        <v>22036</v>
      </c>
      <c r="M36" s="19" t="s">
        <v>101</v>
      </c>
      <c r="N36" s="14" t="s">
        <v>1980</v>
      </c>
      <c r="O36" s="14" t="s">
        <v>22037</v>
      </c>
      <c r="P36" s="14" t="str">
        <f>HYPERLINK("https://photon-sol.tinyastro.io/en/lp/3U1DEtCMjmAr19UJaAFDj6NLqua5SQoGMaVGZHTipump?handle=676050794bc1b1657a56b", "View")</f>
        <v>View</v>
      </c>
    </row>
    <row r="37" spans="1:16" x14ac:dyDescent="0.25">
      <c r="A37" s="16" t="s">
        <v>2495</v>
      </c>
      <c r="B37" s="17">
        <v>1095259</v>
      </c>
      <c r="C37" s="17">
        <v>0</v>
      </c>
      <c r="D37" s="17" t="s">
        <v>19035</v>
      </c>
      <c r="E37" s="17" t="s">
        <v>5573</v>
      </c>
      <c r="F37" s="17" t="s">
        <v>96</v>
      </c>
      <c r="G37" s="18" t="s">
        <v>16660</v>
      </c>
      <c r="H37" s="18" t="s">
        <v>98</v>
      </c>
      <c r="I37" s="17" t="s">
        <v>22038</v>
      </c>
      <c r="J37" s="17">
        <v>1</v>
      </c>
      <c r="K37" s="17">
        <v>0</v>
      </c>
      <c r="L37" s="17" t="s">
        <v>239</v>
      </c>
      <c r="M37" s="19" t="s">
        <v>101</v>
      </c>
      <c r="N37" s="17" t="s">
        <v>22039</v>
      </c>
      <c r="O37" s="17" t="s">
        <v>2503</v>
      </c>
      <c r="P37" s="17" t="str">
        <f>HYPERLINK("https://dexscreener.com/solana/7L15Afew6rL2ujRgvfYgPTpLKqBPjrQkh7nNzyrhpump", "View")</f>
        <v>View</v>
      </c>
    </row>
    <row r="38" spans="1:16" x14ac:dyDescent="0.25">
      <c r="A38" s="13" t="s">
        <v>4862</v>
      </c>
      <c r="B38" s="14">
        <v>698084</v>
      </c>
      <c r="C38" s="14">
        <v>0</v>
      </c>
      <c r="D38" s="14" t="s">
        <v>19035</v>
      </c>
      <c r="E38" s="14" t="s">
        <v>5573</v>
      </c>
      <c r="F38" s="14" t="s">
        <v>96</v>
      </c>
      <c r="G38" s="18" t="s">
        <v>16660</v>
      </c>
      <c r="H38" s="18" t="s">
        <v>98</v>
      </c>
      <c r="I38" s="14" t="s">
        <v>22040</v>
      </c>
      <c r="J38" s="14">
        <v>1</v>
      </c>
      <c r="K38" s="14">
        <v>0</v>
      </c>
      <c r="L38" s="14" t="s">
        <v>22041</v>
      </c>
      <c r="M38" s="19" t="s">
        <v>101</v>
      </c>
      <c r="N38" s="14" t="s">
        <v>5105</v>
      </c>
      <c r="O38" s="14" t="s">
        <v>4866</v>
      </c>
      <c r="P38" s="14" t="str">
        <f>HYPERLINK("https://dexscreener.com/solana/5JyTUrL9ZBvyA1dwUSw9XLZwkDLFjFHfm1ghVd9Vpump", "View")</f>
        <v>View</v>
      </c>
    </row>
    <row r="39" spans="1:16" x14ac:dyDescent="0.25">
      <c r="A39" s="16" t="s">
        <v>22042</v>
      </c>
      <c r="B39" s="17">
        <v>1974535</v>
      </c>
      <c r="C39" s="17">
        <v>0</v>
      </c>
      <c r="D39" s="17" t="s">
        <v>19035</v>
      </c>
      <c r="E39" s="17" t="s">
        <v>16246</v>
      </c>
      <c r="F39" s="17" t="s">
        <v>96</v>
      </c>
      <c r="G39" s="18" t="s">
        <v>3707</v>
      </c>
      <c r="H39" s="18" t="s">
        <v>98</v>
      </c>
      <c r="I39" s="17" t="s">
        <v>22043</v>
      </c>
      <c r="J39" s="17">
        <v>1</v>
      </c>
      <c r="K39" s="17">
        <v>0</v>
      </c>
      <c r="L39" s="17" t="s">
        <v>22044</v>
      </c>
      <c r="M39" s="19" t="s">
        <v>101</v>
      </c>
      <c r="N39" s="17" t="s">
        <v>880</v>
      </c>
      <c r="O39" s="17" t="s">
        <v>22045</v>
      </c>
      <c r="P39" s="17" t="str">
        <f>HYPERLINK("https://photon-sol.tinyastro.io/en/lp/5KyQyikL7TGGCHmSihcYV94tnQVCZFCTX7VzJULQpump?handle=676050794bc1b1657a56b", "View")</f>
        <v>View</v>
      </c>
    </row>
    <row r="40" spans="1:16" x14ac:dyDescent="0.25">
      <c r="A40" s="13" t="s">
        <v>22046</v>
      </c>
      <c r="B40" s="14">
        <v>1475078</v>
      </c>
      <c r="C40" s="14">
        <v>0</v>
      </c>
      <c r="D40" s="14" t="s">
        <v>19035</v>
      </c>
      <c r="E40" s="14" t="s">
        <v>16246</v>
      </c>
      <c r="F40" s="14" t="s">
        <v>96</v>
      </c>
      <c r="G40" s="18" t="s">
        <v>3707</v>
      </c>
      <c r="H40" s="18" t="s">
        <v>98</v>
      </c>
      <c r="I40" s="14" t="s">
        <v>22047</v>
      </c>
      <c r="J40" s="14">
        <v>1</v>
      </c>
      <c r="K40" s="14">
        <v>0</v>
      </c>
      <c r="L40" s="14" t="s">
        <v>22048</v>
      </c>
      <c r="M40" s="19" t="s">
        <v>101</v>
      </c>
      <c r="N40" s="14" t="s">
        <v>1541</v>
      </c>
      <c r="O40" s="14" t="s">
        <v>22049</v>
      </c>
      <c r="P40" s="14" t="str">
        <f>HYPERLINK("https://photon-sol.tinyastro.io/en/lp/257hednrE9gv9VbZqdsvg3mecbfxH2umhh4mT6sxpump?handle=676050794bc1b1657a56b", "View")</f>
        <v>View</v>
      </c>
    </row>
    <row r="41" spans="1:16" x14ac:dyDescent="0.25">
      <c r="A41" s="16" t="s">
        <v>11284</v>
      </c>
      <c r="B41" s="17">
        <v>1208414</v>
      </c>
      <c r="C41" s="17">
        <v>0</v>
      </c>
      <c r="D41" s="17" t="s">
        <v>19035</v>
      </c>
      <c r="E41" s="17" t="s">
        <v>3563</v>
      </c>
      <c r="F41" s="17" t="s">
        <v>96</v>
      </c>
      <c r="G41" s="18" t="s">
        <v>16920</v>
      </c>
      <c r="H41" s="18" t="s">
        <v>98</v>
      </c>
      <c r="I41" s="17" t="s">
        <v>22050</v>
      </c>
      <c r="J41" s="17">
        <v>1</v>
      </c>
      <c r="K41" s="17">
        <v>0</v>
      </c>
      <c r="L41" s="17" t="s">
        <v>22051</v>
      </c>
      <c r="M41" s="19" t="s">
        <v>101</v>
      </c>
      <c r="N41" s="17" t="s">
        <v>11294</v>
      </c>
      <c r="O41" s="17" t="s">
        <v>11287</v>
      </c>
      <c r="P41" s="17" t="str">
        <f>HYPERLINK("https://photon-sol.tinyastro.io/en/lp/D19eugvwXv4hfwRrciyt75rTwwk8cVfL5AmSdYqopump?handle=676050794bc1b1657a56b", "View")</f>
        <v>View</v>
      </c>
    </row>
    <row r="42" spans="1:16" x14ac:dyDescent="0.25">
      <c r="A42" s="13" t="s">
        <v>18253</v>
      </c>
      <c r="B42" s="14">
        <v>1991154</v>
      </c>
      <c r="C42" s="14">
        <v>0</v>
      </c>
      <c r="D42" s="14" t="s">
        <v>19035</v>
      </c>
      <c r="E42" s="14" t="s">
        <v>3706</v>
      </c>
      <c r="F42" s="14" t="s">
        <v>96</v>
      </c>
      <c r="G42" s="18" t="s">
        <v>22052</v>
      </c>
      <c r="H42" s="18" t="s">
        <v>98</v>
      </c>
      <c r="I42" s="14" t="s">
        <v>22053</v>
      </c>
      <c r="J42" s="14">
        <v>1</v>
      </c>
      <c r="K42" s="14">
        <v>0</v>
      </c>
      <c r="L42" s="14" t="s">
        <v>22054</v>
      </c>
      <c r="M42" s="19" t="s">
        <v>101</v>
      </c>
      <c r="N42" s="14" t="s">
        <v>16939</v>
      </c>
      <c r="O42" s="14" t="s">
        <v>18256</v>
      </c>
      <c r="P42" s="14" t="str">
        <f>HYPERLINK("https://photon-sol.tinyastro.io/en/lp/9WMEaYeaWTHB3HZD2dPocwD3c7wtw3tgtBSdZcEcpump?handle=676050794bc1b1657a56b", "View")</f>
        <v>View</v>
      </c>
    </row>
    <row r="43" spans="1:16" x14ac:dyDescent="0.25">
      <c r="A43" s="16" t="s">
        <v>22055</v>
      </c>
      <c r="B43" s="17">
        <v>1580001</v>
      </c>
      <c r="C43" s="17">
        <v>0</v>
      </c>
      <c r="D43" s="17" t="s">
        <v>19035</v>
      </c>
      <c r="E43" s="17" t="s">
        <v>3912</v>
      </c>
      <c r="F43" s="17" t="s">
        <v>96</v>
      </c>
      <c r="G43" s="18" t="s">
        <v>16715</v>
      </c>
      <c r="H43" s="18" t="s">
        <v>98</v>
      </c>
      <c r="I43" s="17" t="s">
        <v>22056</v>
      </c>
      <c r="J43" s="17">
        <v>1</v>
      </c>
      <c r="K43" s="17">
        <v>0</v>
      </c>
      <c r="L43" s="17" t="s">
        <v>22057</v>
      </c>
      <c r="M43" s="19" t="s">
        <v>101</v>
      </c>
      <c r="N43" s="17" t="s">
        <v>5709</v>
      </c>
      <c r="O43" s="17" t="s">
        <v>22058</v>
      </c>
      <c r="P43" s="17" t="str">
        <f>HYPERLINK("https://photon-sol.tinyastro.io/en/lp/DK9sTJuCmgV6N3GVqM2CkDCtMj4TTuYVk5rt1WN4pump?handle=676050794bc1b1657a56b", "View")</f>
        <v>View</v>
      </c>
    </row>
    <row r="44" spans="1:16" x14ac:dyDescent="0.25">
      <c r="A44" s="13" t="s">
        <v>22059</v>
      </c>
      <c r="B44" s="14">
        <v>2598077</v>
      </c>
      <c r="C44" s="14">
        <v>0</v>
      </c>
      <c r="D44" s="14" t="s">
        <v>20588</v>
      </c>
      <c r="E44" s="14" t="s">
        <v>3771</v>
      </c>
      <c r="F44" s="14" t="s">
        <v>96</v>
      </c>
      <c r="G44" s="18" t="s">
        <v>22060</v>
      </c>
      <c r="H44" s="18" t="s">
        <v>98</v>
      </c>
      <c r="I44" s="14" t="s">
        <v>22061</v>
      </c>
      <c r="J44" s="14">
        <v>1</v>
      </c>
      <c r="K44" s="14">
        <v>0</v>
      </c>
      <c r="L44" s="14" t="s">
        <v>22062</v>
      </c>
      <c r="M44" s="19" t="s">
        <v>101</v>
      </c>
      <c r="N44" s="14" t="s">
        <v>591</v>
      </c>
      <c r="O44" s="14" t="s">
        <v>22063</v>
      </c>
      <c r="P44" s="14" t="str">
        <f>HYPERLINK("https://photon-sol.tinyastro.io/en/lp/8cjP3RWLkMgYZDHebuKChRvBPTYkYAo39Xv8dQGDpump?handle=676050794bc1b1657a56b", "View")</f>
        <v>View</v>
      </c>
    </row>
    <row r="45" spans="1:16" x14ac:dyDescent="0.25">
      <c r="A45" s="16" t="s">
        <v>22064</v>
      </c>
      <c r="B45" s="17">
        <v>1398057</v>
      </c>
      <c r="C45" s="17">
        <v>1398057</v>
      </c>
      <c r="D45" s="17" t="s">
        <v>9292</v>
      </c>
      <c r="E45" s="17" t="s">
        <v>2200</v>
      </c>
      <c r="F45" s="17" t="s">
        <v>2220</v>
      </c>
      <c r="G45" s="20" t="s">
        <v>3453</v>
      </c>
      <c r="H45" s="20" t="s">
        <v>22065</v>
      </c>
      <c r="I45" s="17" t="s">
        <v>88</v>
      </c>
      <c r="J45" s="17">
        <v>1</v>
      </c>
      <c r="K45" s="17">
        <v>1</v>
      </c>
      <c r="L45" s="17" t="s">
        <v>22066</v>
      </c>
      <c r="M45" s="17" t="s">
        <v>1705</v>
      </c>
      <c r="N45" s="17" t="s">
        <v>22067</v>
      </c>
      <c r="O45" s="17" t="s">
        <v>22068</v>
      </c>
      <c r="P45" s="17" t="str">
        <f>HYPERLINK("https://dexscreener.com/solana/Ho6DXgPrzKyniNEhcfrqG7zX76Hq9QVfUKERzJvu8dCe", "View")</f>
        <v>View</v>
      </c>
    </row>
    <row r="46" spans="1:16" x14ac:dyDescent="0.25">
      <c r="A46" s="13" t="s">
        <v>22069</v>
      </c>
      <c r="B46" s="14">
        <v>7463212</v>
      </c>
      <c r="C46" s="14">
        <v>0</v>
      </c>
      <c r="D46" s="14" t="s">
        <v>20588</v>
      </c>
      <c r="E46" s="14" t="s">
        <v>22070</v>
      </c>
      <c r="F46" s="14" t="s">
        <v>96</v>
      </c>
      <c r="G46" s="18" t="s">
        <v>14787</v>
      </c>
      <c r="H46" s="18" t="s">
        <v>98</v>
      </c>
      <c r="I46" s="14" t="s">
        <v>22071</v>
      </c>
      <c r="J46" s="14">
        <v>1</v>
      </c>
      <c r="K46" s="14">
        <v>0</v>
      </c>
      <c r="L46" s="14" t="s">
        <v>22072</v>
      </c>
      <c r="M46" s="19" t="s">
        <v>101</v>
      </c>
      <c r="N46" s="14" t="s">
        <v>22073</v>
      </c>
      <c r="O46" s="14" t="s">
        <v>22074</v>
      </c>
      <c r="P46" s="14" t="str">
        <f>HYPERLINK("https://photon-sol.tinyastro.io/en/lp/GNqX7whjU4kq5Rwyb18ow13ZSZFHFrUFTQotwxpzpump?handle=676050794bc1b1657a56b", "View")</f>
        <v>View</v>
      </c>
    </row>
    <row r="47" spans="1:16" x14ac:dyDescent="0.25">
      <c r="A47" s="16" t="s">
        <v>22075</v>
      </c>
      <c r="B47" s="17">
        <v>5749731</v>
      </c>
      <c r="C47" s="17">
        <v>2874866</v>
      </c>
      <c r="D47" s="17" t="s">
        <v>21976</v>
      </c>
      <c r="E47" s="17" t="s">
        <v>3350</v>
      </c>
      <c r="F47" s="17" t="s">
        <v>22076</v>
      </c>
      <c r="G47" s="22" t="s">
        <v>10641</v>
      </c>
      <c r="H47" s="22" t="s">
        <v>22077</v>
      </c>
      <c r="I47" s="17" t="s">
        <v>88</v>
      </c>
      <c r="J47" s="17">
        <v>1</v>
      </c>
      <c r="K47" s="17">
        <v>1</v>
      </c>
      <c r="L47" s="17" t="s">
        <v>22078</v>
      </c>
      <c r="M47" s="17" t="s">
        <v>179</v>
      </c>
      <c r="N47" s="17" t="s">
        <v>2763</v>
      </c>
      <c r="O47" s="17" t="s">
        <v>22079</v>
      </c>
      <c r="P47" s="17" t="str">
        <f>HYPERLINK("https://photon-sol.tinyastro.io/en/lp/8yh3WbFkiMQrLeesWMcuqWbvgjkHkyzQY1SMgTSWpump?handle=676050794bc1b1657a56b", "View")</f>
        <v>View</v>
      </c>
    </row>
    <row r="48" spans="1:16" x14ac:dyDescent="0.25">
      <c r="A48" s="13" t="s">
        <v>22080</v>
      </c>
      <c r="B48" s="14">
        <v>9718740</v>
      </c>
      <c r="C48" s="14">
        <v>4859370</v>
      </c>
      <c r="D48" s="14" t="s">
        <v>9292</v>
      </c>
      <c r="E48" s="14" t="s">
        <v>3489</v>
      </c>
      <c r="F48" s="14" t="s">
        <v>22081</v>
      </c>
      <c r="G48" s="20" t="s">
        <v>22082</v>
      </c>
      <c r="H48" s="20" t="s">
        <v>22083</v>
      </c>
      <c r="I48" s="14" t="s">
        <v>88</v>
      </c>
      <c r="J48" s="14">
        <v>1</v>
      </c>
      <c r="K48" s="14">
        <v>1</v>
      </c>
      <c r="L48" s="14" t="s">
        <v>22084</v>
      </c>
      <c r="M48" s="14" t="s">
        <v>1434</v>
      </c>
      <c r="N48" s="14" t="s">
        <v>22085</v>
      </c>
      <c r="O48" s="14" t="s">
        <v>22086</v>
      </c>
      <c r="P48" s="14" t="str">
        <f>HYPERLINK("https://photon-sol.tinyastro.io/en/lp/7hrj9SBDLVjmidN8tdL8JfPAqmiw9uW2J4Hhdskdpump?handle=676050794bc1b1657a56b", "View")</f>
        <v>View</v>
      </c>
    </row>
    <row r="49" spans="1:16" x14ac:dyDescent="0.25">
      <c r="A49" s="16" t="s">
        <v>22087</v>
      </c>
      <c r="B49" s="17">
        <v>3456567</v>
      </c>
      <c r="C49" s="17">
        <v>3456567</v>
      </c>
      <c r="D49" s="17" t="s">
        <v>12557</v>
      </c>
      <c r="E49" s="17" t="s">
        <v>3489</v>
      </c>
      <c r="F49" s="17" t="s">
        <v>22088</v>
      </c>
      <c r="G49" s="21" t="s">
        <v>22089</v>
      </c>
      <c r="H49" s="21" t="s">
        <v>22090</v>
      </c>
      <c r="I49" s="17" t="s">
        <v>88</v>
      </c>
      <c r="J49" s="17">
        <v>1</v>
      </c>
      <c r="K49" s="17">
        <v>5</v>
      </c>
      <c r="L49" s="17" t="s">
        <v>22091</v>
      </c>
      <c r="M49" s="17" t="s">
        <v>4297</v>
      </c>
      <c r="N49" s="17" t="s">
        <v>22092</v>
      </c>
      <c r="O49" s="17" t="s">
        <v>22093</v>
      </c>
      <c r="P49" s="17" t="str">
        <f>HYPERLINK("https://photon-sol.tinyastro.io/en/lp/GZv3qcCmBXtdcwCe4j5ZrsRexxMbRLJdtv1dWXKZpump?handle=676050794bc1b1657a56b", "View")</f>
        <v>View</v>
      </c>
    </row>
    <row r="50" spans="1:16" x14ac:dyDescent="0.25">
      <c r="A50" s="13" t="s">
        <v>6580</v>
      </c>
      <c r="B50" s="14">
        <v>8192188</v>
      </c>
      <c r="C50" s="14">
        <v>0</v>
      </c>
      <c r="D50" s="14" t="s">
        <v>19035</v>
      </c>
      <c r="E50" s="14" t="s">
        <v>3495</v>
      </c>
      <c r="F50" s="14" t="s">
        <v>96</v>
      </c>
      <c r="G50" s="18" t="s">
        <v>22094</v>
      </c>
      <c r="H50" s="18" t="s">
        <v>98</v>
      </c>
      <c r="I50" s="14" t="s">
        <v>22095</v>
      </c>
      <c r="J50" s="14">
        <v>1</v>
      </c>
      <c r="K50" s="14">
        <v>0</v>
      </c>
      <c r="L50" s="14" t="s">
        <v>22096</v>
      </c>
      <c r="M50" s="19" t="s">
        <v>101</v>
      </c>
      <c r="N50" s="14" t="s">
        <v>1980</v>
      </c>
      <c r="O50" s="14" t="s">
        <v>22097</v>
      </c>
      <c r="P50" s="14" t="str">
        <f>HYPERLINK("https://photon-sol.tinyastro.io/en/lp/GAuM7vQ4DHKkVRyHMGirikiX9GdbkLSkt9a23iPigxrj?handle=676050794bc1b1657a56b", "View")</f>
        <v>View</v>
      </c>
    </row>
    <row r="51" spans="1:16" x14ac:dyDescent="0.25">
      <c r="A51" s="16" t="s">
        <v>22098</v>
      </c>
      <c r="B51" s="17">
        <v>10302291</v>
      </c>
      <c r="C51" s="17">
        <v>0</v>
      </c>
      <c r="D51" s="17" t="s">
        <v>19035</v>
      </c>
      <c r="E51" s="17" t="s">
        <v>2200</v>
      </c>
      <c r="F51" s="17" t="s">
        <v>96</v>
      </c>
      <c r="G51" s="18" t="s">
        <v>16753</v>
      </c>
      <c r="H51" s="18" t="s">
        <v>98</v>
      </c>
      <c r="I51" s="17" t="s">
        <v>22099</v>
      </c>
      <c r="J51" s="17">
        <v>1</v>
      </c>
      <c r="K51" s="17">
        <v>0</v>
      </c>
      <c r="L51" s="17" t="s">
        <v>22100</v>
      </c>
      <c r="M51" s="19" t="s">
        <v>101</v>
      </c>
      <c r="N51" s="17" t="s">
        <v>1980</v>
      </c>
      <c r="O51" s="17" t="s">
        <v>22101</v>
      </c>
      <c r="P51" s="17" t="str">
        <f>HYPERLINK("https://photon-sol.tinyastro.io/en/lp/Ek7oxnAeXivbhTSuPHKBhJg4VegpHbyTrHGCHAgeLrtp?handle=676050794bc1b1657a56b", "View")</f>
        <v>View</v>
      </c>
    </row>
    <row r="52" spans="1:16" x14ac:dyDescent="0.25">
      <c r="A52" s="13" t="s">
        <v>22102</v>
      </c>
      <c r="B52" s="14">
        <v>5923408</v>
      </c>
      <c r="C52" s="14">
        <v>5923408</v>
      </c>
      <c r="D52" s="14" t="s">
        <v>7514</v>
      </c>
      <c r="E52" s="14" t="s">
        <v>22103</v>
      </c>
      <c r="F52" s="14" t="s">
        <v>22104</v>
      </c>
      <c r="G52" s="20" t="s">
        <v>5364</v>
      </c>
      <c r="H52" s="20" t="s">
        <v>18107</v>
      </c>
      <c r="I52" s="14" t="s">
        <v>88</v>
      </c>
      <c r="J52" s="14">
        <v>1</v>
      </c>
      <c r="K52" s="14">
        <v>1</v>
      </c>
      <c r="L52" s="14" t="s">
        <v>22105</v>
      </c>
      <c r="M52" s="14" t="s">
        <v>1566</v>
      </c>
      <c r="N52" s="14" t="s">
        <v>5302</v>
      </c>
      <c r="O52" s="14" t="s">
        <v>22106</v>
      </c>
      <c r="P52" s="14" t="str">
        <f>HYPERLINK("https://photon-sol.tinyastro.io/en/lp/AhT65Hwc4tzGp3UvuZmvF9rPY5VKwPmqb7sRuKL5pump?handle=676050794bc1b1657a56b", "View")</f>
        <v>View</v>
      </c>
    </row>
    <row r="53" spans="1:16" x14ac:dyDescent="0.25">
      <c r="A53" s="16" t="s">
        <v>82</v>
      </c>
      <c r="B53" s="17">
        <v>4047991</v>
      </c>
      <c r="C53" s="17">
        <v>0</v>
      </c>
      <c r="D53" s="17" t="s">
        <v>19035</v>
      </c>
      <c r="E53" s="17" t="s">
        <v>10587</v>
      </c>
      <c r="F53" s="17" t="s">
        <v>96</v>
      </c>
      <c r="G53" s="18" t="s">
        <v>22107</v>
      </c>
      <c r="H53" s="18" t="s">
        <v>98</v>
      </c>
      <c r="I53" s="17" t="s">
        <v>22108</v>
      </c>
      <c r="J53" s="17">
        <v>1</v>
      </c>
      <c r="K53" s="17">
        <v>0</v>
      </c>
      <c r="L53" s="17" t="s">
        <v>22109</v>
      </c>
      <c r="M53" s="19" t="s">
        <v>101</v>
      </c>
      <c r="N53" s="17" t="s">
        <v>22110</v>
      </c>
      <c r="O53" s="17" t="s">
        <v>22111</v>
      </c>
      <c r="P53" s="17" t="str">
        <f>HYPERLINK("https://photon-sol.tinyastro.io/en/lp/DN5c7rUrvCWrTzMCWdurbEjoUpUSkcAab6QLZDurxV71?handle=676050794bc1b1657a56b", "View")</f>
        <v>View</v>
      </c>
    </row>
    <row r="54" spans="1:16" x14ac:dyDescent="0.25">
      <c r="A54" s="13" t="s">
        <v>22112</v>
      </c>
      <c r="B54" s="14">
        <v>3921122</v>
      </c>
      <c r="C54" s="14">
        <v>0</v>
      </c>
      <c r="D54" s="14" t="s">
        <v>19035</v>
      </c>
      <c r="E54" s="14" t="s">
        <v>11683</v>
      </c>
      <c r="F54" s="14" t="s">
        <v>96</v>
      </c>
      <c r="G54" s="18" t="s">
        <v>13186</v>
      </c>
      <c r="H54" s="18" t="s">
        <v>98</v>
      </c>
      <c r="I54" s="14" t="s">
        <v>22113</v>
      </c>
      <c r="J54" s="14">
        <v>1</v>
      </c>
      <c r="K54" s="14">
        <v>0</v>
      </c>
      <c r="L54" s="14" t="s">
        <v>22114</v>
      </c>
      <c r="M54" s="19" t="s">
        <v>101</v>
      </c>
      <c r="N54" s="14" t="s">
        <v>2411</v>
      </c>
      <c r="O54" s="14" t="s">
        <v>22115</v>
      </c>
      <c r="P54" s="14" t="str">
        <f>HYPERLINK("https://photon-sol.tinyastro.io/en/lp/4PG38vjJYPoh1LWCNYnyEEy8p1K8Ta4duz1PwxEj5EEb?handle=676050794bc1b1657a56b", "View")</f>
        <v>View</v>
      </c>
    </row>
    <row r="55" spans="1:16" x14ac:dyDescent="0.25">
      <c r="A55" s="16" t="s">
        <v>22116</v>
      </c>
      <c r="B55" s="17">
        <v>10253941</v>
      </c>
      <c r="C55" s="17">
        <v>0</v>
      </c>
      <c r="D55" s="17" t="s">
        <v>19035</v>
      </c>
      <c r="E55" s="17" t="s">
        <v>18030</v>
      </c>
      <c r="F55" s="17" t="s">
        <v>96</v>
      </c>
      <c r="G55" s="18" t="s">
        <v>22117</v>
      </c>
      <c r="H55" s="18" t="s">
        <v>98</v>
      </c>
      <c r="I55" s="17" t="s">
        <v>22118</v>
      </c>
      <c r="J55" s="17">
        <v>1</v>
      </c>
      <c r="K55" s="17">
        <v>0</v>
      </c>
      <c r="L55" s="17" t="s">
        <v>22119</v>
      </c>
      <c r="M55" s="19" t="s">
        <v>101</v>
      </c>
      <c r="N55" s="17" t="s">
        <v>1980</v>
      </c>
      <c r="O55" s="17" t="s">
        <v>22120</v>
      </c>
      <c r="P55" s="17" t="str">
        <f>HYPERLINK("https://photon-sol.tinyastro.io/en/lp/7J8z956mCy44jipd1Sm4UdYNVBYstH9HTkBU2jd1ABY4?handle=676050794bc1b1657a56b", "View")</f>
        <v>View</v>
      </c>
    </row>
    <row r="56" spans="1:16" x14ac:dyDescent="0.25">
      <c r="A56" s="13" t="s">
        <v>9562</v>
      </c>
      <c r="B56" s="14">
        <v>1067405</v>
      </c>
      <c r="C56" s="14">
        <v>1067405</v>
      </c>
      <c r="D56" s="14" t="s">
        <v>7514</v>
      </c>
      <c r="E56" s="14" t="s">
        <v>2200</v>
      </c>
      <c r="F56" s="14" t="s">
        <v>2966</v>
      </c>
      <c r="G56" s="20" t="s">
        <v>9602</v>
      </c>
      <c r="H56" s="20" t="s">
        <v>22121</v>
      </c>
      <c r="I56" s="14" t="s">
        <v>88</v>
      </c>
      <c r="J56" s="14">
        <v>1</v>
      </c>
      <c r="K56" s="14">
        <v>1</v>
      </c>
      <c r="L56" s="14" t="s">
        <v>22122</v>
      </c>
      <c r="M56" s="14" t="s">
        <v>1434</v>
      </c>
      <c r="N56" s="14" t="s">
        <v>22123</v>
      </c>
      <c r="O56" s="14" t="s">
        <v>9567</v>
      </c>
      <c r="P56" s="14" t="str">
        <f>HYPERLINK("https://dexscreener.com/solana/91xG2naB6sSnfL5xRuqtXyfk3nKA1mj4xvzMcbfEpump", "View")</f>
        <v>View</v>
      </c>
    </row>
    <row r="57" spans="1:16" x14ac:dyDescent="0.25">
      <c r="A57" s="16" t="s">
        <v>22124</v>
      </c>
      <c r="B57" s="17">
        <v>431157</v>
      </c>
      <c r="C57" s="17">
        <v>215578</v>
      </c>
      <c r="D57" s="17" t="s">
        <v>7514</v>
      </c>
      <c r="E57" s="17" t="s">
        <v>2200</v>
      </c>
      <c r="F57" s="17" t="s">
        <v>1298</v>
      </c>
      <c r="G57" s="20" t="s">
        <v>13902</v>
      </c>
      <c r="H57" s="20" t="s">
        <v>22125</v>
      </c>
      <c r="I57" s="17" t="s">
        <v>88</v>
      </c>
      <c r="J57" s="17">
        <v>1</v>
      </c>
      <c r="K57" s="17">
        <v>1</v>
      </c>
      <c r="L57" s="17" t="s">
        <v>22126</v>
      </c>
      <c r="M57" s="17" t="s">
        <v>3180</v>
      </c>
      <c r="N57" s="17" t="s">
        <v>22127</v>
      </c>
      <c r="O57" s="17" t="s">
        <v>22128</v>
      </c>
      <c r="P57" s="17" t="str">
        <f>HYPERLINK("https://dexscreener.com/solana/CVcAA5iKzvQg5yYrEFs3AoRWZZUgdpNKUEeyaUPpump", "View")</f>
        <v>View</v>
      </c>
    </row>
    <row r="58" spans="1:16" x14ac:dyDescent="0.25">
      <c r="A58" s="13" t="s">
        <v>22124</v>
      </c>
      <c r="B58" s="14">
        <v>1661309</v>
      </c>
      <c r="C58" s="14">
        <v>0</v>
      </c>
      <c r="D58" s="14" t="s">
        <v>20588</v>
      </c>
      <c r="E58" s="14" t="s">
        <v>2200</v>
      </c>
      <c r="F58" s="14" t="s">
        <v>96</v>
      </c>
      <c r="G58" s="18" t="s">
        <v>4688</v>
      </c>
      <c r="H58" s="18" t="s">
        <v>98</v>
      </c>
      <c r="I58" s="14" t="s">
        <v>22129</v>
      </c>
      <c r="J58" s="14">
        <v>1</v>
      </c>
      <c r="K58" s="14">
        <v>0</v>
      </c>
      <c r="L58" s="14" t="s">
        <v>22130</v>
      </c>
      <c r="M58" s="19" t="s">
        <v>101</v>
      </c>
      <c r="N58" s="14" t="s">
        <v>22131</v>
      </c>
      <c r="O58" s="14" t="s">
        <v>22132</v>
      </c>
      <c r="P58" s="14" t="str">
        <f>HYPERLINK("https://dexscreener.com/solana/5LHMBZNAxuZpqMCnrsZZoiJD2njvQssc44C1nB3i3na", "View")</f>
        <v>View</v>
      </c>
    </row>
    <row r="59" spans="1:16" x14ac:dyDescent="0.25">
      <c r="A59" s="16" t="s">
        <v>22133</v>
      </c>
      <c r="B59" s="17">
        <v>1179300</v>
      </c>
      <c r="C59" s="17">
        <v>0</v>
      </c>
      <c r="D59" s="17" t="s">
        <v>19035</v>
      </c>
      <c r="E59" s="17" t="s">
        <v>2200</v>
      </c>
      <c r="F59" s="17" t="s">
        <v>96</v>
      </c>
      <c r="G59" s="18" t="s">
        <v>16753</v>
      </c>
      <c r="H59" s="18" t="s">
        <v>98</v>
      </c>
      <c r="I59" s="17" t="s">
        <v>22134</v>
      </c>
      <c r="J59" s="17">
        <v>1</v>
      </c>
      <c r="K59" s="17">
        <v>0</v>
      </c>
      <c r="L59" s="17" t="s">
        <v>22135</v>
      </c>
      <c r="M59" s="19" t="s">
        <v>101</v>
      </c>
      <c r="N59" s="17" t="s">
        <v>10095</v>
      </c>
      <c r="O59" s="17" t="s">
        <v>22136</v>
      </c>
      <c r="P59" s="17" t="str">
        <f>HYPERLINK("https://dexscreener.com/solana/8oRZGPwTykqrqa7CRdJ9vN4koAkwsDUNKvFgQLZcpump", "View")</f>
        <v>View</v>
      </c>
    </row>
    <row r="60" spans="1:16" x14ac:dyDescent="0.25">
      <c r="A60" s="13" t="s">
        <v>22137</v>
      </c>
      <c r="B60" s="14">
        <v>16742271</v>
      </c>
      <c r="C60" s="14">
        <v>16742271</v>
      </c>
      <c r="D60" s="14" t="s">
        <v>7514</v>
      </c>
      <c r="E60" s="14" t="s">
        <v>3489</v>
      </c>
      <c r="F60" s="14" t="s">
        <v>22070</v>
      </c>
      <c r="G60" s="20" t="s">
        <v>3446</v>
      </c>
      <c r="H60" s="20" t="s">
        <v>20813</v>
      </c>
      <c r="I60" s="14" t="s">
        <v>88</v>
      </c>
      <c r="J60" s="14">
        <v>1</v>
      </c>
      <c r="K60" s="14">
        <v>1</v>
      </c>
      <c r="L60" s="14" t="s">
        <v>22138</v>
      </c>
      <c r="M60" s="14" t="s">
        <v>823</v>
      </c>
      <c r="N60" s="14" t="s">
        <v>2308</v>
      </c>
      <c r="O60" s="14" t="s">
        <v>22139</v>
      </c>
      <c r="P60" s="14" t="str">
        <f>HYPERLINK("https://photon-sol.tinyastro.io/en/lp/CQLNjfGwo3v6j231j31f6fZjkt7gzHj3T6kWUKftpump?handle=676050794bc1b1657a56b", "View")</f>
        <v>View</v>
      </c>
    </row>
    <row r="61" spans="1:16" x14ac:dyDescent="0.25">
      <c r="A61" s="16" t="s">
        <v>359</v>
      </c>
      <c r="B61" s="17">
        <v>562007</v>
      </c>
      <c r="C61" s="17">
        <v>562007</v>
      </c>
      <c r="D61" s="17" t="s">
        <v>7514</v>
      </c>
      <c r="E61" s="17" t="s">
        <v>2200</v>
      </c>
      <c r="F61" s="17" t="s">
        <v>2267</v>
      </c>
      <c r="G61" s="22" t="s">
        <v>10011</v>
      </c>
      <c r="H61" s="22" t="s">
        <v>7136</v>
      </c>
      <c r="I61" s="17" t="s">
        <v>88</v>
      </c>
      <c r="J61" s="17">
        <v>1</v>
      </c>
      <c r="K61" s="17">
        <v>1</v>
      </c>
      <c r="L61" s="17" t="s">
        <v>22140</v>
      </c>
      <c r="M61" s="17" t="s">
        <v>117</v>
      </c>
      <c r="N61" s="17" t="s">
        <v>22141</v>
      </c>
      <c r="O61" s="17" t="s">
        <v>366</v>
      </c>
      <c r="P61" s="17" t="str">
        <f>HYPERLINK("https://dexscreener.com/solana/FFUqMLqYuSjKr19r6NDpYSoHu5Qzg51cUmgwnSyipump", "View")</f>
        <v>View</v>
      </c>
    </row>
    <row r="62" spans="1:16" x14ac:dyDescent="0.25">
      <c r="A62" s="13" t="s">
        <v>11932</v>
      </c>
      <c r="B62" s="14">
        <v>981981</v>
      </c>
      <c r="C62" s="14">
        <v>0</v>
      </c>
      <c r="D62" s="14" t="s">
        <v>19035</v>
      </c>
      <c r="E62" s="14" t="s">
        <v>2127</v>
      </c>
      <c r="F62" s="14" t="s">
        <v>96</v>
      </c>
      <c r="G62" s="18" t="s">
        <v>13513</v>
      </c>
      <c r="H62" s="18" t="s">
        <v>98</v>
      </c>
      <c r="I62" s="14" t="s">
        <v>22142</v>
      </c>
      <c r="J62" s="14">
        <v>1</v>
      </c>
      <c r="K62" s="14">
        <v>0</v>
      </c>
      <c r="L62" s="14" t="s">
        <v>22143</v>
      </c>
      <c r="M62" s="19" t="s">
        <v>101</v>
      </c>
      <c r="N62" s="14" t="s">
        <v>22144</v>
      </c>
      <c r="O62" s="14" t="s">
        <v>22145</v>
      </c>
      <c r="P62" s="14" t="str">
        <f>HYPERLINK("https://photon-sol.tinyastro.io/en/lp/3by6xyXDMH81jtG1gVBXdtmfmRBJE1xuhwJff7fYBtiL?handle=676050794bc1b1657a56b", "View")</f>
        <v>View</v>
      </c>
    </row>
    <row r="63" spans="1:16" x14ac:dyDescent="0.25">
      <c r="A63" s="16" t="s">
        <v>22146</v>
      </c>
      <c r="B63" s="17">
        <v>6542130</v>
      </c>
      <c r="C63" s="17">
        <v>0</v>
      </c>
      <c r="D63" s="17" t="s">
        <v>19035</v>
      </c>
      <c r="E63" s="17" t="s">
        <v>3489</v>
      </c>
      <c r="F63" s="17" t="s">
        <v>96</v>
      </c>
      <c r="G63" s="18" t="s">
        <v>22147</v>
      </c>
      <c r="H63" s="18" t="s">
        <v>98</v>
      </c>
      <c r="I63" s="17" t="s">
        <v>22148</v>
      </c>
      <c r="J63" s="17">
        <v>1</v>
      </c>
      <c r="K63" s="17">
        <v>0</v>
      </c>
      <c r="L63" s="17" t="s">
        <v>22149</v>
      </c>
      <c r="M63" s="19" t="s">
        <v>101</v>
      </c>
      <c r="N63" s="17" t="s">
        <v>507</v>
      </c>
      <c r="O63" s="17" t="s">
        <v>22150</v>
      </c>
      <c r="P63" s="17" t="str">
        <f>HYPERLINK("https://photon-sol.tinyastro.io/en/lp/Fz3NeA5sXZSd3kNbiq77kBhSPqe8NKLc6CTkcwS8G4gW?handle=676050794bc1b1657a56b", "View")</f>
        <v>View</v>
      </c>
    </row>
    <row r="64" spans="1:16" x14ac:dyDescent="0.25">
      <c r="A64" s="13" t="s">
        <v>9568</v>
      </c>
      <c r="B64" s="14">
        <v>1524692</v>
      </c>
      <c r="C64" s="14">
        <v>0</v>
      </c>
      <c r="D64" s="14" t="s">
        <v>19035</v>
      </c>
      <c r="E64" s="14" t="s">
        <v>10587</v>
      </c>
      <c r="F64" s="14" t="s">
        <v>96</v>
      </c>
      <c r="G64" s="18" t="s">
        <v>22107</v>
      </c>
      <c r="H64" s="18" t="s">
        <v>98</v>
      </c>
      <c r="I64" s="14" t="s">
        <v>22151</v>
      </c>
      <c r="J64" s="14">
        <v>1</v>
      </c>
      <c r="K64" s="14">
        <v>0</v>
      </c>
      <c r="L64" s="14" t="s">
        <v>22152</v>
      </c>
      <c r="M64" s="19" t="s">
        <v>101</v>
      </c>
      <c r="N64" s="14" t="s">
        <v>18747</v>
      </c>
      <c r="O64" s="14" t="s">
        <v>9574</v>
      </c>
      <c r="P64" s="14" t="str">
        <f>HYPERLINK("https://photon-sol.tinyastro.io/en/lp/cZAdM85JveqWcmFmzEEYLFDjkkdQoS7PVVskcefpump?handle=676050794bc1b1657a56b", "View")</f>
        <v>View</v>
      </c>
    </row>
    <row r="65" spans="1:16" x14ac:dyDescent="0.25">
      <c r="A65" s="16" t="s">
        <v>22153</v>
      </c>
      <c r="B65" s="17">
        <v>4215731</v>
      </c>
      <c r="C65" s="17">
        <v>0</v>
      </c>
      <c r="D65" s="17" t="s">
        <v>19035</v>
      </c>
      <c r="E65" s="17" t="s">
        <v>3489</v>
      </c>
      <c r="F65" s="17" t="s">
        <v>96</v>
      </c>
      <c r="G65" s="18" t="s">
        <v>22147</v>
      </c>
      <c r="H65" s="18" t="s">
        <v>98</v>
      </c>
      <c r="I65" s="17" t="s">
        <v>22154</v>
      </c>
      <c r="J65" s="17">
        <v>1</v>
      </c>
      <c r="K65" s="17">
        <v>0</v>
      </c>
      <c r="L65" s="17" t="s">
        <v>22155</v>
      </c>
      <c r="M65" s="19" t="s">
        <v>101</v>
      </c>
      <c r="N65" s="17" t="s">
        <v>1973</v>
      </c>
      <c r="O65" s="17" t="s">
        <v>22156</v>
      </c>
      <c r="P65" s="17" t="str">
        <f>HYPERLINK("https://photon-sol.tinyastro.io/en/lp/9EC4PVN93UoWK6ZbcS9agf31Mou7eCTQufxp1L1ypump?handle=676050794bc1b1657a56b", "View")</f>
        <v>View</v>
      </c>
    </row>
    <row r="66" spans="1:16" x14ac:dyDescent="0.25">
      <c r="A66" s="13" t="s">
        <v>5131</v>
      </c>
      <c r="B66" s="14">
        <v>4248055</v>
      </c>
      <c r="C66" s="14">
        <v>0</v>
      </c>
      <c r="D66" s="14" t="s">
        <v>19035</v>
      </c>
      <c r="E66" s="14" t="s">
        <v>2200</v>
      </c>
      <c r="F66" s="14" t="s">
        <v>96</v>
      </c>
      <c r="G66" s="18" t="s">
        <v>16753</v>
      </c>
      <c r="H66" s="18" t="s">
        <v>98</v>
      </c>
      <c r="I66" s="14" t="s">
        <v>22157</v>
      </c>
      <c r="J66" s="14">
        <v>1</v>
      </c>
      <c r="K66" s="14">
        <v>0</v>
      </c>
      <c r="L66" s="14" t="s">
        <v>22158</v>
      </c>
      <c r="M66" s="19" t="s">
        <v>101</v>
      </c>
      <c r="N66" s="14" t="s">
        <v>3962</v>
      </c>
      <c r="O66" s="14" t="s">
        <v>22159</v>
      </c>
      <c r="P66" s="14" t="str">
        <f>HYPERLINK("https://dexscreener.com/solana/94pux2sMbGYxHJRZ3TqJQSUcw46io1B7vL4B6URYpump", "View")</f>
        <v>View</v>
      </c>
    </row>
    <row r="67" spans="1:16" x14ac:dyDescent="0.25">
      <c r="A67" s="16" t="s">
        <v>5131</v>
      </c>
      <c r="B67" s="17">
        <v>581847</v>
      </c>
      <c r="C67" s="17">
        <v>0</v>
      </c>
      <c r="D67" s="17" t="s">
        <v>19035</v>
      </c>
      <c r="E67" s="17" t="s">
        <v>2200</v>
      </c>
      <c r="F67" s="17" t="s">
        <v>96</v>
      </c>
      <c r="G67" s="18" t="s">
        <v>16753</v>
      </c>
      <c r="H67" s="18" t="s">
        <v>98</v>
      </c>
      <c r="I67" s="17" t="s">
        <v>22160</v>
      </c>
      <c r="J67" s="17">
        <v>1</v>
      </c>
      <c r="K67" s="17">
        <v>0</v>
      </c>
      <c r="L67" s="17" t="s">
        <v>22161</v>
      </c>
      <c r="M67" s="19" t="s">
        <v>101</v>
      </c>
      <c r="N67" s="17" t="s">
        <v>22162</v>
      </c>
      <c r="O67" s="17" t="s">
        <v>5148</v>
      </c>
      <c r="P67" s="17" t="str">
        <f>HYPERLINK("https://dexscreener.com/solana/ACro3rVwnm78KTw2ZChs3xP9Z5VEzMaS3r9PZR2DFEuL", "View")</f>
        <v>View</v>
      </c>
    </row>
    <row r="68" spans="1:16" x14ac:dyDescent="0.25">
      <c r="A68" s="13" t="s">
        <v>312</v>
      </c>
      <c r="B68" s="14">
        <v>2776381</v>
      </c>
      <c r="C68" s="14">
        <v>2221105</v>
      </c>
      <c r="D68" s="14" t="s">
        <v>16451</v>
      </c>
      <c r="E68" s="14" t="s">
        <v>2200</v>
      </c>
      <c r="F68" s="14" t="s">
        <v>14104</v>
      </c>
      <c r="G68" s="21" t="s">
        <v>22163</v>
      </c>
      <c r="H68" s="21" t="s">
        <v>22164</v>
      </c>
      <c r="I68" s="14" t="s">
        <v>88</v>
      </c>
      <c r="J68" s="14">
        <v>1</v>
      </c>
      <c r="K68" s="14">
        <v>3</v>
      </c>
      <c r="L68" s="14" t="s">
        <v>22165</v>
      </c>
      <c r="M68" s="14" t="s">
        <v>1448</v>
      </c>
      <c r="N68" s="14" t="s">
        <v>22166</v>
      </c>
      <c r="O68" s="14" t="s">
        <v>1767</v>
      </c>
      <c r="P68" s="14" t="str">
        <f>HYPERLINK("https://dexscreener.com/solana/ERzxP4odb5b7u7jSzKCitDnv5v8u9xb5nvZDUiBLpump", "View")</f>
        <v>View</v>
      </c>
    </row>
    <row r="69" spans="1:16" x14ac:dyDescent="0.25">
      <c r="A69" s="16" t="s">
        <v>22167</v>
      </c>
      <c r="B69" s="17">
        <v>1841408</v>
      </c>
      <c r="C69" s="17">
        <v>1841408</v>
      </c>
      <c r="D69" s="17" t="s">
        <v>21976</v>
      </c>
      <c r="E69" s="17" t="s">
        <v>2200</v>
      </c>
      <c r="F69" s="17" t="s">
        <v>6226</v>
      </c>
      <c r="G69" s="20" t="s">
        <v>3751</v>
      </c>
      <c r="H69" s="20" t="s">
        <v>22168</v>
      </c>
      <c r="I69" s="17" t="s">
        <v>88</v>
      </c>
      <c r="J69" s="17">
        <v>1</v>
      </c>
      <c r="K69" s="17">
        <v>1</v>
      </c>
      <c r="L69" s="17" t="s">
        <v>22169</v>
      </c>
      <c r="M69" s="17" t="s">
        <v>1448</v>
      </c>
      <c r="N69" s="17" t="s">
        <v>22170</v>
      </c>
      <c r="O69" s="17" t="s">
        <v>22171</v>
      </c>
      <c r="P69" s="17" t="str">
        <f>HYPERLINK("https://dexscreener.com/solana/2DuCLRbQwWsSdJEPi96A8tTwrWir4yHJZkuntzKrpump", "View")</f>
        <v>View</v>
      </c>
    </row>
    <row r="70" spans="1:16" x14ac:dyDescent="0.25">
      <c r="A70" s="13" t="s">
        <v>22172</v>
      </c>
      <c r="B70" s="14">
        <v>1141256</v>
      </c>
      <c r="C70" s="14">
        <v>0</v>
      </c>
      <c r="D70" s="14" t="s">
        <v>22173</v>
      </c>
      <c r="E70" s="14" t="s">
        <v>2200</v>
      </c>
      <c r="F70" s="14" t="s">
        <v>96</v>
      </c>
      <c r="G70" s="18" t="s">
        <v>16753</v>
      </c>
      <c r="H70" s="18" t="s">
        <v>98</v>
      </c>
      <c r="I70" s="14" t="s">
        <v>22174</v>
      </c>
      <c r="J70" s="14">
        <v>1</v>
      </c>
      <c r="K70" s="14">
        <v>0</v>
      </c>
      <c r="L70" s="14" t="s">
        <v>22175</v>
      </c>
      <c r="M70" s="19" t="s">
        <v>101</v>
      </c>
      <c r="N70" s="14" t="s">
        <v>5239</v>
      </c>
      <c r="O70" s="14" t="s">
        <v>22176</v>
      </c>
      <c r="P70" s="14" t="str">
        <f>HYPERLINK("https://dexscreener.com/solana/HNhLKtM2K2P7Acxf1xyeJVLUTdwHchBrf42QNEsppump", "View")</f>
        <v>View</v>
      </c>
    </row>
    <row r="71" spans="1:16" x14ac:dyDescent="0.25">
      <c r="A71" s="16" t="s">
        <v>22177</v>
      </c>
      <c r="B71" s="17">
        <v>1944857</v>
      </c>
      <c r="C71" s="17">
        <v>1944857</v>
      </c>
      <c r="D71" s="17" t="s">
        <v>15708</v>
      </c>
      <c r="E71" s="17" t="s">
        <v>3636</v>
      </c>
      <c r="F71" s="17" t="s">
        <v>6849</v>
      </c>
      <c r="G71" s="22" t="s">
        <v>2581</v>
      </c>
      <c r="H71" s="22" t="s">
        <v>22178</v>
      </c>
      <c r="I71" s="17" t="s">
        <v>88</v>
      </c>
      <c r="J71" s="17">
        <v>1</v>
      </c>
      <c r="K71" s="17">
        <v>1</v>
      </c>
      <c r="L71" s="17" t="s">
        <v>22179</v>
      </c>
      <c r="M71" s="17" t="s">
        <v>1566</v>
      </c>
      <c r="N71" s="17" t="s">
        <v>22180</v>
      </c>
      <c r="O71" s="17" t="s">
        <v>22181</v>
      </c>
      <c r="P71" s="17" t="str">
        <f>HYPERLINK("https://photon-sol.tinyastro.io/en/lp/AXuW6LnrUF8StrSqUcRsjajS1BjiAxRwJQory6XjR6tH?handle=676050794bc1b1657a56b", "View")</f>
        <v>View</v>
      </c>
    </row>
    <row r="72" spans="1:16" x14ac:dyDescent="0.25">
      <c r="A72" s="13" t="s">
        <v>22182</v>
      </c>
      <c r="B72" s="14">
        <v>1386060</v>
      </c>
      <c r="C72" s="14">
        <v>1386060</v>
      </c>
      <c r="D72" s="14" t="s">
        <v>15708</v>
      </c>
      <c r="E72" s="14" t="s">
        <v>2200</v>
      </c>
      <c r="F72" s="14" t="s">
        <v>13155</v>
      </c>
      <c r="G72" s="22" t="s">
        <v>4818</v>
      </c>
      <c r="H72" s="22" t="s">
        <v>22183</v>
      </c>
      <c r="I72" s="14" t="s">
        <v>88</v>
      </c>
      <c r="J72" s="14">
        <v>1</v>
      </c>
      <c r="K72" s="14">
        <v>1</v>
      </c>
      <c r="L72" s="14" t="s">
        <v>22184</v>
      </c>
      <c r="M72" s="14" t="s">
        <v>3180</v>
      </c>
      <c r="N72" s="14" t="s">
        <v>22185</v>
      </c>
      <c r="O72" s="14" t="s">
        <v>22186</v>
      </c>
      <c r="P72" s="14" t="str">
        <f>HYPERLINK("https://dexscreener.com/solana/GNJrBUuUnExsQYBAFy22Hw1qSmSJdWEgy8VawAn3uzUb", "View")</f>
        <v>View</v>
      </c>
    </row>
    <row r="73" spans="1:16" x14ac:dyDescent="0.25">
      <c r="A73" s="16" t="s">
        <v>8623</v>
      </c>
      <c r="B73" s="17">
        <v>1081926</v>
      </c>
      <c r="C73" s="17">
        <v>1081926</v>
      </c>
      <c r="D73" s="17" t="s">
        <v>15708</v>
      </c>
      <c r="E73" s="17" t="s">
        <v>2200</v>
      </c>
      <c r="F73" s="17" t="s">
        <v>8822</v>
      </c>
      <c r="G73" s="20" t="s">
        <v>22187</v>
      </c>
      <c r="H73" s="20" t="s">
        <v>22188</v>
      </c>
      <c r="I73" s="17" t="s">
        <v>88</v>
      </c>
      <c r="J73" s="17">
        <v>1</v>
      </c>
      <c r="K73" s="17">
        <v>1</v>
      </c>
      <c r="L73" s="17" t="s">
        <v>22189</v>
      </c>
      <c r="M73" s="17" t="s">
        <v>1448</v>
      </c>
      <c r="N73" s="17" t="s">
        <v>22190</v>
      </c>
      <c r="O73" s="17" t="s">
        <v>12507</v>
      </c>
      <c r="P73" s="17" t="str">
        <f>HYPERLINK("https://dexscreener.com/solana/6AXuBd8sArZAtPqRzgxgVgtemnewnWBEeetqg9fkpump", "View")</f>
        <v>View</v>
      </c>
    </row>
    <row r="74" spans="1:16" x14ac:dyDescent="0.25">
      <c r="A74" s="13" t="s">
        <v>22191</v>
      </c>
      <c r="B74" s="14">
        <v>135214</v>
      </c>
      <c r="C74" s="14">
        <v>0</v>
      </c>
      <c r="D74" s="14" t="s">
        <v>22173</v>
      </c>
      <c r="E74" s="14" t="s">
        <v>4396</v>
      </c>
      <c r="F74" s="14" t="s">
        <v>96</v>
      </c>
      <c r="G74" s="18" t="s">
        <v>4739</v>
      </c>
      <c r="H74" s="18" t="s">
        <v>98</v>
      </c>
      <c r="I74" s="14" t="s">
        <v>22192</v>
      </c>
      <c r="J74" s="14">
        <v>1</v>
      </c>
      <c r="K74" s="14">
        <v>0</v>
      </c>
      <c r="L74" s="14" t="s">
        <v>22193</v>
      </c>
      <c r="M74" s="19" t="s">
        <v>101</v>
      </c>
      <c r="N74" s="14" t="s">
        <v>22194</v>
      </c>
      <c r="O74" s="14" t="s">
        <v>22195</v>
      </c>
      <c r="P74" s="14" t="str">
        <f>HYPERLINK("https://dexscreener.com/solana/Q8mBqEZesckxGiifTFUuL954dP2Ay5V3P5zey9Dpump", "View")</f>
        <v>View</v>
      </c>
    </row>
    <row r="75" spans="1:16" x14ac:dyDescent="0.25">
      <c r="A75" s="16" t="s">
        <v>22196</v>
      </c>
      <c r="B75" s="17">
        <v>437321</v>
      </c>
      <c r="C75" s="17">
        <v>0</v>
      </c>
      <c r="D75" s="17" t="s">
        <v>22173</v>
      </c>
      <c r="E75" s="17" t="s">
        <v>5534</v>
      </c>
      <c r="F75" s="17" t="s">
        <v>96</v>
      </c>
      <c r="G75" s="18" t="s">
        <v>6201</v>
      </c>
      <c r="H75" s="18" t="s">
        <v>98</v>
      </c>
      <c r="I75" s="17" t="s">
        <v>22197</v>
      </c>
      <c r="J75" s="17">
        <v>1</v>
      </c>
      <c r="K75" s="17">
        <v>0</v>
      </c>
      <c r="L75" s="17" t="s">
        <v>22198</v>
      </c>
      <c r="M75" s="19" t="s">
        <v>101</v>
      </c>
      <c r="N75" s="17" t="s">
        <v>22199</v>
      </c>
      <c r="O75" s="17" t="s">
        <v>22200</v>
      </c>
      <c r="P75" s="17" t="str">
        <f>HYPERLINK("https://dexscreener.com/solana/GEstgLtfTnsYqnMBMv1PJBkzGnudktTm9WdARxA3w7v5", "View")</f>
        <v>View</v>
      </c>
    </row>
    <row r="76" spans="1:16" x14ac:dyDescent="0.25">
      <c r="A76" s="13" t="s">
        <v>16724</v>
      </c>
      <c r="B76" s="14">
        <v>158419</v>
      </c>
      <c r="C76" s="14">
        <v>0</v>
      </c>
      <c r="D76" s="14" t="s">
        <v>22173</v>
      </c>
      <c r="E76" s="14" t="s">
        <v>4396</v>
      </c>
      <c r="F76" s="14" t="s">
        <v>96</v>
      </c>
      <c r="G76" s="18" t="s">
        <v>4739</v>
      </c>
      <c r="H76" s="18" t="s">
        <v>98</v>
      </c>
      <c r="I76" s="14" t="s">
        <v>22201</v>
      </c>
      <c r="J76" s="14">
        <v>1</v>
      </c>
      <c r="K76" s="14">
        <v>0</v>
      </c>
      <c r="L76" s="14" t="s">
        <v>5244</v>
      </c>
      <c r="M76" s="19" t="s">
        <v>101</v>
      </c>
      <c r="N76" s="14" t="s">
        <v>22202</v>
      </c>
      <c r="O76" s="14" t="s">
        <v>22203</v>
      </c>
      <c r="P76" s="14" t="str">
        <f>HYPERLINK("https://dexscreener.com/solana/2xuV9RSDJxAHvmjAujTR5Fp9cgUzSsDH4DivS9bupump", "View")</f>
        <v>View</v>
      </c>
    </row>
    <row r="77" spans="1:16" x14ac:dyDescent="0.25">
      <c r="A77" s="16" t="s">
        <v>16752</v>
      </c>
      <c r="B77" s="17">
        <v>872122</v>
      </c>
      <c r="C77" s="17">
        <v>0</v>
      </c>
      <c r="D77" s="17" t="s">
        <v>22204</v>
      </c>
      <c r="E77" s="17" t="s">
        <v>3503</v>
      </c>
      <c r="F77" s="17" t="s">
        <v>96</v>
      </c>
      <c r="G77" s="18" t="s">
        <v>3293</v>
      </c>
      <c r="H77" s="18" t="s">
        <v>98</v>
      </c>
      <c r="I77" s="17" t="s">
        <v>22205</v>
      </c>
      <c r="J77" s="17">
        <v>1</v>
      </c>
      <c r="K77" s="17">
        <v>0</v>
      </c>
      <c r="L77" s="17" t="s">
        <v>22206</v>
      </c>
      <c r="M77" s="19" t="s">
        <v>101</v>
      </c>
      <c r="N77" s="17" t="s">
        <v>22207</v>
      </c>
      <c r="O77" s="17" t="s">
        <v>16757</v>
      </c>
      <c r="P77" s="17" t="str">
        <f>HYPERLINK("https://photon-sol.tinyastro.io/en/lp/D6EBXKMUZKbqKe7vfK6aFWVe5RFSMFRV2phvSo4bpump?handle=676050794bc1b1657a56b", "View")</f>
        <v>View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A92C-6B51-4783-A6E1-C844669D2EC5}">
  <dimension ref="A1:P20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HYPERLINK("https://gmgn.ai/sol/address/E35DHmjCFK1xszJpVtDmnamHY1GA1mh1Cur15xgmaXNQ", "GMGN")</f>
        <v>GMGN</v>
      </c>
    </row>
    <row r="2" spans="1:14" x14ac:dyDescent="0.25">
      <c r="A2" s="3" t="s">
        <v>22208</v>
      </c>
      <c r="B2" s="3" t="s">
        <v>22209</v>
      </c>
      <c r="C2" s="3" t="s">
        <v>1568</v>
      </c>
      <c r="D2" s="3" t="s">
        <v>22210</v>
      </c>
      <c r="E2" s="3" t="s">
        <v>22211</v>
      </c>
      <c r="F2" s="3" t="s">
        <v>18</v>
      </c>
      <c r="G2" s="3" t="s">
        <v>18</v>
      </c>
      <c r="H2" s="3">
        <v>1</v>
      </c>
      <c r="I2" s="3">
        <v>0</v>
      </c>
      <c r="J2" s="3" t="s">
        <v>101</v>
      </c>
      <c r="K2" s="3" t="s">
        <v>22212</v>
      </c>
      <c r="L2" s="3">
        <v>0</v>
      </c>
      <c r="M2" s="3">
        <v>48</v>
      </c>
      <c r="N2" s="3" t="str">
        <f>HYPERLINK("https://solscan.io/account/E35DHmjCFK1xszJpVtDmnamHY1GA1mh1Cur15xgmaXNQ",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HYPERLINK("https://birdeye.so/profile/E35DHmjCFK1xszJpVtDmnamHY1GA1mh1Cur15xgmaXNQ", "Birdeye")</f>
        <v>Birdeye</v>
      </c>
    </row>
    <row r="4" spans="1:14" x14ac:dyDescent="0.25">
      <c r="A4" s="1" t="s">
        <v>25</v>
      </c>
      <c r="B4" s="3" t="s">
        <v>1568</v>
      </c>
      <c r="C4" s="3"/>
      <c r="D4" s="3" t="s">
        <v>8323</v>
      </c>
      <c r="E4" s="3" t="s">
        <v>22213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22214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1779</v>
      </c>
      <c r="D11" s="1" t="s">
        <v>1779</v>
      </c>
      <c r="E11" s="1" t="s">
        <v>1779</v>
      </c>
      <c r="F11" s="1" t="s">
        <v>1779</v>
      </c>
      <c r="G11" s="1" t="s">
        <v>22215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1786</v>
      </c>
      <c r="D12" s="1" t="s">
        <v>1786</v>
      </c>
      <c r="E12" s="1" t="s">
        <v>1786</v>
      </c>
      <c r="F12" s="1" t="s">
        <v>1786</v>
      </c>
      <c r="G12" s="1" t="s">
        <v>16085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22216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20433</v>
      </c>
      <c r="B20" s="14">
        <v>3902697</v>
      </c>
      <c r="C20" s="14">
        <v>0</v>
      </c>
      <c r="D20" s="14" t="s">
        <v>8546</v>
      </c>
      <c r="E20" s="14" t="s">
        <v>19051</v>
      </c>
      <c r="F20" s="14" t="s">
        <v>96</v>
      </c>
      <c r="G20" s="18" t="s">
        <v>19052</v>
      </c>
      <c r="H20" s="18" t="s">
        <v>98</v>
      </c>
      <c r="I20" s="14" t="s">
        <v>22217</v>
      </c>
      <c r="J20" s="14">
        <v>1</v>
      </c>
      <c r="K20" s="14">
        <v>0</v>
      </c>
      <c r="L20" s="14" t="s">
        <v>22218</v>
      </c>
      <c r="M20" s="19" t="s">
        <v>101</v>
      </c>
      <c r="N20" s="14" t="s">
        <v>22219</v>
      </c>
      <c r="O20" s="14" t="s">
        <v>20440</v>
      </c>
      <c r="P20" s="14" t="str">
        <f>HYPERLINK("https://dexscreener.com/solana/3wJ8vbpzdXnWL2SkB3fzkdKgyAUPaK98BD9C9B2bpump", "View")</f>
        <v>View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8F03-21A1-4049-8A69-1AA91130BEA8}">
  <dimension ref="A1:P3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HYPERLINK("https://gmgn.ai/sol/address/A1HrPYkcjwRkKFZXHjBqkHoF5YQgvDNhSJVSvayAjDrc", "GMGN")</f>
        <v>GMGN</v>
      </c>
    </row>
    <row r="2" spans="1:14" x14ac:dyDescent="0.25">
      <c r="A2" s="3" t="s">
        <v>22220</v>
      </c>
      <c r="B2" s="3" t="s">
        <v>22221</v>
      </c>
      <c r="C2" s="3" t="s">
        <v>20380</v>
      </c>
      <c r="D2" s="3" t="s">
        <v>8318</v>
      </c>
      <c r="E2" s="3" t="s">
        <v>22222</v>
      </c>
      <c r="F2" s="3" t="s">
        <v>20377</v>
      </c>
      <c r="G2" s="3" t="s">
        <v>18</v>
      </c>
      <c r="H2" s="3">
        <v>13</v>
      </c>
      <c r="I2" s="3">
        <v>0</v>
      </c>
      <c r="J2" s="3" t="s">
        <v>4437</v>
      </c>
      <c r="K2" s="3" t="s">
        <v>20378</v>
      </c>
      <c r="L2" s="3">
        <v>6</v>
      </c>
      <c r="M2" s="3">
        <v>22</v>
      </c>
      <c r="N2" s="3" t="str">
        <f>HYPERLINK("https://solscan.io/account/A1HrPYkcjwRkKFZXHjBqkHoF5YQgvDNhSJVSvayAjDrc", "Solscan")</f>
        <v>Solscan</v>
      </c>
    </row>
    <row r="3" spans="1:14" x14ac:dyDescent="0.25">
      <c r="A3" s="1" t="s">
        <v>21</v>
      </c>
      <c r="B3" s="4" t="s">
        <v>22223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HYPERLINK("https://birdeye.so/profile/A1HrPYkcjwRkKFZXHjBqkHoF5YQgvDNhSJVSvayAjDrc", "Birdeye")</f>
        <v>Birdeye</v>
      </c>
    </row>
    <row r="4" spans="1:14" x14ac:dyDescent="0.25">
      <c r="A4" s="1" t="s">
        <v>25</v>
      </c>
      <c r="B4" s="3" t="s">
        <v>15560</v>
      </c>
      <c r="C4" s="3"/>
      <c r="D4" s="3" t="s">
        <v>4265</v>
      </c>
      <c r="E4" s="3" t="s">
        <v>22224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14174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16077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1</v>
      </c>
      <c r="E10" s="1">
        <v>0</v>
      </c>
      <c r="F10" s="1">
        <v>1</v>
      </c>
      <c r="G10" s="1">
        <v>8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1784</v>
      </c>
      <c r="C11" s="1" t="s">
        <v>1781</v>
      </c>
      <c r="D11" s="1" t="s">
        <v>1784</v>
      </c>
      <c r="E11" s="1" t="s">
        <v>1779</v>
      </c>
      <c r="F11" s="1" t="s">
        <v>1784</v>
      </c>
      <c r="G11" s="1" t="s">
        <v>22225</v>
      </c>
      <c r="H11" s="3"/>
      <c r="I11" s="3" t="s">
        <v>50</v>
      </c>
      <c r="J11" s="3" t="s">
        <v>1570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22226</v>
      </c>
      <c r="C12" s="1" t="s">
        <v>22227</v>
      </c>
      <c r="D12" s="1" t="s">
        <v>8327</v>
      </c>
      <c r="E12" s="1" t="s">
        <v>1786</v>
      </c>
      <c r="F12" s="1" t="s">
        <v>20573</v>
      </c>
      <c r="G12" s="1" t="s">
        <v>22228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8461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22229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808980</v>
      </c>
      <c r="C20" s="14">
        <v>808980</v>
      </c>
      <c r="D20" s="14" t="s">
        <v>10157</v>
      </c>
      <c r="E20" s="14" t="s">
        <v>1457</v>
      </c>
      <c r="F20" s="14" t="s">
        <v>22230</v>
      </c>
      <c r="G20" s="21" t="s">
        <v>22231</v>
      </c>
      <c r="H20" s="21" t="s">
        <v>22232</v>
      </c>
      <c r="I20" s="14" t="s">
        <v>88</v>
      </c>
      <c r="J20" s="14">
        <v>1</v>
      </c>
      <c r="K20" s="14">
        <v>1</v>
      </c>
      <c r="L20" s="14" t="s">
        <v>22233</v>
      </c>
      <c r="M20" s="14" t="s">
        <v>364</v>
      </c>
      <c r="N20" s="14" t="s">
        <v>22234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20393</v>
      </c>
      <c r="B21" s="17">
        <v>3439389</v>
      </c>
      <c r="C21" s="17">
        <v>3439389</v>
      </c>
      <c r="D21" s="17" t="s">
        <v>16628</v>
      </c>
      <c r="E21" s="17" t="s">
        <v>2390</v>
      </c>
      <c r="F21" s="17" t="s">
        <v>22235</v>
      </c>
      <c r="G21" s="21" t="s">
        <v>22236</v>
      </c>
      <c r="H21" s="21" t="s">
        <v>22237</v>
      </c>
      <c r="I21" s="17" t="s">
        <v>88</v>
      </c>
      <c r="J21" s="17">
        <v>2</v>
      </c>
      <c r="K21" s="17">
        <v>7</v>
      </c>
      <c r="L21" s="17" t="s">
        <v>22238</v>
      </c>
      <c r="M21" s="17" t="s">
        <v>132</v>
      </c>
      <c r="N21" s="17" t="s">
        <v>22239</v>
      </c>
      <c r="O21" s="17" t="s">
        <v>20399</v>
      </c>
      <c r="P21" s="17" t="str">
        <f>HYPERLINK("https://dexscreener.com/solana/DtWz93pDUZe5cYqBFmZjXq1wzZqZPygCeox5d3ajpump", "View")</f>
        <v>View</v>
      </c>
    </row>
    <row r="22" spans="1:16" x14ac:dyDescent="0.25">
      <c r="A22" s="13" t="s">
        <v>20393</v>
      </c>
      <c r="B22" s="14">
        <v>1904573</v>
      </c>
      <c r="C22" s="14">
        <v>1904573</v>
      </c>
      <c r="D22" s="14" t="s">
        <v>9682</v>
      </c>
      <c r="E22" s="14" t="s">
        <v>569</v>
      </c>
      <c r="F22" s="14" t="s">
        <v>5680</v>
      </c>
      <c r="G22" s="15" t="s">
        <v>22240</v>
      </c>
      <c r="H22" s="15" t="s">
        <v>22241</v>
      </c>
      <c r="I22" s="14" t="s">
        <v>88</v>
      </c>
      <c r="J22" s="14">
        <v>2</v>
      </c>
      <c r="K22" s="14">
        <v>1</v>
      </c>
      <c r="L22" s="14" t="s">
        <v>20402</v>
      </c>
      <c r="M22" s="14" t="s">
        <v>1642</v>
      </c>
      <c r="N22" s="14" t="s">
        <v>22242</v>
      </c>
      <c r="O22" s="14" t="s">
        <v>20404</v>
      </c>
      <c r="P22" s="14" t="str">
        <f>HYPERLINK("https://dexscreener.com/solana/BZasDyB47q8t4TsBDz1QzMEtji5NKcgGD7mWBRjMpump", "View")</f>
        <v>View</v>
      </c>
    </row>
    <row r="23" spans="1:16" x14ac:dyDescent="0.25">
      <c r="A23" s="16" t="s">
        <v>12637</v>
      </c>
      <c r="B23" s="17">
        <v>14577189</v>
      </c>
      <c r="C23" s="17">
        <v>14577189</v>
      </c>
      <c r="D23" s="17" t="s">
        <v>15598</v>
      </c>
      <c r="E23" s="17" t="s">
        <v>2375</v>
      </c>
      <c r="F23" s="17" t="s">
        <v>3350</v>
      </c>
      <c r="G23" s="15" t="s">
        <v>22243</v>
      </c>
      <c r="H23" s="15" t="s">
        <v>22244</v>
      </c>
      <c r="I23" s="17" t="s">
        <v>88</v>
      </c>
      <c r="J23" s="17">
        <v>1</v>
      </c>
      <c r="K23" s="17">
        <v>1</v>
      </c>
      <c r="L23" s="17" t="s">
        <v>20407</v>
      </c>
      <c r="M23" s="19" t="s">
        <v>2915</v>
      </c>
      <c r="N23" s="17" t="s">
        <v>20175</v>
      </c>
      <c r="O23" s="17" t="s">
        <v>20409</v>
      </c>
      <c r="P23" s="17" t="str">
        <f>HYPERLINK("https://dexscreener.com/solana/39WcEuRp1poYHyjEtDVXA5vcy85F7gy6UurEL157pump", "View")</f>
        <v>View</v>
      </c>
    </row>
    <row r="24" spans="1:16" x14ac:dyDescent="0.25">
      <c r="A24" s="13" t="s">
        <v>20410</v>
      </c>
      <c r="B24" s="14">
        <v>1298057</v>
      </c>
      <c r="C24" s="14">
        <v>1298057</v>
      </c>
      <c r="D24" s="14" t="s">
        <v>17173</v>
      </c>
      <c r="E24" s="14" t="s">
        <v>2390</v>
      </c>
      <c r="F24" s="14" t="s">
        <v>22245</v>
      </c>
      <c r="G24" s="21" t="s">
        <v>22246</v>
      </c>
      <c r="H24" s="21" t="s">
        <v>22247</v>
      </c>
      <c r="I24" s="14" t="s">
        <v>88</v>
      </c>
      <c r="J24" s="14">
        <v>5</v>
      </c>
      <c r="K24" s="14">
        <v>2</v>
      </c>
      <c r="L24" s="14" t="s">
        <v>22248</v>
      </c>
      <c r="M24" s="14" t="s">
        <v>132</v>
      </c>
      <c r="N24" s="14" t="s">
        <v>22249</v>
      </c>
      <c r="O24" s="14" t="s">
        <v>20417</v>
      </c>
      <c r="P24" s="14" t="str">
        <f>HYPERLINK("https://dexscreener.com/solana/BhbfgSh5P742DE5eMx24iZXNZeD2vNRFBZe3EP9Mpump", "View")</f>
        <v>View</v>
      </c>
    </row>
    <row r="25" spans="1:16" x14ac:dyDescent="0.25">
      <c r="A25" s="16" t="s">
        <v>10378</v>
      </c>
      <c r="B25" s="17">
        <v>184601</v>
      </c>
      <c r="C25" s="17">
        <v>184601</v>
      </c>
      <c r="D25" s="17" t="s">
        <v>9682</v>
      </c>
      <c r="E25" s="17" t="s">
        <v>5459</v>
      </c>
      <c r="F25" s="17" t="s">
        <v>16263</v>
      </c>
      <c r="G25" s="20" t="s">
        <v>4181</v>
      </c>
      <c r="H25" s="20" t="s">
        <v>22250</v>
      </c>
      <c r="I25" s="17" t="s">
        <v>88</v>
      </c>
      <c r="J25" s="17">
        <v>2</v>
      </c>
      <c r="K25" s="17">
        <v>2</v>
      </c>
      <c r="L25" s="17" t="s">
        <v>20420</v>
      </c>
      <c r="M25" s="17" t="s">
        <v>5061</v>
      </c>
      <c r="N25" s="17" t="s">
        <v>22251</v>
      </c>
      <c r="O25" s="17" t="s">
        <v>10382</v>
      </c>
      <c r="P25" s="17" t="str">
        <f>HYPERLINK("https://dexscreener.com/solana/Er2mtAhfbZUWbLhxY3ShN5Prj2DrnGjy6d8FYoMXpump", "View")</f>
        <v>View</v>
      </c>
    </row>
    <row r="26" spans="1:16" x14ac:dyDescent="0.25">
      <c r="A26" s="13" t="s">
        <v>20422</v>
      </c>
      <c r="B26" s="14">
        <v>2973080</v>
      </c>
      <c r="C26" s="14">
        <v>2973080</v>
      </c>
      <c r="D26" s="14" t="s">
        <v>16054</v>
      </c>
      <c r="E26" s="14" t="s">
        <v>2390</v>
      </c>
      <c r="F26" s="14" t="s">
        <v>21824</v>
      </c>
      <c r="G26" s="15" t="s">
        <v>22252</v>
      </c>
      <c r="H26" s="15" t="s">
        <v>22253</v>
      </c>
      <c r="I26" s="14" t="s">
        <v>88</v>
      </c>
      <c r="J26" s="14">
        <v>3</v>
      </c>
      <c r="K26" s="14">
        <v>2</v>
      </c>
      <c r="L26" s="14" t="s">
        <v>20423</v>
      </c>
      <c r="M26" s="14" t="s">
        <v>5729</v>
      </c>
      <c r="N26" s="14" t="s">
        <v>22254</v>
      </c>
      <c r="O26" s="14" t="s">
        <v>20425</v>
      </c>
      <c r="P26" s="14" t="str">
        <f>HYPERLINK("https://dexscreener.com/solana/54A7rix3sh5n3hKpZ1VMABLAqrnod8PUCs5AXVsGpump", "View")</f>
        <v>View</v>
      </c>
    </row>
    <row r="27" spans="1:16" x14ac:dyDescent="0.25">
      <c r="A27" s="16" t="s">
        <v>20196</v>
      </c>
      <c r="B27" s="17">
        <v>21349260</v>
      </c>
      <c r="C27" s="17">
        <v>21349260</v>
      </c>
      <c r="D27" s="17" t="s">
        <v>10517</v>
      </c>
      <c r="E27" s="17" t="s">
        <v>22255</v>
      </c>
      <c r="F27" s="17" t="s">
        <v>2745</v>
      </c>
      <c r="G27" s="15" t="s">
        <v>22256</v>
      </c>
      <c r="H27" s="15" t="s">
        <v>22257</v>
      </c>
      <c r="I27" s="17" t="s">
        <v>88</v>
      </c>
      <c r="J27" s="17">
        <v>1</v>
      </c>
      <c r="K27" s="17">
        <v>1</v>
      </c>
      <c r="L27" s="17" t="s">
        <v>20430</v>
      </c>
      <c r="M27" s="17" t="s">
        <v>1957</v>
      </c>
      <c r="N27" s="17" t="s">
        <v>22258</v>
      </c>
      <c r="O27" s="17" t="s">
        <v>20432</v>
      </c>
      <c r="P27" s="17" t="str">
        <f>HYPERLINK("https://photon-sol.tinyastro.io/en/lp/2gMovG6QWCubWR5ayTXdJyvq18bFzFxeZ22k5UdKpump?handle=676050794bc1b1657a56b", "View")</f>
        <v>View</v>
      </c>
    </row>
    <row r="28" spans="1:16" x14ac:dyDescent="0.25">
      <c r="A28" s="13" t="s">
        <v>20433</v>
      </c>
      <c r="B28" s="14">
        <v>20278730</v>
      </c>
      <c r="C28" s="14">
        <v>45397</v>
      </c>
      <c r="D28" s="14" t="s">
        <v>20434</v>
      </c>
      <c r="E28" s="14" t="s">
        <v>22259</v>
      </c>
      <c r="F28" s="14" t="s">
        <v>2882</v>
      </c>
      <c r="G28" s="15" t="s">
        <v>22260</v>
      </c>
      <c r="H28" s="15" t="s">
        <v>22261</v>
      </c>
      <c r="I28" s="14" t="s">
        <v>88</v>
      </c>
      <c r="J28" s="14">
        <v>1</v>
      </c>
      <c r="K28" s="14">
        <v>7</v>
      </c>
      <c r="L28" s="14" t="s">
        <v>20438</v>
      </c>
      <c r="M28" s="14" t="s">
        <v>132</v>
      </c>
      <c r="N28" s="14" t="s">
        <v>22262</v>
      </c>
      <c r="O28" s="14" t="s">
        <v>20440</v>
      </c>
      <c r="P28" s="14" t="str">
        <f>HYPERLINK("https://photon-sol.tinyastro.io/en/lp/3wJ8vbpzdXnWL2SkB3fzkdKgyAUPaK98BD9C9B2bpump?handle=676050794bc1b1657a56b", "View")</f>
        <v>View</v>
      </c>
    </row>
    <row r="29" spans="1:16" x14ac:dyDescent="0.25">
      <c r="A29" s="16" t="s">
        <v>3071</v>
      </c>
      <c r="B29" s="17">
        <v>21706059</v>
      </c>
      <c r="C29" s="17">
        <v>8706059</v>
      </c>
      <c r="D29" s="17" t="s">
        <v>20441</v>
      </c>
      <c r="E29" s="17" t="s">
        <v>22263</v>
      </c>
      <c r="F29" s="17" t="s">
        <v>22264</v>
      </c>
      <c r="G29" s="21" t="s">
        <v>22265</v>
      </c>
      <c r="H29" s="21" t="s">
        <v>22266</v>
      </c>
      <c r="I29" s="17" t="s">
        <v>88</v>
      </c>
      <c r="J29" s="17">
        <v>3</v>
      </c>
      <c r="K29" s="17">
        <v>5</v>
      </c>
      <c r="L29" s="17" t="s">
        <v>22267</v>
      </c>
      <c r="M29" s="17" t="s">
        <v>179</v>
      </c>
      <c r="N29" s="17" t="s">
        <v>22268</v>
      </c>
      <c r="O29" s="17" t="s">
        <v>20448</v>
      </c>
      <c r="P29" s="17" t="str">
        <f>HYPERLINK("https://photon-sol.tinyastro.io/en/lp/CXAtTTTyrHYt1B7pc8CJThygsTLWszd9ASffCE1Npump?handle=676050794bc1b1657a56b", "View")</f>
        <v>View</v>
      </c>
    </row>
    <row r="30" spans="1:16" x14ac:dyDescent="0.25">
      <c r="A30" s="13" t="s">
        <v>3071</v>
      </c>
      <c r="B30" s="14">
        <v>1704538</v>
      </c>
      <c r="C30" s="14">
        <v>1704538</v>
      </c>
      <c r="D30" s="14" t="s">
        <v>10517</v>
      </c>
      <c r="E30" s="14" t="s">
        <v>2456</v>
      </c>
      <c r="F30" s="14" t="s">
        <v>3309</v>
      </c>
      <c r="G30" s="15" t="s">
        <v>17465</v>
      </c>
      <c r="H30" s="15" t="s">
        <v>22223</v>
      </c>
      <c r="I30" s="14" t="s">
        <v>88</v>
      </c>
      <c r="J30" s="14">
        <v>1</v>
      </c>
      <c r="K30" s="14">
        <v>1</v>
      </c>
      <c r="L30" s="14" t="s">
        <v>20450</v>
      </c>
      <c r="M30" s="14" t="s">
        <v>788</v>
      </c>
      <c r="N30" s="14" t="s">
        <v>20451</v>
      </c>
      <c r="O30" s="14" t="s">
        <v>20452</v>
      </c>
      <c r="P30" s="14" t="str">
        <f>HYPERLINK("https://photon-sol.tinyastro.io/en/lp/HwoTcHHEcUNm3AmfnMTUeg4vFxjNrYoBMM8Yy8tLpump?handle=676050794bc1b1657a56b", "View")</f>
        <v>View</v>
      </c>
    </row>
    <row r="31" spans="1:16" x14ac:dyDescent="0.25">
      <c r="A31" s="16" t="s">
        <v>20453</v>
      </c>
      <c r="B31" s="17">
        <v>28131906</v>
      </c>
      <c r="C31" s="17">
        <v>131906</v>
      </c>
      <c r="D31" s="17" t="s">
        <v>12557</v>
      </c>
      <c r="E31" s="17" t="s">
        <v>21101</v>
      </c>
      <c r="F31" s="17" t="s">
        <v>5006</v>
      </c>
      <c r="G31" s="15" t="s">
        <v>22269</v>
      </c>
      <c r="H31" s="15" t="s">
        <v>22270</v>
      </c>
      <c r="I31" s="17" t="s">
        <v>88</v>
      </c>
      <c r="J31" s="17">
        <v>1</v>
      </c>
      <c r="K31" s="17">
        <v>1</v>
      </c>
      <c r="L31" s="17" t="s">
        <v>20457</v>
      </c>
      <c r="M31" s="17" t="s">
        <v>132</v>
      </c>
      <c r="N31" s="17" t="s">
        <v>22271</v>
      </c>
      <c r="O31" s="17" t="s">
        <v>20458</v>
      </c>
      <c r="P31" s="17" t="str">
        <f>HYPERLINK("https://photon-sol.tinyastro.io/en/lp/842FK7G2wxFDgNToxFXFETizmNMJTfKrrJ2kUP6qpump?handle=676050794bc1b1657a56b", "View")</f>
        <v>View</v>
      </c>
    </row>
    <row r="32" spans="1:16" x14ac:dyDescent="0.25">
      <c r="A32" s="13" t="s">
        <v>7531</v>
      </c>
      <c r="B32" s="14">
        <v>27550502</v>
      </c>
      <c r="C32" s="14">
        <v>106058</v>
      </c>
      <c r="D32" s="14" t="s">
        <v>8834</v>
      </c>
      <c r="E32" s="14" t="s">
        <v>22272</v>
      </c>
      <c r="F32" s="14" t="s">
        <v>14037</v>
      </c>
      <c r="G32" s="15" t="s">
        <v>22273</v>
      </c>
      <c r="H32" s="15" t="s">
        <v>22274</v>
      </c>
      <c r="I32" s="14" t="s">
        <v>88</v>
      </c>
      <c r="J32" s="14">
        <v>2</v>
      </c>
      <c r="K32" s="14">
        <v>2</v>
      </c>
      <c r="L32" s="14" t="s">
        <v>20462</v>
      </c>
      <c r="M32" s="14" t="s">
        <v>414</v>
      </c>
      <c r="N32" s="14" t="s">
        <v>22275</v>
      </c>
      <c r="O32" s="14" t="s">
        <v>17669</v>
      </c>
      <c r="P32" s="14" t="str">
        <f>HYPERLINK("https://photon-sol.tinyastro.io/en/lp/APXEzWaC12YAejZr1v4sBhTcJMosGSA6oV5aTn9Jpump?handle=676050794bc1b1657a56b", "View")</f>
        <v>View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CF0D-B356-44CE-B197-68332D15AE0B}">
  <dimension ref="A1:P2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HYPERLINK("https://gmgn.ai/sol/address/49SH2SQVjG6dbnQhQS4QjbewjuUAsLABe7GhX3uLDEJD", "GMGN")</f>
        <v>GMGN</v>
      </c>
    </row>
    <row r="2" spans="1:14" x14ac:dyDescent="0.25">
      <c r="A2" s="3" t="s">
        <v>22276</v>
      </c>
      <c r="B2" s="3" t="s">
        <v>22277</v>
      </c>
      <c r="C2" s="3" t="s">
        <v>4271</v>
      </c>
      <c r="D2" s="3" t="s">
        <v>22278</v>
      </c>
      <c r="E2" s="3" t="s">
        <v>22279</v>
      </c>
      <c r="F2" s="3" t="s">
        <v>18</v>
      </c>
      <c r="G2" s="3" t="s">
        <v>18</v>
      </c>
      <c r="H2" s="3">
        <v>8</v>
      </c>
      <c r="I2" s="3">
        <v>3</v>
      </c>
      <c r="J2" s="3" t="s">
        <v>4550</v>
      </c>
      <c r="K2" s="3" t="s">
        <v>414</v>
      </c>
      <c r="L2" s="3">
        <v>2</v>
      </c>
      <c r="M2" s="3">
        <v>82</v>
      </c>
      <c r="N2" s="3" t="str">
        <f>HYPERLINK("https://solscan.io/account/49SH2SQVjG6dbnQhQS4QjbewjuUAsLABe7GhX3uLDEJD",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HYPERLINK("https://birdeye.so/profile/49SH2SQVjG6dbnQhQS4QjbewjuUAsLABe7GhX3uLDEJD", "Birdeye")</f>
        <v>Birdeye</v>
      </c>
    </row>
    <row r="4" spans="1:14" x14ac:dyDescent="0.25">
      <c r="A4" s="1" t="s">
        <v>25</v>
      </c>
      <c r="B4" s="3" t="s">
        <v>7496</v>
      </c>
      <c r="C4" s="3"/>
      <c r="D4" s="3" t="s">
        <v>22280</v>
      </c>
      <c r="E4" s="3" t="s">
        <v>22281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22282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21279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7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17854</v>
      </c>
      <c r="D11" s="1" t="s">
        <v>1779</v>
      </c>
      <c r="E11" s="1" t="s">
        <v>1779</v>
      </c>
      <c r="F11" s="1" t="s">
        <v>1779</v>
      </c>
      <c r="G11" s="1" t="s">
        <v>22283</v>
      </c>
      <c r="H11" s="3"/>
      <c r="I11" s="3" t="s">
        <v>50</v>
      </c>
      <c r="J11" s="3" t="s">
        <v>1570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22284</v>
      </c>
      <c r="D12" s="1" t="s">
        <v>1786</v>
      </c>
      <c r="E12" s="1" t="s">
        <v>1786</v>
      </c>
      <c r="F12" s="1" t="s">
        <v>1786</v>
      </c>
      <c r="G12" s="1" t="s">
        <v>22285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8461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8326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22286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22287</v>
      </c>
      <c r="B20" s="14">
        <v>15095051</v>
      </c>
      <c r="C20" s="14">
        <v>690464</v>
      </c>
      <c r="D20" s="14" t="s">
        <v>10737</v>
      </c>
      <c r="E20" s="14" t="s">
        <v>22288</v>
      </c>
      <c r="F20" s="14" t="s">
        <v>22289</v>
      </c>
      <c r="G20" s="21" t="s">
        <v>22290</v>
      </c>
      <c r="H20" s="21" t="s">
        <v>22291</v>
      </c>
      <c r="I20" s="14" t="s">
        <v>88</v>
      </c>
      <c r="J20" s="14">
        <v>2</v>
      </c>
      <c r="K20" s="14">
        <v>4</v>
      </c>
      <c r="L20" s="14" t="s">
        <v>22292</v>
      </c>
      <c r="M20" s="14" t="s">
        <v>150</v>
      </c>
      <c r="N20" s="14" t="s">
        <v>22293</v>
      </c>
      <c r="O20" s="14" t="s">
        <v>22294</v>
      </c>
      <c r="P20" s="14" t="str">
        <f>HYPERLINK("https://photon-sol.tinyastro.io/en/lp/Fosp9yoXQBdx8YqyURZePYzgpCnxp9XsfnQq69DRvvU4?handle=676050794bc1b1657a56b", "View")</f>
        <v>View</v>
      </c>
    </row>
    <row r="21" spans="1:16" x14ac:dyDescent="0.25">
      <c r="A21" s="16" t="s">
        <v>16820</v>
      </c>
      <c r="B21" s="17">
        <v>1122596</v>
      </c>
      <c r="C21" s="17">
        <v>0</v>
      </c>
      <c r="D21" s="17" t="s">
        <v>832</v>
      </c>
      <c r="E21" s="17" t="s">
        <v>22295</v>
      </c>
      <c r="F21" s="17" t="s">
        <v>96</v>
      </c>
      <c r="G21" s="18" t="s">
        <v>22296</v>
      </c>
      <c r="H21" s="18" t="s">
        <v>98</v>
      </c>
      <c r="I21" s="17" t="s">
        <v>22297</v>
      </c>
      <c r="J21" s="17">
        <v>20</v>
      </c>
      <c r="K21" s="17">
        <v>0</v>
      </c>
      <c r="L21" s="17" t="s">
        <v>22298</v>
      </c>
      <c r="M21" s="17" t="s">
        <v>317</v>
      </c>
      <c r="N21" s="17" t="s">
        <v>22299</v>
      </c>
      <c r="O21" s="17" t="s">
        <v>16824</v>
      </c>
      <c r="P21" s="17" t="str">
        <f>HYPERLINK("https://dexscreener.com/solana/2Z6TocWzKtddxVe9kxCB3j3A339Z6CDiut5k3a9Apump", "View")</f>
        <v>View</v>
      </c>
    </row>
    <row r="22" spans="1:16" x14ac:dyDescent="0.25">
      <c r="A22" s="13" t="s">
        <v>11823</v>
      </c>
      <c r="B22" s="14">
        <v>289441</v>
      </c>
      <c r="C22" s="14">
        <v>0</v>
      </c>
      <c r="D22" s="14" t="s">
        <v>10157</v>
      </c>
      <c r="E22" s="14" t="s">
        <v>4665</v>
      </c>
      <c r="F22" s="14" t="s">
        <v>96</v>
      </c>
      <c r="G22" s="18" t="s">
        <v>2726</v>
      </c>
      <c r="H22" s="18" t="s">
        <v>98</v>
      </c>
      <c r="I22" s="14" t="s">
        <v>22300</v>
      </c>
      <c r="J22" s="14">
        <v>1</v>
      </c>
      <c r="K22" s="14">
        <v>0</v>
      </c>
      <c r="L22" s="14" t="s">
        <v>22301</v>
      </c>
      <c r="M22" s="19" t="s">
        <v>101</v>
      </c>
      <c r="N22" s="14" t="s">
        <v>22302</v>
      </c>
      <c r="O22" s="14" t="s">
        <v>11827</v>
      </c>
      <c r="P22" s="14" t="str">
        <f>HYPERLINK("https://dexscreener.com/solana/HEgT8gD9wDfmGsvBtTsvdArnp4M3257ffee8BTjkpump", "View")</f>
        <v>View</v>
      </c>
    </row>
    <row r="23" spans="1:16" x14ac:dyDescent="0.25">
      <c r="A23" s="16" t="s">
        <v>22303</v>
      </c>
      <c r="B23" s="17">
        <v>468955</v>
      </c>
      <c r="C23" s="17">
        <v>0</v>
      </c>
      <c r="D23" s="17" t="s">
        <v>8191</v>
      </c>
      <c r="E23" s="17" t="s">
        <v>2200</v>
      </c>
      <c r="F23" s="17" t="s">
        <v>96</v>
      </c>
      <c r="G23" s="18" t="s">
        <v>16753</v>
      </c>
      <c r="H23" s="18" t="s">
        <v>98</v>
      </c>
      <c r="I23" s="17" t="s">
        <v>22304</v>
      </c>
      <c r="J23" s="17">
        <v>1</v>
      </c>
      <c r="K23" s="17">
        <v>0</v>
      </c>
      <c r="L23" s="17" t="s">
        <v>22305</v>
      </c>
      <c r="M23" s="19" t="s">
        <v>101</v>
      </c>
      <c r="N23" s="17" t="s">
        <v>22306</v>
      </c>
      <c r="O23" s="17" t="s">
        <v>22307</v>
      </c>
      <c r="P23" s="17" t="str">
        <f>HYPERLINK("https://dexscreener.com/solana/ERBeYFBP2oA1MpcpMAGEEpzBZVmBhjQu1BG4yML5pump", "View")</f>
        <v>View</v>
      </c>
    </row>
    <row r="24" spans="1:16" x14ac:dyDescent="0.25">
      <c r="A24" s="13" t="s">
        <v>22308</v>
      </c>
      <c r="B24" s="14">
        <v>1965671</v>
      </c>
      <c r="C24" s="14">
        <v>0</v>
      </c>
      <c r="D24" s="14" t="s">
        <v>4754</v>
      </c>
      <c r="E24" s="14" t="s">
        <v>14929</v>
      </c>
      <c r="F24" s="14" t="s">
        <v>96</v>
      </c>
      <c r="G24" s="18" t="s">
        <v>22309</v>
      </c>
      <c r="H24" s="18" t="s">
        <v>98</v>
      </c>
      <c r="I24" s="14" t="s">
        <v>22310</v>
      </c>
      <c r="J24" s="14">
        <v>1</v>
      </c>
      <c r="K24" s="14">
        <v>0</v>
      </c>
      <c r="L24" s="14" t="s">
        <v>22311</v>
      </c>
      <c r="M24" s="19" t="s">
        <v>101</v>
      </c>
      <c r="N24" s="14" t="s">
        <v>22312</v>
      </c>
      <c r="O24" s="14" t="s">
        <v>22313</v>
      </c>
      <c r="P24" s="14" t="str">
        <f>HYPERLINK("https://dexscreener.com/solana/4v14k2vBuoNSDLnMa12qK2pqokp8K7ZpVU7uWjZgpump", "View")</f>
        <v>View</v>
      </c>
    </row>
    <row r="25" spans="1:16" x14ac:dyDescent="0.25">
      <c r="A25" s="16" t="s">
        <v>22314</v>
      </c>
      <c r="B25" s="17">
        <v>960737</v>
      </c>
      <c r="C25" s="17">
        <v>127684</v>
      </c>
      <c r="D25" s="17" t="s">
        <v>22315</v>
      </c>
      <c r="E25" s="17" t="s">
        <v>17907</v>
      </c>
      <c r="F25" s="17" t="s">
        <v>3700</v>
      </c>
      <c r="G25" s="15" t="s">
        <v>7671</v>
      </c>
      <c r="H25" s="15" t="s">
        <v>15442</v>
      </c>
      <c r="I25" s="17" t="s">
        <v>88</v>
      </c>
      <c r="J25" s="17">
        <v>1</v>
      </c>
      <c r="K25" s="17">
        <v>1</v>
      </c>
      <c r="L25" s="17" t="s">
        <v>22316</v>
      </c>
      <c r="M25" s="17" t="s">
        <v>414</v>
      </c>
      <c r="N25" s="17" t="s">
        <v>22317</v>
      </c>
      <c r="O25" s="17" t="s">
        <v>22318</v>
      </c>
      <c r="P25" s="17" t="str">
        <f>HYPERLINK("https://dexscreener.com/solana/5QQRKwnJsoy5MHbYvUe1zgtNUGhesQ5SErQvnAZgpump", "View")</f>
        <v>View</v>
      </c>
    </row>
    <row r="26" spans="1:16" x14ac:dyDescent="0.25">
      <c r="A26" s="13" t="s">
        <v>22319</v>
      </c>
      <c r="B26" s="14">
        <v>4363241</v>
      </c>
      <c r="C26" s="14">
        <v>0</v>
      </c>
      <c r="D26" s="14" t="s">
        <v>22315</v>
      </c>
      <c r="E26" s="14" t="s">
        <v>4325</v>
      </c>
      <c r="F26" s="14" t="s">
        <v>96</v>
      </c>
      <c r="G26" s="18" t="s">
        <v>22320</v>
      </c>
      <c r="H26" s="18" t="s">
        <v>98</v>
      </c>
      <c r="I26" s="14" t="s">
        <v>22321</v>
      </c>
      <c r="J26" s="14">
        <v>1</v>
      </c>
      <c r="K26" s="14">
        <v>0</v>
      </c>
      <c r="L26" s="14" t="s">
        <v>22322</v>
      </c>
      <c r="M26" s="19" t="s">
        <v>101</v>
      </c>
      <c r="N26" s="14" t="s">
        <v>507</v>
      </c>
      <c r="O26" s="14" t="s">
        <v>22323</v>
      </c>
      <c r="P26" s="14" t="str">
        <f>HYPERLINK("https://photon-sol.tinyastro.io/en/lp/2rPPBwzMcY1CsirvaAs8YD7YasswoB35LNmeKJDMpump?handle=676050794bc1b1657a56b", "View")</f>
        <v>View</v>
      </c>
    </row>
    <row r="27" spans="1:16" x14ac:dyDescent="0.25">
      <c r="A27" s="16" t="s">
        <v>12301</v>
      </c>
      <c r="B27" s="17">
        <v>3928075</v>
      </c>
      <c r="C27" s="17">
        <v>3928075</v>
      </c>
      <c r="D27" s="17" t="s">
        <v>22315</v>
      </c>
      <c r="E27" s="17" t="s">
        <v>10326</v>
      </c>
      <c r="F27" s="17" t="s">
        <v>4951</v>
      </c>
      <c r="G27" s="15" t="s">
        <v>22324</v>
      </c>
      <c r="H27" s="15" t="s">
        <v>22325</v>
      </c>
      <c r="I27" s="17" t="s">
        <v>88</v>
      </c>
      <c r="J27" s="17">
        <v>1</v>
      </c>
      <c r="K27" s="17">
        <v>1</v>
      </c>
      <c r="L27" s="17" t="s">
        <v>22326</v>
      </c>
      <c r="M27" s="17" t="s">
        <v>364</v>
      </c>
      <c r="N27" s="17" t="s">
        <v>22327</v>
      </c>
      <c r="O27" s="17" t="s">
        <v>17730</v>
      </c>
      <c r="P27" s="17" t="str">
        <f>HYPERLINK("https://dexscreener.com/solana/5Vz5YNiWkaczNDsQNLcrwrhBBfj7D7DHuRddyWZ9pump", "View")</f>
        <v>View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6526-B24D-4B45-8CAC-69DA51BAAD07}">
  <dimension ref="A1:P31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HYPERLINK("https://gmgn.ai/sol/address/BSiEYXb9cMCyAmi2J4aHi19nGMQgetUrD4Hyv7DxeWW3", "GMGN")</f>
        <v>GMGN</v>
      </c>
    </row>
    <row r="2" spans="1:14" x14ac:dyDescent="0.25">
      <c r="A2" s="3" t="s">
        <v>22328</v>
      </c>
      <c r="B2" s="3" t="s">
        <v>22329</v>
      </c>
      <c r="C2" s="3" t="s">
        <v>9638</v>
      </c>
      <c r="D2" s="3" t="s">
        <v>20466</v>
      </c>
      <c r="E2" s="3" t="s">
        <v>22330</v>
      </c>
      <c r="F2" s="3" t="s">
        <v>20377</v>
      </c>
      <c r="G2" s="3" t="s">
        <v>18</v>
      </c>
      <c r="H2" s="3">
        <v>12</v>
      </c>
      <c r="I2" s="3">
        <v>0</v>
      </c>
      <c r="J2" s="3" t="s">
        <v>4437</v>
      </c>
      <c r="K2" s="3" t="s">
        <v>22331</v>
      </c>
      <c r="L2" s="3">
        <v>3</v>
      </c>
      <c r="M2" s="3">
        <v>15</v>
      </c>
      <c r="N2" s="3" t="str">
        <f>HYPERLINK("https://solscan.io/account/BSiEYXb9cMCyAmi2J4aHi19nGMQgetUrD4Hyv7DxeWW3", "Solscan")</f>
        <v>Solscan</v>
      </c>
    </row>
    <row r="3" spans="1:14" x14ac:dyDescent="0.25">
      <c r="A3" s="1" t="s">
        <v>21</v>
      </c>
      <c r="B3" s="23" t="s">
        <v>22332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HYPERLINK("https://birdeye.so/profile/BSiEYXb9cMCyAmi2J4aHi19nGMQgetUrD4Hyv7DxeWW3", "Birdeye")</f>
        <v>Birdeye</v>
      </c>
    </row>
    <row r="4" spans="1:14" x14ac:dyDescent="0.25">
      <c r="A4" s="1" t="s">
        <v>25</v>
      </c>
      <c r="B4" s="3" t="s">
        <v>16590</v>
      </c>
      <c r="C4" s="3"/>
      <c r="D4" s="3" t="s">
        <v>4121</v>
      </c>
      <c r="E4" s="3" t="s">
        <v>22333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14174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21194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2</v>
      </c>
      <c r="E10" s="1">
        <v>1</v>
      </c>
      <c r="F10" s="1">
        <v>2</v>
      </c>
      <c r="G10" s="1">
        <v>4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7500</v>
      </c>
      <c r="C11" s="1" t="s">
        <v>4363</v>
      </c>
      <c r="D11" s="1" t="s">
        <v>4363</v>
      </c>
      <c r="E11" s="1" t="s">
        <v>7500</v>
      </c>
      <c r="F11" s="1" t="s">
        <v>4363</v>
      </c>
      <c r="G11" s="1" t="s">
        <v>9642</v>
      </c>
      <c r="H11" s="3"/>
      <c r="I11" s="3" t="s">
        <v>50</v>
      </c>
      <c r="J11" s="3" t="s">
        <v>8461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22334</v>
      </c>
      <c r="C12" s="1" t="s">
        <v>22335</v>
      </c>
      <c r="D12" s="1" t="s">
        <v>1571</v>
      </c>
      <c r="E12" s="1" t="s">
        <v>4730</v>
      </c>
      <c r="F12" s="1" t="s">
        <v>22336</v>
      </c>
      <c r="G12" s="1" t="s">
        <v>17861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1792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22337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825090</v>
      </c>
      <c r="C20" s="14">
        <v>825090</v>
      </c>
      <c r="D20" s="14" t="s">
        <v>10157</v>
      </c>
      <c r="E20" s="14" t="s">
        <v>1457</v>
      </c>
      <c r="F20" s="14" t="s">
        <v>22338</v>
      </c>
      <c r="G20" s="21" t="s">
        <v>17926</v>
      </c>
      <c r="H20" s="21" t="s">
        <v>22339</v>
      </c>
      <c r="I20" s="14" t="s">
        <v>88</v>
      </c>
      <c r="J20" s="14">
        <v>1</v>
      </c>
      <c r="K20" s="14">
        <v>1</v>
      </c>
      <c r="L20" s="14" t="s">
        <v>22340</v>
      </c>
      <c r="M20" s="14" t="s">
        <v>364</v>
      </c>
      <c r="N20" s="14" t="s">
        <v>22341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20393</v>
      </c>
      <c r="B21" s="17">
        <v>3586604</v>
      </c>
      <c r="C21" s="17">
        <v>3586604</v>
      </c>
      <c r="D21" s="17" t="s">
        <v>22342</v>
      </c>
      <c r="E21" s="17" t="s">
        <v>2390</v>
      </c>
      <c r="F21" s="17" t="s">
        <v>22343</v>
      </c>
      <c r="G21" s="21" t="s">
        <v>22344</v>
      </c>
      <c r="H21" s="21" t="s">
        <v>22345</v>
      </c>
      <c r="I21" s="17" t="s">
        <v>88</v>
      </c>
      <c r="J21" s="17">
        <v>2</v>
      </c>
      <c r="K21" s="17">
        <v>4</v>
      </c>
      <c r="L21" s="17" t="s">
        <v>22346</v>
      </c>
      <c r="M21" s="17" t="s">
        <v>132</v>
      </c>
      <c r="N21" s="17" t="s">
        <v>22347</v>
      </c>
      <c r="O21" s="17" t="s">
        <v>20399</v>
      </c>
      <c r="P21" s="17" t="str">
        <f>HYPERLINK("https://dexscreener.com/solana/DtWz93pDUZe5cYqBFmZjXq1wzZqZPygCeox5d3ajpump", "View")</f>
        <v>View</v>
      </c>
    </row>
    <row r="22" spans="1:16" x14ac:dyDescent="0.25">
      <c r="A22" s="13" t="s">
        <v>20393</v>
      </c>
      <c r="B22" s="14">
        <v>1945797</v>
      </c>
      <c r="C22" s="14">
        <v>1945797</v>
      </c>
      <c r="D22" s="14" t="s">
        <v>9682</v>
      </c>
      <c r="E22" s="14" t="s">
        <v>569</v>
      </c>
      <c r="F22" s="14" t="s">
        <v>12272</v>
      </c>
      <c r="G22" s="15" t="s">
        <v>22348</v>
      </c>
      <c r="H22" s="15" t="s">
        <v>22349</v>
      </c>
      <c r="I22" s="14" t="s">
        <v>88</v>
      </c>
      <c r="J22" s="14">
        <v>2</v>
      </c>
      <c r="K22" s="14">
        <v>1</v>
      </c>
      <c r="L22" s="14" t="s">
        <v>20402</v>
      </c>
      <c r="M22" s="14" t="s">
        <v>1642</v>
      </c>
      <c r="N22" s="14" t="s">
        <v>22350</v>
      </c>
      <c r="O22" s="14" t="s">
        <v>20404</v>
      </c>
      <c r="P22" s="14" t="str">
        <f>HYPERLINK("https://dexscreener.com/solana/BZasDyB47q8t4TsBDz1QzMEtji5NKcgGD7mWBRjMpump", "View")</f>
        <v>View</v>
      </c>
    </row>
    <row r="23" spans="1:16" x14ac:dyDescent="0.25">
      <c r="A23" s="16" t="s">
        <v>12637</v>
      </c>
      <c r="B23" s="17">
        <v>83253067</v>
      </c>
      <c r="C23" s="17">
        <v>83253067</v>
      </c>
      <c r="D23" s="17" t="s">
        <v>15598</v>
      </c>
      <c r="E23" s="17" t="s">
        <v>2375</v>
      </c>
      <c r="F23" s="17" t="s">
        <v>22351</v>
      </c>
      <c r="G23" s="22" t="s">
        <v>22352</v>
      </c>
      <c r="H23" s="22" t="s">
        <v>22353</v>
      </c>
      <c r="I23" s="17" t="s">
        <v>88</v>
      </c>
      <c r="J23" s="17">
        <v>1</v>
      </c>
      <c r="K23" s="17">
        <v>1</v>
      </c>
      <c r="L23" s="17" t="s">
        <v>20407</v>
      </c>
      <c r="M23" s="19" t="s">
        <v>2915</v>
      </c>
      <c r="N23" s="17" t="s">
        <v>12229</v>
      </c>
      <c r="O23" s="17" t="s">
        <v>20409</v>
      </c>
      <c r="P23" s="17" t="str">
        <f>HYPERLINK("https://dexscreener.com/solana/39WcEuRp1poYHyjEtDVXA5vcy85F7gy6UurEL157pump", "View")</f>
        <v>View</v>
      </c>
    </row>
    <row r="24" spans="1:16" x14ac:dyDescent="0.25">
      <c r="A24" s="13" t="s">
        <v>20410</v>
      </c>
      <c r="B24" s="14">
        <v>1229583</v>
      </c>
      <c r="C24" s="14">
        <v>1229583</v>
      </c>
      <c r="D24" s="14" t="s">
        <v>17173</v>
      </c>
      <c r="E24" s="14" t="s">
        <v>2390</v>
      </c>
      <c r="F24" s="14" t="s">
        <v>22354</v>
      </c>
      <c r="G24" s="21" t="s">
        <v>22355</v>
      </c>
      <c r="H24" s="21" t="s">
        <v>22356</v>
      </c>
      <c r="I24" s="14" t="s">
        <v>88</v>
      </c>
      <c r="J24" s="14">
        <v>5</v>
      </c>
      <c r="K24" s="14">
        <v>2</v>
      </c>
      <c r="L24" s="14" t="s">
        <v>22248</v>
      </c>
      <c r="M24" s="14" t="s">
        <v>132</v>
      </c>
      <c r="N24" s="14" t="s">
        <v>22357</v>
      </c>
      <c r="O24" s="14" t="s">
        <v>20417</v>
      </c>
      <c r="P24" s="14" t="str">
        <f>HYPERLINK("https://dexscreener.com/solana/BhbfgSh5P742DE5eMx24iZXNZeD2vNRFBZe3EP9Mpump", "View")</f>
        <v>View</v>
      </c>
    </row>
    <row r="25" spans="1:16" x14ac:dyDescent="0.25">
      <c r="A25" s="16" t="s">
        <v>10378</v>
      </c>
      <c r="B25" s="17">
        <v>184968</v>
      </c>
      <c r="C25" s="17">
        <v>184968</v>
      </c>
      <c r="D25" s="17" t="s">
        <v>9682</v>
      </c>
      <c r="E25" s="17" t="s">
        <v>5459</v>
      </c>
      <c r="F25" s="17" t="s">
        <v>2569</v>
      </c>
      <c r="G25" s="20" t="s">
        <v>3414</v>
      </c>
      <c r="H25" s="20" t="s">
        <v>22358</v>
      </c>
      <c r="I25" s="17" t="s">
        <v>88</v>
      </c>
      <c r="J25" s="17">
        <v>2</v>
      </c>
      <c r="K25" s="17">
        <v>2</v>
      </c>
      <c r="L25" s="17" t="s">
        <v>20420</v>
      </c>
      <c r="M25" s="17" t="s">
        <v>5061</v>
      </c>
      <c r="N25" s="17" t="s">
        <v>22359</v>
      </c>
      <c r="O25" s="17" t="s">
        <v>10382</v>
      </c>
      <c r="P25" s="17" t="str">
        <f>HYPERLINK("https://dexscreener.com/solana/Er2mtAhfbZUWbLhxY3ShN5Prj2DrnGjy6d8FYoMXpump", "View")</f>
        <v>View</v>
      </c>
    </row>
    <row r="26" spans="1:16" x14ac:dyDescent="0.25">
      <c r="A26" s="13" t="s">
        <v>20422</v>
      </c>
      <c r="B26" s="14">
        <v>3048114</v>
      </c>
      <c r="C26" s="14">
        <v>3048114</v>
      </c>
      <c r="D26" s="14" t="s">
        <v>16054</v>
      </c>
      <c r="E26" s="14" t="s">
        <v>2390</v>
      </c>
      <c r="F26" s="14" t="s">
        <v>8951</v>
      </c>
      <c r="G26" s="20" t="s">
        <v>22360</v>
      </c>
      <c r="H26" s="20" t="s">
        <v>22361</v>
      </c>
      <c r="I26" s="14" t="s">
        <v>88</v>
      </c>
      <c r="J26" s="14">
        <v>3</v>
      </c>
      <c r="K26" s="14">
        <v>2</v>
      </c>
      <c r="L26" s="14" t="s">
        <v>20423</v>
      </c>
      <c r="M26" s="14" t="s">
        <v>5729</v>
      </c>
      <c r="N26" s="14" t="s">
        <v>22362</v>
      </c>
      <c r="O26" s="14" t="s">
        <v>20425</v>
      </c>
      <c r="P26" s="14" t="str">
        <f>HYPERLINK("https://dexscreener.com/solana/54A7rix3sh5n3hKpZ1VMABLAqrnod8PUCs5AXVsGpump", "View")</f>
        <v>View</v>
      </c>
    </row>
    <row r="27" spans="1:16" x14ac:dyDescent="0.25">
      <c r="A27" s="16" t="s">
        <v>20433</v>
      </c>
      <c r="B27" s="17">
        <v>20278730</v>
      </c>
      <c r="C27" s="17">
        <v>278730</v>
      </c>
      <c r="D27" s="17" t="s">
        <v>20434</v>
      </c>
      <c r="E27" s="17" t="s">
        <v>21082</v>
      </c>
      <c r="F27" s="17" t="s">
        <v>6107</v>
      </c>
      <c r="G27" s="15" t="s">
        <v>22363</v>
      </c>
      <c r="H27" s="15" t="s">
        <v>22364</v>
      </c>
      <c r="I27" s="17" t="s">
        <v>88</v>
      </c>
      <c r="J27" s="17">
        <v>1</v>
      </c>
      <c r="K27" s="17">
        <v>7</v>
      </c>
      <c r="L27" s="17" t="s">
        <v>21245</v>
      </c>
      <c r="M27" s="17" t="s">
        <v>132</v>
      </c>
      <c r="N27" s="17" t="s">
        <v>1337</v>
      </c>
      <c r="O27" s="17" t="s">
        <v>20440</v>
      </c>
      <c r="P27" s="17" t="str">
        <f>HYPERLINK("https://photon-sol.tinyastro.io/en/lp/3wJ8vbpzdXnWL2SkB3fzkdKgyAUPaK98BD9C9B2bpump?handle=676050794bc1b1657a56b", "View")</f>
        <v>View</v>
      </c>
    </row>
    <row r="28" spans="1:16" x14ac:dyDescent="0.25">
      <c r="A28" s="13" t="s">
        <v>3071</v>
      </c>
      <c r="B28" s="14">
        <v>1584794</v>
      </c>
      <c r="C28" s="14">
        <v>1584794</v>
      </c>
      <c r="D28" s="14" t="s">
        <v>16054</v>
      </c>
      <c r="E28" s="14" t="s">
        <v>569</v>
      </c>
      <c r="F28" s="14" t="s">
        <v>22365</v>
      </c>
      <c r="G28" s="21" t="s">
        <v>15474</v>
      </c>
      <c r="H28" s="21" t="s">
        <v>22366</v>
      </c>
      <c r="I28" s="14" t="s">
        <v>88</v>
      </c>
      <c r="J28" s="14">
        <v>2</v>
      </c>
      <c r="K28" s="14">
        <v>3</v>
      </c>
      <c r="L28" s="14" t="s">
        <v>22367</v>
      </c>
      <c r="M28" s="14" t="s">
        <v>179</v>
      </c>
      <c r="N28" s="14" t="s">
        <v>22368</v>
      </c>
      <c r="O28" s="14" t="s">
        <v>20448</v>
      </c>
      <c r="P28" s="14" t="str">
        <f>HYPERLINK("https://dexscreener.com/solana/CXAtTTTyrHYt1B7pc8CJThygsTLWszd9ASffCE1Npump", "View")</f>
        <v>View</v>
      </c>
    </row>
    <row r="29" spans="1:16" x14ac:dyDescent="0.25">
      <c r="A29" s="16" t="s">
        <v>3071</v>
      </c>
      <c r="B29" s="17">
        <v>1704538</v>
      </c>
      <c r="C29" s="17">
        <v>1704538</v>
      </c>
      <c r="D29" s="17" t="s">
        <v>10517</v>
      </c>
      <c r="E29" s="17" t="s">
        <v>7749</v>
      </c>
      <c r="F29" s="17" t="s">
        <v>3309</v>
      </c>
      <c r="G29" s="15" t="s">
        <v>22369</v>
      </c>
      <c r="H29" s="15" t="s">
        <v>22370</v>
      </c>
      <c r="I29" s="17" t="s">
        <v>88</v>
      </c>
      <c r="J29" s="17">
        <v>1</v>
      </c>
      <c r="K29" s="17">
        <v>1</v>
      </c>
      <c r="L29" s="17" t="s">
        <v>20450</v>
      </c>
      <c r="M29" s="17" t="s">
        <v>788</v>
      </c>
      <c r="N29" s="17" t="s">
        <v>8177</v>
      </c>
      <c r="O29" s="17" t="s">
        <v>20452</v>
      </c>
      <c r="P29" s="17" t="str">
        <f>HYPERLINK("https://photon-sol.tinyastro.io/en/lp/HwoTcHHEcUNm3AmfnMTUeg4vFxjNrYoBMM8Yy8tLpump?handle=676050794bc1b1657a56b", "View")</f>
        <v>View</v>
      </c>
    </row>
    <row r="30" spans="1:16" x14ac:dyDescent="0.25">
      <c r="A30" s="13" t="s">
        <v>20453</v>
      </c>
      <c r="B30" s="14">
        <v>28131906</v>
      </c>
      <c r="C30" s="14">
        <v>131906</v>
      </c>
      <c r="D30" s="14" t="s">
        <v>12557</v>
      </c>
      <c r="E30" s="14" t="s">
        <v>22371</v>
      </c>
      <c r="F30" s="14" t="s">
        <v>5006</v>
      </c>
      <c r="G30" s="15" t="s">
        <v>22372</v>
      </c>
      <c r="H30" s="15" t="s">
        <v>22373</v>
      </c>
      <c r="I30" s="14" t="s">
        <v>88</v>
      </c>
      <c r="J30" s="14">
        <v>1</v>
      </c>
      <c r="K30" s="14">
        <v>1</v>
      </c>
      <c r="L30" s="14" t="s">
        <v>20457</v>
      </c>
      <c r="M30" s="14" t="s">
        <v>132</v>
      </c>
      <c r="N30" s="14" t="s">
        <v>22374</v>
      </c>
      <c r="O30" s="14" t="s">
        <v>20458</v>
      </c>
      <c r="P30" s="14" t="str">
        <f>HYPERLINK("https://photon-sol.tinyastro.io/en/lp/842FK7G2wxFDgNToxFXFETizmNMJTfKrrJ2kUP6qpump?handle=676050794bc1b1657a56b", "View")</f>
        <v>View</v>
      </c>
    </row>
    <row r="31" spans="1:16" x14ac:dyDescent="0.25">
      <c r="A31" s="16" t="s">
        <v>7531</v>
      </c>
      <c r="B31" s="17">
        <v>160340</v>
      </c>
      <c r="C31" s="17">
        <v>160340</v>
      </c>
      <c r="D31" s="17" t="s">
        <v>8439</v>
      </c>
      <c r="E31" s="17" t="s">
        <v>4180</v>
      </c>
      <c r="F31" s="17" t="s">
        <v>15009</v>
      </c>
      <c r="G31" s="21" t="s">
        <v>2981</v>
      </c>
      <c r="H31" s="21" t="s">
        <v>22375</v>
      </c>
      <c r="I31" s="17" t="s">
        <v>88</v>
      </c>
      <c r="J31" s="17">
        <v>1</v>
      </c>
      <c r="K31" s="17">
        <v>2</v>
      </c>
      <c r="L31" s="17" t="s">
        <v>22376</v>
      </c>
      <c r="M31" s="17" t="s">
        <v>414</v>
      </c>
      <c r="N31" s="17" t="s">
        <v>22377</v>
      </c>
      <c r="O31" s="17" t="s">
        <v>17669</v>
      </c>
      <c r="P31" s="17" t="str">
        <f>HYPERLINK("https://dexscreener.com/solana/APXEzWaC12YAejZr1v4sBhTcJMosGSA6oV5aTn9Jpump", "View")</f>
        <v>View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D9A6-8198-46C2-A1C8-E5522B4A2EAC}">
  <dimension ref="A1:P8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HYPERLINK("https://gmgn.ai/sol/address/49Y67vr5whXpTTv8rA4zcgF8JVYi7QFZSc7zbMCXqKkX", "GMGN")</f>
        <v>GMGN</v>
      </c>
    </row>
    <row r="2" spans="1:14" x14ac:dyDescent="0.25">
      <c r="A2" s="3" t="s">
        <v>22378</v>
      </c>
      <c r="B2" s="3" t="s">
        <v>22379</v>
      </c>
      <c r="C2" s="3" t="s">
        <v>16074</v>
      </c>
      <c r="D2" s="3" t="s">
        <v>17851</v>
      </c>
      <c r="E2" s="3" t="s">
        <v>22380</v>
      </c>
      <c r="F2" s="3" t="s">
        <v>22381</v>
      </c>
      <c r="G2" s="3" t="s">
        <v>18</v>
      </c>
      <c r="H2" s="3">
        <v>66</v>
      </c>
      <c r="I2" s="3">
        <v>4</v>
      </c>
      <c r="J2" s="3" t="s">
        <v>22382</v>
      </c>
      <c r="K2" s="3" t="s">
        <v>3180</v>
      </c>
      <c r="L2" s="3">
        <v>17</v>
      </c>
      <c r="M2" s="3">
        <v>59</v>
      </c>
      <c r="N2" s="3" t="str">
        <f>HYPERLINK("https://solscan.io/account/49Y67vr5whXpTTv8rA4zcgF8JVYi7QFZSc7zbMCXqKkX", "Solscan")</f>
        <v>Solscan</v>
      </c>
    </row>
    <row r="3" spans="1:14" x14ac:dyDescent="0.25">
      <c r="A3" s="1" t="s">
        <v>21</v>
      </c>
      <c r="B3" s="4" t="s">
        <v>22383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HYPERLINK("https://birdeye.so/profile/49Y67vr5whXpTTv8rA4zcgF8JVYi7QFZSc7zbMCXqKkX", "Birdeye")</f>
        <v>Birdeye</v>
      </c>
    </row>
    <row r="4" spans="1:14" x14ac:dyDescent="0.25">
      <c r="A4" s="1" t="s">
        <v>25</v>
      </c>
      <c r="B4" s="3" t="s">
        <v>8324</v>
      </c>
      <c r="C4" s="3"/>
      <c r="D4" s="3" t="s">
        <v>17851</v>
      </c>
      <c r="E4" s="3" t="s">
        <v>22384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11190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3</v>
      </c>
      <c r="D10" s="1">
        <v>3</v>
      </c>
      <c r="E10" s="1">
        <v>26</v>
      </c>
      <c r="F10" s="1">
        <v>20</v>
      </c>
      <c r="G10" s="1">
        <v>14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22385</v>
      </c>
      <c r="D11" s="1" t="s">
        <v>22385</v>
      </c>
      <c r="E11" s="1" t="s">
        <v>22386</v>
      </c>
      <c r="F11" s="1" t="s">
        <v>22387</v>
      </c>
      <c r="G11" s="1" t="s">
        <v>20032</v>
      </c>
      <c r="H11" s="3"/>
      <c r="I11" s="3" t="s">
        <v>50</v>
      </c>
      <c r="J11" s="3" t="s">
        <v>12318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22388</v>
      </c>
      <c r="D12" s="1" t="s">
        <v>1580</v>
      </c>
      <c r="E12" s="1" t="s">
        <v>22389</v>
      </c>
      <c r="F12" s="1" t="s">
        <v>22390</v>
      </c>
      <c r="G12" s="1" t="s">
        <v>22391</v>
      </c>
      <c r="H12" s="3"/>
      <c r="I12" s="3" t="s">
        <v>59</v>
      </c>
      <c r="J12" s="3" t="s">
        <v>1785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8467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16087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22392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20522</v>
      </c>
      <c r="B20" s="14">
        <v>525518</v>
      </c>
      <c r="C20" s="14">
        <v>525518</v>
      </c>
      <c r="D20" s="14" t="s">
        <v>1595</v>
      </c>
      <c r="E20" s="14" t="s">
        <v>1007</v>
      </c>
      <c r="F20" s="14" t="s">
        <v>19936</v>
      </c>
      <c r="G20" s="15" t="s">
        <v>10007</v>
      </c>
      <c r="H20" s="15" t="s">
        <v>22393</v>
      </c>
      <c r="I20" s="14" t="s">
        <v>88</v>
      </c>
      <c r="J20" s="14">
        <v>1</v>
      </c>
      <c r="K20" s="14">
        <v>1</v>
      </c>
      <c r="L20" s="14" t="s">
        <v>22394</v>
      </c>
      <c r="M20" s="14" t="s">
        <v>2047</v>
      </c>
      <c r="N20" s="14" t="s">
        <v>22395</v>
      </c>
      <c r="O20" s="14" t="s">
        <v>20527</v>
      </c>
      <c r="P20" s="14" t="str">
        <f>HYPERLINK("https://dexscreener.com/solana/52vEwpTrQaPT6u8iZYcrmAf5seUgDaabje12cNzw2iME", "View")</f>
        <v>View</v>
      </c>
    </row>
    <row r="21" spans="1:16" x14ac:dyDescent="0.25">
      <c r="A21" s="16" t="s">
        <v>5561</v>
      </c>
      <c r="B21" s="17">
        <v>62212</v>
      </c>
      <c r="C21" s="17">
        <v>62212</v>
      </c>
      <c r="D21" s="17" t="s">
        <v>1595</v>
      </c>
      <c r="E21" s="17" t="s">
        <v>569</v>
      </c>
      <c r="F21" s="17" t="s">
        <v>13553</v>
      </c>
      <c r="G21" s="20" t="s">
        <v>22396</v>
      </c>
      <c r="H21" s="20" t="s">
        <v>13607</v>
      </c>
      <c r="I21" s="17" t="s">
        <v>88</v>
      </c>
      <c r="J21" s="17">
        <v>1</v>
      </c>
      <c r="K21" s="17">
        <v>1</v>
      </c>
      <c r="L21" s="17" t="s">
        <v>22397</v>
      </c>
      <c r="M21" s="17" t="s">
        <v>680</v>
      </c>
      <c r="N21" s="17" t="s">
        <v>22398</v>
      </c>
      <c r="O21" s="17" t="s">
        <v>18242</v>
      </c>
      <c r="P21" s="17" t="str">
        <f>HYPERLINK("https://dexscreener.com/solana/CefZxozhhxK88XPJoeWBczYSaBPd35tsKnziTH6Cpump", "View")</f>
        <v>View</v>
      </c>
    </row>
    <row r="22" spans="1:16" x14ac:dyDescent="0.25">
      <c r="A22" s="13" t="s">
        <v>382</v>
      </c>
      <c r="B22" s="14">
        <v>374417</v>
      </c>
      <c r="C22" s="14">
        <v>374417</v>
      </c>
      <c r="D22" s="14" t="s">
        <v>1595</v>
      </c>
      <c r="E22" s="14" t="s">
        <v>1007</v>
      </c>
      <c r="F22" s="14" t="s">
        <v>9627</v>
      </c>
      <c r="G22" s="20" t="s">
        <v>22399</v>
      </c>
      <c r="H22" s="20" t="s">
        <v>22400</v>
      </c>
      <c r="I22" s="14" t="s">
        <v>88</v>
      </c>
      <c r="J22" s="14">
        <v>1</v>
      </c>
      <c r="K22" s="14">
        <v>1</v>
      </c>
      <c r="L22" s="14" t="s">
        <v>22401</v>
      </c>
      <c r="M22" s="14" t="s">
        <v>2047</v>
      </c>
      <c r="N22" s="14" t="s">
        <v>22402</v>
      </c>
      <c r="O22" s="14" t="s">
        <v>386</v>
      </c>
      <c r="P22" s="14" t="str">
        <f>HYPERLINK("https://dexscreener.com/solana/3T557L68ZgBvjvuSuNQXcxH9JkJZieSEggdtWDf2pump", "View")</f>
        <v>View</v>
      </c>
    </row>
    <row r="23" spans="1:16" x14ac:dyDescent="0.25">
      <c r="A23" s="16" t="s">
        <v>22403</v>
      </c>
      <c r="B23" s="17">
        <v>32433683</v>
      </c>
      <c r="C23" s="17">
        <v>32433683</v>
      </c>
      <c r="D23" s="17" t="s">
        <v>1595</v>
      </c>
      <c r="E23" s="17" t="s">
        <v>2108</v>
      </c>
      <c r="F23" s="17" t="s">
        <v>3342</v>
      </c>
      <c r="G23" s="20" t="s">
        <v>14277</v>
      </c>
      <c r="H23" s="20" t="s">
        <v>8046</v>
      </c>
      <c r="I23" s="17" t="s">
        <v>88</v>
      </c>
      <c r="J23" s="17">
        <v>1</v>
      </c>
      <c r="K23" s="17">
        <v>1</v>
      </c>
      <c r="L23" s="17" t="s">
        <v>22404</v>
      </c>
      <c r="M23" s="17" t="s">
        <v>287</v>
      </c>
      <c r="N23" s="17" t="s">
        <v>2308</v>
      </c>
      <c r="O23" s="17" t="s">
        <v>22405</v>
      </c>
      <c r="P23" s="17" t="str">
        <f>HYPERLINK("https://photon-sol.tinyastro.io/en/lp/HfZYTkK7xURjQbo1UVgEQBXwiRpVWmkXwqUVDEAPpump?handle=676050794bc1b1657a56b", "View")</f>
        <v>View</v>
      </c>
    </row>
    <row r="24" spans="1:16" x14ac:dyDescent="0.25">
      <c r="A24" s="13" t="s">
        <v>392</v>
      </c>
      <c r="B24" s="14">
        <v>129674</v>
      </c>
      <c r="C24" s="14">
        <v>129674</v>
      </c>
      <c r="D24" s="14" t="s">
        <v>1595</v>
      </c>
      <c r="E24" s="14" t="s">
        <v>569</v>
      </c>
      <c r="F24" s="14" t="s">
        <v>21140</v>
      </c>
      <c r="G24" s="22" t="s">
        <v>1816</v>
      </c>
      <c r="H24" s="22" t="s">
        <v>4148</v>
      </c>
      <c r="I24" s="14" t="s">
        <v>88</v>
      </c>
      <c r="J24" s="14">
        <v>1</v>
      </c>
      <c r="K24" s="14">
        <v>1</v>
      </c>
      <c r="L24" s="14" t="s">
        <v>22406</v>
      </c>
      <c r="M24" s="14" t="s">
        <v>2113</v>
      </c>
      <c r="N24" s="14" t="s">
        <v>22407</v>
      </c>
      <c r="O24" s="14" t="s">
        <v>400</v>
      </c>
      <c r="P24" s="14" t="str">
        <f>HYPERLINK("https://dexscreener.com/solana/BTdGTUjHz5FUSf91Ufo9L9r4LFMTRhE1qDtvUUfypump", "View")</f>
        <v>View</v>
      </c>
    </row>
    <row r="25" spans="1:16" x14ac:dyDescent="0.25">
      <c r="A25" s="16" t="s">
        <v>22408</v>
      </c>
      <c r="B25" s="17">
        <v>861054</v>
      </c>
      <c r="C25" s="17">
        <v>861054</v>
      </c>
      <c r="D25" s="17" t="s">
        <v>1595</v>
      </c>
      <c r="E25" s="17" t="s">
        <v>1457</v>
      </c>
      <c r="F25" s="17" t="s">
        <v>3548</v>
      </c>
      <c r="G25" s="15" t="s">
        <v>2268</v>
      </c>
      <c r="H25" s="15" t="s">
        <v>22409</v>
      </c>
      <c r="I25" s="17" t="s">
        <v>88</v>
      </c>
      <c r="J25" s="17">
        <v>1</v>
      </c>
      <c r="K25" s="17">
        <v>1</v>
      </c>
      <c r="L25" s="17" t="s">
        <v>22410</v>
      </c>
      <c r="M25" s="17" t="s">
        <v>602</v>
      </c>
      <c r="N25" s="17" t="s">
        <v>22411</v>
      </c>
      <c r="O25" s="17" t="s">
        <v>22412</v>
      </c>
      <c r="P25" s="17" t="str">
        <f>HYPERLINK("https://dexscreener.com/solana/E4PwDXy9p9dAfoV9xvWDSkHHDVPWFawxGhmkGbYfpump", "View")</f>
        <v>View</v>
      </c>
    </row>
    <row r="26" spans="1:16" x14ac:dyDescent="0.25">
      <c r="A26" s="13" t="s">
        <v>22413</v>
      </c>
      <c r="B26" s="14">
        <v>3221620</v>
      </c>
      <c r="C26" s="14">
        <v>3221620</v>
      </c>
      <c r="D26" s="14" t="s">
        <v>1595</v>
      </c>
      <c r="E26" s="14" t="s">
        <v>14458</v>
      </c>
      <c r="F26" s="14" t="s">
        <v>4235</v>
      </c>
      <c r="G26" s="15" t="s">
        <v>20303</v>
      </c>
      <c r="H26" s="15" t="s">
        <v>22414</v>
      </c>
      <c r="I26" s="14" t="s">
        <v>88</v>
      </c>
      <c r="J26" s="14">
        <v>1</v>
      </c>
      <c r="K26" s="14">
        <v>1</v>
      </c>
      <c r="L26" s="14" t="s">
        <v>22415</v>
      </c>
      <c r="M26" s="14" t="s">
        <v>1434</v>
      </c>
      <c r="N26" s="14" t="s">
        <v>22416</v>
      </c>
      <c r="O26" s="14" t="s">
        <v>22417</v>
      </c>
      <c r="P26" s="14" t="str">
        <f>HYPERLINK("https://photon-sol.tinyastro.io/en/lp/Agr13e1w2zp7JzRpgxqa7hG7yoBz2hjZyZ9ZXYC2pump?handle=676050794bc1b1657a56b", "View")</f>
        <v>View</v>
      </c>
    </row>
    <row r="27" spans="1:16" x14ac:dyDescent="0.25">
      <c r="A27" s="16" t="s">
        <v>22418</v>
      </c>
      <c r="B27" s="17">
        <v>3289586</v>
      </c>
      <c r="C27" s="17">
        <v>1804083</v>
      </c>
      <c r="D27" s="17" t="s">
        <v>22419</v>
      </c>
      <c r="E27" s="17" t="s">
        <v>22420</v>
      </c>
      <c r="F27" s="17" t="s">
        <v>22421</v>
      </c>
      <c r="G27" s="22" t="s">
        <v>2588</v>
      </c>
      <c r="H27" s="22" t="s">
        <v>22422</v>
      </c>
      <c r="I27" s="17" t="s">
        <v>88</v>
      </c>
      <c r="J27" s="17">
        <v>6</v>
      </c>
      <c r="K27" s="17">
        <v>5</v>
      </c>
      <c r="L27" s="17" t="s">
        <v>22423</v>
      </c>
      <c r="M27" s="17" t="s">
        <v>8522</v>
      </c>
      <c r="N27" s="17" t="s">
        <v>22424</v>
      </c>
      <c r="O27" s="17" t="s">
        <v>22425</v>
      </c>
      <c r="P27" s="17" t="str">
        <f>HYPERLINK("https://dexscreener.com/solana/Acze6KGwihrzHPZS1RPYNvfUtm2MZ7YSDHiuxLuRpump", "View")</f>
        <v>View</v>
      </c>
    </row>
    <row r="28" spans="1:16" x14ac:dyDescent="0.25">
      <c r="A28" s="13" t="s">
        <v>6711</v>
      </c>
      <c r="B28" s="14">
        <v>101020</v>
      </c>
      <c r="C28" s="14">
        <v>101020</v>
      </c>
      <c r="D28" s="14" t="s">
        <v>1595</v>
      </c>
      <c r="E28" s="14" t="s">
        <v>1007</v>
      </c>
      <c r="F28" s="14" t="s">
        <v>22426</v>
      </c>
      <c r="G28" s="22" t="s">
        <v>22427</v>
      </c>
      <c r="H28" s="22" t="s">
        <v>22428</v>
      </c>
      <c r="I28" s="14" t="s">
        <v>88</v>
      </c>
      <c r="J28" s="14">
        <v>1</v>
      </c>
      <c r="K28" s="14">
        <v>1</v>
      </c>
      <c r="L28" s="14" t="s">
        <v>22429</v>
      </c>
      <c r="M28" s="14" t="s">
        <v>1957</v>
      </c>
      <c r="N28" s="14" t="s">
        <v>15880</v>
      </c>
      <c r="O28" s="14" t="s">
        <v>6717</v>
      </c>
      <c r="P28" s="14" t="str">
        <f>HYPERLINK("https://dexscreener.com/solana/321tt4d8ZCGAdUB9PdB2cMtEL3uaJV4MaCzY2pTQpump", "View")</f>
        <v>View</v>
      </c>
    </row>
    <row r="29" spans="1:16" x14ac:dyDescent="0.25">
      <c r="A29" s="16" t="s">
        <v>22430</v>
      </c>
      <c r="B29" s="17">
        <v>1890447</v>
      </c>
      <c r="C29" s="17">
        <v>1890447</v>
      </c>
      <c r="D29" s="17" t="s">
        <v>22431</v>
      </c>
      <c r="E29" s="17" t="s">
        <v>1007</v>
      </c>
      <c r="F29" s="17" t="s">
        <v>22432</v>
      </c>
      <c r="G29" s="20" t="s">
        <v>22433</v>
      </c>
      <c r="H29" s="20" t="s">
        <v>22434</v>
      </c>
      <c r="I29" s="17" t="s">
        <v>88</v>
      </c>
      <c r="J29" s="17">
        <v>1</v>
      </c>
      <c r="K29" s="17">
        <v>1</v>
      </c>
      <c r="L29" s="17" t="s">
        <v>22435</v>
      </c>
      <c r="M29" s="17" t="s">
        <v>1809</v>
      </c>
      <c r="N29" s="17" t="s">
        <v>22436</v>
      </c>
      <c r="O29" s="17" t="s">
        <v>22437</v>
      </c>
      <c r="P29" s="17" t="str">
        <f>HYPERLINK("https://dexscreener.com/solana/CcSSLycEGqhZtZW2jnzrhA5Q8csa1THeZGrHM7Jupump", "View")</f>
        <v>View</v>
      </c>
    </row>
    <row r="30" spans="1:16" x14ac:dyDescent="0.25">
      <c r="A30" s="13" t="s">
        <v>6718</v>
      </c>
      <c r="B30" s="14">
        <v>1299363</v>
      </c>
      <c r="C30" s="14">
        <v>1299363</v>
      </c>
      <c r="D30" s="14" t="s">
        <v>1595</v>
      </c>
      <c r="E30" s="14" t="s">
        <v>1007</v>
      </c>
      <c r="F30" s="14" t="s">
        <v>3750</v>
      </c>
      <c r="G30" s="15" t="s">
        <v>22438</v>
      </c>
      <c r="H30" s="15" t="s">
        <v>22439</v>
      </c>
      <c r="I30" s="14" t="s">
        <v>88</v>
      </c>
      <c r="J30" s="14">
        <v>1</v>
      </c>
      <c r="K30" s="14">
        <v>1</v>
      </c>
      <c r="L30" s="14" t="s">
        <v>22440</v>
      </c>
      <c r="M30" s="14" t="s">
        <v>2047</v>
      </c>
      <c r="N30" s="14" t="s">
        <v>10462</v>
      </c>
      <c r="O30" s="14" t="s">
        <v>6725</v>
      </c>
      <c r="P30" s="14" t="str">
        <f>HYPERLINK("https://dexscreener.com/solana/PLg1yQLLtEXWiffVmwMUmtzeFRpvTuXF1Rh5ERopump", "View")</f>
        <v>View</v>
      </c>
    </row>
    <row r="31" spans="1:16" x14ac:dyDescent="0.25">
      <c r="A31" s="16" t="s">
        <v>22441</v>
      </c>
      <c r="B31" s="17">
        <v>7401843</v>
      </c>
      <c r="C31" s="17">
        <v>7401843</v>
      </c>
      <c r="D31" s="17" t="s">
        <v>1595</v>
      </c>
      <c r="E31" s="17" t="s">
        <v>15046</v>
      </c>
      <c r="F31" s="17" t="s">
        <v>22442</v>
      </c>
      <c r="G31" s="20" t="s">
        <v>11238</v>
      </c>
      <c r="H31" s="20" t="s">
        <v>22443</v>
      </c>
      <c r="I31" s="17" t="s">
        <v>88</v>
      </c>
      <c r="J31" s="17">
        <v>1</v>
      </c>
      <c r="K31" s="17">
        <v>1</v>
      </c>
      <c r="L31" s="17" t="s">
        <v>22444</v>
      </c>
      <c r="M31" s="17" t="s">
        <v>602</v>
      </c>
      <c r="N31" s="17" t="s">
        <v>22445</v>
      </c>
      <c r="O31" s="17" t="s">
        <v>22446</v>
      </c>
      <c r="P31" s="17" t="str">
        <f>HYPERLINK("https://photon-sol.tinyastro.io/en/lp/DAjMk1tm5g5QcTXtXEJqHiuJtvhjKubNMqLY5ryDpump?handle=676050794bc1b1657a56b", "View")</f>
        <v>View</v>
      </c>
    </row>
    <row r="32" spans="1:16" x14ac:dyDescent="0.25">
      <c r="A32" s="13" t="s">
        <v>22447</v>
      </c>
      <c r="B32" s="14">
        <v>5770120</v>
      </c>
      <c r="C32" s="14">
        <v>5770120</v>
      </c>
      <c r="D32" s="14" t="s">
        <v>1595</v>
      </c>
      <c r="E32" s="14" t="s">
        <v>19689</v>
      </c>
      <c r="F32" s="14" t="s">
        <v>5242</v>
      </c>
      <c r="G32" s="20" t="s">
        <v>18437</v>
      </c>
      <c r="H32" s="20" t="s">
        <v>22448</v>
      </c>
      <c r="I32" s="14" t="s">
        <v>88</v>
      </c>
      <c r="J32" s="14">
        <v>1</v>
      </c>
      <c r="K32" s="14">
        <v>1</v>
      </c>
      <c r="L32" s="14" t="s">
        <v>22449</v>
      </c>
      <c r="M32" s="14" t="s">
        <v>1448</v>
      </c>
      <c r="N32" s="14" t="s">
        <v>22450</v>
      </c>
      <c r="O32" s="14" t="s">
        <v>22451</v>
      </c>
      <c r="P32" s="14" t="str">
        <f>HYPERLINK("https://photon-sol.tinyastro.io/en/lp/Bg1AVerdroKKmGGU8fw4p7ZF8qUMgJE1QMpLYfT4pump?handle=676050794bc1b1657a56b", "View")</f>
        <v>View</v>
      </c>
    </row>
    <row r="33" spans="1:16" x14ac:dyDescent="0.25">
      <c r="A33" s="16" t="s">
        <v>9575</v>
      </c>
      <c r="B33" s="17">
        <v>76120</v>
      </c>
      <c r="C33" s="17">
        <v>76120</v>
      </c>
      <c r="D33" s="17" t="s">
        <v>1691</v>
      </c>
      <c r="E33" s="17" t="s">
        <v>1457</v>
      </c>
      <c r="F33" s="17" t="s">
        <v>22452</v>
      </c>
      <c r="G33" s="21" t="s">
        <v>22453</v>
      </c>
      <c r="H33" s="21" t="s">
        <v>22454</v>
      </c>
      <c r="I33" s="17" t="s">
        <v>88</v>
      </c>
      <c r="J33" s="17">
        <v>1</v>
      </c>
      <c r="K33" s="17">
        <v>2</v>
      </c>
      <c r="L33" s="17" t="s">
        <v>22455</v>
      </c>
      <c r="M33" s="17" t="s">
        <v>304</v>
      </c>
      <c r="N33" s="17" t="s">
        <v>22456</v>
      </c>
      <c r="O33" s="17" t="s">
        <v>9582</v>
      </c>
      <c r="P33" s="17" t="str">
        <f>HYPERLINK("https://dexscreener.com/solana/6MAWnfagDCzqmHQh88FVt9F1zzLqXpwGJpaL7zUTpump", "View")</f>
        <v>View</v>
      </c>
    </row>
    <row r="34" spans="1:16" x14ac:dyDescent="0.25">
      <c r="A34" s="13" t="s">
        <v>15893</v>
      </c>
      <c r="B34" s="14">
        <v>372336</v>
      </c>
      <c r="C34" s="14">
        <v>372336</v>
      </c>
      <c r="D34" s="14" t="s">
        <v>1595</v>
      </c>
      <c r="E34" s="14" t="s">
        <v>1007</v>
      </c>
      <c r="F34" s="14" t="s">
        <v>22457</v>
      </c>
      <c r="G34" s="15" t="s">
        <v>22458</v>
      </c>
      <c r="H34" s="15" t="s">
        <v>22459</v>
      </c>
      <c r="I34" s="14" t="s">
        <v>88</v>
      </c>
      <c r="J34" s="14">
        <v>1</v>
      </c>
      <c r="K34" s="14">
        <v>1</v>
      </c>
      <c r="L34" s="14" t="s">
        <v>22460</v>
      </c>
      <c r="M34" s="14" t="s">
        <v>680</v>
      </c>
      <c r="N34" s="14" t="s">
        <v>22461</v>
      </c>
      <c r="O34" s="14" t="s">
        <v>15897</v>
      </c>
      <c r="P34" s="14" t="str">
        <f>HYPERLINK("https://dexscreener.com/solana/9rLGTvxXEhhdyZtJA34pFV21oZhsi3MRho9hv54vpump", "View")</f>
        <v>View</v>
      </c>
    </row>
    <row r="35" spans="1:16" x14ac:dyDescent="0.25">
      <c r="A35" s="16" t="s">
        <v>12957</v>
      </c>
      <c r="B35" s="17">
        <v>319105</v>
      </c>
      <c r="C35" s="17">
        <v>319105</v>
      </c>
      <c r="D35" s="17" t="s">
        <v>1595</v>
      </c>
      <c r="E35" s="17" t="s">
        <v>569</v>
      </c>
      <c r="F35" s="17" t="s">
        <v>22462</v>
      </c>
      <c r="G35" s="22" t="s">
        <v>3859</v>
      </c>
      <c r="H35" s="22" t="s">
        <v>22463</v>
      </c>
      <c r="I35" s="17" t="s">
        <v>88</v>
      </c>
      <c r="J35" s="17">
        <v>1</v>
      </c>
      <c r="K35" s="17">
        <v>1</v>
      </c>
      <c r="L35" s="17" t="s">
        <v>22464</v>
      </c>
      <c r="M35" s="17" t="s">
        <v>1448</v>
      </c>
      <c r="N35" s="17" t="s">
        <v>22465</v>
      </c>
      <c r="O35" s="17" t="s">
        <v>12963</v>
      </c>
      <c r="P35" s="17" t="str">
        <f>HYPERLINK("https://dexscreener.com/solana/4994XJ88RjBS5SKv7qSe4fM3qtPRYzqYBQLe4NRDpump", "View")</f>
        <v>View</v>
      </c>
    </row>
    <row r="36" spans="1:16" x14ac:dyDescent="0.25">
      <c r="A36" s="13" t="s">
        <v>5256</v>
      </c>
      <c r="B36" s="14">
        <v>99572</v>
      </c>
      <c r="C36" s="14">
        <v>99572</v>
      </c>
      <c r="D36" s="14" t="s">
        <v>1595</v>
      </c>
      <c r="E36" s="14" t="s">
        <v>1007</v>
      </c>
      <c r="F36" s="14" t="s">
        <v>3602</v>
      </c>
      <c r="G36" s="22" t="s">
        <v>6398</v>
      </c>
      <c r="H36" s="22" t="s">
        <v>22466</v>
      </c>
      <c r="I36" s="14" t="s">
        <v>88</v>
      </c>
      <c r="J36" s="14">
        <v>1</v>
      </c>
      <c r="K36" s="14">
        <v>1</v>
      </c>
      <c r="L36" s="14" t="s">
        <v>22467</v>
      </c>
      <c r="M36" s="14" t="s">
        <v>1526</v>
      </c>
      <c r="N36" s="14" t="s">
        <v>22468</v>
      </c>
      <c r="O36" s="14" t="s">
        <v>5261</v>
      </c>
      <c r="P36" s="14" t="str">
        <f>HYPERLINK("https://dexscreener.com/solana/hf8aYwMK2cYv7t4uUhUAqpdwTS3sja2z9RJMQZ2pump", "View")</f>
        <v>View</v>
      </c>
    </row>
    <row r="37" spans="1:16" x14ac:dyDescent="0.25">
      <c r="A37" s="16" t="s">
        <v>22469</v>
      </c>
      <c r="B37" s="17">
        <v>10147150</v>
      </c>
      <c r="C37" s="17">
        <v>10147150</v>
      </c>
      <c r="D37" s="17" t="s">
        <v>1595</v>
      </c>
      <c r="E37" s="17" t="s">
        <v>10210</v>
      </c>
      <c r="F37" s="17" t="s">
        <v>22470</v>
      </c>
      <c r="G37" s="22" t="s">
        <v>6816</v>
      </c>
      <c r="H37" s="22" t="s">
        <v>22471</v>
      </c>
      <c r="I37" s="17" t="s">
        <v>88</v>
      </c>
      <c r="J37" s="17">
        <v>1</v>
      </c>
      <c r="K37" s="17">
        <v>1</v>
      </c>
      <c r="L37" s="17" t="s">
        <v>22472</v>
      </c>
      <c r="M37" s="19" t="s">
        <v>2915</v>
      </c>
      <c r="N37" s="17" t="s">
        <v>591</v>
      </c>
      <c r="O37" s="17" t="s">
        <v>22473</v>
      </c>
      <c r="P37" s="17" t="str">
        <f>HYPERLINK("https://photon-sol.tinyastro.io/en/lp/FtMUyU78jxtsrdfkZbKrGUkyz4kmULndttmgWkFGpump?handle=676050794bc1b1657a56b", "View")</f>
        <v>View</v>
      </c>
    </row>
    <row r="38" spans="1:16" x14ac:dyDescent="0.25">
      <c r="A38" s="13" t="s">
        <v>1755</v>
      </c>
      <c r="B38" s="14">
        <v>178866</v>
      </c>
      <c r="C38" s="14">
        <v>178866</v>
      </c>
      <c r="D38" s="14" t="s">
        <v>1595</v>
      </c>
      <c r="E38" s="14" t="s">
        <v>569</v>
      </c>
      <c r="F38" s="14" t="s">
        <v>22474</v>
      </c>
      <c r="G38" s="22" t="s">
        <v>5861</v>
      </c>
      <c r="H38" s="22" t="s">
        <v>22475</v>
      </c>
      <c r="I38" s="14" t="s">
        <v>88</v>
      </c>
      <c r="J38" s="14">
        <v>1</v>
      </c>
      <c r="K38" s="14">
        <v>1</v>
      </c>
      <c r="L38" s="14" t="s">
        <v>22476</v>
      </c>
      <c r="M38" s="14" t="s">
        <v>1434</v>
      </c>
      <c r="N38" s="14" t="s">
        <v>22477</v>
      </c>
      <c r="O38" s="14" t="s">
        <v>14911</v>
      </c>
      <c r="P38" s="14" t="str">
        <f>HYPERLINK("https://dexscreener.com/solana/82SP62Q6VL8Tuy5akaNVicvfJVgwDtjL7JqyBhcKpump", "View")</f>
        <v>View</v>
      </c>
    </row>
    <row r="39" spans="1:16" x14ac:dyDescent="0.25">
      <c r="A39" s="16" t="s">
        <v>3358</v>
      </c>
      <c r="B39" s="17">
        <v>4179730</v>
      </c>
      <c r="C39" s="17">
        <v>4179730</v>
      </c>
      <c r="D39" s="17" t="s">
        <v>1595</v>
      </c>
      <c r="E39" s="17" t="s">
        <v>1007</v>
      </c>
      <c r="F39" s="17" t="s">
        <v>8582</v>
      </c>
      <c r="G39" s="22" t="s">
        <v>5077</v>
      </c>
      <c r="H39" s="22" t="s">
        <v>22478</v>
      </c>
      <c r="I39" s="17" t="s">
        <v>88</v>
      </c>
      <c r="J39" s="17">
        <v>1</v>
      </c>
      <c r="K39" s="17">
        <v>1</v>
      </c>
      <c r="L39" s="17" t="s">
        <v>22479</v>
      </c>
      <c r="M39" s="17" t="s">
        <v>1434</v>
      </c>
      <c r="N39" s="17" t="s">
        <v>22480</v>
      </c>
      <c r="O39" s="17" t="s">
        <v>3364</v>
      </c>
      <c r="P39" s="17" t="str">
        <f>HYPERLINK("https://dexscreener.com/solana/86DTwX1M7xt4HnDZNuVUXyMLTsdGKFwuLyLBpTpBpump", "View")</f>
        <v>View</v>
      </c>
    </row>
    <row r="40" spans="1:16" x14ac:dyDescent="0.25">
      <c r="A40" s="13" t="s">
        <v>22481</v>
      </c>
      <c r="B40" s="14">
        <v>20490532</v>
      </c>
      <c r="C40" s="14">
        <v>20490532</v>
      </c>
      <c r="D40" s="14" t="s">
        <v>1646</v>
      </c>
      <c r="E40" s="14" t="s">
        <v>21115</v>
      </c>
      <c r="F40" s="14" t="s">
        <v>22482</v>
      </c>
      <c r="G40" s="21" t="s">
        <v>13738</v>
      </c>
      <c r="H40" s="21" t="s">
        <v>22483</v>
      </c>
      <c r="I40" s="14" t="s">
        <v>88</v>
      </c>
      <c r="J40" s="14">
        <v>1</v>
      </c>
      <c r="K40" s="14">
        <v>2</v>
      </c>
      <c r="L40" s="14" t="s">
        <v>22484</v>
      </c>
      <c r="M40" s="14" t="s">
        <v>1434</v>
      </c>
      <c r="N40" s="14" t="s">
        <v>22485</v>
      </c>
      <c r="O40" s="14" t="s">
        <v>22486</v>
      </c>
      <c r="P40" s="14" t="str">
        <f>HYPERLINK("https://photon-sol.tinyastro.io/en/lp/Hp3Z6DrKELNP67cndiZEPsBnKdQfLq5TwJHaehdApump?handle=676050794bc1b1657a56b", "View")</f>
        <v>View</v>
      </c>
    </row>
    <row r="41" spans="1:16" x14ac:dyDescent="0.25">
      <c r="A41" s="16" t="s">
        <v>22487</v>
      </c>
      <c r="B41" s="17">
        <v>47153003</v>
      </c>
      <c r="C41" s="17">
        <v>47153003</v>
      </c>
      <c r="D41" s="17" t="s">
        <v>22488</v>
      </c>
      <c r="E41" s="17" t="s">
        <v>2368</v>
      </c>
      <c r="F41" s="17" t="s">
        <v>9080</v>
      </c>
      <c r="G41" s="22" t="s">
        <v>3773</v>
      </c>
      <c r="H41" s="22" t="s">
        <v>22489</v>
      </c>
      <c r="I41" s="17" t="s">
        <v>88</v>
      </c>
      <c r="J41" s="17">
        <v>2</v>
      </c>
      <c r="K41" s="17">
        <v>3</v>
      </c>
      <c r="L41" s="17" t="s">
        <v>22490</v>
      </c>
      <c r="M41" s="17" t="s">
        <v>150</v>
      </c>
      <c r="N41" s="17" t="s">
        <v>22491</v>
      </c>
      <c r="O41" s="17" t="s">
        <v>22492</v>
      </c>
      <c r="P41" s="17" t="str">
        <f>HYPERLINK("https://photon-sol.tinyastro.io/en/lp/9WbqfMPhNJHGiyWjJfPhX8aRyMv1hPkX1WNWoSKopump?handle=676050794bc1b1657a56b", "View")</f>
        <v>View</v>
      </c>
    </row>
    <row r="42" spans="1:16" x14ac:dyDescent="0.25">
      <c r="A42" s="13" t="s">
        <v>6670</v>
      </c>
      <c r="B42" s="14">
        <v>2164589</v>
      </c>
      <c r="C42" s="14">
        <v>2164589</v>
      </c>
      <c r="D42" s="14" t="s">
        <v>2026</v>
      </c>
      <c r="E42" s="14" t="s">
        <v>3404</v>
      </c>
      <c r="F42" s="14" t="s">
        <v>1509</v>
      </c>
      <c r="G42" s="20" t="s">
        <v>2172</v>
      </c>
      <c r="H42" s="20" t="s">
        <v>22493</v>
      </c>
      <c r="I42" s="14" t="s">
        <v>88</v>
      </c>
      <c r="J42" s="14">
        <v>2</v>
      </c>
      <c r="K42" s="14">
        <v>3</v>
      </c>
      <c r="L42" s="14" t="s">
        <v>22494</v>
      </c>
      <c r="M42" s="14" t="s">
        <v>132</v>
      </c>
      <c r="N42" s="14" t="s">
        <v>22495</v>
      </c>
      <c r="O42" s="14" t="s">
        <v>6676</v>
      </c>
      <c r="P42" s="14" t="str">
        <f>HYPERLINK("https://dexscreener.com/solana/5htRq8A33EaivheAGtuBTWwM6UA18NR9JL3MjkfLpump", "View")</f>
        <v>View</v>
      </c>
    </row>
    <row r="43" spans="1:16" x14ac:dyDescent="0.25">
      <c r="A43" s="16" t="s">
        <v>22496</v>
      </c>
      <c r="B43" s="17">
        <v>796338</v>
      </c>
      <c r="C43" s="17">
        <v>796338</v>
      </c>
      <c r="D43" s="17" t="s">
        <v>22497</v>
      </c>
      <c r="E43" s="17" t="s">
        <v>569</v>
      </c>
      <c r="F43" s="17" t="s">
        <v>22498</v>
      </c>
      <c r="G43" s="22" t="s">
        <v>10388</v>
      </c>
      <c r="H43" s="22" t="s">
        <v>22499</v>
      </c>
      <c r="I43" s="17" t="s">
        <v>88</v>
      </c>
      <c r="J43" s="17">
        <v>1</v>
      </c>
      <c r="K43" s="17">
        <v>2</v>
      </c>
      <c r="L43" s="17" t="s">
        <v>22500</v>
      </c>
      <c r="M43" s="17" t="s">
        <v>3180</v>
      </c>
      <c r="N43" s="17" t="s">
        <v>22501</v>
      </c>
      <c r="O43" s="17" t="s">
        <v>22502</v>
      </c>
      <c r="P43" s="17" t="str">
        <f>HYPERLINK("https://dexscreener.com/solana/3n1xUaWFVV1s8WTzpwSdn2Ku5MJ2w1uC8RXWxBZxpump", "View")</f>
        <v>View</v>
      </c>
    </row>
    <row r="44" spans="1:16" x14ac:dyDescent="0.25">
      <c r="A44" s="13" t="s">
        <v>22503</v>
      </c>
      <c r="B44" s="14">
        <v>11656730</v>
      </c>
      <c r="C44" s="14">
        <v>11656730</v>
      </c>
      <c r="D44" s="14" t="s">
        <v>1595</v>
      </c>
      <c r="E44" s="14" t="s">
        <v>11279</v>
      </c>
      <c r="F44" s="14" t="s">
        <v>3412</v>
      </c>
      <c r="G44" s="20" t="s">
        <v>21254</v>
      </c>
      <c r="H44" s="20" t="s">
        <v>22504</v>
      </c>
      <c r="I44" s="14" t="s">
        <v>88</v>
      </c>
      <c r="J44" s="14">
        <v>1</v>
      </c>
      <c r="K44" s="14">
        <v>1</v>
      </c>
      <c r="L44" s="14" t="s">
        <v>22505</v>
      </c>
      <c r="M44" s="14" t="s">
        <v>2617</v>
      </c>
      <c r="N44" s="14" t="s">
        <v>507</v>
      </c>
      <c r="O44" s="14" t="s">
        <v>22506</v>
      </c>
      <c r="P44" s="14" t="str">
        <f>HYPERLINK("https://photon-sol.tinyastro.io/en/lp/8pMehyGNB6dSrXgjvJ3NBqPJ4qz2SsKt6f8A1qV8LpRv?handle=676050794bc1b1657a56b", "View")</f>
        <v>View</v>
      </c>
    </row>
    <row r="45" spans="1:16" x14ac:dyDescent="0.25">
      <c r="A45" s="16" t="s">
        <v>3334</v>
      </c>
      <c r="B45" s="17">
        <v>1598527</v>
      </c>
      <c r="C45" s="17">
        <v>1598527</v>
      </c>
      <c r="D45" s="17" t="s">
        <v>1595</v>
      </c>
      <c r="E45" s="17" t="s">
        <v>1007</v>
      </c>
      <c r="F45" s="17" t="s">
        <v>2623</v>
      </c>
      <c r="G45" s="15" t="s">
        <v>7845</v>
      </c>
      <c r="H45" s="15" t="s">
        <v>22507</v>
      </c>
      <c r="I45" s="17" t="s">
        <v>88</v>
      </c>
      <c r="J45" s="17">
        <v>1</v>
      </c>
      <c r="K45" s="17">
        <v>1</v>
      </c>
      <c r="L45" s="17" t="s">
        <v>22508</v>
      </c>
      <c r="M45" s="17" t="s">
        <v>1642</v>
      </c>
      <c r="N45" s="17" t="s">
        <v>22509</v>
      </c>
      <c r="O45" s="17" t="s">
        <v>3340</v>
      </c>
      <c r="P45" s="17" t="str">
        <f>HYPERLINK("https://dexscreener.com/solana/AJ1JhYYnKookYLZUEoV1ApFVjZwvKW5A9LmzLBFspump", "View")</f>
        <v>View</v>
      </c>
    </row>
    <row r="46" spans="1:16" x14ac:dyDescent="0.25">
      <c r="A46" s="13" t="s">
        <v>22510</v>
      </c>
      <c r="B46" s="14">
        <v>15025934</v>
      </c>
      <c r="C46" s="14">
        <v>15025934</v>
      </c>
      <c r="D46" s="14" t="s">
        <v>1646</v>
      </c>
      <c r="E46" s="14" t="s">
        <v>8925</v>
      </c>
      <c r="F46" s="14" t="s">
        <v>21789</v>
      </c>
      <c r="G46" s="22" t="s">
        <v>3884</v>
      </c>
      <c r="H46" s="22" t="s">
        <v>22511</v>
      </c>
      <c r="I46" s="14" t="s">
        <v>88</v>
      </c>
      <c r="J46" s="14">
        <v>1</v>
      </c>
      <c r="K46" s="14">
        <v>2</v>
      </c>
      <c r="L46" s="14" t="s">
        <v>22512</v>
      </c>
      <c r="M46" s="14" t="s">
        <v>1566</v>
      </c>
      <c r="N46" s="14" t="s">
        <v>507</v>
      </c>
      <c r="O46" s="14" t="s">
        <v>22513</v>
      </c>
      <c r="P46" s="14" t="str">
        <f>HYPERLINK("https://photon-sol.tinyastro.io/en/lp/GsMUoEdBQWTtBVNX3E1tANjz2qLnFMqAT9pFgctDzZed?handle=676050794bc1b1657a56b", "View")</f>
        <v>View</v>
      </c>
    </row>
    <row r="47" spans="1:16" x14ac:dyDescent="0.25">
      <c r="A47" s="16" t="s">
        <v>22514</v>
      </c>
      <c r="B47" s="17">
        <v>10517753</v>
      </c>
      <c r="C47" s="17">
        <v>10517753</v>
      </c>
      <c r="D47" s="17" t="s">
        <v>1595</v>
      </c>
      <c r="E47" s="17" t="s">
        <v>3291</v>
      </c>
      <c r="F47" s="17" t="s">
        <v>22515</v>
      </c>
      <c r="G47" s="22" t="s">
        <v>8118</v>
      </c>
      <c r="H47" s="22" t="s">
        <v>22516</v>
      </c>
      <c r="I47" s="17" t="s">
        <v>88</v>
      </c>
      <c r="J47" s="17">
        <v>1</v>
      </c>
      <c r="K47" s="17">
        <v>1</v>
      </c>
      <c r="L47" s="17" t="s">
        <v>22517</v>
      </c>
      <c r="M47" s="19" t="s">
        <v>1619</v>
      </c>
      <c r="N47" s="17" t="s">
        <v>19815</v>
      </c>
      <c r="O47" s="17" t="s">
        <v>22518</v>
      </c>
      <c r="P47" s="17" t="str">
        <f>HYPERLINK("https://photon-sol.tinyastro.io/en/lp/BXHPjMMg1w7re5CcAumtCfhAQ1SzLexeqeA7Mh4Vpump?handle=676050794bc1b1657a56b", "View")</f>
        <v>View</v>
      </c>
    </row>
    <row r="48" spans="1:16" x14ac:dyDescent="0.25">
      <c r="A48" s="13" t="s">
        <v>18390</v>
      </c>
      <c r="B48" s="14">
        <v>3346636</v>
      </c>
      <c r="C48" s="14">
        <v>3346636</v>
      </c>
      <c r="D48" s="14" t="s">
        <v>1595</v>
      </c>
      <c r="E48" s="14" t="s">
        <v>1457</v>
      </c>
      <c r="F48" s="14" t="s">
        <v>16833</v>
      </c>
      <c r="G48" s="22" t="s">
        <v>22519</v>
      </c>
      <c r="H48" s="22" t="s">
        <v>22520</v>
      </c>
      <c r="I48" s="14" t="s">
        <v>88</v>
      </c>
      <c r="J48" s="14">
        <v>1</v>
      </c>
      <c r="K48" s="14">
        <v>1</v>
      </c>
      <c r="L48" s="14" t="s">
        <v>22521</v>
      </c>
      <c r="M48" s="19" t="s">
        <v>2937</v>
      </c>
      <c r="N48" s="14" t="s">
        <v>22522</v>
      </c>
      <c r="O48" s="14" t="s">
        <v>18394</v>
      </c>
      <c r="P48" s="14" t="str">
        <f>HYPERLINK("https://dexscreener.com/solana/39mp4M95uDVfRjzmiKxfjvcyviGsEUbBxqpUTPUupump", "View")</f>
        <v>View</v>
      </c>
    </row>
    <row r="49" spans="1:16" x14ac:dyDescent="0.25">
      <c r="A49" s="16" t="s">
        <v>8223</v>
      </c>
      <c r="B49" s="17">
        <v>3048900</v>
      </c>
      <c r="C49" s="17">
        <v>3048900</v>
      </c>
      <c r="D49" s="17" t="s">
        <v>1595</v>
      </c>
      <c r="E49" s="17" t="s">
        <v>1007</v>
      </c>
      <c r="F49" s="17" t="s">
        <v>9455</v>
      </c>
      <c r="G49" s="20" t="s">
        <v>7875</v>
      </c>
      <c r="H49" s="20" t="s">
        <v>22523</v>
      </c>
      <c r="I49" s="17" t="s">
        <v>88</v>
      </c>
      <c r="J49" s="17">
        <v>1</v>
      </c>
      <c r="K49" s="17">
        <v>1</v>
      </c>
      <c r="L49" s="17" t="s">
        <v>22524</v>
      </c>
      <c r="M49" s="17" t="s">
        <v>1434</v>
      </c>
      <c r="N49" s="17" t="s">
        <v>1055</v>
      </c>
      <c r="O49" s="17" t="s">
        <v>22525</v>
      </c>
      <c r="P49" s="17" t="str">
        <f>HYPERLINK("https://dexscreener.com/solana/CJkaR15A4KTdRUiTkAEAasrR318Wi3LVn4XCok6upump", "View")</f>
        <v>View</v>
      </c>
    </row>
    <row r="50" spans="1:16" x14ac:dyDescent="0.25">
      <c r="A50" s="13" t="s">
        <v>605</v>
      </c>
      <c r="B50" s="14">
        <v>258114</v>
      </c>
      <c r="C50" s="14">
        <v>258114</v>
      </c>
      <c r="D50" s="14" t="s">
        <v>1595</v>
      </c>
      <c r="E50" s="14" t="s">
        <v>1007</v>
      </c>
      <c r="F50" s="14" t="s">
        <v>3827</v>
      </c>
      <c r="G50" s="20" t="s">
        <v>2066</v>
      </c>
      <c r="H50" s="20" t="s">
        <v>22526</v>
      </c>
      <c r="I50" s="14" t="s">
        <v>88</v>
      </c>
      <c r="J50" s="14">
        <v>1</v>
      </c>
      <c r="K50" s="14">
        <v>1</v>
      </c>
      <c r="L50" s="14" t="s">
        <v>22527</v>
      </c>
      <c r="M50" s="14" t="s">
        <v>3180</v>
      </c>
      <c r="N50" s="14" t="s">
        <v>22528</v>
      </c>
      <c r="O50" s="14" t="s">
        <v>612</v>
      </c>
      <c r="P50" s="14" t="str">
        <f>HYPERLINK("https://dexscreener.com/solana/AJczhLzrJn2mKV8Exkyz1L6pPGAEMmeY5KB7Tbf2pump", "View")</f>
        <v>View</v>
      </c>
    </row>
    <row r="51" spans="1:16" x14ac:dyDescent="0.25">
      <c r="A51" s="16" t="s">
        <v>5323</v>
      </c>
      <c r="B51" s="17">
        <v>11297456</v>
      </c>
      <c r="C51" s="17">
        <v>11297456</v>
      </c>
      <c r="D51" s="17" t="s">
        <v>1646</v>
      </c>
      <c r="E51" s="17" t="s">
        <v>2058</v>
      </c>
      <c r="F51" s="17" t="s">
        <v>22529</v>
      </c>
      <c r="G51" s="21" t="s">
        <v>4159</v>
      </c>
      <c r="H51" s="21" t="s">
        <v>22530</v>
      </c>
      <c r="I51" s="17" t="s">
        <v>88</v>
      </c>
      <c r="J51" s="17">
        <v>1</v>
      </c>
      <c r="K51" s="17">
        <v>2</v>
      </c>
      <c r="L51" s="17" t="s">
        <v>22531</v>
      </c>
      <c r="M51" s="17" t="s">
        <v>1566</v>
      </c>
      <c r="N51" s="17" t="s">
        <v>22532</v>
      </c>
      <c r="O51" s="17" t="s">
        <v>5327</v>
      </c>
      <c r="P51" s="17" t="str">
        <f>HYPERLINK("https://photon-sol.tinyastro.io/en/lp/3kq81R8jQ2njDUB5sX46WPDmamgJbNUfZf2h1DsYpump?handle=676050794bc1b1657a56b", "View")</f>
        <v>View</v>
      </c>
    </row>
    <row r="52" spans="1:16" x14ac:dyDescent="0.25">
      <c r="A52" s="13" t="s">
        <v>22533</v>
      </c>
      <c r="B52" s="14">
        <v>5120314</v>
      </c>
      <c r="C52" s="14">
        <v>5120314</v>
      </c>
      <c r="D52" s="14" t="s">
        <v>1646</v>
      </c>
      <c r="E52" s="14" t="s">
        <v>2235</v>
      </c>
      <c r="F52" s="14" t="s">
        <v>22534</v>
      </c>
      <c r="G52" s="21" t="s">
        <v>6575</v>
      </c>
      <c r="H52" s="21" t="s">
        <v>22535</v>
      </c>
      <c r="I52" s="14" t="s">
        <v>88</v>
      </c>
      <c r="J52" s="14">
        <v>1</v>
      </c>
      <c r="K52" s="14">
        <v>2</v>
      </c>
      <c r="L52" s="14" t="s">
        <v>22536</v>
      </c>
      <c r="M52" s="14" t="s">
        <v>3180</v>
      </c>
      <c r="N52" s="14" t="s">
        <v>10090</v>
      </c>
      <c r="O52" s="14" t="s">
        <v>22537</v>
      </c>
      <c r="P52" s="14" t="str">
        <f>HYPERLINK("https://photon-sol.tinyastro.io/en/lp/2mvoHYNhydtQYkxycy1rcJ4y36j8sYM3AXxCuzwSpump?handle=676050794bc1b1657a56b", "View")</f>
        <v>View</v>
      </c>
    </row>
    <row r="53" spans="1:16" x14ac:dyDescent="0.25">
      <c r="A53" s="16" t="s">
        <v>575</v>
      </c>
      <c r="B53" s="17">
        <v>340489</v>
      </c>
      <c r="C53" s="17">
        <v>340489</v>
      </c>
      <c r="D53" s="17" t="s">
        <v>1604</v>
      </c>
      <c r="E53" s="17" t="s">
        <v>484</v>
      </c>
      <c r="F53" s="17" t="s">
        <v>22538</v>
      </c>
      <c r="G53" s="22" t="s">
        <v>6268</v>
      </c>
      <c r="H53" s="22" t="s">
        <v>22539</v>
      </c>
      <c r="I53" s="17" t="s">
        <v>88</v>
      </c>
      <c r="J53" s="17">
        <v>4</v>
      </c>
      <c r="K53" s="17">
        <v>3</v>
      </c>
      <c r="L53" s="17" t="s">
        <v>22540</v>
      </c>
      <c r="M53" s="17" t="s">
        <v>117</v>
      </c>
      <c r="N53" s="17" t="s">
        <v>22541</v>
      </c>
      <c r="O53" s="17" t="s">
        <v>583</v>
      </c>
      <c r="P53" s="17" t="str">
        <f>HYPERLINK("https://dexscreener.com/solana/9PR7nCP9DpcUotnDPVLUBUZKu5WAYkwrCUx9wDnSpump", "View")</f>
        <v>View</v>
      </c>
    </row>
    <row r="54" spans="1:16" x14ac:dyDescent="0.25">
      <c r="A54" s="13" t="s">
        <v>10297</v>
      </c>
      <c r="B54" s="14">
        <v>760689</v>
      </c>
      <c r="C54" s="14">
        <v>760689</v>
      </c>
      <c r="D54" s="14" t="s">
        <v>1595</v>
      </c>
      <c r="E54" s="14" t="s">
        <v>1007</v>
      </c>
      <c r="F54" s="14" t="s">
        <v>22542</v>
      </c>
      <c r="G54" s="22" t="s">
        <v>6261</v>
      </c>
      <c r="H54" s="22" t="s">
        <v>22543</v>
      </c>
      <c r="I54" s="14" t="s">
        <v>88</v>
      </c>
      <c r="J54" s="14">
        <v>1</v>
      </c>
      <c r="K54" s="14">
        <v>1</v>
      </c>
      <c r="L54" s="14" t="s">
        <v>22544</v>
      </c>
      <c r="M54" s="14" t="s">
        <v>8295</v>
      </c>
      <c r="N54" s="14" t="s">
        <v>22545</v>
      </c>
      <c r="O54" s="14" t="s">
        <v>10301</v>
      </c>
      <c r="P54" s="14" t="str">
        <f>HYPERLINK("https://dexscreener.com/solana/6WSppYPevaDEZxdmW2WoHLoSnJMeVyqz8Rqkm8MCpump", "View")</f>
        <v>View</v>
      </c>
    </row>
    <row r="55" spans="1:16" x14ac:dyDescent="0.25">
      <c r="A55" s="16" t="s">
        <v>4498</v>
      </c>
      <c r="B55" s="17">
        <v>6056</v>
      </c>
      <c r="C55" s="17">
        <v>6056</v>
      </c>
      <c r="D55" s="17" t="s">
        <v>1595</v>
      </c>
      <c r="E55" s="17" t="s">
        <v>219</v>
      </c>
      <c r="F55" s="17" t="s">
        <v>22546</v>
      </c>
      <c r="G55" s="22" t="s">
        <v>16894</v>
      </c>
      <c r="H55" s="22" t="s">
        <v>14364</v>
      </c>
      <c r="I55" s="17" t="s">
        <v>88</v>
      </c>
      <c r="J55" s="17">
        <v>1</v>
      </c>
      <c r="K55" s="17">
        <v>1</v>
      </c>
      <c r="L55" s="17" t="s">
        <v>22547</v>
      </c>
      <c r="M55" s="17" t="s">
        <v>680</v>
      </c>
      <c r="N55" s="17" t="s">
        <v>22548</v>
      </c>
      <c r="O55" s="17" t="s">
        <v>4505</v>
      </c>
      <c r="P55" s="17" t="str">
        <f>HYPERLINK("https://dexscreener.com/solana/ED5nyyWEzpPPiWimP8vYm7sD7TD3LAt3Q3gRTWHzPJBY", "View")</f>
        <v>View</v>
      </c>
    </row>
    <row r="56" spans="1:16" x14ac:dyDescent="0.25">
      <c r="A56" s="13" t="s">
        <v>144</v>
      </c>
      <c r="B56" s="14">
        <v>149366</v>
      </c>
      <c r="C56" s="14">
        <v>149366</v>
      </c>
      <c r="D56" s="14" t="s">
        <v>1629</v>
      </c>
      <c r="E56" s="14" t="s">
        <v>2390</v>
      </c>
      <c r="F56" s="14" t="s">
        <v>22549</v>
      </c>
      <c r="G56" s="20" t="s">
        <v>5867</v>
      </c>
      <c r="H56" s="20" t="s">
        <v>14756</v>
      </c>
      <c r="I56" s="14" t="s">
        <v>88</v>
      </c>
      <c r="J56" s="14">
        <v>2</v>
      </c>
      <c r="K56" s="14">
        <v>2</v>
      </c>
      <c r="L56" s="14" t="s">
        <v>22550</v>
      </c>
      <c r="M56" s="14" t="s">
        <v>304</v>
      </c>
      <c r="N56" s="14" t="s">
        <v>22551</v>
      </c>
      <c r="O56" s="14" t="s">
        <v>152</v>
      </c>
      <c r="P56" s="14" t="str">
        <f>HYPERLINK("https://dexscreener.com/solana/66gsTs88mXJ5L4AtJnWqFW6H2L5YQDRy4W41y6zbpump", "View")</f>
        <v>View</v>
      </c>
    </row>
    <row r="57" spans="1:16" x14ac:dyDescent="0.25">
      <c r="A57" s="16" t="s">
        <v>817</v>
      </c>
      <c r="B57" s="17">
        <v>775110</v>
      </c>
      <c r="C57" s="17">
        <v>775110</v>
      </c>
      <c r="D57" s="17" t="s">
        <v>22552</v>
      </c>
      <c r="E57" s="17" t="s">
        <v>2390</v>
      </c>
      <c r="F57" s="17" t="s">
        <v>22553</v>
      </c>
      <c r="G57" s="21" t="s">
        <v>22554</v>
      </c>
      <c r="H57" s="21" t="s">
        <v>22555</v>
      </c>
      <c r="I57" s="17" t="s">
        <v>88</v>
      </c>
      <c r="J57" s="17">
        <v>2</v>
      </c>
      <c r="K57" s="17">
        <v>6</v>
      </c>
      <c r="L57" s="17" t="s">
        <v>22556</v>
      </c>
      <c r="M57" s="17" t="s">
        <v>277</v>
      </c>
      <c r="N57" s="17" t="s">
        <v>22557</v>
      </c>
      <c r="O57" s="17" t="s">
        <v>825</v>
      </c>
      <c r="P57" s="17" t="str">
        <f>HYPERLINK("https://dexscreener.com/solana/DwDtUqBZJtbRpdjsFw3N7YKB5epocSru25BGcVhfcYtg", "View")</f>
        <v>View</v>
      </c>
    </row>
    <row r="58" spans="1:16" x14ac:dyDescent="0.25">
      <c r="A58" s="13" t="s">
        <v>5561</v>
      </c>
      <c r="B58" s="14">
        <v>208687</v>
      </c>
      <c r="C58" s="14">
        <v>54259</v>
      </c>
      <c r="D58" s="14" t="s">
        <v>1595</v>
      </c>
      <c r="E58" s="14" t="s">
        <v>2200</v>
      </c>
      <c r="F58" s="14" t="s">
        <v>22558</v>
      </c>
      <c r="G58" s="20" t="s">
        <v>3414</v>
      </c>
      <c r="H58" s="20" t="s">
        <v>22559</v>
      </c>
      <c r="I58" s="14" t="s">
        <v>88</v>
      </c>
      <c r="J58" s="14">
        <v>1</v>
      </c>
      <c r="K58" s="14">
        <v>1</v>
      </c>
      <c r="L58" s="14" t="s">
        <v>22560</v>
      </c>
      <c r="M58" s="14" t="s">
        <v>1566</v>
      </c>
      <c r="N58" s="14" t="s">
        <v>22561</v>
      </c>
      <c r="O58" s="14" t="s">
        <v>18538</v>
      </c>
      <c r="P58" s="14" t="str">
        <f>HYPERLINK("https://dexscreener.com/solana/VCujxXUKyAHzEWBNDtek7Ho37a5fmRjHS7HKM2tpump", "View")</f>
        <v>View</v>
      </c>
    </row>
    <row r="59" spans="1:16" x14ac:dyDescent="0.25">
      <c r="A59" s="16" t="s">
        <v>22562</v>
      </c>
      <c r="B59" s="17">
        <v>5099791</v>
      </c>
      <c r="C59" s="17">
        <v>5099791</v>
      </c>
      <c r="D59" s="17" t="s">
        <v>1595</v>
      </c>
      <c r="E59" s="17" t="s">
        <v>2902</v>
      </c>
      <c r="F59" s="17" t="s">
        <v>1007</v>
      </c>
      <c r="G59" s="20" t="s">
        <v>22563</v>
      </c>
      <c r="H59" s="20" t="s">
        <v>14114</v>
      </c>
      <c r="I59" s="17" t="s">
        <v>88</v>
      </c>
      <c r="J59" s="17">
        <v>1</v>
      </c>
      <c r="K59" s="17">
        <v>1</v>
      </c>
      <c r="L59" s="17" t="s">
        <v>22564</v>
      </c>
      <c r="M59" s="17" t="s">
        <v>937</v>
      </c>
      <c r="N59" s="17" t="s">
        <v>968</v>
      </c>
      <c r="O59" s="17" t="s">
        <v>22565</v>
      </c>
      <c r="P59" s="17" t="str">
        <f>HYPERLINK("https://photon-sol.tinyastro.io/en/lp/FjxvF1cEg2YyFXVyNh83sqSFYZg6vzXUHLRHHGBDpump?handle=676050794bc1b1657a56b", "View")</f>
        <v>View</v>
      </c>
    </row>
    <row r="60" spans="1:16" x14ac:dyDescent="0.25">
      <c r="A60" s="13" t="s">
        <v>22566</v>
      </c>
      <c r="B60" s="14">
        <v>972219</v>
      </c>
      <c r="C60" s="14">
        <v>972219</v>
      </c>
      <c r="D60" s="14" t="s">
        <v>1595</v>
      </c>
      <c r="E60" s="14" t="s">
        <v>2200</v>
      </c>
      <c r="F60" s="14" t="s">
        <v>5653</v>
      </c>
      <c r="G60" s="15" t="s">
        <v>12883</v>
      </c>
      <c r="H60" s="15" t="s">
        <v>22567</v>
      </c>
      <c r="I60" s="14" t="s">
        <v>88</v>
      </c>
      <c r="J60" s="14">
        <v>1</v>
      </c>
      <c r="K60" s="14">
        <v>1</v>
      </c>
      <c r="L60" s="14" t="s">
        <v>22568</v>
      </c>
      <c r="M60" s="14" t="s">
        <v>3180</v>
      </c>
      <c r="N60" s="14" t="s">
        <v>22569</v>
      </c>
      <c r="O60" s="14" t="s">
        <v>22570</v>
      </c>
      <c r="P60" s="14" t="str">
        <f>HYPERLINK("https://dexscreener.com/solana/8Agf3dshLNCimvpyZDYSG3bSWkKEQRze8sBcLPkLpump", "View")</f>
        <v>View</v>
      </c>
    </row>
    <row r="61" spans="1:16" x14ac:dyDescent="0.25">
      <c r="A61" s="16" t="s">
        <v>22571</v>
      </c>
      <c r="B61" s="17">
        <v>1839043</v>
      </c>
      <c r="C61" s="17">
        <v>1839043</v>
      </c>
      <c r="D61" s="17" t="s">
        <v>1595</v>
      </c>
      <c r="E61" s="17" t="s">
        <v>1007</v>
      </c>
      <c r="F61" s="17" t="s">
        <v>13670</v>
      </c>
      <c r="G61" s="22" t="s">
        <v>4818</v>
      </c>
      <c r="H61" s="22" t="s">
        <v>22572</v>
      </c>
      <c r="I61" s="17" t="s">
        <v>88</v>
      </c>
      <c r="J61" s="17">
        <v>1</v>
      </c>
      <c r="K61" s="17">
        <v>1</v>
      </c>
      <c r="L61" s="17" t="s">
        <v>22573</v>
      </c>
      <c r="M61" s="19" t="s">
        <v>1752</v>
      </c>
      <c r="N61" s="17" t="s">
        <v>22574</v>
      </c>
      <c r="O61" s="17" t="s">
        <v>22575</v>
      </c>
      <c r="P61" s="17" t="str">
        <f>HYPERLINK("https://dexscreener.com/solana/7tkovTKbcdfFvQ1PfnPAY9o1B5fqo6Z56ouAafYnpump", "View")</f>
        <v>View</v>
      </c>
    </row>
    <row r="62" spans="1:16" x14ac:dyDescent="0.25">
      <c r="A62" s="13" t="s">
        <v>22576</v>
      </c>
      <c r="B62" s="14">
        <v>1257218</v>
      </c>
      <c r="C62" s="14">
        <v>0</v>
      </c>
      <c r="D62" s="14" t="s">
        <v>1762</v>
      </c>
      <c r="E62" s="14" t="s">
        <v>1007</v>
      </c>
      <c r="F62" s="14" t="s">
        <v>96</v>
      </c>
      <c r="G62" s="18" t="s">
        <v>2051</v>
      </c>
      <c r="H62" s="18" t="s">
        <v>98</v>
      </c>
      <c r="I62" s="14" t="s">
        <v>22577</v>
      </c>
      <c r="J62" s="14">
        <v>1</v>
      </c>
      <c r="K62" s="14">
        <v>0</v>
      </c>
      <c r="L62" s="14" t="s">
        <v>22578</v>
      </c>
      <c r="M62" s="19" t="s">
        <v>101</v>
      </c>
      <c r="N62" s="14" t="s">
        <v>10553</v>
      </c>
      <c r="O62" s="14" t="s">
        <v>22579</v>
      </c>
      <c r="P62" s="14" t="str">
        <f>HYPERLINK("https://dexscreener.com/solana/GtK39puktRBNPxVZw8ZuWtWZKPW5h3JDzU2Xpmg7pump", "View")</f>
        <v>View</v>
      </c>
    </row>
    <row r="63" spans="1:16" x14ac:dyDescent="0.25">
      <c r="A63" s="16" t="s">
        <v>863</v>
      </c>
      <c r="B63" s="17">
        <v>124610</v>
      </c>
      <c r="C63" s="17">
        <v>0</v>
      </c>
      <c r="D63" s="17" t="s">
        <v>1762</v>
      </c>
      <c r="E63" s="17" t="s">
        <v>1007</v>
      </c>
      <c r="F63" s="17" t="s">
        <v>96</v>
      </c>
      <c r="G63" s="18" t="s">
        <v>2051</v>
      </c>
      <c r="H63" s="18" t="s">
        <v>98</v>
      </c>
      <c r="I63" s="17" t="s">
        <v>22580</v>
      </c>
      <c r="J63" s="17">
        <v>1</v>
      </c>
      <c r="K63" s="17">
        <v>0</v>
      </c>
      <c r="L63" s="17" t="s">
        <v>22581</v>
      </c>
      <c r="M63" s="19" t="s">
        <v>101</v>
      </c>
      <c r="N63" s="17" t="s">
        <v>11589</v>
      </c>
      <c r="O63" s="17" t="s">
        <v>869</v>
      </c>
      <c r="P63" s="17" t="str">
        <f>HYPERLINK("https://dexscreener.com/solana/AHLay166DoVa5xKKv1Ke1jf9zkypNCUdBVtW4SXfpump", "View")</f>
        <v>View</v>
      </c>
    </row>
    <row r="64" spans="1:16" x14ac:dyDescent="0.25">
      <c r="A64" s="13" t="s">
        <v>22582</v>
      </c>
      <c r="B64" s="14">
        <v>14173346</v>
      </c>
      <c r="C64" s="14">
        <v>14173346</v>
      </c>
      <c r="D64" s="14" t="s">
        <v>1646</v>
      </c>
      <c r="E64" s="14" t="s">
        <v>2234</v>
      </c>
      <c r="F64" s="14" t="s">
        <v>14571</v>
      </c>
      <c r="G64" s="22" t="s">
        <v>4031</v>
      </c>
      <c r="H64" s="22" t="s">
        <v>22583</v>
      </c>
      <c r="I64" s="14" t="s">
        <v>88</v>
      </c>
      <c r="J64" s="14">
        <v>1</v>
      </c>
      <c r="K64" s="14">
        <v>2</v>
      </c>
      <c r="L64" s="14" t="s">
        <v>22584</v>
      </c>
      <c r="M64" s="14" t="s">
        <v>788</v>
      </c>
      <c r="N64" s="14" t="s">
        <v>507</v>
      </c>
      <c r="O64" s="14" t="s">
        <v>22585</v>
      </c>
      <c r="P64" s="14" t="str">
        <f>HYPERLINK("https://photon-sol.tinyastro.io/en/lp/Czmtmx2rmGE8LVWEK5GkAy2Reg2kLLE9UvqxZ8sHkDAZ?handle=676050794bc1b1657a56b", "View")</f>
        <v>View</v>
      </c>
    </row>
    <row r="65" spans="1:16" x14ac:dyDescent="0.25">
      <c r="A65" s="16" t="s">
        <v>22586</v>
      </c>
      <c r="B65" s="17">
        <v>18192</v>
      </c>
      <c r="C65" s="17">
        <v>18192</v>
      </c>
      <c r="D65" s="17" t="s">
        <v>1595</v>
      </c>
      <c r="E65" s="17" t="s">
        <v>219</v>
      </c>
      <c r="F65" s="17" t="s">
        <v>22587</v>
      </c>
      <c r="G65" s="22" t="s">
        <v>15600</v>
      </c>
      <c r="H65" s="22" t="s">
        <v>22588</v>
      </c>
      <c r="I65" s="17" t="s">
        <v>88</v>
      </c>
      <c r="J65" s="17">
        <v>1</v>
      </c>
      <c r="K65" s="17">
        <v>1</v>
      </c>
      <c r="L65" s="17" t="s">
        <v>22589</v>
      </c>
      <c r="M65" s="17" t="s">
        <v>4922</v>
      </c>
      <c r="N65" s="17" t="s">
        <v>22590</v>
      </c>
      <c r="O65" s="17" t="s">
        <v>22591</v>
      </c>
      <c r="P65" s="17" t="str">
        <f>HYPERLINK("https://dexscreener.com/solana/9jZgvgS2bWtQiYzv48GcWzY4tnkeRSANbTm8Kp1LmSyS", "View")</f>
        <v>View</v>
      </c>
    </row>
    <row r="66" spans="1:16" x14ac:dyDescent="0.25">
      <c r="A66" s="13" t="s">
        <v>17084</v>
      </c>
      <c r="B66" s="14">
        <v>598351</v>
      </c>
      <c r="C66" s="14">
        <v>598351</v>
      </c>
      <c r="D66" s="14" t="s">
        <v>22592</v>
      </c>
      <c r="E66" s="14" t="s">
        <v>22593</v>
      </c>
      <c r="F66" s="14" t="s">
        <v>1675</v>
      </c>
      <c r="G66" s="20" t="s">
        <v>15254</v>
      </c>
      <c r="H66" s="20" t="s">
        <v>22594</v>
      </c>
      <c r="I66" s="14" t="s">
        <v>88</v>
      </c>
      <c r="J66" s="14">
        <v>5</v>
      </c>
      <c r="K66" s="14">
        <v>3</v>
      </c>
      <c r="L66" s="14" t="s">
        <v>22595</v>
      </c>
      <c r="M66" s="14" t="s">
        <v>745</v>
      </c>
      <c r="N66" s="14" t="s">
        <v>22596</v>
      </c>
      <c r="O66" s="14" t="s">
        <v>17088</v>
      </c>
      <c r="P66" s="14" t="str">
        <f>HYPERLINK("https://dexscreener.com/solana/A9xbrMNmpKfoqwNcTRmBv6NXUukv9ixKXhZL1iLCpump", "View")</f>
        <v>View</v>
      </c>
    </row>
    <row r="67" spans="1:16" x14ac:dyDescent="0.25">
      <c r="A67" s="16" t="s">
        <v>12576</v>
      </c>
      <c r="B67" s="17">
        <v>165357</v>
      </c>
      <c r="C67" s="17">
        <v>165357</v>
      </c>
      <c r="D67" s="17" t="s">
        <v>22597</v>
      </c>
      <c r="E67" s="17" t="s">
        <v>569</v>
      </c>
      <c r="F67" s="17" t="s">
        <v>22598</v>
      </c>
      <c r="G67" s="20" t="s">
        <v>22599</v>
      </c>
      <c r="H67" s="20" t="s">
        <v>22600</v>
      </c>
      <c r="I67" s="17" t="s">
        <v>88</v>
      </c>
      <c r="J67" s="17">
        <v>1</v>
      </c>
      <c r="K67" s="17">
        <v>1</v>
      </c>
      <c r="L67" s="17" t="s">
        <v>22601</v>
      </c>
      <c r="M67" s="17" t="s">
        <v>1448</v>
      </c>
      <c r="N67" s="17" t="s">
        <v>15910</v>
      </c>
      <c r="O67" s="17" t="s">
        <v>12583</v>
      </c>
      <c r="P67" s="17" t="str">
        <f>HYPERLINK("https://dexscreener.com/solana/9JhFqCA21MoAXs2PTaeqNQp2XngPn1PgYr2rsEVCpump", "View")</f>
        <v>View</v>
      </c>
    </row>
    <row r="68" spans="1:16" x14ac:dyDescent="0.25">
      <c r="A68" s="13" t="s">
        <v>22602</v>
      </c>
      <c r="B68" s="14">
        <v>1237278</v>
      </c>
      <c r="C68" s="14">
        <v>1212037</v>
      </c>
      <c r="D68" s="14" t="s">
        <v>1691</v>
      </c>
      <c r="E68" s="14" t="s">
        <v>1007</v>
      </c>
      <c r="F68" s="14" t="s">
        <v>21338</v>
      </c>
      <c r="G68" s="21" t="s">
        <v>2407</v>
      </c>
      <c r="H68" s="21" t="s">
        <v>22603</v>
      </c>
      <c r="I68" s="14" t="s">
        <v>88</v>
      </c>
      <c r="J68" s="14">
        <v>1</v>
      </c>
      <c r="K68" s="14">
        <v>2</v>
      </c>
      <c r="L68" s="14" t="s">
        <v>22604</v>
      </c>
      <c r="M68" s="14" t="s">
        <v>1610</v>
      </c>
      <c r="N68" s="14" t="s">
        <v>22605</v>
      </c>
      <c r="O68" s="14" t="s">
        <v>22606</v>
      </c>
      <c r="P68" s="14" t="str">
        <f>HYPERLINK("https://dexscreener.com/solana/DuLuUb4QegcAEbDYgnuaz9BJhJFTfvDbJDdJ3q9Mpump", "View")</f>
        <v>View</v>
      </c>
    </row>
    <row r="69" spans="1:16" x14ac:dyDescent="0.25">
      <c r="A69" s="16" t="s">
        <v>5711</v>
      </c>
      <c r="B69" s="17">
        <v>5238314</v>
      </c>
      <c r="C69" s="17">
        <v>5238314</v>
      </c>
      <c r="D69" s="17" t="s">
        <v>1595</v>
      </c>
      <c r="E69" s="17" t="s">
        <v>22607</v>
      </c>
      <c r="F69" s="17" t="s">
        <v>16533</v>
      </c>
      <c r="G69" s="20" t="s">
        <v>22608</v>
      </c>
      <c r="H69" s="20" t="s">
        <v>22609</v>
      </c>
      <c r="I69" s="17" t="s">
        <v>88</v>
      </c>
      <c r="J69" s="17">
        <v>1</v>
      </c>
      <c r="K69" s="17">
        <v>1</v>
      </c>
      <c r="L69" s="17" t="s">
        <v>22610</v>
      </c>
      <c r="M69" s="17" t="s">
        <v>602</v>
      </c>
      <c r="N69" s="17" t="s">
        <v>507</v>
      </c>
      <c r="O69" s="17" t="s">
        <v>5714</v>
      </c>
      <c r="P69" s="17" t="str">
        <f>HYPERLINK("https://photon-sol.tinyastro.io/en/lp/FXQdys3HGuX1vWwLDivTmBCzpVrsBn3CQdebKVtQpump?handle=676050794bc1b1657a56b", "View")</f>
        <v>View</v>
      </c>
    </row>
    <row r="70" spans="1:16" x14ac:dyDescent="0.25">
      <c r="A70" s="13" t="s">
        <v>444</v>
      </c>
      <c r="B70" s="14">
        <v>169476</v>
      </c>
      <c r="C70" s="14">
        <v>169476</v>
      </c>
      <c r="D70" s="14" t="s">
        <v>1595</v>
      </c>
      <c r="E70" s="14" t="s">
        <v>569</v>
      </c>
      <c r="F70" s="14" t="s">
        <v>7741</v>
      </c>
      <c r="G70" s="22" t="s">
        <v>3897</v>
      </c>
      <c r="H70" s="22" t="s">
        <v>22611</v>
      </c>
      <c r="I70" s="14" t="s">
        <v>88</v>
      </c>
      <c r="J70" s="14">
        <v>1</v>
      </c>
      <c r="K70" s="14">
        <v>1</v>
      </c>
      <c r="L70" s="14" t="s">
        <v>22612</v>
      </c>
      <c r="M70" s="14" t="s">
        <v>1566</v>
      </c>
      <c r="N70" s="14" t="s">
        <v>18928</v>
      </c>
      <c r="O70" s="14" t="s">
        <v>452</v>
      </c>
      <c r="P70" s="14" t="str">
        <f>HYPERLINK("https://dexscreener.com/solana/BfdVHnbt9LSNAFCZU9kvTjbrH3jX78sv2siLKGQ7pump", "View")</f>
        <v>View</v>
      </c>
    </row>
    <row r="71" spans="1:16" x14ac:dyDescent="0.25">
      <c r="A71" s="16" t="s">
        <v>15961</v>
      </c>
      <c r="B71" s="17">
        <v>62128</v>
      </c>
      <c r="C71" s="17">
        <v>0</v>
      </c>
      <c r="D71" s="17" t="s">
        <v>22613</v>
      </c>
      <c r="E71" s="17" t="s">
        <v>569</v>
      </c>
      <c r="F71" s="17" t="s">
        <v>96</v>
      </c>
      <c r="G71" s="18" t="s">
        <v>22614</v>
      </c>
      <c r="H71" s="18" t="s">
        <v>98</v>
      </c>
      <c r="I71" s="17" t="s">
        <v>22615</v>
      </c>
      <c r="J71" s="17">
        <v>3</v>
      </c>
      <c r="K71" s="17">
        <v>0</v>
      </c>
      <c r="L71" s="17" t="s">
        <v>22616</v>
      </c>
      <c r="M71" s="17" t="s">
        <v>379</v>
      </c>
      <c r="N71" s="17" t="s">
        <v>22617</v>
      </c>
      <c r="O71" s="17" t="s">
        <v>15966</v>
      </c>
      <c r="P71" s="17" t="str">
        <f>HYPERLINK("https://dexscreener.com/solana/9MnKTgwFyXJgnZumHGT9NdHuzm98ACjkNwpLniLhpump", "View")</f>
        <v>View</v>
      </c>
    </row>
    <row r="72" spans="1:16" x14ac:dyDescent="0.25">
      <c r="A72" s="13" t="s">
        <v>2535</v>
      </c>
      <c r="B72" s="14">
        <v>862328</v>
      </c>
      <c r="C72" s="14">
        <v>862328</v>
      </c>
      <c r="D72" s="14" t="s">
        <v>1646</v>
      </c>
      <c r="E72" s="14" t="s">
        <v>1457</v>
      </c>
      <c r="F72" s="14" t="s">
        <v>22618</v>
      </c>
      <c r="G72" s="15" t="s">
        <v>22619</v>
      </c>
      <c r="H72" s="15" t="s">
        <v>22620</v>
      </c>
      <c r="I72" s="14" t="s">
        <v>88</v>
      </c>
      <c r="J72" s="14">
        <v>2</v>
      </c>
      <c r="K72" s="14">
        <v>1</v>
      </c>
      <c r="L72" s="14" t="s">
        <v>22621</v>
      </c>
      <c r="M72" s="14" t="s">
        <v>2789</v>
      </c>
      <c r="N72" s="14" t="s">
        <v>22622</v>
      </c>
      <c r="O72" s="14" t="s">
        <v>22623</v>
      </c>
      <c r="P72" s="14" t="str">
        <f>HYPERLINK("https://dexscreener.com/solana/7BgPsAGkLuEDSnJA2AtMBxiYtTwMFrwwBirFPr4jpump", "View")</f>
        <v>View</v>
      </c>
    </row>
    <row r="73" spans="1:16" x14ac:dyDescent="0.25">
      <c r="A73" s="16" t="s">
        <v>20653</v>
      </c>
      <c r="B73" s="17">
        <v>130880</v>
      </c>
      <c r="C73" s="17">
        <v>130880</v>
      </c>
      <c r="D73" s="17" t="s">
        <v>1595</v>
      </c>
      <c r="E73" s="17" t="s">
        <v>1007</v>
      </c>
      <c r="F73" s="17" t="s">
        <v>22624</v>
      </c>
      <c r="G73" s="22" t="s">
        <v>22625</v>
      </c>
      <c r="H73" s="22" t="s">
        <v>22626</v>
      </c>
      <c r="I73" s="17" t="s">
        <v>88</v>
      </c>
      <c r="J73" s="17">
        <v>1</v>
      </c>
      <c r="K73" s="17">
        <v>1</v>
      </c>
      <c r="L73" s="17" t="s">
        <v>22627</v>
      </c>
      <c r="M73" s="17" t="s">
        <v>2047</v>
      </c>
      <c r="N73" s="17" t="s">
        <v>22628</v>
      </c>
      <c r="O73" s="17" t="s">
        <v>20660</v>
      </c>
      <c r="P73" s="17" t="str">
        <f>HYPERLINK("https://dexscreener.com/solana/H2c31USxu35MDkBrGph8pUDUnmzo2e4Rf4hnvL2Upump", "View")</f>
        <v>View</v>
      </c>
    </row>
    <row r="74" spans="1:16" x14ac:dyDescent="0.25">
      <c r="A74" s="13" t="s">
        <v>22629</v>
      </c>
      <c r="B74" s="14">
        <v>1575868</v>
      </c>
      <c r="C74" s="14">
        <v>1228550</v>
      </c>
      <c r="D74" s="14" t="s">
        <v>1646</v>
      </c>
      <c r="E74" s="14" t="s">
        <v>569</v>
      </c>
      <c r="F74" s="14" t="s">
        <v>22630</v>
      </c>
      <c r="G74" s="20" t="s">
        <v>8729</v>
      </c>
      <c r="H74" s="20" t="s">
        <v>22631</v>
      </c>
      <c r="I74" s="14" t="s">
        <v>88</v>
      </c>
      <c r="J74" s="14">
        <v>2</v>
      </c>
      <c r="K74" s="14">
        <v>1</v>
      </c>
      <c r="L74" s="14" t="s">
        <v>22632</v>
      </c>
      <c r="M74" s="14" t="s">
        <v>1566</v>
      </c>
      <c r="N74" s="14" t="s">
        <v>22633</v>
      </c>
      <c r="O74" s="14" t="s">
        <v>22634</v>
      </c>
      <c r="P74" s="14" t="str">
        <f>HYPERLINK("https://dexscreener.com/solana/KBFs8Zb1V1tT9x7Ba3AWQo8jSNyL6GLuXjBx6kHpump", "View")</f>
        <v>View</v>
      </c>
    </row>
    <row r="75" spans="1:16" x14ac:dyDescent="0.25">
      <c r="A75" s="16" t="s">
        <v>19958</v>
      </c>
      <c r="B75" s="17">
        <v>1282738</v>
      </c>
      <c r="C75" s="17">
        <v>1282738</v>
      </c>
      <c r="D75" s="17" t="s">
        <v>22552</v>
      </c>
      <c r="E75" s="17" t="s">
        <v>1267</v>
      </c>
      <c r="F75" s="17" t="s">
        <v>22635</v>
      </c>
      <c r="G75" s="22" t="s">
        <v>13525</v>
      </c>
      <c r="H75" s="22" t="s">
        <v>8307</v>
      </c>
      <c r="I75" s="17" t="s">
        <v>88</v>
      </c>
      <c r="J75" s="17">
        <v>5</v>
      </c>
      <c r="K75" s="17">
        <v>3</v>
      </c>
      <c r="L75" s="17" t="s">
        <v>22636</v>
      </c>
      <c r="M75" s="17" t="s">
        <v>179</v>
      </c>
      <c r="N75" s="17" t="s">
        <v>22637</v>
      </c>
      <c r="O75" s="17" t="s">
        <v>19964</v>
      </c>
      <c r="P75" s="17" t="str">
        <f>HYPERLINK("https://dexscreener.com/solana/ETZDTrZp1tWSTPHf22cyUXiv5xGzXuBFEwJAsE8ypump", "View")</f>
        <v>View</v>
      </c>
    </row>
    <row r="76" spans="1:16" x14ac:dyDescent="0.25">
      <c r="A76" s="13" t="s">
        <v>22638</v>
      </c>
      <c r="B76" s="14">
        <v>3450539</v>
      </c>
      <c r="C76" s="14">
        <v>3450539</v>
      </c>
      <c r="D76" s="14" t="s">
        <v>1595</v>
      </c>
      <c r="E76" s="14" t="s">
        <v>11883</v>
      </c>
      <c r="F76" s="14" t="s">
        <v>22639</v>
      </c>
      <c r="G76" s="20" t="s">
        <v>3433</v>
      </c>
      <c r="H76" s="20" t="s">
        <v>22640</v>
      </c>
      <c r="I76" s="14" t="s">
        <v>88</v>
      </c>
      <c r="J76" s="14">
        <v>1</v>
      </c>
      <c r="K76" s="14">
        <v>1</v>
      </c>
      <c r="L76" s="14" t="s">
        <v>22641</v>
      </c>
      <c r="M76" s="14" t="s">
        <v>3180</v>
      </c>
      <c r="N76" s="14" t="s">
        <v>507</v>
      </c>
      <c r="O76" s="14" t="s">
        <v>22642</v>
      </c>
      <c r="P76" s="14" t="str">
        <f>HYPERLINK("https://photon-sol.tinyastro.io/en/lp/5BFrw2H1dyjif5QBQ8ZmAniYGpBzo3gMDJa8DL9kpump?handle=676050794bc1b1657a56b", "View")</f>
        <v>View</v>
      </c>
    </row>
    <row r="77" spans="1:16" x14ac:dyDescent="0.25">
      <c r="A77" s="16" t="s">
        <v>22643</v>
      </c>
      <c r="B77" s="17">
        <v>663593</v>
      </c>
      <c r="C77" s="17">
        <v>663593</v>
      </c>
      <c r="D77" s="17" t="s">
        <v>1595</v>
      </c>
      <c r="E77" s="17" t="s">
        <v>1007</v>
      </c>
      <c r="F77" s="17" t="s">
        <v>3432</v>
      </c>
      <c r="G77" s="20" t="s">
        <v>22644</v>
      </c>
      <c r="H77" s="20" t="s">
        <v>22645</v>
      </c>
      <c r="I77" s="17" t="s">
        <v>88</v>
      </c>
      <c r="J77" s="17">
        <v>1</v>
      </c>
      <c r="K77" s="17">
        <v>1</v>
      </c>
      <c r="L77" s="17" t="s">
        <v>22646</v>
      </c>
      <c r="M77" s="17" t="s">
        <v>1705</v>
      </c>
      <c r="N77" s="17" t="s">
        <v>22647</v>
      </c>
      <c r="O77" s="17" t="s">
        <v>22648</v>
      </c>
      <c r="P77" s="17" t="str">
        <f>HYPERLINK("https://dexscreener.com/solana/GiUesszTKXCNR1vCzovHh79GqhyBJPfqTuTD7ofipump", "View")</f>
        <v>View</v>
      </c>
    </row>
    <row r="78" spans="1:16" x14ac:dyDescent="0.25">
      <c r="A78" s="13" t="s">
        <v>22649</v>
      </c>
      <c r="B78" s="14">
        <v>66335</v>
      </c>
      <c r="C78" s="14">
        <v>0</v>
      </c>
      <c r="D78" s="14" t="s">
        <v>4754</v>
      </c>
      <c r="E78" s="14" t="s">
        <v>1457</v>
      </c>
      <c r="F78" s="14" t="s">
        <v>96</v>
      </c>
      <c r="G78" s="18" t="s">
        <v>1458</v>
      </c>
      <c r="H78" s="18" t="s">
        <v>98</v>
      </c>
      <c r="I78" s="14" t="s">
        <v>22650</v>
      </c>
      <c r="J78" s="14">
        <v>2</v>
      </c>
      <c r="K78" s="14">
        <v>0</v>
      </c>
      <c r="L78" s="14" t="s">
        <v>22651</v>
      </c>
      <c r="M78" s="14" t="s">
        <v>3171</v>
      </c>
      <c r="N78" s="14" t="s">
        <v>22652</v>
      </c>
      <c r="O78" s="14" t="s">
        <v>22653</v>
      </c>
      <c r="P78" s="14" t="str">
        <f>HYPERLINK("https://dexscreener.com/solana/24gG4br5xFBRmxdqpgirtxgcr7BaWoErQfc2uyDp2Qhh", "View")</f>
        <v>View</v>
      </c>
    </row>
    <row r="79" spans="1:16" x14ac:dyDescent="0.25">
      <c r="A79" s="16" t="s">
        <v>22654</v>
      </c>
      <c r="B79" s="17">
        <v>112972</v>
      </c>
      <c r="C79" s="17">
        <v>0</v>
      </c>
      <c r="D79" s="17" t="s">
        <v>1762</v>
      </c>
      <c r="E79" s="17" t="s">
        <v>1007</v>
      </c>
      <c r="F79" s="17" t="s">
        <v>96</v>
      </c>
      <c r="G79" s="18" t="s">
        <v>2051</v>
      </c>
      <c r="H79" s="18" t="s">
        <v>98</v>
      </c>
      <c r="I79" s="17" t="s">
        <v>22655</v>
      </c>
      <c r="J79" s="17">
        <v>1</v>
      </c>
      <c r="K79" s="17">
        <v>0</v>
      </c>
      <c r="L79" s="17" t="s">
        <v>22656</v>
      </c>
      <c r="M79" s="19" t="s">
        <v>101</v>
      </c>
      <c r="N79" s="17" t="s">
        <v>22657</v>
      </c>
      <c r="O79" s="17" t="s">
        <v>22658</v>
      </c>
      <c r="P79" s="17" t="str">
        <f>HYPERLINK("https://dexscreener.com/solana/GXDSgxcGwJhTEZnCQkXpKUKVL8rmK9UYPXbNPszPpump", "View")</f>
        <v>View</v>
      </c>
    </row>
    <row r="80" spans="1:16" x14ac:dyDescent="0.25">
      <c r="A80" s="13" t="s">
        <v>22659</v>
      </c>
      <c r="B80" s="14">
        <v>1544692</v>
      </c>
      <c r="C80" s="14">
        <v>1544692</v>
      </c>
      <c r="D80" s="14" t="s">
        <v>7054</v>
      </c>
      <c r="E80" s="14" t="s">
        <v>1007</v>
      </c>
      <c r="F80" s="14" t="s">
        <v>19379</v>
      </c>
      <c r="G80" s="20" t="s">
        <v>4187</v>
      </c>
      <c r="H80" s="20" t="s">
        <v>7685</v>
      </c>
      <c r="I80" s="14" t="s">
        <v>88</v>
      </c>
      <c r="J80" s="14">
        <v>1</v>
      </c>
      <c r="K80" s="14">
        <v>1</v>
      </c>
      <c r="L80" s="14" t="s">
        <v>22660</v>
      </c>
      <c r="M80" s="14" t="s">
        <v>3304</v>
      </c>
      <c r="N80" s="14" t="s">
        <v>507</v>
      </c>
      <c r="O80" s="14" t="s">
        <v>22661</v>
      </c>
      <c r="P80" s="14" t="str">
        <f>HYPERLINK("https://dexscreener.com/solana/5pArRJFWZYbrMquLfKKEf8xGfn7xfN1DqjaHF4mypump", "View")</f>
        <v>View</v>
      </c>
    </row>
    <row r="81" spans="1:16" x14ac:dyDescent="0.25">
      <c r="A81" s="16" t="s">
        <v>22662</v>
      </c>
      <c r="B81" s="17">
        <v>14930236</v>
      </c>
      <c r="C81" s="17">
        <v>14930236</v>
      </c>
      <c r="D81" s="17" t="s">
        <v>7054</v>
      </c>
      <c r="E81" s="17" t="s">
        <v>4079</v>
      </c>
      <c r="F81" s="17" t="s">
        <v>22663</v>
      </c>
      <c r="G81" s="15" t="s">
        <v>3786</v>
      </c>
      <c r="H81" s="15" t="s">
        <v>22664</v>
      </c>
      <c r="I81" s="17" t="s">
        <v>88</v>
      </c>
      <c r="J81" s="17">
        <v>1</v>
      </c>
      <c r="K81" s="17">
        <v>1</v>
      </c>
      <c r="L81" s="17" t="s">
        <v>22665</v>
      </c>
      <c r="M81" s="19" t="s">
        <v>1940</v>
      </c>
      <c r="N81" s="17" t="s">
        <v>507</v>
      </c>
      <c r="O81" s="17" t="s">
        <v>22666</v>
      </c>
      <c r="P81" s="17" t="str">
        <f>HYPERLINK("https://photon-sol.tinyastro.io/en/lp/HmV9TpGSZWFaJ6ryaz1osYx6sgrpCavVKAas7m8Wpump?handle=676050794bc1b1657a56b", "View")</f>
        <v>View</v>
      </c>
    </row>
    <row r="82" spans="1:16" x14ac:dyDescent="0.25">
      <c r="A82" s="13" t="s">
        <v>22667</v>
      </c>
      <c r="B82" s="14">
        <v>1365007</v>
      </c>
      <c r="C82" s="14">
        <v>1365007</v>
      </c>
      <c r="D82" s="14" t="s">
        <v>7061</v>
      </c>
      <c r="E82" s="14" t="s">
        <v>1457</v>
      </c>
      <c r="F82" s="14" t="s">
        <v>22668</v>
      </c>
      <c r="G82" s="22" t="s">
        <v>22669</v>
      </c>
      <c r="H82" s="22" t="s">
        <v>22670</v>
      </c>
      <c r="I82" s="14" t="s">
        <v>88</v>
      </c>
      <c r="J82" s="14">
        <v>1</v>
      </c>
      <c r="K82" s="14">
        <v>2</v>
      </c>
      <c r="L82" s="14" t="s">
        <v>22671</v>
      </c>
      <c r="M82" s="14" t="s">
        <v>3171</v>
      </c>
      <c r="N82" s="14" t="s">
        <v>22672</v>
      </c>
      <c r="O82" s="14" t="s">
        <v>22673</v>
      </c>
      <c r="P82" s="14" t="str">
        <f>HYPERLINK("https://dexscreener.com/solana/8t59RDhHiYva8yDYEAtbQ1Dv1BZzFerGDeadesZG8bit", "View")</f>
        <v>View</v>
      </c>
    </row>
    <row r="83" spans="1:16" x14ac:dyDescent="0.25">
      <c r="A83" s="16" t="s">
        <v>22674</v>
      </c>
      <c r="B83" s="17">
        <v>5964456</v>
      </c>
      <c r="C83" s="17">
        <v>5964456</v>
      </c>
      <c r="D83" s="17" t="s">
        <v>13992</v>
      </c>
      <c r="E83" s="17" t="s">
        <v>1007</v>
      </c>
      <c r="F83" s="17" t="s">
        <v>1515</v>
      </c>
      <c r="G83" s="22" t="s">
        <v>5914</v>
      </c>
      <c r="H83" s="22" t="s">
        <v>22675</v>
      </c>
      <c r="I83" s="17" t="s">
        <v>88</v>
      </c>
      <c r="J83" s="17">
        <v>1</v>
      </c>
      <c r="K83" s="17">
        <v>1</v>
      </c>
      <c r="L83" s="17" t="s">
        <v>22676</v>
      </c>
      <c r="M83" s="17" t="s">
        <v>3180</v>
      </c>
      <c r="N83" s="17" t="s">
        <v>22677</v>
      </c>
      <c r="O83" s="17" t="s">
        <v>22678</v>
      </c>
      <c r="P83" s="17" t="str">
        <f>HYPERLINK("https://dexscreener.com/solana/8dHTQvSJEYro4C3BN3o4dfdBH1YBduHUzuY2NLzpFafL", "View")</f>
        <v>View</v>
      </c>
    </row>
    <row r="84" spans="1:16" x14ac:dyDescent="0.25">
      <c r="A84" s="13" t="s">
        <v>22679</v>
      </c>
      <c r="B84" s="14">
        <v>3936567</v>
      </c>
      <c r="C84" s="14">
        <v>3936567</v>
      </c>
      <c r="D84" s="14" t="s">
        <v>1813</v>
      </c>
      <c r="E84" s="14" t="s">
        <v>1007</v>
      </c>
      <c r="F84" s="14" t="s">
        <v>7625</v>
      </c>
      <c r="G84" s="22" t="s">
        <v>16182</v>
      </c>
      <c r="H84" s="22" t="s">
        <v>22680</v>
      </c>
      <c r="I84" s="14" t="s">
        <v>88</v>
      </c>
      <c r="J84" s="14">
        <v>1</v>
      </c>
      <c r="K84" s="14">
        <v>1</v>
      </c>
      <c r="L84" s="14" t="s">
        <v>22681</v>
      </c>
      <c r="M84" s="19" t="s">
        <v>1760</v>
      </c>
      <c r="N84" s="14" t="s">
        <v>22682</v>
      </c>
      <c r="O84" s="14" t="s">
        <v>22683</v>
      </c>
      <c r="P84" s="14" t="str">
        <f>HYPERLINK("https://dexscreener.com/solana/CibH51JbBBbqTvGABmrAm14WPt7dSnm8mzWVcN6qzF9q", "View")</f>
        <v>View</v>
      </c>
    </row>
    <row r="85" spans="1:16" x14ac:dyDescent="0.25">
      <c r="A85" s="16" t="s">
        <v>22684</v>
      </c>
      <c r="B85" s="17">
        <v>201911</v>
      </c>
      <c r="C85" s="17">
        <v>201911</v>
      </c>
      <c r="D85" s="17" t="s">
        <v>1813</v>
      </c>
      <c r="E85" s="17" t="s">
        <v>219</v>
      </c>
      <c r="F85" s="17" t="s">
        <v>22685</v>
      </c>
      <c r="G85" s="22" t="s">
        <v>16873</v>
      </c>
      <c r="H85" s="22" t="s">
        <v>22686</v>
      </c>
      <c r="I85" s="17" t="s">
        <v>88</v>
      </c>
      <c r="J85" s="17">
        <v>1</v>
      </c>
      <c r="K85" s="17">
        <v>1</v>
      </c>
      <c r="L85" s="17" t="s">
        <v>22687</v>
      </c>
      <c r="M85" s="17" t="s">
        <v>602</v>
      </c>
      <c r="N85" s="17" t="s">
        <v>7388</v>
      </c>
      <c r="O85" s="17" t="s">
        <v>22688</v>
      </c>
      <c r="P85" s="17" t="str">
        <f>HYPERLINK("https://dexscreener.com/solana/J95PxHUEytzTGbf9DpLpyPHXnUTWN4FbRk2Jnc5nYKa3", "View")</f>
        <v>View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F75F-94FA-4472-A56E-CA86F80927C2}">
  <dimension ref="A1:P31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HYPERLINK("https://gmgn.ai/sol/address/CtKi39VFQRf2m8j8fkLzmJR6csxPVnWApLEGHmuAQWYb", "GMGN")</f>
        <v>GMGN</v>
      </c>
    </row>
    <row r="2" spans="1:14" x14ac:dyDescent="0.25">
      <c r="A2" s="3" t="s">
        <v>1996</v>
      </c>
      <c r="B2" s="3" t="s">
        <v>1997</v>
      </c>
      <c r="C2" s="3" t="s">
        <v>1998</v>
      </c>
      <c r="D2" s="3" t="s">
        <v>1999</v>
      </c>
      <c r="E2" s="3" t="s">
        <v>2000</v>
      </c>
      <c r="F2" s="3" t="s">
        <v>2001</v>
      </c>
      <c r="G2" s="3" t="s">
        <v>2002</v>
      </c>
      <c r="H2" s="3">
        <v>298</v>
      </c>
      <c r="I2" s="3">
        <v>1</v>
      </c>
      <c r="J2" s="3" t="s">
        <v>690</v>
      </c>
      <c r="K2" s="3" t="s">
        <v>1434</v>
      </c>
      <c r="L2" s="3">
        <v>241</v>
      </c>
      <c r="M2" s="3">
        <v>66</v>
      </c>
      <c r="N2" s="3" t="str">
        <f>HYPERLINK("https://solscan.io/account/CtKi39VFQRf2m8j8fkLzmJR6csxPVnWApLEGHmuAQWYb", "Solscan")</f>
        <v>Solscan</v>
      </c>
    </row>
    <row r="3" spans="1:14" x14ac:dyDescent="0.25">
      <c r="A3" s="1" t="s">
        <v>21</v>
      </c>
      <c r="B3" s="23" t="s">
        <v>2003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HYPERLINK("https://birdeye.so/profile/CtKi39VFQRf2m8j8fkLzmJR6csxPVnWApLEGHmuAQWYb", "Birdeye")</f>
        <v>Birdeye</v>
      </c>
    </row>
    <row r="4" spans="1:14" x14ac:dyDescent="0.25">
      <c r="A4" s="1" t="s">
        <v>25</v>
      </c>
      <c r="B4" s="3" t="s">
        <v>2004</v>
      </c>
      <c r="C4" s="3"/>
      <c r="D4" s="3" t="s">
        <v>2005</v>
      </c>
      <c r="E4" s="3" t="s">
        <v>2006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2007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8</v>
      </c>
      <c r="C10" s="1">
        <v>19</v>
      </c>
      <c r="D10" s="1">
        <v>21</v>
      </c>
      <c r="E10" s="1">
        <v>125</v>
      </c>
      <c r="F10" s="1">
        <v>101</v>
      </c>
      <c r="G10" s="1">
        <v>24</v>
      </c>
      <c r="H10" s="3"/>
      <c r="I10" s="3" t="s">
        <v>42</v>
      </c>
      <c r="J10" s="3" t="s">
        <v>1570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2008</v>
      </c>
      <c r="C11" s="1" t="s">
        <v>2009</v>
      </c>
      <c r="D11" s="1" t="s">
        <v>2010</v>
      </c>
      <c r="E11" s="1" t="s">
        <v>2011</v>
      </c>
      <c r="F11" s="1" t="s">
        <v>2012</v>
      </c>
      <c r="G11" s="1" t="s">
        <v>2013</v>
      </c>
      <c r="H11" s="3"/>
      <c r="I11" s="3" t="s">
        <v>50</v>
      </c>
      <c r="J11" s="3" t="s">
        <v>2014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2015</v>
      </c>
      <c r="C12" s="1" t="s">
        <v>2016</v>
      </c>
      <c r="D12" s="1" t="s">
        <v>2017</v>
      </c>
      <c r="E12" s="1" t="s">
        <v>2018</v>
      </c>
      <c r="F12" s="1" t="s">
        <v>2019</v>
      </c>
      <c r="G12" s="1" t="s">
        <v>2020</v>
      </c>
      <c r="H12" s="3"/>
      <c r="I12" s="3" t="s">
        <v>59</v>
      </c>
      <c r="J12" s="3" t="s">
        <v>2021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2022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2023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2024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2025</v>
      </c>
      <c r="B20" s="14">
        <v>95397217</v>
      </c>
      <c r="C20" s="14">
        <v>95397217</v>
      </c>
      <c r="D20" s="14" t="s">
        <v>2026</v>
      </c>
      <c r="E20" s="14" t="s">
        <v>2027</v>
      </c>
      <c r="F20" s="14" t="s">
        <v>2028</v>
      </c>
      <c r="G20" s="22" t="s">
        <v>2029</v>
      </c>
      <c r="H20" s="22" t="s">
        <v>2030</v>
      </c>
      <c r="I20" s="14" t="s">
        <v>88</v>
      </c>
      <c r="J20" s="14">
        <v>3</v>
      </c>
      <c r="K20" s="14">
        <v>2</v>
      </c>
      <c r="L20" s="14" t="s">
        <v>2031</v>
      </c>
      <c r="M20" s="14" t="s">
        <v>1448</v>
      </c>
      <c r="N20" s="14" t="s">
        <v>507</v>
      </c>
      <c r="O20" s="14" t="s">
        <v>2032</v>
      </c>
      <c r="P20" s="14" t="str">
        <f>HYPERLINK("https://photon-sol.tinyastro.io/en/lp/CHXhKTxZRMmfKSonCiGrQ9hKAm4agGzjtKrqTmFxpump?handle=676050794bc1b1657a56b", "View")</f>
        <v>View</v>
      </c>
    </row>
    <row r="21" spans="1:16" x14ac:dyDescent="0.25">
      <c r="A21" s="16" t="s">
        <v>2033</v>
      </c>
      <c r="B21" s="17">
        <v>43220511</v>
      </c>
      <c r="C21" s="17">
        <v>23739909</v>
      </c>
      <c r="D21" s="17" t="s">
        <v>1604</v>
      </c>
      <c r="E21" s="17" t="s">
        <v>2034</v>
      </c>
      <c r="F21" s="17" t="s">
        <v>2035</v>
      </c>
      <c r="G21" s="22" t="s">
        <v>2036</v>
      </c>
      <c r="H21" s="22" t="s">
        <v>2037</v>
      </c>
      <c r="I21" s="17" t="s">
        <v>88</v>
      </c>
      <c r="J21" s="17">
        <v>2</v>
      </c>
      <c r="K21" s="17">
        <v>5</v>
      </c>
      <c r="L21" s="17" t="s">
        <v>2038</v>
      </c>
      <c r="M21" s="17" t="s">
        <v>160</v>
      </c>
      <c r="N21" s="17" t="s">
        <v>2039</v>
      </c>
      <c r="O21" s="17" t="s">
        <v>2040</v>
      </c>
      <c r="P21" s="17" t="str">
        <f>HYPERLINK("https://photon-sol.tinyastro.io/en/lp/ExEPSp9Byx14EueDyYDPwTrGEEX751NQaqEjHmVspump?handle=676050794bc1b1657a56b", "View")</f>
        <v>View</v>
      </c>
    </row>
    <row r="22" spans="1:16" x14ac:dyDescent="0.25">
      <c r="A22" s="13" t="s">
        <v>2041</v>
      </c>
      <c r="B22" s="14">
        <v>61061371</v>
      </c>
      <c r="C22" s="14">
        <v>61061371</v>
      </c>
      <c r="D22" s="14" t="s">
        <v>1595</v>
      </c>
      <c r="E22" s="14" t="s">
        <v>2042</v>
      </c>
      <c r="F22" s="14" t="s">
        <v>2043</v>
      </c>
      <c r="G22" s="22" t="s">
        <v>2044</v>
      </c>
      <c r="H22" s="22" t="s">
        <v>2045</v>
      </c>
      <c r="I22" s="14" t="s">
        <v>88</v>
      </c>
      <c r="J22" s="14">
        <v>1</v>
      </c>
      <c r="K22" s="14">
        <v>1</v>
      </c>
      <c r="L22" s="14" t="s">
        <v>2046</v>
      </c>
      <c r="M22" s="14" t="s">
        <v>2047</v>
      </c>
      <c r="N22" s="14" t="s">
        <v>507</v>
      </c>
      <c r="O22" s="14" t="s">
        <v>2048</v>
      </c>
      <c r="P22" s="14" t="str">
        <f>HYPERLINK("https://photon-sol.tinyastro.io/en/lp/AfKQvCedjJKMA2zVWEph1oEF4N1h9zxMdjvJbpadifFv?handle=676050794bc1b1657a56b", "View")</f>
        <v>View</v>
      </c>
    </row>
    <row r="23" spans="1:16" x14ac:dyDescent="0.25">
      <c r="A23" s="16" t="s">
        <v>2049</v>
      </c>
      <c r="B23" s="17">
        <v>1111727</v>
      </c>
      <c r="C23" s="17">
        <v>0</v>
      </c>
      <c r="D23" s="17" t="s">
        <v>2050</v>
      </c>
      <c r="E23" s="17" t="s">
        <v>1007</v>
      </c>
      <c r="F23" s="17" t="s">
        <v>96</v>
      </c>
      <c r="G23" s="18" t="s">
        <v>2051</v>
      </c>
      <c r="H23" s="18" t="s">
        <v>98</v>
      </c>
      <c r="I23" s="17" t="s">
        <v>2052</v>
      </c>
      <c r="J23" s="17">
        <v>1</v>
      </c>
      <c r="K23" s="17">
        <v>0</v>
      </c>
      <c r="L23" s="17" t="s">
        <v>2053</v>
      </c>
      <c r="M23" s="19" t="s">
        <v>101</v>
      </c>
      <c r="N23" s="17" t="s">
        <v>2054</v>
      </c>
      <c r="O23" s="17" t="s">
        <v>2055</v>
      </c>
      <c r="P23" s="17" t="str">
        <f>HYPERLINK("https://dexscreener.com/solana/9Nn6G3UrKf46GjYJERZdBNRa6oiZBvcQzWfkV2aHTwUe", "View")</f>
        <v>View</v>
      </c>
    </row>
    <row r="24" spans="1:16" x14ac:dyDescent="0.25">
      <c r="A24" s="13" t="s">
        <v>2056</v>
      </c>
      <c r="B24" s="14">
        <v>15417206</v>
      </c>
      <c r="C24" s="14">
        <v>15417206</v>
      </c>
      <c r="D24" s="14" t="s">
        <v>1595</v>
      </c>
      <c r="E24" s="14" t="s">
        <v>2057</v>
      </c>
      <c r="F24" s="14" t="s">
        <v>2058</v>
      </c>
      <c r="G24" s="20" t="s">
        <v>2059</v>
      </c>
      <c r="H24" s="20" t="s">
        <v>2060</v>
      </c>
      <c r="I24" s="14" t="s">
        <v>88</v>
      </c>
      <c r="J24" s="14">
        <v>1</v>
      </c>
      <c r="K24" s="14">
        <v>1</v>
      </c>
      <c r="L24" s="14" t="s">
        <v>2061</v>
      </c>
      <c r="M24" s="19" t="s">
        <v>1872</v>
      </c>
      <c r="N24" s="14" t="s">
        <v>507</v>
      </c>
      <c r="O24" s="14" t="s">
        <v>2062</v>
      </c>
      <c r="P24" s="14" t="str">
        <f>HYPERLINK("https://photon-sol.tinyastro.io/en/lp/mAkyfBzPXEGSHxfJpmF1oeFrDYVzrsjkaLi4xxzpump?handle=676050794bc1b1657a56b", "View")</f>
        <v>View</v>
      </c>
    </row>
    <row r="25" spans="1:16" x14ac:dyDescent="0.25">
      <c r="A25" s="16" t="s">
        <v>2063</v>
      </c>
      <c r="B25" s="17">
        <v>95334060</v>
      </c>
      <c r="C25" s="17">
        <v>95334060</v>
      </c>
      <c r="D25" s="17" t="s">
        <v>1629</v>
      </c>
      <c r="E25" s="17" t="s">
        <v>2064</v>
      </c>
      <c r="F25" s="17" t="s">
        <v>2065</v>
      </c>
      <c r="G25" s="20" t="s">
        <v>2066</v>
      </c>
      <c r="H25" s="20" t="s">
        <v>2067</v>
      </c>
      <c r="I25" s="17" t="s">
        <v>88</v>
      </c>
      <c r="J25" s="17">
        <v>2</v>
      </c>
      <c r="K25" s="17">
        <v>2</v>
      </c>
      <c r="L25" s="17" t="s">
        <v>2068</v>
      </c>
      <c r="M25" s="17" t="s">
        <v>1448</v>
      </c>
      <c r="N25" s="17" t="s">
        <v>2069</v>
      </c>
      <c r="O25" s="17" t="s">
        <v>2070</v>
      </c>
      <c r="P25" s="17" t="str">
        <f>HYPERLINK("https://photon-sol.tinyastro.io/en/lp/5odNR5HTa6EA2q9g6DTZM55JS7TDx2Wkz8m4o9eypump?handle=676050794bc1b1657a56b", "View")</f>
        <v>View</v>
      </c>
    </row>
    <row r="26" spans="1:16" x14ac:dyDescent="0.25">
      <c r="A26" s="13" t="s">
        <v>199</v>
      </c>
      <c r="B26" s="14">
        <v>67055571</v>
      </c>
      <c r="C26" s="14">
        <v>67055571</v>
      </c>
      <c r="D26" s="14" t="s">
        <v>1595</v>
      </c>
      <c r="E26" s="14" t="s">
        <v>2042</v>
      </c>
      <c r="F26" s="14" t="s">
        <v>2071</v>
      </c>
      <c r="G26" s="22" t="s">
        <v>2072</v>
      </c>
      <c r="H26" s="22" t="s">
        <v>2073</v>
      </c>
      <c r="I26" s="14" t="s">
        <v>88</v>
      </c>
      <c r="J26" s="14">
        <v>1</v>
      </c>
      <c r="K26" s="14">
        <v>1</v>
      </c>
      <c r="L26" s="14" t="s">
        <v>2074</v>
      </c>
      <c r="M26" s="19" t="s">
        <v>1940</v>
      </c>
      <c r="N26" s="14" t="s">
        <v>507</v>
      </c>
      <c r="O26" s="14" t="s">
        <v>2075</v>
      </c>
      <c r="P26" s="14" t="str">
        <f>HYPERLINK("https://photon-sol.tinyastro.io/en/lp/6jLbZEyyZC5EHkZQyw2ptcCqciQeYx3a3GMjbBYhpump?handle=676050794bc1b1657a56b", "View")</f>
        <v>View</v>
      </c>
    </row>
    <row r="27" spans="1:16" x14ac:dyDescent="0.25">
      <c r="A27" s="16" t="s">
        <v>2076</v>
      </c>
      <c r="B27" s="17">
        <v>853472</v>
      </c>
      <c r="C27" s="17">
        <v>853472</v>
      </c>
      <c r="D27" s="17" t="s">
        <v>1595</v>
      </c>
      <c r="E27" s="17" t="s">
        <v>1007</v>
      </c>
      <c r="F27" s="17" t="s">
        <v>2077</v>
      </c>
      <c r="G27" s="15" t="s">
        <v>2078</v>
      </c>
      <c r="H27" s="15" t="s">
        <v>2079</v>
      </c>
      <c r="I27" s="17" t="s">
        <v>88</v>
      </c>
      <c r="J27" s="17">
        <v>1</v>
      </c>
      <c r="K27" s="17">
        <v>1</v>
      </c>
      <c r="L27" s="17" t="s">
        <v>2080</v>
      </c>
      <c r="M27" s="17" t="s">
        <v>788</v>
      </c>
      <c r="N27" s="17" t="s">
        <v>2081</v>
      </c>
      <c r="O27" s="17" t="s">
        <v>2082</v>
      </c>
      <c r="P27" s="17" t="str">
        <f>HYPERLINK("https://dexscreener.com/solana/ANHe57KsB5za8w42cNNKHv65A9ghbqkJ3hYsJSRa14vX", "View")</f>
        <v>View</v>
      </c>
    </row>
    <row r="28" spans="1:16" x14ac:dyDescent="0.25">
      <c r="A28" s="13" t="s">
        <v>2083</v>
      </c>
      <c r="B28" s="14">
        <v>9586892</v>
      </c>
      <c r="C28" s="14">
        <v>9586892</v>
      </c>
      <c r="D28" s="14" t="s">
        <v>1646</v>
      </c>
      <c r="E28" s="14" t="s">
        <v>1007</v>
      </c>
      <c r="F28" s="14" t="s">
        <v>2084</v>
      </c>
      <c r="G28" s="22" t="s">
        <v>2085</v>
      </c>
      <c r="H28" s="22" t="s">
        <v>2086</v>
      </c>
      <c r="I28" s="14" t="s">
        <v>88</v>
      </c>
      <c r="J28" s="14">
        <v>1</v>
      </c>
      <c r="K28" s="14">
        <v>2</v>
      </c>
      <c r="L28" s="14" t="s">
        <v>2087</v>
      </c>
      <c r="M28" s="14" t="s">
        <v>1448</v>
      </c>
      <c r="N28" s="14" t="s">
        <v>2088</v>
      </c>
      <c r="O28" s="14" t="s">
        <v>2089</v>
      </c>
      <c r="P28" s="14" t="str">
        <f>HYPERLINK("https://dexscreener.com/solana/CZo7gdj8TxA1D8CW2e6opzEgAzParfVyRVKH8WAd5qAe", "View")</f>
        <v>View</v>
      </c>
    </row>
    <row r="29" spans="1:16" x14ac:dyDescent="0.25">
      <c r="A29" s="16" t="s">
        <v>2090</v>
      </c>
      <c r="B29" s="17">
        <v>3998156</v>
      </c>
      <c r="C29" s="17">
        <v>3998156</v>
      </c>
      <c r="D29" s="17" t="s">
        <v>2026</v>
      </c>
      <c r="E29" s="17" t="s">
        <v>2091</v>
      </c>
      <c r="F29" s="17" t="s">
        <v>2092</v>
      </c>
      <c r="G29" s="21" t="s">
        <v>2093</v>
      </c>
      <c r="H29" s="21" t="s">
        <v>2094</v>
      </c>
      <c r="I29" s="17" t="s">
        <v>88</v>
      </c>
      <c r="J29" s="17">
        <v>1</v>
      </c>
      <c r="K29" s="17">
        <v>4</v>
      </c>
      <c r="L29" s="17" t="s">
        <v>2095</v>
      </c>
      <c r="M29" s="17" t="s">
        <v>1566</v>
      </c>
      <c r="N29" s="17" t="s">
        <v>2096</v>
      </c>
      <c r="O29" s="17" t="s">
        <v>2097</v>
      </c>
      <c r="P29" s="17" t="str">
        <f>HYPERLINK("https://photon-sol.tinyastro.io/en/lp/FP8KVrhyWKTAZwiKRPqZyUrErh96qyyeqxjgdyMUpump?handle=676050794bc1b1657a56b", "View")</f>
        <v>View</v>
      </c>
    </row>
    <row r="30" spans="1:16" x14ac:dyDescent="0.25">
      <c r="A30" s="13" t="s">
        <v>2098</v>
      </c>
      <c r="B30" s="14">
        <v>10726710</v>
      </c>
      <c r="C30" s="14">
        <v>10726710</v>
      </c>
      <c r="D30" s="14" t="s">
        <v>1691</v>
      </c>
      <c r="E30" s="14" t="s">
        <v>2099</v>
      </c>
      <c r="F30" s="14" t="s">
        <v>2100</v>
      </c>
      <c r="G30" s="20" t="s">
        <v>2101</v>
      </c>
      <c r="H30" s="20" t="s">
        <v>2102</v>
      </c>
      <c r="I30" s="14" t="s">
        <v>88</v>
      </c>
      <c r="J30" s="14">
        <v>2</v>
      </c>
      <c r="K30" s="14">
        <v>1</v>
      </c>
      <c r="L30" s="14" t="s">
        <v>2103</v>
      </c>
      <c r="M30" s="19" t="s">
        <v>2104</v>
      </c>
      <c r="N30" s="14" t="s">
        <v>2105</v>
      </c>
      <c r="O30" s="14" t="s">
        <v>2106</v>
      </c>
      <c r="P30" s="14" t="str">
        <f>HYPERLINK("https://photon-sol.tinyastro.io/en/lp/CUrwywg97BTWCrb3BYQH11ArbTyoENEe4kFpA2dcDS2F?handle=676050794bc1b1657a56b", "View")</f>
        <v>View</v>
      </c>
    </row>
    <row r="31" spans="1:16" x14ac:dyDescent="0.25">
      <c r="A31" s="16" t="s">
        <v>2107</v>
      </c>
      <c r="B31" s="17">
        <v>15290119</v>
      </c>
      <c r="C31" s="17">
        <v>15290119</v>
      </c>
      <c r="D31" s="17" t="s">
        <v>1654</v>
      </c>
      <c r="E31" s="17" t="s">
        <v>2108</v>
      </c>
      <c r="F31" s="17" t="s">
        <v>2109</v>
      </c>
      <c r="G31" s="21" t="s">
        <v>2110</v>
      </c>
      <c r="H31" s="21" t="s">
        <v>2111</v>
      </c>
      <c r="I31" s="17" t="s">
        <v>88</v>
      </c>
      <c r="J31" s="17">
        <v>1</v>
      </c>
      <c r="K31" s="17">
        <v>5</v>
      </c>
      <c r="L31" s="17" t="s">
        <v>2112</v>
      </c>
      <c r="M31" s="17" t="s">
        <v>2113</v>
      </c>
      <c r="N31" s="17" t="s">
        <v>2114</v>
      </c>
      <c r="O31" s="17" t="s">
        <v>2115</v>
      </c>
      <c r="P31" s="17" t="str">
        <f>HYPERLINK("https://photon-sol.tinyastro.io/en/lp/FjqmRY2wjdBCJ4MdhtZctKGYWG5q9k9zNHa7kguQpump?handle=676050794bc1b1657a56b", "View")</f>
        <v>View</v>
      </c>
    </row>
    <row r="32" spans="1:16" x14ac:dyDescent="0.25">
      <c r="A32" s="13" t="s">
        <v>2116</v>
      </c>
      <c r="B32" s="14">
        <v>12490949</v>
      </c>
      <c r="C32" s="14">
        <v>12490949</v>
      </c>
      <c r="D32" s="14" t="s">
        <v>1595</v>
      </c>
      <c r="E32" s="14" t="s">
        <v>2117</v>
      </c>
      <c r="F32" s="14" t="s">
        <v>2118</v>
      </c>
      <c r="G32" s="15" t="s">
        <v>2119</v>
      </c>
      <c r="H32" s="15" t="s">
        <v>2120</v>
      </c>
      <c r="I32" s="14" t="s">
        <v>88</v>
      </c>
      <c r="J32" s="14">
        <v>1</v>
      </c>
      <c r="K32" s="14">
        <v>1</v>
      </c>
      <c r="L32" s="14" t="s">
        <v>2121</v>
      </c>
      <c r="M32" s="19" t="s">
        <v>2122</v>
      </c>
      <c r="N32" s="14" t="s">
        <v>2123</v>
      </c>
      <c r="O32" s="14" t="s">
        <v>2124</v>
      </c>
      <c r="P32" s="14" t="str">
        <f>HYPERLINK("https://photon-sol.tinyastro.io/en/lp/FD1GoQJ6TiQbr1nL1drPQxV3WSLdhCuDz7METwoApump?handle=676050794bc1b1657a56b", "View")</f>
        <v>View</v>
      </c>
    </row>
    <row r="33" spans="1:16" x14ac:dyDescent="0.25">
      <c r="A33" s="16" t="s">
        <v>2125</v>
      </c>
      <c r="B33" s="17">
        <v>16941662</v>
      </c>
      <c r="C33" s="17">
        <v>16941662</v>
      </c>
      <c r="D33" s="17" t="s">
        <v>1646</v>
      </c>
      <c r="E33" s="17" t="s">
        <v>2108</v>
      </c>
      <c r="F33" s="17" t="s">
        <v>2126</v>
      </c>
      <c r="G33" s="22" t="s">
        <v>2127</v>
      </c>
      <c r="H33" s="22" t="s">
        <v>2128</v>
      </c>
      <c r="I33" s="17" t="s">
        <v>88</v>
      </c>
      <c r="J33" s="17">
        <v>1</v>
      </c>
      <c r="K33" s="17">
        <v>2</v>
      </c>
      <c r="L33" s="17" t="s">
        <v>2129</v>
      </c>
      <c r="M33" s="17" t="s">
        <v>1957</v>
      </c>
      <c r="N33" s="17" t="s">
        <v>2130</v>
      </c>
      <c r="O33" s="17" t="s">
        <v>2131</v>
      </c>
      <c r="P33" s="17" t="str">
        <f>HYPERLINK("https://photon-sol.tinyastro.io/en/lp/J9dY9eaaJsAhLu4RSSt9GAxswSvVD7ADCz2bGuEopump?handle=676050794bc1b1657a56b", "View")</f>
        <v>View</v>
      </c>
    </row>
    <row r="34" spans="1:16" x14ac:dyDescent="0.25">
      <c r="A34" s="13" t="s">
        <v>2132</v>
      </c>
      <c r="B34" s="14">
        <v>14143624</v>
      </c>
      <c r="C34" s="14">
        <v>14143624</v>
      </c>
      <c r="D34" s="14" t="s">
        <v>2026</v>
      </c>
      <c r="E34" s="14" t="s">
        <v>2133</v>
      </c>
      <c r="F34" s="14" t="s">
        <v>2134</v>
      </c>
      <c r="G34" s="20" t="s">
        <v>2135</v>
      </c>
      <c r="H34" s="20" t="s">
        <v>2136</v>
      </c>
      <c r="I34" s="14" t="s">
        <v>88</v>
      </c>
      <c r="J34" s="14">
        <v>3</v>
      </c>
      <c r="K34" s="14">
        <v>2</v>
      </c>
      <c r="L34" s="14" t="s">
        <v>2137</v>
      </c>
      <c r="M34" s="14" t="s">
        <v>1610</v>
      </c>
      <c r="N34" s="14" t="s">
        <v>2138</v>
      </c>
      <c r="O34" s="14" t="s">
        <v>2139</v>
      </c>
      <c r="P34" s="14" t="str">
        <f>HYPERLINK("https://photon-sol.tinyastro.io/en/lp/BZ4xhW34TAzt6oAkpYSNtfGpQG1C1BpvmwfUNxyypump?handle=676050794bc1b1657a56b", "View")</f>
        <v>View</v>
      </c>
    </row>
    <row r="35" spans="1:16" x14ac:dyDescent="0.25">
      <c r="A35" s="16" t="s">
        <v>2140</v>
      </c>
      <c r="B35" s="17">
        <v>52295614</v>
      </c>
      <c r="C35" s="17">
        <v>64086477</v>
      </c>
      <c r="D35" s="17" t="s">
        <v>1646</v>
      </c>
      <c r="E35" s="17" t="s">
        <v>1457</v>
      </c>
      <c r="F35" s="17" t="s">
        <v>2141</v>
      </c>
      <c r="G35" s="21" t="s">
        <v>2142</v>
      </c>
      <c r="H35" s="21" t="s">
        <v>2143</v>
      </c>
      <c r="I35" s="17" t="s">
        <v>88</v>
      </c>
      <c r="J35" s="17">
        <v>1</v>
      </c>
      <c r="K35" s="17">
        <v>2</v>
      </c>
      <c r="L35" s="17" t="s">
        <v>2144</v>
      </c>
      <c r="M35" s="17" t="s">
        <v>2145</v>
      </c>
      <c r="N35" s="17" t="s">
        <v>2146</v>
      </c>
      <c r="O35" s="17" t="s">
        <v>2147</v>
      </c>
      <c r="P35" s="17" t="str">
        <f>HYPERLINK("https://dexscreener.com/solana/CxSsfTSBDER6opB1uTCu7s4Z3QcTorhYJvk9nPqCpump", "View")</f>
        <v>View</v>
      </c>
    </row>
    <row r="36" spans="1:16" x14ac:dyDescent="0.25">
      <c r="A36" s="13" t="s">
        <v>2148</v>
      </c>
      <c r="B36" s="14">
        <v>7124494</v>
      </c>
      <c r="C36" s="14">
        <v>7124494</v>
      </c>
      <c r="D36" s="14" t="s">
        <v>1646</v>
      </c>
      <c r="E36" s="14" t="s">
        <v>2149</v>
      </c>
      <c r="F36" s="14" t="s">
        <v>2150</v>
      </c>
      <c r="G36" s="20" t="s">
        <v>1664</v>
      </c>
      <c r="H36" s="20" t="s">
        <v>2151</v>
      </c>
      <c r="I36" s="14" t="s">
        <v>88</v>
      </c>
      <c r="J36" s="14">
        <v>2</v>
      </c>
      <c r="K36" s="14">
        <v>1</v>
      </c>
      <c r="L36" s="14" t="s">
        <v>2152</v>
      </c>
      <c r="M36" s="14" t="s">
        <v>937</v>
      </c>
      <c r="N36" s="14" t="s">
        <v>2153</v>
      </c>
      <c r="O36" s="14" t="s">
        <v>2154</v>
      </c>
      <c r="P36" s="14" t="str">
        <f>HYPERLINK("https://photon-sol.tinyastro.io/en/lp/6JocA9yXWP3nsVN7XYTXmf6gm69nMzUSj8Rbnt9rpump?handle=676050794bc1b1657a56b", "View")</f>
        <v>View</v>
      </c>
    </row>
    <row r="37" spans="1:16" x14ac:dyDescent="0.25">
      <c r="A37" s="16" t="s">
        <v>1699</v>
      </c>
      <c r="B37" s="17">
        <v>55338736</v>
      </c>
      <c r="C37" s="17">
        <v>30000000</v>
      </c>
      <c r="D37" s="17" t="s">
        <v>2155</v>
      </c>
      <c r="E37" s="17" t="s">
        <v>2042</v>
      </c>
      <c r="F37" s="17" t="s">
        <v>2156</v>
      </c>
      <c r="G37" s="21" t="s">
        <v>2157</v>
      </c>
      <c r="H37" s="21" t="s">
        <v>2158</v>
      </c>
      <c r="I37" s="17" t="s">
        <v>88</v>
      </c>
      <c r="J37" s="17">
        <v>1</v>
      </c>
      <c r="K37" s="17">
        <v>23</v>
      </c>
      <c r="L37" s="17" t="s">
        <v>2159</v>
      </c>
      <c r="M37" s="17" t="s">
        <v>2113</v>
      </c>
      <c r="N37" s="17" t="s">
        <v>2160</v>
      </c>
      <c r="O37" s="17" t="s">
        <v>2161</v>
      </c>
      <c r="P37" s="17" t="str">
        <f>HYPERLINK("https://photon-sol.tinyastro.io/en/lp/4FieKJu1twj631v1NbDdpocqWS72Up36N3Lf3C1dpump?handle=676050794bc1b1657a56b", "View")</f>
        <v>View</v>
      </c>
    </row>
    <row r="38" spans="1:16" x14ac:dyDescent="0.25">
      <c r="A38" s="13" t="s">
        <v>2162</v>
      </c>
      <c r="B38" s="14">
        <v>29784950</v>
      </c>
      <c r="C38" s="14">
        <v>29784950</v>
      </c>
      <c r="D38" s="14" t="s">
        <v>1595</v>
      </c>
      <c r="E38" s="14" t="s">
        <v>1457</v>
      </c>
      <c r="F38" s="14" t="s">
        <v>2163</v>
      </c>
      <c r="G38" s="22" t="s">
        <v>2164</v>
      </c>
      <c r="H38" s="22" t="s">
        <v>2165</v>
      </c>
      <c r="I38" s="14" t="s">
        <v>88</v>
      </c>
      <c r="J38" s="14">
        <v>1</v>
      </c>
      <c r="K38" s="14">
        <v>1</v>
      </c>
      <c r="L38" s="14" t="s">
        <v>2166</v>
      </c>
      <c r="M38" s="19" t="s">
        <v>2167</v>
      </c>
      <c r="N38" s="14" t="s">
        <v>2168</v>
      </c>
      <c r="O38" s="14" t="s">
        <v>2169</v>
      </c>
      <c r="P38" s="14" t="str">
        <f>HYPERLINK("https://dexscreener.com/solana/83J65ePJ84RYX8RWfbVmnwcD7RkFh2dTLfV2cgHnpump", "View")</f>
        <v>View</v>
      </c>
    </row>
    <row r="39" spans="1:16" x14ac:dyDescent="0.25">
      <c r="A39" s="16" t="s">
        <v>2170</v>
      </c>
      <c r="B39" s="17">
        <v>73873156</v>
      </c>
      <c r="C39" s="17">
        <v>73873156</v>
      </c>
      <c r="D39" s="17" t="s">
        <v>1595</v>
      </c>
      <c r="E39" s="17" t="s">
        <v>1683</v>
      </c>
      <c r="F39" s="17" t="s">
        <v>2171</v>
      </c>
      <c r="G39" s="20" t="s">
        <v>2172</v>
      </c>
      <c r="H39" s="20" t="s">
        <v>2173</v>
      </c>
      <c r="I39" s="17" t="s">
        <v>88</v>
      </c>
      <c r="J39" s="17">
        <v>1</v>
      </c>
      <c r="K39" s="17">
        <v>1</v>
      </c>
      <c r="L39" s="17" t="s">
        <v>2174</v>
      </c>
      <c r="M39" s="17" t="s">
        <v>1448</v>
      </c>
      <c r="N39" s="17" t="s">
        <v>1203</v>
      </c>
      <c r="O39" s="17" t="s">
        <v>2175</v>
      </c>
      <c r="P39" s="17" t="str">
        <f>HYPERLINK("https://photon-sol.tinyastro.io/en/lp/D28gP2rmTJKiycXkLt8Xgspe3N7LzxFjyTquqSo6pump?handle=676050794bc1b1657a56b", "View")</f>
        <v>View</v>
      </c>
    </row>
    <row r="40" spans="1:16" x14ac:dyDescent="0.25">
      <c r="A40" s="13" t="s">
        <v>2176</v>
      </c>
      <c r="B40" s="14">
        <v>17900172</v>
      </c>
      <c r="C40" s="14">
        <v>17900172</v>
      </c>
      <c r="D40" s="14" t="s">
        <v>1646</v>
      </c>
      <c r="E40" s="14" t="s">
        <v>2177</v>
      </c>
      <c r="F40" s="14" t="s">
        <v>2178</v>
      </c>
      <c r="G40" s="20" t="s">
        <v>2179</v>
      </c>
      <c r="H40" s="20" t="s">
        <v>2180</v>
      </c>
      <c r="I40" s="14" t="s">
        <v>88</v>
      </c>
      <c r="J40" s="14">
        <v>2</v>
      </c>
      <c r="K40" s="14">
        <v>1</v>
      </c>
      <c r="L40" s="14" t="s">
        <v>2181</v>
      </c>
      <c r="M40" s="14" t="s">
        <v>1448</v>
      </c>
      <c r="N40" s="14" t="s">
        <v>2182</v>
      </c>
      <c r="O40" s="14" t="s">
        <v>2183</v>
      </c>
      <c r="P40" s="14" t="str">
        <f>HYPERLINK("https://photon-sol.tinyastro.io/en/lp/F3MXXH6Ua3iyvjpcCYPqdriEon4NrdfDN9cFDYVJpump?handle=676050794bc1b1657a56b", "View")</f>
        <v>View</v>
      </c>
    </row>
    <row r="41" spans="1:16" x14ac:dyDescent="0.25">
      <c r="A41" s="16" t="s">
        <v>2184</v>
      </c>
      <c r="B41" s="17">
        <v>56051311</v>
      </c>
      <c r="C41" s="17">
        <v>56051311</v>
      </c>
      <c r="D41" s="17" t="s">
        <v>1595</v>
      </c>
      <c r="E41" s="17" t="s">
        <v>1683</v>
      </c>
      <c r="F41" s="17" t="s">
        <v>2185</v>
      </c>
      <c r="G41" s="22" t="s">
        <v>2186</v>
      </c>
      <c r="H41" s="22" t="s">
        <v>2187</v>
      </c>
      <c r="I41" s="17" t="s">
        <v>88</v>
      </c>
      <c r="J41" s="17">
        <v>1</v>
      </c>
      <c r="K41" s="17">
        <v>1</v>
      </c>
      <c r="L41" s="17" t="s">
        <v>2188</v>
      </c>
      <c r="M41" s="19" t="s">
        <v>2189</v>
      </c>
      <c r="N41" s="17" t="s">
        <v>507</v>
      </c>
      <c r="O41" s="17" t="s">
        <v>2190</v>
      </c>
      <c r="P41" s="17" t="str">
        <f>HYPERLINK("https://photon-sol.tinyastro.io/en/lp/BUn5ZhmY5ZvkZR4ntWp1GJudYCj2W7JAYgt2TmXdEg6r?handle=676050794bc1b1657a56b", "View")</f>
        <v>View</v>
      </c>
    </row>
    <row r="42" spans="1:16" x14ac:dyDescent="0.25">
      <c r="A42" s="13" t="s">
        <v>2191</v>
      </c>
      <c r="B42" s="14">
        <v>14974927</v>
      </c>
      <c r="C42" s="14">
        <v>14974927</v>
      </c>
      <c r="D42" s="14" t="s">
        <v>2026</v>
      </c>
      <c r="E42" s="14" t="s">
        <v>2192</v>
      </c>
      <c r="F42" s="14" t="s">
        <v>2193</v>
      </c>
      <c r="G42" s="15" t="s">
        <v>2194</v>
      </c>
      <c r="H42" s="15" t="s">
        <v>2195</v>
      </c>
      <c r="I42" s="14" t="s">
        <v>88</v>
      </c>
      <c r="J42" s="14">
        <v>3</v>
      </c>
      <c r="K42" s="14">
        <v>2</v>
      </c>
      <c r="L42" s="14" t="s">
        <v>2196</v>
      </c>
      <c r="M42" s="14" t="s">
        <v>1932</v>
      </c>
      <c r="N42" s="14" t="s">
        <v>2197</v>
      </c>
      <c r="O42" s="14" t="s">
        <v>2198</v>
      </c>
      <c r="P42" s="14" t="str">
        <f>HYPERLINK("https://photon-sol.tinyastro.io/en/lp/8suXssFRAAF7UMcxhRkG3n6mzkxuAJRCgkaY3Vy6G3Uu?handle=676050794bc1b1657a56b", "View")</f>
        <v>View</v>
      </c>
    </row>
    <row r="43" spans="1:16" x14ac:dyDescent="0.25">
      <c r="A43" s="16" t="s">
        <v>2199</v>
      </c>
      <c r="B43" s="17">
        <v>141637</v>
      </c>
      <c r="C43" s="17">
        <v>0</v>
      </c>
      <c r="D43" s="17" t="s">
        <v>1762</v>
      </c>
      <c r="E43" s="17" t="s">
        <v>2200</v>
      </c>
      <c r="F43" s="17" t="s">
        <v>96</v>
      </c>
      <c r="G43" s="18" t="s">
        <v>2201</v>
      </c>
      <c r="H43" s="18" t="s">
        <v>98</v>
      </c>
      <c r="I43" s="17" t="s">
        <v>2202</v>
      </c>
      <c r="J43" s="17">
        <v>1</v>
      </c>
      <c r="K43" s="17">
        <v>0</v>
      </c>
      <c r="L43" s="17" t="s">
        <v>2203</v>
      </c>
      <c r="M43" s="19" t="s">
        <v>101</v>
      </c>
      <c r="N43" s="17" t="s">
        <v>2204</v>
      </c>
      <c r="O43" s="17" t="s">
        <v>2205</v>
      </c>
      <c r="P43" s="17" t="str">
        <f>HYPERLINK("https://dexscreener.com/solana/4YGovsKxDuuXAKjvbDtwq7x1TCcTPYsgKLK4NpMppump", "View")</f>
        <v>View</v>
      </c>
    </row>
    <row r="44" spans="1:16" x14ac:dyDescent="0.25">
      <c r="A44" s="13" t="s">
        <v>2206</v>
      </c>
      <c r="B44" s="14">
        <v>43855029</v>
      </c>
      <c r="C44" s="14">
        <v>43855029</v>
      </c>
      <c r="D44" s="14" t="s">
        <v>1595</v>
      </c>
      <c r="E44" s="14" t="s">
        <v>2042</v>
      </c>
      <c r="F44" s="14" t="s">
        <v>2207</v>
      </c>
      <c r="G44" s="22" t="s">
        <v>2208</v>
      </c>
      <c r="H44" s="22" t="s">
        <v>2209</v>
      </c>
      <c r="I44" s="14" t="s">
        <v>88</v>
      </c>
      <c r="J44" s="14">
        <v>1</v>
      </c>
      <c r="K44" s="14">
        <v>1</v>
      </c>
      <c r="L44" s="14" t="s">
        <v>2210</v>
      </c>
      <c r="M44" s="14" t="s">
        <v>1610</v>
      </c>
      <c r="N44" s="14" t="s">
        <v>2211</v>
      </c>
      <c r="O44" s="14" t="s">
        <v>2212</v>
      </c>
      <c r="P44" s="14" t="str">
        <f>HYPERLINK("https://photon-sol.tinyastro.io/en/lp/PN9VFZeyu77UKuyXZHvR3x69dYZxcjwstKFmzmepump?handle=676050794bc1b1657a56b", "View")</f>
        <v>View</v>
      </c>
    </row>
    <row r="45" spans="1:16" x14ac:dyDescent="0.25">
      <c r="A45" s="16" t="s">
        <v>2206</v>
      </c>
      <c r="B45" s="17">
        <v>42085701</v>
      </c>
      <c r="C45" s="17">
        <v>42085701</v>
      </c>
      <c r="D45" s="17" t="s">
        <v>1604</v>
      </c>
      <c r="E45" s="17" t="s">
        <v>1982</v>
      </c>
      <c r="F45" s="17" t="s">
        <v>2213</v>
      </c>
      <c r="G45" s="20" t="s">
        <v>2214</v>
      </c>
      <c r="H45" s="20" t="s">
        <v>2215</v>
      </c>
      <c r="I45" s="17" t="s">
        <v>88</v>
      </c>
      <c r="J45" s="17">
        <v>5</v>
      </c>
      <c r="K45" s="17">
        <v>2</v>
      </c>
      <c r="L45" s="17" t="s">
        <v>2216</v>
      </c>
      <c r="M45" s="17" t="s">
        <v>1566</v>
      </c>
      <c r="N45" s="17" t="s">
        <v>2217</v>
      </c>
      <c r="O45" s="17" t="s">
        <v>2218</v>
      </c>
      <c r="P45" s="17" t="str">
        <f>HYPERLINK("https://photon-sol.tinyastro.io/en/lp/34YCAD1RkatyHRtT6T4CyAYzFfyHgKLpEYJUMSMjpump?handle=676050794bc1b1657a56b", "View")</f>
        <v>View</v>
      </c>
    </row>
    <row r="46" spans="1:16" x14ac:dyDescent="0.25">
      <c r="A46" s="13" t="s">
        <v>2219</v>
      </c>
      <c r="B46" s="14">
        <v>67058169</v>
      </c>
      <c r="C46" s="14">
        <v>67058169</v>
      </c>
      <c r="D46" s="14" t="s">
        <v>1595</v>
      </c>
      <c r="E46" s="14" t="s">
        <v>2042</v>
      </c>
      <c r="F46" s="14" t="s">
        <v>933</v>
      </c>
      <c r="G46" s="22" t="s">
        <v>2220</v>
      </c>
      <c r="H46" s="22" t="s">
        <v>2221</v>
      </c>
      <c r="I46" s="14" t="s">
        <v>88</v>
      </c>
      <c r="J46" s="14">
        <v>1</v>
      </c>
      <c r="K46" s="14">
        <v>1</v>
      </c>
      <c r="L46" s="14" t="s">
        <v>2222</v>
      </c>
      <c r="M46" s="19" t="s">
        <v>1948</v>
      </c>
      <c r="N46" s="14" t="s">
        <v>2223</v>
      </c>
      <c r="O46" s="14" t="s">
        <v>2224</v>
      </c>
      <c r="P46" s="14" t="str">
        <f>HYPERLINK("https://photon-sol.tinyastro.io/en/lp/ATTQ3eLvJuGZ7BcSD9T3Csyhrzs71YXYe6BPfbusNYhZ?handle=676050794bc1b1657a56b", "View")</f>
        <v>View</v>
      </c>
    </row>
    <row r="47" spans="1:16" x14ac:dyDescent="0.25">
      <c r="A47" s="16" t="s">
        <v>2225</v>
      </c>
      <c r="B47" s="17">
        <v>11400737</v>
      </c>
      <c r="C47" s="17">
        <v>11400737</v>
      </c>
      <c r="D47" s="17" t="s">
        <v>1629</v>
      </c>
      <c r="E47" s="17" t="s">
        <v>2226</v>
      </c>
      <c r="F47" s="17" t="s">
        <v>2227</v>
      </c>
      <c r="G47" s="20" t="s">
        <v>2228</v>
      </c>
      <c r="H47" s="20" t="s">
        <v>2229</v>
      </c>
      <c r="I47" s="17" t="s">
        <v>88</v>
      </c>
      <c r="J47" s="17">
        <v>2</v>
      </c>
      <c r="K47" s="17">
        <v>2</v>
      </c>
      <c r="L47" s="17" t="s">
        <v>2230</v>
      </c>
      <c r="M47" s="17" t="s">
        <v>1448</v>
      </c>
      <c r="N47" s="17" t="s">
        <v>2231</v>
      </c>
      <c r="O47" s="17" t="s">
        <v>2232</v>
      </c>
      <c r="P47" s="17" t="str">
        <f>HYPERLINK("https://photon-sol.tinyastro.io/en/lp/gh2xVbvsXa4i3GRSqsyvUzcejT4BgawLzERTRnupump?handle=676050794bc1b1657a56b", "View")</f>
        <v>View</v>
      </c>
    </row>
    <row r="48" spans="1:16" x14ac:dyDescent="0.25">
      <c r="A48" s="13" t="s">
        <v>2233</v>
      </c>
      <c r="B48" s="14">
        <v>5609386</v>
      </c>
      <c r="C48" s="14">
        <v>5609386</v>
      </c>
      <c r="D48" s="14" t="s">
        <v>1595</v>
      </c>
      <c r="E48" s="14" t="s">
        <v>2234</v>
      </c>
      <c r="F48" s="14" t="s">
        <v>2235</v>
      </c>
      <c r="G48" s="22" t="s">
        <v>2236</v>
      </c>
      <c r="H48" s="22" t="s">
        <v>2237</v>
      </c>
      <c r="I48" s="14" t="s">
        <v>88</v>
      </c>
      <c r="J48" s="14">
        <v>1</v>
      </c>
      <c r="K48" s="14">
        <v>1</v>
      </c>
      <c r="L48" s="14" t="s">
        <v>2238</v>
      </c>
      <c r="M48" s="19" t="s">
        <v>2239</v>
      </c>
      <c r="N48" s="14" t="s">
        <v>2240</v>
      </c>
      <c r="O48" s="14" t="s">
        <v>2241</v>
      </c>
      <c r="P48" s="14" t="str">
        <f>HYPERLINK("https://photon-sol.tinyastro.io/en/lp/Hmv2Gc27DdQWGdxCkRgVPUSgA8kzjzZ9RCNHQem8pump?handle=676050794bc1b1657a56b", "View")</f>
        <v>View</v>
      </c>
    </row>
    <row r="49" spans="1:16" x14ac:dyDescent="0.25">
      <c r="A49" s="16" t="s">
        <v>2242</v>
      </c>
      <c r="B49" s="17">
        <v>18013869</v>
      </c>
      <c r="C49" s="17">
        <v>18013869</v>
      </c>
      <c r="D49" s="17" t="s">
        <v>1595</v>
      </c>
      <c r="E49" s="17" t="s">
        <v>2243</v>
      </c>
      <c r="F49" s="17" t="s">
        <v>2244</v>
      </c>
      <c r="G49" s="20" t="s">
        <v>2245</v>
      </c>
      <c r="H49" s="20" t="s">
        <v>2246</v>
      </c>
      <c r="I49" s="17" t="s">
        <v>88</v>
      </c>
      <c r="J49" s="17">
        <v>1</v>
      </c>
      <c r="K49" s="17">
        <v>1</v>
      </c>
      <c r="L49" s="17" t="s">
        <v>2247</v>
      </c>
      <c r="M49" s="19" t="s">
        <v>2248</v>
      </c>
      <c r="N49" s="17" t="s">
        <v>2249</v>
      </c>
      <c r="O49" s="17" t="s">
        <v>2250</v>
      </c>
      <c r="P49" s="17" t="str">
        <f>HYPERLINK("https://photon-sol.tinyastro.io/en/lp/cRJXzNaPRiumhX3RDDBZcjiC1XWJLPrxzxJkiAqpump?handle=676050794bc1b1657a56b", "View")</f>
        <v>View</v>
      </c>
    </row>
    <row r="50" spans="1:16" x14ac:dyDescent="0.25">
      <c r="A50" s="13" t="s">
        <v>1603</v>
      </c>
      <c r="B50" s="14">
        <v>3077664</v>
      </c>
      <c r="C50" s="14">
        <v>3077664</v>
      </c>
      <c r="D50" s="14" t="s">
        <v>2026</v>
      </c>
      <c r="E50" s="14" t="s">
        <v>2251</v>
      </c>
      <c r="F50" s="14" t="s">
        <v>2252</v>
      </c>
      <c r="G50" s="21" t="s">
        <v>2253</v>
      </c>
      <c r="H50" s="21" t="s">
        <v>2254</v>
      </c>
      <c r="I50" s="14" t="s">
        <v>88</v>
      </c>
      <c r="J50" s="14">
        <v>1</v>
      </c>
      <c r="K50" s="14">
        <v>4</v>
      </c>
      <c r="L50" s="14" t="s">
        <v>2255</v>
      </c>
      <c r="M50" s="14" t="s">
        <v>1610</v>
      </c>
      <c r="N50" s="14" t="s">
        <v>2256</v>
      </c>
      <c r="O50" s="14" t="s">
        <v>1612</v>
      </c>
      <c r="P50" s="14" t="str">
        <f>HYPERLINK("https://photon-sol.tinyastro.io/en/lp/5q9YGGeyJ6ZLmXvX9QuQVyg3qYry93CMJqubCz1Npump?handle=676050794bc1b1657a56b", "View")</f>
        <v>View</v>
      </c>
    </row>
    <row r="51" spans="1:16" x14ac:dyDescent="0.25">
      <c r="A51" s="16" t="s">
        <v>2257</v>
      </c>
      <c r="B51" s="17">
        <v>97099455</v>
      </c>
      <c r="C51" s="17">
        <v>97099455</v>
      </c>
      <c r="D51" s="17" t="s">
        <v>1595</v>
      </c>
      <c r="E51" s="17" t="s">
        <v>2258</v>
      </c>
      <c r="F51" s="17" t="s">
        <v>2259</v>
      </c>
      <c r="G51" s="22" t="s">
        <v>2260</v>
      </c>
      <c r="H51" s="22" t="s">
        <v>2261</v>
      </c>
      <c r="I51" s="17" t="s">
        <v>88</v>
      </c>
      <c r="J51" s="17">
        <v>1</v>
      </c>
      <c r="K51" s="17">
        <v>1</v>
      </c>
      <c r="L51" s="17" t="s">
        <v>2262</v>
      </c>
      <c r="M51" s="19" t="s">
        <v>2239</v>
      </c>
      <c r="N51" s="17" t="s">
        <v>2263</v>
      </c>
      <c r="O51" s="17" t="s">
        <v>2264</v>
      </c>
      <c r="P51" s="17" t="str">
        <f>HYPERLINK("https://photon-sol.tinyastro.io/en/lp/4nbH8A9jppKncSAn3UZZW7xDE11ZXcuRnCTVaNrpBLvg?handle=676050794bc1b1657a56b", "View")</f>
        <v>View</v>
      </c>
    </row>
    <row r="52" spans="1:16" x14ac:dyDescent="0.25">
      <c r="A52" s="13" t="s">
        <v>2265</v>
      </c>
      <c r="B52" s="14">
        <v>7670012</v>
      </c>
      <c r="C52" s="14">
        <v>7670012</v>
      </c>
      <c r="D52" s="14" t="s">
        <v>1646</v>
      </c>
      <c r="E52" s="14" t="s">
        <v>2266</v>
      </c>
      <c r="F52" s="14" t="s">
        <v>2267</v>
      </c>
      <c r="G52" s="15" t="s">
        <v>2268</v>
      </c>
      <c r="H52" s="15" t="s">
        <v>2269</v>
      </c>
      <c r="I52" s="14" t="s">
        <v>88</v>
      </c>
      <c r="J52" s="14">
        <v>2</v>
      </c>
      <c r="K52" s="14">
        <v>1</v>
      </c>
      <c r="L52" s="14" t="s">
        <v>2270</v>
      </c>
      <c r="M52" s="14" t="s">
        <v>179</v>
      </c>
      <c r="N52" s="14" t="s">
        <v>2271</v>
      </c>
      <c r="O52" s="14" t="s">
        <v>2272</v>
      </c>
      <c r="P52" s="14" t="str">
        <f>HYPERLINK("https://photon-sol.tinyastro.io/en/lp/6tC3oAa5qnBE3GqxGYej5n1d1EQE8Tzj4r2tnKjBpump?handle=676050794bc1b1657a56b", "View")</f>
        <v>View</v>
      </c>
    </row>
    <row r="53" spans="1:16" x14ac:dyDescent="0.25">
      <c r="A53" s="16" t="s">
        <v>2273</v>
      </c>
      <c r="B53" s="17">
        <v>16413629</v>
      </c>
      <c r="C53" s="17">
        <v>16413629</v>
      </c>
      <c r="D53" s="17" t="s">
        <v>1595</v>
      </c>
      <c r="E53" s="17" t="s">
        <v>2234</v>
      </c>
      <c r="F53" s="17" t="s">
        <v>2274</v>
      </c>
      <c r="G53" s="22" t="s">
        <v>2275</v>
      </c>
      <c r="H53" s="22" t="s">
        <v>2276</v>
      </c>
      <c r="I53" s="17" t="s">
        <v>88</v>
      </c>
      <c r="J53" s="17">
        <v>1</v>
      </c>
      <c r="K53" s="17">
        <v>1</v>
      </c>
      <c r="L53" s="17" t="s">
        <v>2277</v>
      </c>
      <c r="M53" s="19" t="s">
        <v>1760</v>
      </c>
      <c r="N53" s="17" t="s">
        <v>2278</v>
      </c>
      <c r="O53" s="17" t="s">
        <v>2279</v>
      </c>
      <c r="P53" s="17" t="str">
        <f>HYPERLINK("https://photon-sol.tinyastro.io/en/lp/4W4sWg4ozqkcaehadjsLCwQX3ZdYx8TSaVLNfHuHpump?handle=676050794bc1b1657a56b", "View")</f>
        <v>View</v>
      </c>
    </row>
    <row r="54" spans="1:16" x14ac:dyDescent="0.25">
      <c r="A54" s="13" t="s">
        <v>2280</v>
      </c>
      <c r="B54" s="14">
        <v>66395758</v>
      </c>
      <c r="C54" s="14">
        <v>66395758</v>
      </c>
      <c r="D54" s="14" t="s">
        <v>1595</v>
      </c>
      <c r="E54" s="14" t="s">
        <v>2281</v>
      </c>
      <c r="F54" s="14" t="s">
        <v>2282</v>
      </c>
      <c r="G54" s="22" t="s">
        <v>2283</v>
      </c>
      <c r="H54" s="22" t="s">
        <v>2284</v>
      </c>
      <c r="I54" s="14" t="s">
        <v>88</v>
      </c>
      <c r="J54" s="14">
        <v>1</v>
      </c>
      <c r="K54" s="14">
        <v>1</v>
      </c>
      <c r="L54" s="14" t="s">
        <v>2285</v>
      </c>
      <c r="M54" s="19" t="s">
        <v>1948</v>
      </c>
      <c r="N54" s="14" t="s">
        <v>2223</v>
      </c>
      <c r="O54" s="14" t="s">
        <v>2286</v>
      </c>
      <c r="P54" s="14" t="str">
        <f>HYPERLINK("https://photon-sol.tinyastro.io/en/lp/6kSwkjACzocgZc7QyAKhgcG5i1nhnre1Zi3BFuFApump?handle=676050794bc1b1657a56b", "View")</f>
        <v>View</v>
      </c>
    </row>
    <row r="55" spans="1:16" x14ac:dyDescent="0.25">
      <c r="A55" s="16" t="s">
        <v>2287</v>
      </c>
      <c r="B55" s="17">
        <v>3481103</v>
      </c>
      <c r="C55" s="17">
        <v>3481103</v>
      </c>
      <c r="D55" s="17" t="s">
        <v>1595</v>
      </c>
      <c r="E55" s="17" t="s">
        <v>2234</v>
      </c>
      <c r="F55" s="17" t="s">
        <v>2288</v>
      </c>
      <c r="G55" s="20" t="s">
        <v>2289</v>
      </c>
      <c r="H55" s="20" t="s">
        <v>2290</v>
      </c>
      <c r="I55" s="17" t="s">
        <v>88</v>
      </c>
      <c r="J55" s="17">
        <v>1</v>
      </c>
      <c r="K55" s="17">
        <v>1</v>
      </c>
      <c r="L55" s="17" t="s">
        <v>2291</v>
      </c>
      <c r="M55" s="19" t="s">
        <v>2292</v>
      </c>
      <c r="N55" s="17" t="s">
        <v>2293</v>
      </c>
      <c r="O55" s="17" t="s">
        <v>2294</v>
      </c>
      <c r="P55" s="17" t="str">
        <f>HYPERLINK("https://photon-sol.tinyastro.io/en/lp/CL31mStw7szLWrXiPquHuGP3AhN7dAyFKnDcPjxFpump?handle=676050794bc1b1657a56b", "View")</f>
        <v>View</v>
      </c>
    </row>
    <row r="56" spans="1:16" x14ac:dyDescent="0.25">
      <c r="A56" s="13" t="s">
        <v>2295</v>
      </c>
      <c r="B56" s="14">
        <v>45677527</v>
      </c>
      <c r="C56" s="14">
        <v>45677527</v>
      </c>
      <c r="D56" s="14" t="s">
        <v>1595</v>
      </c>
      <c r="E56" s="14" t="s">
        <v>2296</v>
      </c>
      <c r="F56" s="14" t="s">
        <v>2297</v>
      </c>
      <c r="G56" s="22" t="s">
        <v>2298</v>
      </c>
      <c r="H56" s="22" t="s">
        <v>2299</v>
      </c>
      <c r="I56" s="14" t="s">
        <v>88</v>
      </c>
      <c r="J56" s="14">
        <v>1</v>
      </c>
      <c r="K56" s="14">
        <v>1</v>
      </c>
      <c r="L56" s="14" t="s">
        <v>2300</v>
      </c>
      <c r="M56" s="19" t="s">
        <v>1940</v>
      </c>
      <c r="N56" s="14" t="s">
        <v>1980</v>
      </c>
      <c r="O56" s="14" t="s">
        <v>2301</v>
      </c>
      <c r="P56" s="14" t="str">
        <f>HYPERLINK("https://photon-sol.tinyastro.io/en/lp/8bjqEZtGNSesoMb9CxdaT8hNGkq6ZRRz5XDss417pump?handle=676050794bc1b1657a56b", "View")</f>
        <v>View</v>
      </c>
    </row>
    <row r="57" spans="1:16" x14ac:dyDescent="0.25">
      <c r="A57" s="16" t="s">
        <v>2302</v>
      </c>
      <c r="B57" s="17">
        <v>67014067</v>
      </c>
      <c r="C57" s="17">
        <v>67014067</v>
      </c>
      <c r="D57" s="17" t="s">
        <v>1595</v>
      </c>
      <c r="E57" s="17" t="s">
        <v>2303</v>
      </c>
      <c r="F57" s="17" t="s">
        <v>2304</v>
      </c>
      <c r="G57" s="22" t="s">
        <v>2305</v>
      </c>
      <c r="H57" s="22" t="s">
        <v>2306</v>
      </c>
      <c r="I57" s="17" t="s">
        <v>88</v>
      </c>
      <c r="J57" s="17">
        <v>1</v>
      </c>
      <c r="K57" s="17">
        <v>1</v>
      </c>
      <c r="L57" s="17" t="s">
        <v>2307</v>
      </c>
      <c r="M57" s="19" t="s">
        <v>370</v>
      </c>
      <c r="N57" s="17" t="s">
        <v>2308</v>
      </c>
      <c r="O57" s="17" t="s">
        <v>2309</v>
      </c>
      <c r="P57" s="17" t="str">
        <f>HYPERLINK("https://photon-sol.tinyastro.io/en/lp/GizgrxYzzEarTrnRdKHVe5DZFgjfXcSF3MpsiJtYpump?handle=676050794bc1b1657a56b", "View")</f>
        <v>View</v>
      </c>
    </row>
    <row r="58" spans="1:16" x14ac:dyDescent="0.25">
      <c r="A58" s="13" t="s">
        <v>2310</v>
      </c>
      <c r="B58" s="14">
        <v>86168162</v>
      </c>
      <c r="C58" s="14">
        <v>86168162</v>
      </c>
      <c r="D58" s="14" t="s">
        <v>1595</v>
      </c>
      <c r="E58" s="14" t="s">
        <v>1662</v>
      </c>
      <c r="F58" s="14" t="s">
        <v>2311</v>
      </c>
      <c r="G58" s="22" t="s">
        <v>2312</v>
      </c>
      <c r="H58" s="22" t="s">
        <v>2313</v>
      </c>
      <c r="I58" s="14" t="s">
        <v>88</v>
      </c>
      <c r="J58" s="14">
        <v>1</v>
      </c>
      <c r="K58" s="14">
        <v>1</v>
      </c>
      <c r="L58" s="14" t="s">
        <v>2314</v>
      </c>
      <c r="M58" s="19" t="s">
        <v>2315</v>
      </c>
      <c r="N58" s="14" t="s">
        <v>2316</v>
      </c>
      <c r="O58" s="14" t="s">
        <v>2317</v>
      </c>
      <c r="P58" s="14" t="str">
        <f>HYPERLINK("https://photon-sol.tinyastro.io/en/lp/ALgdbzwkNgURbjMTDPv6HcmuoBv26ZTUZwHqPMNMpump?handle=676050794bc1b1657a56b", "View")</f>
        <v>View</v>
      </c>
    </row>
    <row r="59" spans="1:16" x14ac:dyDescent="0.25">
      <c r="A59" s="16" t="s">
        <v>2318</v>
      </c>
      <c r="B59" s="17">
        <v>91617871</v>
      </c>
      <c r="C59" s="17">
        <v>91617871</v>
      </c>
      <c r="D59" s="17" t="s">
        <v>1595</v>
      </c>
      <c r="E59" s="17" t="s">
        <v>1662</v>
      </c>
      <c r="F59" s="17" t="s">
        <v>2319</v>
      </c>
      <c r="G59" s="22" t="s">
        <v>2320</v>
      </c>
      <c r="H59" s="22" t="s">
        <v>2321</v>
      </c>
      <c r="I59" s="17" t="s">
        <v>88</v>
      </c>
      <c r="J59" s="17">
        <v>1</v>
      </c>
      <c r="K59" s="17">
        <v>1</v>
      </c>
      <c r="L59" s="17" t="s">
        <v>2322</v>
      </c>
      <c r="M59" s="19" t="s">
        <v>2323</v>
      </c>
      <c r="N59" s="17" t="s">
        <v>2223</v>
      </c>
      <c r="O59" s="17" t="s">
        <v>2324</v>
      </c>
      <c r="P59" s="17" t="str">
        <f>HYPERLINK("https://photon-sol.tinyastro.io/en/lp/5sT29bCYLic9m9MHFfDE2ZXgigNoXejLYzvNVa5pump?handle=676050794bc1b1657a56b", "View")</f>
        <v>View</v>
      </c>
    </row>
    <row r="60" spans="1:16" x14ac:dyDescent="0.25">
      <c r="A60" s="13" t="s">
        <v>2325</v>
      </c>
      <c r="B60" s="14">
        <v>96856413</v>
      </c>
      <c r="C60" s="14">
        <v>96856413</v>
      </c>
      <c r="D60" s="14" t="s">
        <v>1595</v>
      </c>
      <c r="E60" s="14" t="s">
        <v>1662</v>
      </c>
      <c r="F60" s="14" t="s">
        <v>2326</v>
      </c>
      <c r="G60" s="22" t="s">
        <v>2327</v>
      </c>
      <c r="H60" s="22" t="s">
        <v>2328</v>
      </c>
      <c r="I60" s="14" t="s">
        <v>88</v>
      </c>
      <c r="J60" s="14">
        <v>1</v>
      </c>
      <c r="K60" s="14">
        <v>1</v>
      </c>
      <c r="L60" s="14" t="s">
        <v>2329</v>
      </c>
      <c r="M60" s="14" t="s">
        <v>1448</v>
      </c>
      <c r="N60" s="14" t="s">
        <v>2223</v>
      </c>
      <c r="O60" s="14" t="s">
        <v>2330</v>
      </c>
      <c r="P60" s="14" t="str">
        <f>HYPERLINK("https://photon-sol.tinyastro.io/en/lp/mcdVHuHpbJ4dAqRv5ao9RL6R1U2CSkPo5mHrvDKpump?handle=676050794bc1b1657a56b", "View")</f>
        <v>View</v>
      </c>
    </row>
    <row r="61" spans="1:16" x14ac:dyDescent="0.25">
      <c r="A61" s="16" t="s">
        <v>2331</v>
      </c>
      <c r="B61" s="17">
        <v>7462422</v>
      </c>
      <c r="C61" s="17">
        <v>7462422</v>
      </c>
      <c r="D61" s="17" t="s">
        <v>1646</v>
      </c>
      <c r="E61" s="17" t="s">
        <v>2332</v>
      </c>
      <c r="F61" s="17" t="s">
        <v>2333</v>
      </c>
      <c r="G61" s="20" t="s">
        <v>2334</v>
      </c>
      <c r="H61" s="20" t="s">
        <v>2335</v>
      </c>
      <c r="I61" s="17" t="s">
        <v>88</v>
      </c>
      <c r="J61" s="17">
        <v>2</v>
      </c>
      <c r="K61" s="17">
        <v>1</v>
      </c>
      <c r="L61" s="17" t="s">
        <v>2336</v>
      </c>
      <c r="M61" s="17" t="s">
        <v>1434</v>
      </c>
      <c r="N61" s="17" t="s">
        <v>2337</v>
      </c>
      <c r="O61" s="17" t="s">
        <v>2338</v>
      </c>
      <c r="P61" s="17" t="str">
        <f>HYPERLINK("https://photon-sol.tinyastro.io/en/lp/557g69R27hqQ3TfBZ1VajUzmY9jpkj8SK2xZJzMHpump?handle=676050794bc1b1657a56b", "View")</f>
        <v>View</v>
      </c>
    </row>
    <row r="62" spans="1:16" x14ac:dyDescent="0.25">
      <c r="A62" s="13" t="s">
        <v>2339</v>
      </c>
      <c r="B62" s="14">
        <v>44126722</v>
      </c>
      <c r="C62" s="14">
        <v>44126722</v>
      </c>
      <c r="D62" s="14" t="s">
        <v>1595</v>
      </c>
      <c r="E62" s="14" t="s">
        <v>2296</v>
      </c>
      <c r="F62" s="14" t="s">
        <v>2340</v>
      </c>
      <c r="G62" s="22" t="s">
        <v>2341</v>
      </c>
      <c r="H62" s="22" t="s">
        <v>2342</v>
      </c>
      <c r="I62" s="14" t="s">
        <v>88</v>
      </c>
      <c r="J62" s="14">
        <v>1</v>
      </c>
      <c r="K62" s="14">
        <v>1</v>
      </c>
      <c r="L62" s="14" t="s">
        <v>2343</v>
      </c>
      <c r="M62" s="14" t="s">
        <v>1566</v>
      </c>
      <c r="N62" s="14" t="s">
        <v>556</v>
      </c>
      <c r="O62" s="14" t="s">
        <v>2344</v>
      </c>
      <c r="P62" s="14" t="str">
        <f>HYPERLINK("https://photon-sol.tinyastro.io/en/lp/3M33YhYtZykNs4otLcjjpTZUgAch9Vt6ZKFFhcqFpump?handle=676050794bc1b1657a56b", "View")</f>
        <v>View</v>
      </c>
    </row>
    <row r="63" spans="1:16" x14ac:dyDescent="0.25">
      <c r="A63" s="16" t="s">
        <v>2345</v>
      </c>
      <c r="B63" s="17">
        <v>56693552</v>
      </c>
      <c r="C63" s="17">
        <v>56693552</v>
      </c>
      <c r="D63" s="17" t="s">
        <v>1595</v>
      </c>
      <c r="E63" s="17" t="s">
        <v>2296</v>
      </c>
      <c r="F63" s="17" t="s">
        <v>2346</v>
      </c>
      <c r="G63" s="22" t="s">
        <v>2347</v>
      </c>
      <c r="H63" s="22" t="s">
        <v>2348</v>
      </c>
      <c r="I63" s="17" t="s">
        <v>88</v>
      </c>
      <c r="J63" s="17">
        <v>1</v>
      </c>
      <c r="K63" s="17">
        <v>1</v>
      </c>
      <c r="L63" s="17" t="s">
        <v>2349</v>
      </c>
      <c r="M63" s="19" t="s">
        <v>2350</v>
      </c>
      <c r="N63" s="17" t="s">
        <v>1011</v>
      </c>
      <c r="O63" s="17" t="s">
        <v>2351</v>
      </c>
      <c r="P63" s="17" t="str">
        <f>HYPERLINK("https://photon-sol.tinyastro.io/en/lp/58GEzVJb7mtpJMZikQ1QaGfpVbENy4bWf4Cc78LRXpCK?handle=676050794bc1b1657a56b", "View")</f>
        <v>View</v>
      </c>
    </row>
    <row r="64" spans="1:16" x14ac:dyDescent="0.25">
      <c r="A64" s="13" t="s">
        <v>2352</v>
      </c>
      <c r="B64" s="14">
        <v>11952755</v>
      </c>
      <c r="C64" s="14">
        <v>11952755</v>
      </c>
      <c r="D64" s="14" t="s">
        <v>1646</v>
      </c>
      <c r="E64" s="14" t="s">
        <v>2353</v>
      </c>
      <c r="F64" s="14" t="s">
        <v>2354</v>
      </c>
      <c r="G64" s="21" t="s">
        <v>2355</v>
      </c>
      <c r="H64" s="21" t="s">
        <v>2356</v>
      </c>
      <c r="I64" s="14" t="s">
        <v>88</v>
      </c>
      <c r="J64" s="14">
        <v>1</v>
      </c>
      <c r="K64" s="14">
        <v>2</v>
      </c>
      <c r="L64" s="14" t="s">
        <v>2357</v>
      </c>
      <c r="M64" s="14" t="s">
        <v>602</v>
      </c>
      <c r="N64" s="14" t="s">
        <v>2358</v>
      </c>
      <c r="O64" s="14" t="s">
        <v>2359</v>
      </c>
      <c r="P64" s="14" t="str">
        <f>HYPERLINK("https://photon-sol.tinyastro.io/en/lp/4SPEFk6Hehk3i5uUL9Zu4LRYFcnHbc1HbaKoEdmTpump?handle=676050794bc1b1657a56b", "View")</f>
        <v>View</v>
      </c>
    </row>
    <row r="65" spans="1:16" x14ac:dyDescent="0.25">
      <c r="A65" s="16" t="s">
        <v>2360</v>
      </c>
      <c r="B65" s="17">
        <v>64580228</v>
      </c>
      <c r="C65" s="17">
        <v>64580228</v>
      </c>
      <c r="D65" s="17" t="s">
        <v>1595</v>
      </c>
      <c r="E65" s="17" t="s">
        <v>2296</v>
      </c>
      <c r="F65" s="17" t="s">
        <v>2361</v>
      </c>
      <c r="G65" s="21" t="s">
        <v>1515</v>
      </c>
      <c r="H65" s="21" t="s">
        <v>2362</v>
      </c>
      <c r="I65" s="17" t="s">
        <v>88</v>
      </c>
      <c r="J65" s="17">
        <v>1</v>
      </c>
      <c r="K65" s="17">
        <v>1</v>
      </c>
      <c r="L65" s="17" t="s">
        <v>2363</v>
      </c>
      <c r="M65" s="19" t="s">
        <v>2364</v>
      </c>
      <c r="N65" s="17" t="s">
        <v>2263</v>
      </c>
      <c r="O65" s="17" t="s">
        <v>2365</v>
      </c>
      <c r="P65" s="17" t="str">
        <f>HYPERLINK("https://photon-sol.tinyastro.io/en/lp/AkGHVHRRrY1jhDy4CmQA9gZdpDqnPEDST6DazWS8pump?handle=676050794bc1b1657a56b", "View")</f>
        <v>View</v>
      </c>
    </row>
    <row r="66" spans="1:16" x14ac:dyDescent="0.25">
      <c r="A66" s="13" t="s">
        <v>2366</v>
      </c>
      <c r="B66" s="14">
        <v>18468163</v>
      </c>
      <c r="C66" s="14">
        <v>18468163</v>
      </c>
      <c r="D66" s="14" t="s">
        <v>1646</v>
      </c>
      <c r="E66" s="14" t="s">
        <v>2367</v>
      </c>
      <c r="F66" s="14" t="s">
        <v>2368</v>
      </c>
      <c r="G66" s="22" t="s">
        <v>2369</v>
      </c>
      <c r="H66" s="22" t="s">
        <v>2370</v>
      </c>
      <c r="I66" s="14" t="s">
        <v>88</v>
      </c>
      <c r="J66" s="14">
        <v>2</v>
      </c>
      <c r="K66" s="14">
        <v>1</v>
      </c>
      <c r="L66" s="14" t="s">
        <v>2371</v>
      </c>
      <c r="M66" s="14" t="s">
        <v>788</v>
      </c>
      <c r="N66" s="14" t="s">
        <v>2372</v>
      </c>
      <c r="O66" s="14" t="s">
        <v>2373</v>
      </c>
      <c r="P66" s="14" t="str">
        <f>HYPERLINK("https://photon-sol.tinyastro.io/en/lp/9XXsu7iRqofjTkbBTbuiiwy3uxgPR3WTZnMZSiuupump?handle=676050794bc1b1657a56b", "View")</f>
        <v>View</v>
      </c>
    </row>
    <row r="67" spans="1:16" x14ac:dyDescent="0.25">
      <c r="A67" s="16" t="s">
        <v>2374</v>
      </c>
      <c r="B67" s="17">
        <v>59034342</v>
      </c>
      <c r="C67" s="17">
        <v>59034342</v>
      </c>
      <c r="D67" s="17" t="s">
        <v>1595</v>
      </c>
      <c r="E67" s="17" t="s">
        <v>2296</v>
      </c>
      <c r="F67" s="17" t="s">
        <v>2375</v>
      </c>
      <c r="G67" s="22" t="s">
        <v>2376</v>
      </c>
      <c r="H67" s="22" t="s">
        <v>2377</v>
      </c>
      <c r="I67" s="17" t="s">
        <v>88</v>
      </c>
      <c r="J67" s="17">
        <v>1</v>
      </c>
      <c r="K67" s="17">
        <v>1</v>
      </c>
      <c r="L67" s="17" t="s">
        <v>2378</v>
      </c>
      <c r="M67" s="19" t="s">
        <v>2379</v>
      </c>
      <c r="N67" s="17" t="s">
        <v>2380</v>
      </c>
      <c r="O67" s="17" t="s">
        <v>2381</v>
      </c>
      <c r="P67" s="17" t="str">
        <f>HYPERLINK("https://photon-sol.tinyastro.io/en/lp/F5KgUWUkQSMyrcoqrP53MFvuyjU8ovhkdojs4LyFpump?handle=676050794bc1b1657a56b", "View")</f>
        <v>View</v>
      </c>
    </row>
    <row r="68" spans="1:16" x14ac:dyDescent="0.25">
      <c r="A68" s="13" t="s">
        <v>2382</v>
      </c>
      <c r="B68" s="14">
        <v>48635807</v>
      </c>
      <c r="C68" s="14">
        <v>48635807</v>
      </c>
      <c r="D68" s="14" t="s">
        <v>1646</v>
      </c>
      <c r="E68" s="14" t="s">
        <v>2368</v>
      </c>
      <c r="F68" s="14" t="s">
        <v>2383</v>
      </c>
      <c r="G68" s="22" t="s">
        <v>2384</v>
      </c>
      <c r="H68" s="22" t="s">
        <v>2385</v>
      </c>
      <c r="I68" s="14" t="s">
        <v>88</v>
      </c>
      <c r="J68" s="14">
        <v>2</v>
      </c>
      <c r="K68" s="14">
        <v>1</v>
      </c>
      <c r="L68" s="14" t="s">
        <v>2386</v>
      </c>
      <c r="M68" s="19" t="s">
        <v>2387</v>
      </c>
      <c r="N68" s="14" t="s">
        <v>2316</v>
      </c>
      <c r="O68" s="14" t="s">
        <v>2388</v>
      </c>
      <c r="P68" s="14" t="str">
        <f>HYPERLINK("https://photon-sol.tinyastro.io/en/lp/9Z8PN5vPWhuBybVVYXNQc1NqEJPnRPMW5FKGe2fYpump?handle=676050794bc1b1657a56b", "View")</f>
        <v>View</v>
      </c>
    </row>
    <row r="69" spans="1:16" x14ac:dyDescent="0.25">
      <c r="A69" s="16" t="s">
        <v>2389</v>
      </c>
      <c r="B69" s="17">
        <v>6156822</v>
      </c>
      <c r="C69" s="17">
        <v>6156822</v>
      </c>
      <c r="D69" s="17" t="s">
        <v>1629</v>
      </c>
      <c r="E69" s="17" t="s">
        <v>2390</v>
      </c>
      <c r="F69" s="17" t="s">
        <v>2391</v>
      </c>
      <c r="G69" s="20" t="s">
        <v>2392</v>
      </c>
      <c r="H69" s="20" t="s">
        <v>2393</v>
      </c>
      <c r="I69" s="17" t="s">
        <v>88</v>
      </c>
      <c r="J69" s="17">
        <v>3</v>
      </c>
      <c r="K69" s="17">
        <v>1</v>
      </c>
      <c r="L69" s="17" t="s">
        <v>2394</v>
      </c>
      <c r="M69" s="17" t="s">
        <v>788</v>
      </c>
      <c r="N69" s="17" t="s">
        <v>2395</v>
      </c>
      <c r="O69" s="17" t="s">
        <v>2396</v>
      </c>
      <c r="P69" s="17" t="str">
        <f>HYPERLINK("https://dexscreener.com/solana/GTKYRw79jMCdnyHQjeFJHZChbRSKHwUZfYY8E5acpump", "View")</f>
        <v>View</v>
      </c>
    </row>
    <row r="70" spans="1:16" x14ac:dyDescent="0.25">
      <c r="A70" s="13" t="s">
        <v>2397</v>
      </c>
      <c r="B70" s="14">
        <v>21916887</v>
      </c>
      <c r="C70" s="14">
        <v>21916887</v>
      </c>
      <c r="D70" s="14" t="s">
        <v>1629</v>
      </c>
      <c r="E70" s="14" t="s">
        <v>2398</v>
      </c>
      <c r="F70" s="14" t="s">
        <v>2399</v>
      </c>
      <c r="G70" s="20" t="s">
        <v>2400</v>
      </c>
      <c r="H70" s="20" t="s">
        <v>2401</v>
      </c>
      <c r="I70" s="14" t="s">
        <v>88</v>
      </c>
      <c r="J70" s="14">
        <v>2</v>
      </c>
      <c r="K70" s="14">
        <v>2</v>
      </c>
      <c r="L70" s="14" t="s">
        <v>2402</v>
      </c>
      <c r="M70" s="14" t="s">
        <v>2403</v>
      </c>
      <c r="N70" s="14" t="s">
        <v>2404</v>
      </c>
      <c r="O70" s="14" t="s">
        <v>2405</v>
      </c>
      <c r="P70" s="14" t="str">
        <f>HYPERLINK("https://photon-sol.tinyastro.io/en/lp/AVhBDeE4YxbPBjUm7JNvJGqziwZZxDZTpd8P8ouZpump?handle=676050794bc1b1657a56b", "View")</f>
        <v>View</v>
      </c>
    </row>
    <row r="71" spans="1:16" x14ac:dyDescent="0.25">
      <c r="A71" s="16" t="s">
        <v>2406</v>
      </c>
      <c r="B71" s="17">
        <v>9119013</v>
      </c>
      <c r="C71" s="17">
        <v>9119013</v>
      </c>
      <c r="D71" s="17" t="s">
        <v>1595</v>
      </c>
      <c r="E71" s="17" t="s">
        <v>2407</v>
      </c>
      <c r="F71" s="17" t="s">
        <v>2408</v>
      </c>
      <c r="G71" s="20" t="s">
        <v>1523</v>
      </c>
      <c r="H71" s="20" t="s">
        <v>2409</v>
      </c>
      <c r="I71" s="17" t="s">
        <v>88</v>
      </c>
      <c r="J71" s="17">
        <v>1</v>
      </c>
      <c r="K71" s="17">
        <v>1</v>
      </c>
      <c r="L71" s="17" t="s">
        <v>2410</v>
      </c>
      <c r="M71" s="17" t="s">
        <v>1434</v>
      </c>
      <c r="N71" s="17" t="s">
        <v>2411</v>
      </c>
      <c r="O71" s="17" t="s">
        <v>2412</v>
      </c>
      <c r="P71" s="17" t="str">
        <f>HYPERLINK("https://photon-sol.tinyastro.io/en/lp/5rnrdS2o7hyGq3GGXWK7aZwEqo46kiAHbEB6rDyypump?handle=676050794bc1b1657a56b", "View")</f>
        <v>View</v>
      </c>
    </row>
    <row r="72" spans="1:16" x14ac:dyDescent="0.25">
      <c r="A72" s="13" t="s">
        <v>2413</v>
      </c>
      <c r="B72" s="14">
        <v>66232686</v>
      </c>
      <c r="C72" s="14">
        <v>66232686</v>
      </c>
      <c r="D72" s="14" t="s">
        <v>1595</v>
      </c>
      <c r="E72" s="14" t="s">
        <v>2414</v>
      </c>
      <c r="F72" s="14" t="s">
        <v>2415</v>
      </c>
      <c r="G72" s="22" t="s">
        <v>2416</v>
      </c>
      <c r="H72" s="22" t="s">
        <v>2417</v>
      </c>
      <c r="I72" s="14" t="s">
        <v>88</v>
      </c>
      <c r="J72" s="14">
        <v>1</v>
      </c>
      <c r="K72" s="14">
        <v>1</v>
      </c>
      <c r="L72" s="14" t="s">
        <v>2418</v>
      </c>
      <c r="M72" s="19" t="s">
        <v>1940</v>
      </c>
      <c r="N72" s="14" t="s">
        <v>2263</v>
      </c>
      <c r="O72" s="14" t="s">
        <v>2419</v>
      </c>
      <c r="P72" s="14" t="str">
        <f>HYPERLINK("https://photon-sol.tinyastro.io/en/lp/9YzjtzTN68FyDQGisDNgZ6Wd4V1mVQi6vP3WfzkTpump?handle=676050794bc1b1657a56b", "View")</f>
        <v>View</v>
      </c>
    </row>
    <row r="73" spans="1:16" x14ac:dyDescent="0.25">
      <c r="A73" s="16" t="s">
        <v>2420</v>
      </c>
      <c r="B73" s="17">
        <v>59518621</v>
      </c>
      <c r="C73" s="17">
        <v>59518621</v>
      </c>
      <c r="D73" s="17" t="s">
        <v>1595</v>
      </c>
      <c r="E73" s="17" t="s">
        <v>2398</v>
      </c>
      <c r="F73" s="17" t="s">
        <v>2421</v>
      </c>
      <c r="G73" s="22" t="s">
        <v>2422</v>
      </c>
      <c r="H73" s="22" t="s">
        <v>2423</v>
      </c>
      <c r="I73" s="17" t="s">
        <v>88</v>
      </c>
      <c r="J73" s="17">
        <v>1</v>
      </c>
      <c r="K73" s="17">
        <v>1</v>
      </c>
      <c r="L73" s="17" t="s">
        <v>2424</v>
      </c>
      <c r="M73" s="19" t="s">
        <v>1849</v>
      </c>
      <c r="N73" s="17" t="s">
        <v>1011</v>
      </c>
      <c r="O73" s="17" t="s">
        <v>2425</v>
      </c>
      <c r="P73" s="17" t="str">
        <f>HYPERLINK("https://photon-sol.tinyastro.io/en/lp/4MwQ1wLvHqoMC6pZu9xpY6RSuw7yaxtL9A3s9tpgpump?handle=676050794bc1b1657a56b", "View")</f>
        <v>View</v>
      </c>
    </row>
    <row r="74" spans="1:16" x14ac:dyDescent="0.25">
      <c r="A74" s="13" t="s">
        <v>2426</v>
      </c>
      <c r="B74" s="14">
        <v>36799679</v>
      </c>
      <c r="C74" s="14">
        <v>36799679</v>
      </c>
      <c r="D74" s="14" t="s">
        <v>2026</v>
      </c>
      <c r="E74" s="14" t="s">
        <v>2427</v>
      </c>
      <c r="F74" s="14" t="s">
        <v>2428</v>
      </c>
      <c r="G74" s="22" t="s">
        <v>2429</v>
      </c>
      <c r="H74" s="22" t="s">
        <v>2430</v>
      </c>
      <c r="I74" s="14" t="s">
        <v>88</v>
      </c>
      <c r="J74" s="14">
        <v>3</v>
      </c>
      <c r="K74" s="14">
        <v>2</v>
      </c>
      <c r="L74" s="14" t="s">
        <v>2431</v>
      </c>
      <c r="M74" s="14" t="s">
        <v>602</v>
      </c>
      <c r="N74" s="14" t="s">
        <v>2432</v>
      </c>
      <c r="O74" s="14" t="s">
        <v>2433</v>
      </c>
      <c r="P74" s="14" t="str">
        <f>HYPERLINK("https://photon-sol.tinyastro.io/en/lp/MVo1wcikn6u2txx4jdotU6QxWaXuEB56GCQLn7gpump?handle=676050794bc1b1657a56b", "View")</f>
        <v>View</v>
      </c>
    </row>
    <row r="75" spans="1:16" x14ac:dyDescent="0.25">
      <c r="A75" s="16" t="s">
        <v>125</v>
      </c>
      <c r="B75" s="17">
        <v>99538084</v>
      </c>
      <c r="C75" s="17">
        <v>99538084</v>
      </c>
      <c r="D75" s="17" t="s">
        <v>2434</v>
      </c>
      <c r="E75" s="17" t="s">
        <v>2435</v>
      </c>
      <c r="F75" s="17" t="s">
        <v>2436</v>
      </c>
      <c r="G75" s="21" t="s">
        <v>2437</v>
      </c>
      <c r="H75" s="21" t="s">
        <v>2438</v>
      </c>
      <c r="I75" s="17" t="s">
        <v>88</v>
      </c>
      <c r="J75" s="17">
        <v>2</v>
      </c>
      <c r="K75" s="17">
        <v>79</v>
      </c>
      <c r="L75" s="17" t="s">
        <v>2439</v>
      </c>
      <c r="M75" s="17" t="s">
        <v>132</v>
      </c>
      <c r="N75" s="17" t="s">
        <v>2440</v>
      </c>
      <c r="O75" s="17" t="s">
        <v>134</v>
      </c>
      <c r="P75" s="17" t="str">
        <f>HYPERLINK("https://photon-sol.tinyastro.io/en/lp/CBdCxKo9QavR9hfShgpEBG3zekorAeD7W1jfq2o3pump?handle=676050794bc1b1657a56b", "View")</f>
        <v>View</v>
      </c>
    </row>
    <row r="76" spans="1:16" x14ac:dyDescent="0.25">
      <c r="A76" s="13" t="s">
        <v>2441</v>
      </c>
      <c r="B76" s="14">
        <v>66675326</v>
      </c>
      <c r="C76" s="14">
        <v>66675326</v>
      </c>
      <c r="D76" s="14" t="s">
        <v>1595</v>
      </c>
      <c r="E76" s="14" t="s">
        <v>2296</v>
      </c>
      <c r="F76" s="14" t="s">
        <v>2442</v>
      </c>
      <c r="G76" s="22" t="s">
        <v>2443</v>
      </c>
      <c r="H76" s="22" t="s">
        <v>2444</v>
      </c>
      <c r="I76" s="14" t="s">
        <v>88</v>
      </c>
      <c r="J76" s="14">
        <v>1</v>
      </c>
      <c r="K76" s="14">
        <v>1</v>
      </c>
      <c r="L76" s="14" t="s">
        <v>2445</v>
      </c>
      <c r="M76" s="19" t="s">
        <v>1827</v>
      </c>
      <c r="N76" s="14" t="s">
        <v>2223</v>
      </c>
      <c r="O76" s="14" t="s">
        <v>2446</v>
      </c>
      <c r="P76" s="14" t="str">
        <f>HYPERLINK("https://photon-sol.tinyastro.io/en/lp/Ex46NP7pSVGkdEii7PQHYZXRMdy6zW8Jw18xCDzFpump?handle=676050794bc1b1657a56b", "View")</f>
        <v>View</v>
      </c>
    </row>
    <row r="77" spans="1:16" x14ac:dyDescent="0.25">
      <c r="A77" s="16" t="s">
        <v>2447</v>
      </c>
      <c r="B77" s="17">
        <v>6479679</v>
      </c>
      <c r="C77" s="17">
        <v>6479679</v>
      </c>
      <c r="D77" s="17" t="s">
        <v>1595</v>
      </c>
      <c r="E77" s="17" t="s">
        <v>2234</v>
      </c>
      <c r="F77" s="17" t="s">
        <v>2448</v>
      </c>
      <c r="G77" s="20" t="s">
        <v>2449</v>
      </c>
      <c r="H77" s="20" t="s">
        <v>2450</v>
      </c>
      <c r="I77" s="17" t="s">
        <v>88</v>
      </c>
      <c r="J77" s="17">
        <v>1</v>
      </c>
      <c r="K77" s="17">
        <v>1</v>
      </c>
      <c r="L77" s="17" t="s">
        <v>2451</v>
      </c>
      <c r="M77" s="17" t="s">
        <v>1434</v>
      </c>
      <c r="N77" s="17" t="s">
        <v>2452</v>
      </c>
      <c r="O77" s="17" t="s">
        <v>2453</v>
      </c>
      <c r="P77" s="17" t="str">
        <f>HYPERLINK("https://photon-sol.tinyastro.io/en/lp/FmUbgXXRavAigQqb2E5bUakMtP3hNhzqptn6f6GHpump?handle=676050794bc1b1657a56b", "View")</f>
        <v>View</v>
      </c>
    </row>
    <row r="78" spans="1:16" x14ac:dyDescent="0.25">
      <c r="A78" s="13" t="s">
        <v>2454</v>
      </c>
      <c r="B78" s="14">
        <v>16421331</v>
      </c>
      <c r="C78" s="14">
        <v>16421331</v>
      </c>
      <c r="D78" s="14" t="s">
        <v>1595</v>
      </c>
      <c r="E78" s="14" t="s">
        <v>2234</v>
      </c>
      <c r="F78" s="14" t="s">
        <v>2455</v>
      </c>
      <c r="G78" s="22" t="s">
        <v>2456</v>
      </c>
      <c r="H78" s="22" t="s">
        <v>2457</v>
      </c>
      <c r="I78" s="14" t="s">
        <v>88</v>
      </c>
      <c r="J78" s="14">
        <v>1</v>
      </c>
      <c r="K78" s="14">
        <v>1</v>
      </c>
      <c r="L78" s="14" t="s">
        <v>2458</v>
      </c>
      <c r="M78" s="14" t="s">
        <v>1448</v>
      </c>
      <c r="N78" s="14" t="s">
        <v>2459</v>
      </c>
      <c r="O78" s="14" t="s">
        <v>2460</v>
      </c>
      <c r="P78" s="14" t="str">
        <f>HYPERLINK("https://photon-sol.tinyastro.io/en/lp/27u3XAb3VFQbNquHCiMB4p6wp9xJvGWjpeFzeEYXpump?handle=676050794bc1b1657a56b", "View")</f>
        <v>View</v>
      </c>
    </row>
    <row r="79" spans="1:16" x14ac:dyDescent="0.25">
      <c r="A79" s="16" t="s">
        <v>2461</v>
      </c>
      <c r="B79" s="17">
        <v>5289528</v>
      </c>
      <c r="C79" s="17">
        <v>5289528</v>
      </c>
      <c r="D79" s="17" t="s">
        <v>2462</v>
      </c>
      <c r="E79" s="17" t="s">
        <v>2463</v>
      </c>
      <c r="F79" s="17" t="s">
        <v>2464</v>
      </c>
      <c r="G79" s="21" t="s">
        <v>2465</v>
      </c>
      <c r="H79" s="21" t="s">
        <v>2466</v>
      </c>
      <c r="I79" s="17" t="s">
        <v>88</v>
      </c>
      <c r="J79" s="17">
        <v>1</v>
      </c>
      <c r="K79" s="17">
        <v>5</v>
      </c>
      <c r="L79" s="17" t="s">
        <v>2467</v>
      </c>
      <c r="M79" s="17" t="s">
        <v>699</v>
      </c>
      <c r="N79" s="17" t="s">
        <v>2468</v>
      </c>
      <c r="O79" s="17" t="s">
        <v>2469</v>
      </c>
      <c r="P79" s="17" t="str">
        <f>HYPERLINK("https://photon-sol.tinyastro.io/en/lp/2y9a9YJ7CMgMQ1GkMaNiDn65ZY9UxeRuQqDBcRLDpump?handle=676050794bc1b1657a56b", "View")</f>
        <v>View</v>
      </c>
    </row>
    <row r="80" spans="1:16" x14ac:dyDescent="0.25">
      <c r="A80" s="13" t="s">
        <v>2470</v>
      </c>
      <c r="B80" s="14">
        <v>67062500</v>
      </c>
      <c r="C80" s="14">
        <v>67062500</v>
      </c>
      <c r="D80" s="14" t="s">
        <v>1595</v>
      </c>
      <c r="E80" s="14" t="s">
        <v>2042</v>
      </c>
      <c r="F80" s="14" t="s">
        <v>933</v>
      </c>
      <c r="G80" s="22" t="s">
        <v>2220</v>
      </c>
      <c r="H80" s="22" t="s">
        <v>2471</v>
      </c>
      <c r="I80" s="14" t="s">
        <v>88</v>
      </c>
      <c r="J80" s="14">
        <v>1</v>
      </c>
      <c r="K80" s="14">
        <v>1</v>
      </c>
      <c r="L80" s="14" t="s">
        <v>2472</v>
      </c>
      <c r="M80" s="19" t="s">
        <v>1856</v>
      </c>
      <c r="N80" s="14" t="s">
        <v>2223</v>
      </c>
      <c r="O80" s="14" t="s">
        <v>2473</v>
      </c>
      <c r="P80" s="14" t="str">
        <f>HYPERLINK("https://photon-sol.tinyastro.io/en/lp/H7gZPWWy4ue6WHzsoYUu4dDsE1owCytgos1k3EGFpump?handle=676050794bc1b1657a56b", "View")</f>
        <v>View</v>
      </c>
    </row>
    <row r="81" spans="1:16" x14ac:dyDescent="0.25">
      <c r="A81" s="16" t="s">
        <v>2474</v>
      </c>
      <c r="B81" s="17">
        <v>67019210</v>
      </c>
      <c r="C81" s="17">
        <v>67019210</v>
      </c>
      <c r="D81" s="17" t="s">
        <v>1595</v>
      </c>
      <c r="E81" s="17" t="s">
        <v>2042</v>
      </c>
      <c r="F81" s="17" t="s">
        <v>2475</v>
      </c>
      <c r="G81" s="22" t="s">
        <v>2476</v>
      </c>
      <c r="H81" s="22" t="s">
        <v>2477</v>
      </c>
      <c r="I81" s="17" t="s">
        <v>88</v>
      </c>
      <c r="J81" s="17">
        <v>1</v>
      </c>
      <c r="K81" s="17">
        <v>1</v>
      </c>
      <c r="L81" s="17" t="s">
        <v>2478</v>
      </c>
      <c r="M81" s="19" t="s">
        <v>2479</v>
      </c>
      <c r="N81" s="17" t="s">
        <v>2223</v>
      </c>
      <c r="O81" s="17" t="s">
        <v>2480</v>
      </c>
      <c r="P81" s="17" t="str">
        <f>HYPERLINK("https://photon-sol.tinyastro.io/en/lp/D68vfmGGZyxwrLTJiLrpEs3TDhpWMy2pYDbAtoQSpump?handle=676050794bc1b1657a56b", "View")</f>
        <v>View</v>
      </c>
    </row>
    <row r="82" spans="1:16" x14ac:dyDescent="0.25">
      <c r="A82" s="13" t="s">
        <v>2481</v>
      </c>
      <c r="B82" s="14">
        <v>97483410</v>
      </c>
      <c r="C82" s="14">
        <v>97483410</v>
      </c>
      <c r="D82" s="14" t="s">
        <v>1595</v>
      </c>
      <c r="E82" s="14" t="s">
        <v>1683</v>
      </c>
      <c r="F82" s="14" t="s">
        <v>2482</v>
      </c>
      <c r="G82" s="22" t="s">
        <v>2483</v>
      </c>
      <c r="H82" s="22" t="s">
        <v>2484</v>
      </c>
      <c r="I82" s="14" t="s">
        <v>88</v>
      </c>
      <c r="J82" s="14">
        <v>1</v>
      </c>
      <c r="K82" s="14">
        <v>1</v>
      </c>
      <c r="L82" s="14" t="s">
        <v>2485</v>
      </c>
      <c r="M82" s="19" t="s">
        <v>2486</v>
      </c>
      <c r="N82" s="14" t="s">
        <v>2263</v>
      </c>
      <c r="O82" s="14" t="s">
        <v>2487</v>
      </c>
      <c r="P82" s="14" t="str">
        <f>HYPERLINK("https://photon-sol.tinyastro.io/en/lp/5KWQM5qBtNzaYcrZdDzA1dD4Gcuup81VZXzJRan8pump?handle=676050794bc1b1657a56b", "View")</f>
        <v>View</v>
      </c>
    </row>
    <row r="83" spans="1:16" x14ac:dyDescent="0.25">
      <c r="A83" s="16" t="s">
        <v>2488</v>
      </c>
      <c r="B83" s="17">
        <v>62932551</v>
      </c>
      <c r="C83" s="17">
        <v>62932551</v>
      </c>
      <c r="D83" s="17" t="s">
        <v>1595</v>
      </c>
      <c r="E83" s="17" t="s">
        <v>2296</v>
      </c>
      <c r="F83" s="17" t="s">
        <v>2489</v>
      </c>
      <c r="G83" s="22" t="s">
        <v>2490</v>
      </c>
      <c r="H83" s="22" t="s">
        <v>2491</v>
      </c>
      <c r="I83" s="17" t="s">
        <v>88</v>
      </c>
      <c r="J83" s="17">
        <v>1</v>
      </c>
      <c r="K83" s="17">
        <v>1</v>
      </c>
      <c r="L83" s="17" t="s">
        <v>2492</v>
      </c>
      <c r="M83" s="19" t="s">
        <v>2493</v>
      </c>
      <c r="N83" s="17" t="s">
        <v>2223</v>
      </c>
      <c r="O83" s="17" t="s">
        <v>2494</v>
      </c>
      <c r="P83" s="17" t="str">
        <f>HYPERLINK("https://photon-sol.tinyastro.io/en/lp/GueHcunms6EaJPesJQ3NcHpPuLz4jMeFnFay5nawpump?handle=676050794bc1b1657a56b", "View")</f>
        <v>View</v>
      </c>
    </row>
    <row r="84" spans="1:16" x14ac:dyDescent="0.25">
      <c r="A84" s="13" t="s">
        <v>2495</v>
      </c>
      <c r="B84" s="14">
        <v>66059028</v>
      </c>
      <c r="C84" s="14">
        <v>35059028</v>
      </c>
      <c r="D84" s="14" t="s">
        <v>2496</v>
      </c>
      <c r="E84" s="14" t="s">
        <v>2497</v>
      </c>
      <c r="F84" s="14" t="s">
        <v>2498</v>
      </c>
      <c r="G84" s="21" t="s">
        <v>2499</v>
      </c>
      <c r="H84" s="21" t="s">
        <v>2500</v>
      </c>
      <c r="I84" s="14" t="s">
        <v>88</v>
      </c>
      <c r="J84" s="14">
        <v>6</v>
      </c>
      <c r="K84" s="14">
        <v>8</v>
      </c>
      <c r="L84" s="14" t="s">
        <v>2501</v>
      </c>
      <c r="M84" s="14" t="s">
        <v>160</v>
      </c>
      <c r="N84" s="14" t="s">
        <v>2502</v>
      </c>
      <c r="O84" s="14" t="s">
        <v>2503</v>
      </c>
      <c r="P84" s="14" t="str">
        <f>HYPERLINK("https://photon-sol.tinyastro.io/en/lp/7L15Afew6rL2ujRgvfYgPTpLKqBPjrQkh7nNzyrhpump?handle=676050794bc1b1657a56b", "View")</f>
        <v>View</v>
      </c>
    </row>
    <row r="85" spans="1:16" x14ac:dyDescent="0.25">
      <c r="A85" s="16" t="s">
        <v>2504</v>
      </c>
      <c r="B85" s="17">
        <v>67062500</v>
      </c>
      <c r="C85" s="17">
        <v>67062500</v>
      </c>
      <c r="D85" s="17" t="s">
        <v>1595</v>
      </c>
      <c r="E85" s="17" t="s">
        <v>2042</v>
      </c>
      <c r="F85" s="17" t="s">
        <v>2505</v>
      </c>
      <c r="G85" s="22" t="s">
        <v>2506</v>
      </c>
      <c r="H85" s="22" t="s">
        <v>2507</v>
      </c>
      <c r="I85" s="17" t="s">
        <v>88</v>
      </c>
      <c r="J85" s="17">
        <v>1</v>
      </c>
      <c r="K85" s="17">
        <v>1</v>
      </c>
      <c r="L85" s="17" t="s">
        <v>2508</v>
      </c>
      <c r="M85" s="19" t="s">
        <v>2509</v>
      </c>
      <c r="N85" s="17" t="s">
        <v>2223</v>
      </c>
      <c r="O85" s="17" t="s">
        <v>2510</v>
      </c>
      <c r="P85" s="17" t="str">
        <f>HYPERLINK("https://photon-sol.tinyastro.io/en/lp/664kKpqzRBR5RfUHaSgrHrM55xRd3yKHmQwf9YKUpKHt?handle=676050794bc1b1657a56b", "View")</f>
        <v>View</v>
      </c>
    </row>
    <row r="86" spans="1:16" x14ac:dyDescent="0.25">
      <c r="A86" s="13" t="s">
        <v>2511</v>
      </c>
      <c r="B86" s="14">
        <v>21138793</v>
      </c>
      <c r="C86" s="14">
        <v>21138793</v>
      </c>
      <c r="D86" s="14" t="s">
        <v>1595</v>
      </c>
      <c r="E86" s="14" t="s">
        <v>2512</v>
      </c>
      <c r="F86" s="14" t="s">
        <v>2513</v>
      </c>
      <c r="G86" s="20" t="s">
        <v>2514</v>
      </c>
      <c r="H86" s="20" t="s">
        <v>2515</v>
      </c>
      <c r="I86" s="14" t="s">
        <v>88</v>
      </c>
      <c r="J86" s="14">
        <v>1</v>
      </c>
      <c r="K86" s="14">
        <v>1</v>
      </c>
      <c r="L86" s="14" t="s">
        <v>2516</v>
      </c>
      <c r="M86" s="19" t="s">
        <v>2517</v>
      </c>
      <c r="N86" s="14" t="s">
        <v>1011</v>
      </c>
      <c r="O86" s="14" t="s">
        <v>2518</v>
      </c>
      <c r="P86" s="14" t="str">
        <f>HYPERLINK("https://photon-sol.tinyastro.io/en/lp/ByDLdExUF61QNntbBgEqG2EtUQNtvSYmGWBZQjwTNi4d?handle=676050794bc1b1657a56b", "View")</f>
        <v>View</v>
      </c>
    </row>
    <row r="87" spans="1:16" x14ac:dyDescent="0.25">
      <c r="A87" s="16" t="s">
        <v>2519</v>
      </c>
      <c r="B87" s="17">
        <v>3239879</v>
      </c>
      <c r="C87" s="17">
        <v>3239879</v>
      </c>
      <c r="D87" s="17" t="s">
        <v>1595</v>
      </c>
      <c r="E87" s="17" t="s">
        <v>2520</v>
      </c>
      <c r="F87" s="17" t="s">
        <v>2521</v>
      </c>
      <c r="G87" s="20" t="s">
        <v>2522</v>
      </c>
      <c r="H87" s="20" t="s">
        <v>2523</v>
      </c>
      <c r="I87" s="17" t="s">
        <v>88</v>
      </c>
      <c r="J87" s="17">
        <v>1</v>
      </c>
      <c r="K87" s="17">
        <v>1</v>
      </c>
      <c r="L87" s="17" t="s">
        <v>2524</v>
      </c>
      <c r="M87" s="19" t="s">
        <v>2525</v>
      </c>
      <c r="N87" s="17" t="s">
        <v>2526</v>
      </c>
      <c r="O87" s="17" t="s">
        <v>2527</v>
      </c>
      <c r="P87" s="17" t="str">
        <f>HYPERLINK("https://photon-sol.tinyastro.io/en/lp/Dx8QoLHFUFiu4hsqScW9abhWYwfzk5FgE4145dSspump?handle=676050794bc1b1657a56b", "View")</f>
        <v>View</v>
      </c>
    </row>
    <row r="88" spans="1:16" x14ac:dyDescent="0.25">
      <c r="A88" s="13" t="s">
        <v>2528</v>
      </c>
      <c r="B88" s="14">
        <v>22117376</v>
      </c>
      <c r="C88" s="14">
        <v>22117376</v>
      </c>
      <c r="D88" s="14" t="s">
        <v>1595</v>
      </c>
      <c r="E88" s="14" t="s">
        <v>2529</v>
      </c>
      <c r="F88" s="14" t="s">
        <v>2530</v>
      </c>
      <c r="G88" s="22" t="s">
        <v>2531</v>
      </c>
      <c r="H88" s="22" t="s">
        <v>2532</v>
      </c>
      <c r="I88" s="14" t="s">
        <v>88</v>
      </c>
      <c r="J88" s="14">
        <v>1</v>
      </c>
      <c r="K88" s="14">
        <v>1</v>
      </c>
      <c r="L88" s="14" t="s">
        <v>2533</v>
      </c>
      <c r="M88" s="19" t="s">
        <v>1872</v>
      </c>
      <c r="N88" s="14" t="s">
        <v>1011</v>
      </c>
      <c r="O88" s="14" t="s">
        <v>2534</v>
      </c>
      <c r="P88" s="14" t="str">
        <f>HYPERLINK("https://photon-sol.tinyastro.io/en/lp/H1w19S8a6t5EJ1LMJuydxoABqsdcT4wV2uy2rnxJpump?handle=676050794bc1b1657a56b", "View")</f>
        <v>View</v>
      </c>
    </row>
    <row r="89" spans="1:16" x14ac:dyDescent="0.25">
      <c r="A89" s="16" t="s">
        <v>2535</v>
      </c>
      <c r="B89" s="17">
        <v>3705352</v>
      </c>
      <c r="C89" s="17">
        <v>3705352</v>
      </c>
      <c r="D89" s="17" t="s">
        <v>1595</v>
      </c>
      <c r="E89" s="17" t="s">
        <v>2536</v>
      </c>
      <c r="F89" s="17" t="s">
        <v>2537</v>
      </c>
      <c r="G89" s="20" t="s">
        <v>2538</v>
      </c>
      <c r="H89" s="20" t="s">
        <v>2539</v>
      </c>
      <c r="I89" s="17" t="s">
        <v>88</v>
      </c>
      <c r="J89" s="17">
        <v>1</v>
      </c>
      <c r="K89" s="17">
        <v>1</v>
      </c>
      <c r="L89" s="17" t="s">
        <v>2540</v>
      </c>
      <c r="M89" s="19" t="s">
        <v>2541</v>
      </c>
      <c r="N89" s="17" t="s">
        <v>2542</v>
      </c>
      <c r="O89" s="17" t="s">
        <v>2543</v>
      </c>
      <c r="P89" s="17" t="str">
        <f>HYPERLINK("https://photon-sol.tinyastro.io/en/lp/G9XcU7chLwW44sfrczjtUWSeSNPz5kNshmpcsCMXpump?handle=676050794bc1b1657a56b", "View")</f>
        <v>View</v>
      </c>
    </row>
    <row r="90" spans="1:16" x14ac:dyDescent="0.25">
      <c r="A90" s="13" t="s">
        <v>2544</v>
      </c>
      <c r="B90" s="14">
        <v>21571269</v>
      </c>
      <c r="C90" s="14">
        <v>21571269</v>
      </c>
      <c r="D90" s="14" t="s">
        <v>1595</v>
      </c>
      <c r="E90" s="14" t="s">
        <v>2545</v>
      </c>
      <c r="F90" s="14" t="s">
        <v>2546</v>
      </c>
      <c r="G90" s="22" t="s">
        <v>2547</v>
      </c>
      <c r="H90" s="22" t="s">
        <v>2548</v>
      </c>
      <c r="I90" s="14" t="s">
        <v>88</v>
      </c>
      <c r="J90" s="14">
        <v>1</v>
      </c>
      <c r="K90" s="14">
        <v>1</v>
      </c>
      <c r="L90" s="14" t="s">
        <v>2549</v>
      </c>
      <c r="M90" s="19" t="s">
        <v>370</v>
      </c>
      <c r="N90" s="14" t="s">
        <v>2316</v>
      </c>
      <c r="O90" s="14" t="s">
        <v>2550</v>
      </c>
      <c r="P90" s="14" t="str">
        <f>HYPERLINK("https://photon-sol.tinyastro.io/en/lp/4NawAAgWKZ4S5mRNK1eQQzumzHPKAtBiWAP8FUzzpump?handle=676050794bc1b1657a56b", "View")</f>
        <v>View</v>
      </c>
    </row>
    <row r="91" spans="1:16" x14ac:dyDescent="0.25">
      <c r="A91" s="16" t="s">
        <v>2551</v>
      </c>
      <c r="B91" s="17">
        <v>14185373</v>
      </c>
      <c r="C91" s="17">
        <v>14185373</v>
      </c>
      <c r="D91" s="17" t="s">
        <v>1595</v>
      </c>
      <c r="E91" s="17" t="s">
        <v>2552</v>
      </c>
      <c r="F91" s="17" t="s">
        <v>2553</v>
      </c>
      <c r="G91" s="22" t="s">
        <v>2554</v>
      </c>
      <c r="H91" s="22" t="s">
        <v>2555</v>
      </c>
      <c r="I91" s="17" t="s">
        <v>88</v>
      </c>
      <c r="J91" s="17">
        <v>1</v>
      </c>
      <c r="K91" s="17">
        <v>1</v>
      </c>
      <c r="L91" s="17" t="s">
        <v>2556</v>
      </c>
      <c r="M91" s="17" t="s">
        <v>1434</v>
      </c>
      <c r="N91" s="17" t="s">
        <v>2557</v>
      </c>
      <c r="O91" s="17" t="s">
        <v>2558</v>
      </c>
      <c r="P91" s="17" t="str">
        <f>HYPERLINK("https://photon-sol.tinyastro.io/en/lp/B5mDnnuiT5yu8atUQMXNJjaWH1mLJhHkagtvxw6rpump?handle=676050794bc1b1657a56b", "View")</f>
        <v>View</v>
      </c>
    </row>
    <row r="92" spans="1:16" x14ac:dyDescent="0.25">
      <c r="A92" s="13" t="s">
        <v>2559</v>
      </c>
      <c r="B92" s="14">
        <v>87403148</v>
      </c>
      <c r="C92" s="14">
        <v>87403148</v>
      </c>
      <c r="D92" s="14" t="s">
        <v>1629</v>
      </c>
      <c r="E92" s="14" t="s">
        <v>2560</v>
      </c>
      <c r="F92" s="14" t="s">
        <v>2561</v>
      </c>
      <c r="G92" s="22" t="s">
        <v>2562</v>
      </c>
      <c r="H92" s="22" t="s">
        <v>2563</v>
      </c>
      <c r="I92" s="14" t="s">
        <v>88</v>
      </c>
      <c r="J92" s="14">
        <v>2</v>
      </c>
      <c r="K92" s="14">
        <v>2</v>
      </c>
      <c r="L92" s="14" t="s">
        <v>2564</v>
      </c>
      <c r="M92" s="14" t="s">
        <v>1705</v>
      </c>
      <c r="N92" s="14" t="s">
        <v>2263</v>
      </c>
      <c r="O92" s="14" t="s">
        <v>2565</v>
      </c>
      <c r="P92" s="14" t="str">
        <f>HYPERLINK("https://photon-sol.tinyastro.io/en/lp/GAddc5q3JEpSzabiUbtCmNDtQnGZkjGb1eGzdXNDpump?handle=676050794bc1b1657a56b", "View")</f>
        <v>View</v>
      </c>
    </row>
    <row r="93" spans="1:16" x14ac:dyDescent="0.25">
      <c r="A93" s="16" t="s">
        <v>2566</v>
      </c>
      <c r="B93" s="17">
        <v>30816717</v>
      </c>
      <c r="C93" s="17">
        <v>30816717</v>
      </c>
      <c r="D93" s="17" t="s">
        <v>1595</v>
      </c>
      <c r="E93" s="17" t="s">
        <v>2567</v>
      </c>
      <c r="F93" s="17" t="s">
        <v>2568</v>
      </c>
      <c r="G93" s="22" t="s">
        <v>2569</v>
      </c>
      <c r="H93" s="22" t="s">
        <v>2570</v>
      </c>
      <c r="I93" s="17" t="s">
        <v>88</v>
      </c>
      <c r="J93" s="17">
        <v>1</v>
      </c>
      <c r="K93" s="17">
        <v>1</v>
      </c>
      <c r="L93" s="17" t="s">
        <v>2571</v>
      </c>
      <c r="M93" s="17" t="s">
        <v>602</v>
      </c>
      <c r="N93" s="17" t="s">
        <v>2223</v>
      </c>
      <c r="O93" s="17" t="s">
        <v>2572</v>
      </c>
      <c r="P93" s="17" t="str">
        <f>HYPERLINK("https://photon-sol.tinyastro.io/en/lp/CebktzsbbFWFDsJRpJYtwkGTxqjWmkrhpdjSTPNTpump?handle=676050794bc1b1657a56b", "View")</f>
        <v>View</v>
      </c>
    </row>
    <row r="94" spans="1:16" x14ac:dyDescent="0.25">
      <c r="A94" s="13" t="s">
        <v>2573</v>
      </c>
      <c r="B94" s="14">
        <v>67062500</v>
      </c>
      <c r="C94" s="14">
        <v>67062500</v>
      </c>
      <c r="D94" s="14" t="s">
        <v>1595</v>
      </c>
      <c r="E94" s="14" t="s">
        <v>2042</v>
      </c>
      <c r="F94" s="14" t="s">
        <v>2574</v>
      </c>
      <c r="G94" s="22" t="s">
        <v>2575</v>
      </c>
      <c r="H94" s="22" t="s">
        <v>2576</v>
      </c>
      <c r="I94" s="14" t="s">
        <v>88</v>
      </c>
      <c r="J94" s="14">
        <v>1</v>
      </c>
      <c r="K94" s="14">
        <v>1</v>
      </c>
      <c r="L94" s="14" t="s">
        <v>2577</v>
      </c>
      <c r="M94" s="14" t="s">
        <v>602</v>
      </c>
      <c r="N94" s="14" t="s">
        <v>2223</v>
      </c>
      <c r="O94" s="14" t="s">
        <v>2578</v>
      </c>
      <c r="P94" s="14" t="str">
        <f>HYPERLINK("https://photon-sol.tinyastro.io/en/lp/5jWaU3ejQabkAyx2gFQD5ieKgVWoXAbLyFVcSB3zpump?handle=676050794bc1b1657a56b", "View")</f>
        <v>View</v>
      </c>
    </row>
    <row r="95" spans="1:16" x14ac:dyDescent="0.25">
      <c r="A95" s="16" t="s">
        <v>2579</v>
      </c>
      <c r="B95" s="17">
        <v>5966014</v>
      </c>
      <c r="C95" s="17">
        <v>5966014</v>
      </c>
      <c r="D95" s="17" t="s">
        <v>1595</v>
      </c>
      <c r="E95" s="17" t="s">
        <v>2580</v>
      </c>
      <c r="F95" s="17" t="s">
        <v>2581</v>
      </c>
      <c r="G95" s="20" t="s">
        <v>2582</v>
      </c>
      <c r="H95" s="20" t="s">
        <v>2583</v>
      </c>
      <c r="I95" s="17" t="s">
        <v>88</v>
      </c>
      <c r="J95" s="17">
        <v>1</v>
      </c>
      <c r="K95" s="17">
        <v>1</v>
      </c>
      <c r="L95" s="17" t="s">
        <v>2584</v>
      </c>
      <c r="M95" s="17" t="s">
        <v>1434</v>
      </c>
      <c r="N95" s="17" t="s">
        <v>2585</v>
      </c>
      <c r="O95" s="17" t="s">
        <v>2586</v>
      </c>
      <c r="P95" s="17" t="str">
        <f>HYPERLINK("https://photon-sol.tinyastro.io/en/lp/4j5WpbZ55jQF47GK9PZL4YJQUUohLopdmJFiQKNobrug?handle=676050794bc1b1657a56b", "View")</f>
        <v>View</v>
      </c>
    </row>
    <row r="96" spans="1:16" x14ac:dyDescent="0.25">
      <c r="A96" s="13" t="s">
        <v>2587</v>
      </c>
      <c r="B96" s="14">
        <v>17070899</v>
      </c>
      <c r="C96" s="14">
        <v>17070899</v>
      </c>
      <c r="D96" s="14" t="s">
        <v>1595</v>
      </c>
      <c r="E96" s="14" t="s">
        <v>2588</v>
      </c>
      <c r="F96" s="14" t="s">
        <v>2589</v>
      </c>
      <c r="G96" s="20" t="s">
        <v>2590</v>
      </c>
      <c r="H96" s="20" t="s">
        <v>2591</v>
      </c>
      <c r="I96" s="14" t="s">
        <v>88</v>
      </c>
      <c r="J96" s="14">
        <v>1</v>
      </c>
      <c r="K96" s="14">
        <v>1</v>
      </c>
      <c r="L96" s="14" t="s">
        <v>2592</v>
      </c>
      <c r="M96" s="19" t="s">
        <v>2593</v>
      </c>
      <c r="N96" s="14" t="s">
        <v>1980</v>
      </c>
      <c r="O96" s="14" t="s">
        <v>2594</v>
      </c>
      <c r="P96" s="14" t="str">
        <f>HYPERLINK("https://photon-sol.tinyastro.io/en/lp/HRTmPp9bvrEFv9MoqF4rV1RPWHUmvvyV4b9nKL3jpump?handle=676050794bc1b1657a56b", "View")</f>
        <v>View</v>
      </c>
    </row>
    <row r="97" spans="1:16" x14ac:dyDescent="0.25">
      <c r="A97" s="16" t="s">
        <v>2595</v>
      </c>
      <c r="B97" s="17">
        <v>1823583</v>
      </c>
      <c r="C97" s="17">
        <v>1823583</v>
      </c>
      <c r="D97" s="17" t="s">
        <v>1646</v>
      </c>
      <c r="E97" s="17" t="s">
        <v>1457</v>
      </c>
      <c r="F97" s="17" t="s">
        <v>2596</v>
      </c>
      <c r="G97" s="22" t="s">
        <v>2597</v>
      </c>
      <c r="H97" s="22" t="s">
        <v>2598</v>
      </c>
      <c r="I97" s="17" t="s">
        <v>88</v>
      </c>
      <c r="J97" s="17">
        <v>1</v>
      </c>
      <c r="K97" s="17">
        <v>2</v>
      </c>
      <c r="L97" s="17" t="s">
        <v>2599</v>
      </c>
      <c r="M97" s="17" t="s">
        <v>1448</v>
      </c>
      <c r="N97" s="17" t="s">
        <v>2600</v>
      </c>
      <c r="O97" s="17" t="s">
        <v>2601</v>
      </c>
      <c r="P97" s="17" t="str">
        <f>HYPERLINK("https://dexscreener.com/solana/BCjAL2StpBFpfT4sEgmPckH7wmnJ3WD41sMZ97MMpump", "View")</f>
        <v>View</v>
      </c>
    </row>
    <row r="98" spans="1:16" x14ac:dyDescent="0.25">
      <c r="A98" s="13" t="s">
        <v>2602</v>
      </c>
      <c r="B98" s="14">
        <v>65262858</v>
      </c>
      <c r="C98" s="14">
        <v>65262858</v>
      </c>
      <c r="D98" s="14" t="s">
        <v>2026</v>
      </c>
      <c r="E98" s="14" t="s">
        <v>2603</v>
      </c>
      <c r="F98" s="14" t="s">
        <v>2604</v>
      </c>
      <c r="G98" s="22" t="s">
        <v>2605</v>
      </c>
      <c r="H98" s="22" t="s">
        <v>2606</v>
      </c>
      <c r="I98" s="14" t="s">
        <v>88</v>
      </c>
      <c r="J98" s="14">
        <v>2</v>
      </c>
      <c r="K98" s="14">
        <v>3</v>
      </c>
      <c r="L98" s="14" t="s">
        <v>2607</v>
      </c>
      <c r="M98" s="14" t="s">
        <v>602</v>
      </c>
      <c r="N98" s="14" t="s">
        <v>2608</v>
      </c>
      <c r="O98" s="14" t="s">
        <v>2609</v>
      </c>
      <c r="P98" s="14" t="str">
        <f>HYPERLINK("https://photon-sol.tinyastro.io/en/lp/HGYCrTw6HUTL3HAX6tSkm3gomdRF9UtTVJ7zJ2LTpump?handle=676050794bc1b1657a56b", "View")</f>
        <v>View</v>
      </c>
    </row>
    <row r="99" spans="1:16" x14ac:dyDescent="0.25">
      <c r="A99" s="16" t="s">
        <v>2610</v>
      </c>
      <c r="B99" s="17">
        <v>53814190</v>
      </c>
      <c r="C99" s="17">
        <v>53814190</v>
      </c>
      <c r="D99" s="17" t="s">
        <v>2611</v>
      </c>
      <c r="E99" s="17" t="s">
        <v>2612</v>
      </c>
      <c r="F99" s="17" t="s">
        <v>2613</v>
      </c>
      <c r="G99" s="22" t="s">
        <v>2614</v>
      </c>
      <c r="H99" s="22" t="s">
        <v>2615</v>
      </c>
      <c r="I99" s="17" t="s">
        <v>88</v>
      </c>
      <c r="J99" s="17">
        <v>4</v>
      </c>
      <c r="K99" s="17">
        <v>6</v>
      </c>
      <c r="L99" s="17" t="s">
        <v>2616</v>
      </c>
      <c r="M99" s="17" t="s">
        <v>2617</v>
      </c>
      <c r="N99" s="17" t="s">
        <v>2618</v>
      </c>
      <c r="O99" s="17" t="s">
        <v>2619</v>
      </c>
      <c r="P99" s="17" t="str">
        <f>HYPERLINK("https://photon-sol.tinyastro.io/en/lp/9bHMKBBJfS1GP1KkXCtSdDEwSw1rrJLm39L4HE6J4aX3?handle=676050794bc1b1657a56b", "View")</f>
        <v>View</v>
      </c>
    </row>
    <row r="100" spans="1:16" x14ac:dyDescent="0.25">
      <c r="A100" s="13" t="s">
        <v>2620</v>
      </c>
      <c r="B100" s="14">
        <v>4148006</v>
      </c>
      <c r="C100" s="14">
        <v>4148006</v>
      </c>
      <c r="D100" s="14" t="s">
        <v>1654</v>
      </c>
      <c r="E100" s="14" t="s">
        <v>2621</v>
      </c>
      <c r="F100" s="14" t="s">
        <v>2622</v>
      </c>
      <c r="G100" s="22" t="s">
        <v>2623</v>
      </c>
      <c r="H100" s="22" t="s">
        <v>2624</v>
      </c>
      <c r="I100" s="14" t="s">
        <v>88</v>
      </c>
      <c r="J100" s="14">
        <v>2</v>
      </c>
      <c r="K100" s="14">
        <v>4</v>
      </c>
      <c r="L100" s="14" t="s">
        <v>2625</v>
      </c>
      <c r="M100" s="14" t="s">
        <v>788</v>
      </c>
      <c r="N100" s="14" t="s">
        <v>2626</v>
      </c>
      <c r="O100" s="14" t="s">
        <v>2627</v>
      </c>
      <c r="P100" s="14" t="str">
        <f>HYPERLINK("https://photon-sol.tinyastro.io/en/lp/7weLjTDMheYznUikcRfXCzhKbQtsdRfvy8WJa8ccpump?handle=676050794bc1b1657a56b", "View")</f>
        <v>View</v>
      </c>
    </row>
    <row r="101" spans="1:16" x14ac:dyDescent="0.25">
      <c r="A101" s="16" t="s">
        <v>2628</v>
      </c>
      <c r="B101" s="17">
        <v>3780566</v>
      </c>
      <c r="C101" s="17">
        <v>3780566</v>
      </c>
      <c r="D101" s="17" t="s">
        <v>1691</v>
      </c>
      <c r="E101" s="17" t="s">
        <v>1823</v>
      </c>
      <c r="F101" s="17" t="s">
        <v>2629</v>
      </c>
      <c r="G101" s="20" t="s">
        <v>2630</v>
      </c>
      <c r="H101" s="20" t="s">
        <v>2631</v>
      </c>
      <c r="I101" s="17" t="s">
        <v>88</v>
      </c>
      <c r="J101" s="17">
        <v>2</v>
      </c>
      <c r="K101" s="17">
        <v>1</v>
      </c>
      <c r="L101" s="17" t="s">
        <v>2632</v>
      </c>
      <c r="M101" s="17" t="s">
        <v>1566</v>
      </c>
      <c r="N101" s="17" t="s">
        <v>2633</v>
      </c>
      <c r="O101" s="17" t="s">
        <v>2634</v>
      </c>
      <c r="P101" s="17" t="str">
        <f>HYPERLINK("https://photon-sol.tinyastro.io/en/lp/BoyAq9YacyJQn96e3SM4GQrxKQEHuLXs8sA3V4aspump?handle=676050794bc1b1657a56b", "View")</f>
        <v>View</v>
      </c>
    </row>
    <row r="102" spans="1:16" x14ac:dyDescent="0.25">
      <c r="A102" s="13" t="s">
        <v>2635</v>
      </c>
      <c r="B102" s="14">
        <v>64537471</v>
      </c>
      <c r="C102" s="14">
        <v>64537471</v>
      </c>
      <c r="D102" s="14" t="s">
        <v>1595</v>
      </c>
      <c r="E102" s="14" t="s">
        <v>2042</v>
      </c>
      <c r="F102" s="14" t="s">
        <v>2636</v>
      </c>
      <c r="G102" s="21" t="s">
        <v>2637</v>
      </c>
      <c r="H102" s="21" t="s">
        <v>2638</v>
      </c>
      <c r="I102" s="14" t="s">
        <v>88</v>
      </c>
      <c r="J102" s="14">
        <v>1</v>
      </c>
      <c r="K102" s="14">
        <v>1</v>
      </c>
      <c r="L102" s="14" t="s">
        <v>2639</v>
      </c>
      <c r="M102" s="14" t="s">
        <v>1448</v>
      </c>
      <c r="N102" s="14" t="s">
        <v>2640</v>
      </c>
      <c r="O102" s="14" t="s">
        <v>2641</v>
      </c>
      <c r="P102" s="14" t="str">
        <f>HYPERLINK("https://photon-sol.tinyastro.io/en/lp/CLerixSaXnt5cyFGLuR5dHc5bXGPm28E2doXnY49pump?handle=676050794bc1b1657a56b", "View")</f>
        <v>View</v>
      </c>
    </row>
    <row r="103" spans="1:16" x14ac:dyDescent="0.25">
      <c r="A103" s="16" t="s">
        <v>2642</v>
      </c>
      <c r="B103" s="17">
        <v>4034267</v>
      </c>
      <c r="C103" s="17">
        <v>4034267</v>
      </c>
      <c r="D103" s="17" t="s">
        <v>2643</v>
      </c>
      <c r="E103" s="17" t="s">
        <v>2644</v>
      </c>
      <c r="F103" s="17" t="s">
        <v>2645</v>
      </c>
      <c r="G103" s="21" t="s">
        <v>2646</v>
      </c>
      <c r="H103" s="21" t="s">
        <v>2647</v>
      </c>
      <c r="I103" s="17" t="s">
        <v>88</v>
      </c>
      <c r="J103" s="17">
        <v>3</v>
      </c>
      <c r="K103" s="17">
        <v>25</v>
      </c>
      <c r="L103" s="17" t="s">
        <v>2648</v>
      </c>
      <c r="M103" s="17" t="s">
        <v>141</v>
      </c>
      <c r="N103" s="17" t="s">
        <v>2649</v>
      </c>
      <c r="O103" s="17" t="s">
        <v>2650</v>
      </c>
      <c r="P103" s="17" t="str">
        <f>HYPERLINK("https://photon-sol.tinyastro.io/en/lp/9Z3LF3ymEVwCPLd9uBda9ieySYKVK7MzukPRGHDPpump?handle=676050794bc1b1657a56b", "View")</f>
        <v>View</v>
      </c>
    </row>
    <row r="104" spans="1:16" x14ac:dyDescent="0.25">
      <c r="A104" s="13" t="s">
        <v>2651</v>
      </c>
      <c r="B104" s="14">
        <v>1324978</v>
      </c>
      <c r="C104" s="14">
        <v>1324978</v>
      </c>
      <c r="D104" s="14" t="s">
        <v>1595</v>
      </c>
      <c r="E104" s="14" t="s">
        <v>2200</v>
      </c>
      <c r="F104" s="14" t="s">
        <v>2652</v>
      </c>
      <c r="G104" s="22" t="s">
        <v>2653</v>
      </c>
      <c r="H104" s="22" t="s">
        <v>2654</v>
      </c>
      <c r="I104" s="14" t="s">
        <v>88</v>
      </c>
      <c r="J104" s="14">
        <v>1</v>
      </c>
      <c r="K104" s="14">
        <v>1</v>
      </c>
      <c r="L104" s="14" t="s">
        <v>2655</v>
      </c>
      <c r="M104" s="14" t="s">
        <v>1566</v>
      </c>
      <c r="N104" s="14" t="s">
        <v>2656</v>
      </c>
      <c r="O104" s="14" t="s">
        <v>2657</v>
      </c>
      <c r="P104" s="14" t="str">
        <f>HYPERLINK("https://dexscreener.com/solana/EGDupUNGpapaeTJAmc1sLx8JRhzs91x6SNmSrP7Ypump", "View")</f>
        <v>View</v>
      </c>
    </row>
    <row r="105" spans="1:16" x14ac:dyDescent="0.25">
      <c r="A105" s="16" t="s">
        <v>2658</v>
      </c>
      <c r="B105" s="17">
        <v>4790769</v>
      </c>
      <c r="C105" s="17">
        <v>4790769</v>
      </c>
      <c r="D105" s="17" t="s">
        <v>1629</v>
      </c>
      <c r="E105" s="17" t="s">
        <v>2659</v>
      </c>
      <c r="F105" s="17" t="s">
        <v>2660</v>
      </c>
      <c r="G105" s="22" t="s">
        <v>2661</v>
      </c>
      <c r="H105" s="22" t="s">
        <v>2662</v>
      </c>
      <c r="I105" s="17" t="s">
        <v>88</v>
      </c>
      <c r="J105" s="17">
        <v>2</v>
      </c>
      <c r="K105" s="17">
        <v>2</v>
      </c>
      <c r="L105" s="17" t="s">
        <v>2663</v>
      </c>
      <c r="M105" s="17" t="s">
        <v>2047</v>
      </c>
      <c r="N105" s="17" t="s">
        <v>2664</v>
      </c>
      <c r="O105" s="17" t="s">
        <v>2665</v>
      </c>
      <c r="P105" s="17" t="str">
        <f>HYPERLINK("https://photon-sol.tinyastro.io/en/lp/6LsCVyL6rbNLfRuLYBWZHSuG9kkqRtmW52YXARh5pump?handle=676050794bc1b1657a56b", "View")</f>
        <v>View</v>
      </c>
    </row>
    <row r="106" spans="1:16" x14ac:dyDescent="0.25">
      <c r="A106" s="13" t="s">
        <v>2666</v>
      </c>
      <c r="B106" s="14">
        <v>61629398</v>
      </c>
      <c r="C106" s="14">
        <v>61629398</v>
      </c>
      <c r="D106" s="14" t="s">
        <v>1629</v>
      </c>
      <c r="E106" s="14" t="s">
        <v>2667</v>
      </c>
      <c r="F106" s="14" t="s">
        <v>2668</v>
      </c>
      <c r="G106" s="22" t="s">
        <v>2669</v>
      </c>
      <c r="H106" s="22" t="s">
        <v>2670</v>
      </c>
      <c r="I106" s="14" t="s">
        <v>88</v>
      </c>
      <c r="J106" s="14">
        <v>2</v>
      </c>
      <c r="K106" s="14">
        <v>2</v>
      </c>
      <c r="L106" s="14" t="s">
        <v>2671</v>
      </c>
      <c r="M106" s="14" t="s">
        <v>2672</v>
      </c>
      <c r="N106" s="14" t="s">
        <v>2673</v>
      </c>
      <c r="O106" s="14" t="s">
        <v>2674</v>
      </c>
      <c r="P106" s="14" t="str">
        <f>HYPERLINK("https://photon-sol.tinyastro.io/en/lp/FNAKajLtZoj8Tjpd3jSjM7mAorQQev5vXoefJqxNpump?handle=676050794bc1b1657a56b", "View")</f>
        <v>View</v>
      </c>
    </row>
    <row r="107" spans="1:16" x14ac:dyDescent="0.25">
      <c r="A107" s="16" t="s">
        <v>2675</v>
      </c>
      <c r="B107" s="17">
        <v>34612903</v>
      </c>
      <c r="C107" s="17">
        <v>34612903</v>
      </c>
      <c r="D107" s="17" t="s">
        <v>1595</v>
      </c>
      <c r="E107" s="17" t="s">
        <v>2234</v>
      </c>
      <c r="F107" s="17" t="s">
        <v>2676</v>
      </c>
      <c r="G107" s="22" t="s">
        <v>2677</v>
      </c>
      <c r="H107" s="22" t="s">
        <v>2678</v>
      </c>
      <c r="I107" s="17" t="s">
        <v>88</v>
      </c>
      <c r="J107" s="17">
        <v>1</v>
      </c>
      <c r="K107" s="17">
        <v>1</v>
      </c>
      <c r="L107" s="17" t="s">
        <v>2679</v>
      </c>
      <c r="M107" s="17" t="s">
        <v>1566</v>
      </c>
      <c r="N107" s="17" t="s">
        <v>2308</v>
      </c>
      <c r="O107" s="17" t="s">
        <v>2680</v>
      </c>
      <c r="P107" s="17" t="str">
        <f>HYPERLINK("https://photon-sol.tinyastro.io/en/lp/9d6bsbNbPsBekL2wLfAY7cT1TTasFrJTJTUCGsKZpump?handle=676050794bc1b1657a56b", "View")</f>
        <v>View</v>
      </c>
    </row>
    <row r="108" spans="1:16" x14ac:dyDescent="0.25">
      <c r="A108" s="13" t="s">
        <v>2681</v>
      </c>
      <c r="B108" s="14">
        <v>37255084</v>
      </c>
      <c r="C108" s="14">
        <v>37255084</v>
      </c>
      <c r="D108" s="14" t="s">
        <v>1654</v>
      </c>
      <c r="E108" s="14" t="s">
        <v>2682</v>
      </c>
      <c r="F108" s="14" t="s">
        <v>2683</v>
      </c>
      <c r="G108" s="20" t="s">
        <v>2684</v>
      </c>
      <c r="H108" s="20" t="s">
        <v>2685</v>
      </c>
      <c r="I108" s="14" t="s">
        <v>88</v>
      </c>
      <c r="J108" s="14">
        <v>3</v>
      </c>
      <c r="K108" s="14">
        <v>3</v>
      </c>
      <c r="L108" s="14" t="s">
        <v>2686</v>
      </c>
      <c r="M108" s="14" t="s">
        <v>1932</v>
      </c>
      <c r="N108" s="14" t="s">
        <v>2687</v>
      </c>
      <c r="O108" s="14" t="s">
        <v>2688</v>
      </c>
      <c r="P108" s="14" t="str">
        <f>HYPERLINK("https://photon-sol.tinyastro.io/en/lp/6gAxPRSGg5r129hQjDAZm1Tdh5YTkLh1hKRhnm1wpump?handle=676050794bc1b1657a56b", "View")</f>
        <v>View</v>
      </c>
    </row>
    <row r="109" spans="1:16" x14ac:dyDescent="0.25">
      <c r="A109" s="16" t="s">
        <v>2689</v>
      </c>
      <c r="B109" s="17">
        <v>88243320</v>
      </c>
      <c r="C109" s="17">
        <v>88243320</v>
      </c>
      <c r="D109" s="17" t="s">
        <v>2026</v>
      </c>
      <c r="E109" s="17" t="s">
        <v>2690</v>
      </c>
      <c r="F109" s="17" t="s">
        <v>2691</v>
      </c>
      <c r="G109" s="22" t="s">
        <v>2692</v>
      </c>
      <c r="H109" s="22" t="s">
        <v>2693</v>
      </c>
      <c r="I109" s="17" t="s">
        <v>88</v>
      </c>
      <c r="J109" s="17">
        <v>2</v>
      </c>
      <c r="K109" s="17">
        <v>3</v>
      </c>
      <c r="L109" s="17" t="s">
        <v>2694</v>
      </c>
      <c r="M109" s="17" t="s">
        <v>2695</v>
      </c>
      <c r="N109" s="17" t="s">
        <v>2223</v>
      </c>
      <c r="O109" s="17" t="s">
        <v>2696</v>
      </c>
      <c r="P109" s="17" t="str">
        <f>HYPERLINK("https://photon-sol.tinyastro.io/en/lp/88RbDVarqbtaGijyTPFNuamNEBeN2FXt7NvEwci2pump?handle=676050794bc1b1657a56b", "View")</f>
        <v>View</v>
      </c>
    </row>
    <row r="110" spans="1:16" x14ac:dyDescent="0.25">
      <c r="A110" s="13" t="s">
        <v>2697</v>
      </c>
      <c r="B110" s="14">
        <v>66381023</v>
      </c>
      <c r="C110" s="14">
        <v>66381023</v>
      </c>
      <c r="D110" s="14" t="s">
        <v>1595</v>
      </c>
      <c r="E110" s="14" t="s">
        <v>569</v>
      </c>
      <c r="F110" s="14" t="s">
        <v>2698</v>
      </c>
      <c r="G110" s="22" t="s">
        <v>2699</v>
      </c>
      <c r="H110" s="22" t="s">
        <v>2700</v>
      </c>
      <c r="I110" s="14" t="s">
        <v>88</v>
      </c>
      <c r="J110" s="14">
        <v>1</v>
      </c>
      <c r="K110" s="14">
        <v>1</v>
      </c>
      <c r="L110" s="14" t="s">
        <v>2701</v>
      </c>
      <c r="M110" s="14" t="s">
        <v>1434</v>
      </c>
      <c r="N110" s="14" t="s">
        <v>1980</v>
      </c>
      <c r="O110" s="14" t="s">
        <v>2702</v>
      </c>
      <c r="P110" s="14" t="str">
        <f>HYPERLINK("https://dexscreener.com/solana/EHHaCsCoXb2BFGbzfANpS1VXQ7GXnQXbzxuwxyZUpump", "View")</f>
        <v>View</v>
      </c>
    </row>
    <row r="111" spans="1:16" x14ac:dyDescent="0.25">
      <c r="A111" s="16" t="s">
        <v>2703</v>
      </c>
      <c r="B111" s="17">
        <v>92086672</v>
      </c>
      <c r="C111" s="17">
        <v>92086672</v>
      </c>
      <c r="D111" s="17" t="s">
        <v>1595</v>
      </c>
      <c r="E111" s="17" t="s">
        <v>1662</v>
      </c>
      <c r="F111" s="17" t="s">
        <v>2704</v>
      </c>
      <c r="G111" s="22" t="s">
        <v>2705</v>
      </c>
      <c r="H111" s="22" t="s">
        <v>2706</v>
      </c>
      <c r="I111" s="17" t="s">
        <v>88</v>
      </c>
      <c r="J111" s="17">
        <v>1</v>
      </c>
      <c r="K111" s="17">
        <v>1</v>
      </c>
      <c r="L111" s="17" t="s">
        <v>2707</v>
      </c>
      <c r="M111" s="17" t="s">
        <v>1566</v>
      </c>
      <c r="N111" s="17" t="s">
        <v>2308</v>
      </c>
      <c r="O111" s="17" t="s">
        <v>2708</v>
      </c>
      <c r="P111" s="17" t="str">
        <f>HYPERLINK("https://photon-sol.tinyastro.io/en/lp/2Z7XMoeL6t8dXEwtxADHzaDjAFqzhECCoWK4v1mspump?handle=676050794bc1b1657a56b", "View")</f>
        <v>View</v>
      </c>
    </row>
    <row r="112" spans="1:16" x14ac:dyDescent="0.25">
      <c r="A112" s="13" t="s">
        <v>2709</v>
      </c>
      <c r="B112" s="14">
        <v>72340673</v>
      </c>
      <c r="C112" s="14">
        <v>72340673</v>
      </c>
      <c r="D112" s="14" t="s">
        <v>1654</v>
      </c>
      <c r="E112" s="14" t="s">
        <v>2710</v>
      </c>
      <c r="F112" s="14" t="s">
        <v>2711</v>
      </c>
      <c r="G112" s="21" t="s">
        <v>2712</v>
      </c>
      <c r="H112" s="21" t="s">
        <v>2713</v>
      </c>
      <c r="I112" s="14" t="s">
        <v>88</v>
      </c>
      <c r="J112" s="14">
        <v>3</v>
      </c>
      <c r="K112" s="14">
        <v>3</v>
      </c>
      <c r="L112" s="14" t="s">
        <v>2714</v>
      </c>
      <c r="M112" s="14" t="s">
        <v>2715</v>
      </c>
      <c r="N112" s="14" t="s">
        <v>2716</v>
      </c>
      <c r="O112" s="14" t="s">
        <v>2717</v>
      </c>
      <c r="P112" s="14" t="str">
        <f>HYPERLINK("https://photon-sol.tinyastro.io/en/lp/J8cwfmyvXYBL1AqQ7Vf9mNsHpUeaix2p5JEkdFifpump?handle=676050794bc1b1657a56b", "View")</f>
        <v>View</v>
      </c>
    </row>
    <row r="113" spans="1:16" x14ac:dyDescent="0.25">
      <c r="A113" s="16" t="s">
        <v>2718</v>
      </c>
      <c r="B113" s="17">
        <v>97545454</v>
      </c>
      <c r="C113" s="17">
        <v>97545454</v>
      </c>
      <c r="D113" s="17" t="s">
        <v>1595</v>
      </c>
      <c r="E113" s="17" t="s">
        <v>1662</v>
      </c>
      <c r="F113" s="17" t="s">
        <v>2719</v>
      </c>
      <c r="G113" s="22" t="s">
        <v>2720</v>
      </c>
      <c r="H113" s="22" t="s">
        <v>2721</v>
      </c>
      <c r="I113" s="17" t="s">
        <v>88</v>
      </c>
      <c r="J113" s="17">
        <v>1</v>
      </c>
      <c r="K113" s="17">
        <v>1</v>
      </c>
      <c r="L113" s="17" t="s">
        <v>2722</v>
      </c>
      <c r="M113" s="19" t="s">
        <v>1856</v>
      </c>
      <c r="N113" s="17" t="s">
        <v>2223</v>
      </c>
      <c r="O113" s="17" t="s">
        <v>2723</v>
      </c>
      <c r="P113" s="17" t="str">
        <f>HYPERLINK("https://photon-sol.tinyastro.io/en/lp/BGn65rwiHV2ek33jD8V6HyGXSgYe6BxiaiUT94tspump?handle=676050794bc1b1657a56b", "View")</f>
        <v>View</v>
      </c>
    </row>
    <row r="114" spans="1:16" x14ac:dyDescent="0.25">
      <c r="A114" s="13" t="s">
        <v>2724</v>
      </c>
      <c r="B114" s="14">
        <v>86223064</v>
      </c>
      <c r="C114" s="14">
        <v>86223064</v>
      </c>
      <c r="D114" s="14" t="s">
        <v>1595</v>
      </c>
      <c r="E114" s="14" t="s">
        <v>1683</v>
      </c>
      <c r="F114" s="14" t="s">
        <v>2725</v>
      </c>
      <c r="G114" s="20" t="s">
        <v>2726</v>
      </c>
      <c r="H114" s="20" t="s">
        <v>2727</v>
      </c>
      <c r="I114" s="14" t="s">
        <v>88</v>
      </c>
      <c r="J114" s="14">
        <v>1</v>
      </c>
      <c r="K114" s="14">
        <v>1</v>
      </c>
      <c r="L114" s="14" t="s">
        <v>2728</v>
      </c>
      <c r="M114" s="14" t="s">
        <v>364</v>
      </c>
      <c r="N114" s="14" t="s">
        <v>507</v>
      </c>
      <c r="O114" s="14" t="s">
        <v>2729</v>
      </c>
      <c r="P114" s="14" t="str">
        <f>HYPERLINK("https://photon-sol.tinyastro.io/en/lp/GN5ndqGuvP9c3eg9Y5rcpQnzS2FZtaB2dVvb9z56pump?handle=676050794bc1b1657a56b", "View")</f>
        <v>View</v>
      </c>
    </row>
    <row r="115" spans="1:16" x14ac:dyDescent="0.25">
      <c r="A115" s="16" t="s">
        <v>2730</v>
      </c>
      <c r="B115" s="17">
        <v>142693519</v>
      </c>
      <c r="C115" s="17">
        <v>142693519</v>
      </c>
      <c r="D115" s="17" t="s">
        <v>1654</v>
      </c>
      <c r="E115" s="17" t="s">
        <v>2731</v>
      </c>
      <c r="F115" s="17" t="s">
        <v>2732</v>
      </c>
      <c r="G115" s="21" t="s">
        <v>2733</v>
      </c>
      <c r="H115" s="21" t="s">
        <v>2734</v>
      </c>
      <c r="I115" s="17" t="s">
        <v>88</v>
      </c>
      <c r="J115" s="17">
        <v>3</v>
      </c>
      <c r="K115" s="17">
        <v>3</v>
      </c>
      <c r="L115" s="17" t="s">
        <v>2735</v>
      </c>
      <c r="M115" s="17" t="s">
        <v>179</v>
      </c>
      <c r="N115" s="17" t="s">
        <v>1667</v>
      </c>
      <c r="O115" s="17" t="s">
        <v>2736</v>
      </c>
      <c r="P115" s="17" t="str">
        <f>HYPERLINK("https://photon-sol.tinyastro.io/en/lp/A5gQVm8jUFhhuxWEAL3TdDcET6NJwHU5nG4VhcXMAmSG?handle=676050794bc1b1657a56b", "View")</f>
        <v>View</v>
      </c>
    </row>
    <row r="116" spans="1:16" x14ac:dyDescent="0.25">
      <c r="A116" s="13" t="s">
        <v>2737</v>
      </c>
      <c r="B116" s="14">
        <v>7601461</v>
      </c>
      <c r="C116" s="14">
        <v>7601461</v>
      </c>
      <c r="D116" s="14" t="s">
        <v>1595</v>
      </c>
      <c r="E116" s="14" t="s">
        <v>2738</v>
      </c>
      <c r="F116" s="14" t="s">
        <v>2253</v>
      </c>
      <c r="G116" s="20" t="s">
        <v>2739</v>
      </c>
      <c r="H116" s="20" t="s">
        <v>2740</v>
      </c>
      <c r="I116" s="14" t="s">
        <v>88</v>
      </c>
      <c r="J116" s="14">
        <v>1</v>
      </c>
      <c r="K116" s="14">
        <v>1</v>
      </c>
      <c r="L116" s="14" t="s">
        <v>2741</v>
      </c>
      <c r="M116" s="14" t="s">
        <v>1448</v>
      </c>
      <c r="N116" s="14" t="s">
        <v>2742</v>
      </c>
      <c r="O116" s="14" t="s">
        <v>2743</v>
      </c>
      <c r="P116" s="14" t="str">
        <f>HYPERLINK("https://photon-sol.tinyastro.io/en/lp/uGJcexxzBXhWx1VsrckqNYMfmNG7s7XyNkFmz3mpump?handle=676050794bc1b1657a56b", "View")</f>
        <v>View</v>
      </c>
    </row>
    <row r="117" spans="1:16" x14ac:dyDescent="0.25">
      <c r="A117" s="16" t="s">
        <v>2265</v>
      </c>
      <c r="B117" s="17">
        <v>97545454</v>
      </c>
      <c r="C117" s="17">
        <v>97545454</v>
      </c>
      <c r="D117" s="17" t="s">
        <v>1595</v>
      </c>
      <c r="E117" s="17" t="s">
        <v>1662</v>
      </c>
      <c r="F117" s="17" t="s">
        <v>2744</v>
      </c>
      <c r="G117" s="22" t="s">
        <v>2745</v>
      </c>
      <c r="H117" s="22" t="s">
        <v>2746</v>
      </c>
      <c r="I117" s="17" t="s">
        <v>88</v>
      </c>
      <c r="J117" s="17">
        <v>1</v>
      </c>
      <c r="K117" s="17">
        <v>1</v>
      </c>
      <c r="L117" s="17" t="s">
        <v>2747</v>
      </c>
      <c r="M117" s="17" t="s">
        <v>1434</v>
      </c>
      <c r="N117" s="17" t="s">
        <v>2223</v>
      </c>
      <c r="O117" s="17" t="s">
        <v>2748</v>
      </c>
      <c r="P117" s="17" t="str">
        <f>HYPERLINK("https://photon-sol.tinyastro.io/en/lp/5dkran5y85FAiRuckJbVyFEj7kyt2rq4LmuroCjPpump?handle=676050794bc1b1657a56b", "View")</f>
        <v>View</v>
      </c>
    </row>
    <row r="118" spans="1:16" x14ac:dyDescent="0.25">
      <c r="A118" s="13" t="s">
        <v>2730</v>
      </c>
      <c r="B118" s="14">
        <v>34612268</v>
      </c>
      <c r="C118" s="14">
        <v>34612268</v>
      </c>
      <c r="D118" s="14" t="s">
        <v>1595</v>
      </c>
      <c r="E118" s="14" t="s">
        <v>2108</v>
      </c>
      <c r="F118" s="14" t="s">
        <v>1223</v>
      </c>
      <c r="G118" s="22" t="s">
        <v>2581</v>
      </c>
      <c r="H118" s="22" t="s">
        <v>2749</v>
      </c>
      <c r="I118" s="14" t="s">
        <v>88</v>
      </c>
      <c r="J118" s="14">
        <v>1</v>
      </c>
      <c r="K118" s="14">
        <v>1</v>
      </c>
      <c r="L118" s="14" t="s">
        <v>2750</v>
      </c>
      <c r="M118" s="14" t="s">
        <v>1448</v>
      </c>
      <c r="N118" s="14" t="s">
        <v>2223</v>
      </c>
      <c r="O118" s="14" t="s">
        <v>2751</v>
      </c>
      <c r="P118" s="14" t="str">
        <f>HYPERLINK("https://photon-sol.tinyastro.io/en/lp/BfR2Bu1Dqem3moyVmfavEMF8QzDd2u1uRs5eXjCX3Ge4?handle=676050794bc1b1657a56b", "View")</f>
        <v>View</v>
      </c>
    </row>
    <row r="119" spans="1:16" x14ac:dyDescent="0.25">
      <c r="A119" s="16" t="s">
        <v>2752</v>
      </c>
      <c r="B119" s="17">
        <v>97545455</v>
      </c>
      <c r="C119" s="17">
        <v>97545455</v>
      </c>
      <c r="D119" s="17" t="s">
        <v>1595</v>
      </c>
      <c r="E119" s="17" t="s">
        <v>1683</v>
      </c>
      <c r="F119" s="17" t="s">
        <v>2753</v>
      </c>
      <c r="G119" s="22" t="s">
        <v>2754</v>
      </c>
      <c r="H119" s="22" t="s">
        <v>2755</v>
      </c>
      <c r="I119" s="17" t="s">
        <v>88</v>
      </c>
      <c r="J119" s="17">
        <v>1</v>
      </c>
      <c r="K119" s="17">
        <v>1</v>
      </c>
      <c r="L119" s="17" t="s">
        <v>2756</v>
      </c>
      <c r="M119" s="17" t="s">
        <v>1566</v>
      </c>
      <c r="N119" s="17" t="s">
        <v>2308</v>
      </c>
      <c r="O119" s="17" t="s">
        <v>2757</v>
      </c>
      <c r="P119" s="17" t="str">
        <f>HYPERLINK("https://photon-sol.tinyastro.io/en/lp/AdKoxjvch3UGbh2oSyPNF7oy5pJcxHgoAYHD6NJXpump?handle=676050794bc1b1657a56b", "View")</f>
        <v>View</v>
      </c>
    </row>
    <row r="120" spans="1:16" x14ac:dyDescent="0.25">
      <c r="A120" s="13" t="s">
        <v>312</v>
      </c>
      <c r="B120" s="14">
        <v>9544968</v>
      </c>
      <c r="C120" s="14">
        <v>9544968</v>
      </c>
      <c r="D120" s="14" t="s">
        <v>1595</v>
      </c>
      <c r="E120" s="14" t="s">
        <v>2758</v>
      </c>
      <c r="F120" s="14" t="s">
        <v>2759</v>
      </c>
      <c r="G120" s="20" t="s">
        <v>2760</v>
      </c>
      <c r="H120" s="20" t="s">
        <v>2761</v>
      </c>
      <c r="I120" s="14" t="s">
        <v>88</v>
      </c>
      <c r="J120" s="14">
        <v>1</v>
      </c>
      <c r="K120" s="14">
        <v>1</v>
      </c>
      <c r="L120" s="14" t="s">
        <v>2762</v>
      </c>
      <c r="M120" s="19" t="s">
        <v>2323</v>
      </c>
      <c r="N120" s="14" t="s">
        <v>2763</v>
      </c>
      <c r="O120" s="14" t="s">
        <v>2764</v>
      </c>
      <c r="P120" s="14" t="str">
        <f>HYPERLINK("https://photon-sol.tinyastro.io/en/lp/2P9HjYb8ssEfNoYUZGgzHjB1xsnX3PNQenAcawdtpump?handle=676050794bc1b1657a56b", "View")</f>
        <v>View</v>
      </c>
    </row>
    <row r="121" spans="1:16" x14ac:dyDescent="0.25">
      <c r="A121" s="16" t="s">
        <v>2765</v>
      </c>
      <c r="B121" s="17">
        <v>66996673</v>
      </c>
      <c r="C121" s="17">
        <v>66996673</v>
      </c>
      <c r="D121" s="17" t="s">
        <v>1595</v>
      </c>
      <c r="E121" s="17" t="s">
        <v>2042</v>
      </c>
      <c r="F121" s="17" t="s">
        <v>2766</v>
      </c>
      <c r="G121" s="22" t="s">
        <v>2767</v>
      </c>
      <c r="H121" s="22" t="s">
        <v>2768</v>
      </c>
      <c r="I121" s="17" t="s">
        <v>88</v>
      </c>
      <c r="J121" s="17">
        <v>1</v>
      </c>
      <c r="K121" s="17">
        <v>1</v>
      </c>
      <c r="L121" s="17" t="s">
        <v>2769</v>
      </c>
      <c r="M121" s="19" t="s">
        <v>2541</v>
      </c>
      <c r="N121" s="17" t="s">
        <v>2223</v>
      </c>
      <c r="O121" s="17" t="s">
        <v>2770</v>
      </c>
      <c r="P121" s="17" t="str">
        <f>HYPERLINK("https://photon-sol.tinyastro.io/en/lp/92JvGGTS4wN3xUtfwk9XkBbArDWcccS1F2Lid7TXFtD1?handle=676050794bc1b1657a56b", "View")</f>
        <v>View</v>
      </c>
    </row>
    <row r="122" spans="1:16" x14ac:dyDescent="0.25">
      <c r="A122" s="13" t="s">
        <v>2771</v>
      </c>
      <c r="B122" s="14">
        <v>97279996</v>
      </c>
      <c r="C122" s="14">
        <v>97279996</v>
      </c>
      <c r="D122" s="14" t="s">
        <v>1595</v>
      </c>
      <c r="E122" s="14" t="s">
        <v>1683</v>
      </c>
      <c r="F122" s="14" t="s">
        <v>2772</v>
      </c>
      <c r="G122" s="22" t="s">
        <v>2773</v>
      </c>
      <c r="H122" s="22" t="s">
        <v>2774</v>
      </c>
      <c r="I122" s="14" t="s">
        <v>88</v>
      </c>
      <c r="J122" s="14">
        <v>1</v>
      </c>
      <c r="K122" s="14">
        <v>1</v>
      </c>
      <c r="L122" s="14" t="s">
        <v>2775</v>
      </c>
      <c r="M122" s="14" t="s">
        <v>1434</v>
      </c>
      <c r="N122" s="14" t="s">
        <v>2223</v>
      </c>
      <c r="O122" s="14" t="s">
        <v>2776</v>
      </c>
      <c r="P122" s="14" t="str">
        <f>HYPERLINK("https://photon-sol.tinyastro.io/en/lp/9R71JbV8pbMA1L7KoXpfkrGDDTFaWTvqYESLxKVppump?handle=676050794bc1b1657a56b", "View")</f>
        <v>View</v>
      </c>
    </row>
    <row r="123" spans="1:16" x14ac:dyDescent="0.25">
      <c r="A123" s="16" t="s">
        <v>2777</v>
      </c>
      <c r="B123" s="17">
        <v>18671024</v>
      </c>
      <c r="C123" s="17">
        <v>18671024</v>
      </c>
      <c r="D123" s="17" t="s">
        <v>1604</v>
      </c>
      <c r="E123" s="17" t="s">
        <v>2778</v>
      </c>
      <c r="F123" s="17" t="s">
        <v>2779</v>
      </c>
      <c r="G123" s="22" t="s">
        <v>1884</v>
      </c>
      <c r="H123" s="22" t="s">
        <v>2780</v>
      </c>
      <c r="I123" s="17" t="s">
        <v>88</v>
      </c>
      <c r="J123" s="17">
        <v>3</v>
      </c>
      <c r="K123" s="17">
        <v>4</v>
      </c>
      <c r="L123" s="17" t="s">
        <v>2781</v>
      </c>
      <c r="M123" s="17" t="s">
        <v>1566</v>
      </c>
      <c r="N123" s="17" t="s">
        <v>2782</v>
      </c>
      <c r="O123" s="17" t="s">
        <v>2783</v>
      </c>
      <c r="P123" s="17" t="str">
        <f>HYPERLINK("https://photon-sol.tinyastro.io/en/lp/9kQfhkXTTyG7so6cG7VmDYfet7q4eKBGHp5eCFWvpump?handle=676050794bc1b1657a56b", "View")</f>
        <v>View</v>
      </c>
    </row>
    <row r="124" spans="1:16" x14ac:dyDescent="0.25">
      <c r="A124" s="13" t="s">
        <v>2784</v>
      </c>
      <c r="B124" s="14">
        <v>10577703</v>
      </c>
      <c r="C124" s="14">
        <v>10577703</v>
      </c>
      <c r="D124" s="14" t="s">
        <v>1604</v>
      </c>
      <c r="E124" s="14" t="s">
        <v>2234</v>
      </c>
      <c r="F124" s="14" t="s">
        <v>2785</v>
      </c>
      <c r="G124" s="21" t="s">
        <v>2786</v>
      </c>
      <c r="H124" s="21" t="s">
        <v>2787</v>
      </c>
      <c r="I124" s="14" t="s">
        <v>88</v>
      </c>
      <c r="J124" s="14">
        <v>1</v>
      </c>
      <c r="K124" s="14">
        <v>6</v>
      </c>
      <c r="L124" s="14" t="s">
        <v>2788</v>
      </c>
      <c r="M124" s="14" t="s">
        <v>2789</v>
      </c>
      <c r="N124" s="14" t="s">
        <v>2790</v>
      </c>
      <c r="O124" s="14" t="s">
        <v>2791</v>
      </c>
      <c r="P124" s="14" t="str">
        <f>HYPERLINK("https://photon-sol.tinyastro.io/en/lp/cbQq5WWrPPBFAv66GXBArm8BhmP1ZHWiBHUsWBupump?handle=676050794bc1b1657a56b", "View")</f>
        <v>View</v>
      </c>
    </row>
    <row r="125" spans="1:16" x14ac:dyDescent="0.25">
      <c r="A125" s="16" t="s">
        <v>2792</v>
      </c>
      <c r="B125" s="17">
        <v>6737314</v>
      </c>
      <c r="C125" s="17">
        <v>6737314</v>
      </c>
      <c r="D125" s="17" t="s">
        <v>2026</v>
      </c>
      <c r="E125" s="17" t="s">
        <v>2793</v>
      </c>
      <c r="F125" s="17" t="s">
        <v>2794</v>
      </c>
      <c r="G125" s="20" t="s">
        <v>2795</v>
      </c>
      <c r="H125" s="20" t="s">
        <v>2796</v>
      </c>
      <c r="I125" s="17" t="s">
        <v>88</v>
      </c>
      <c r="J125" s="17">
        <v>3</v>
      </c>
      <c r="K125" s="17">
        <v>2</v>
      </c>
      <c r="L125" s="17" t="s">
        <v>2797</v>
      </c>
      <c r="M125" s="17" t="s">
        <v>602</v>
      </c>
      <c r="N125" s="17" t="s">
        <v>2798</v>
      </c>
      <c r="O125" s="17" t="s">
        <v>2799</v>
      </c>
      <c r="P125" s="17" t="str">
        <f>HYPERLINK("https://photon-sol.tinyastro.io/en/lp/22WTXrTs7mMvVqyRgnXTfbqYCVtN5jXFZTcm54aUpump?handle=676050794bc1b1657a56b", "View")</f>
        <v>View</v>
      </c>
    </row>
    <row r="126" spans="1:16" x14ac:dyDescent="0.25">
      <c r="A126" s="13" t="s">
        <v>2800</v>
      </c>
      <c r="B126" s="14">
        <v>91622391</v>
      </c>
      <c r="C126" s="14">
        <v>91622391</v>
      </c>
      <c r="D126" s="14" t="s">
        <v>1595</v>
      </c>
      <c r="E126" s="14" t="s">
        <v>1683</v>
      </c>
      <c r="F126" s="14" t="s">
        <v>2801</v>
      </c>
      <c r="G126" s="21" t="s">
        <v>2802</v>
      </c>
      <c r="H126" s="21" t="s">
        <v>2803</v>
      </c>
      <c r="I126" s="14" t="s">
        <v>88</v>
      </c>
      <c r="J126" s="14">
        <v>1</v>
      </c>
      <c r="K126" s="14">
        <v>1</v>
      </c>
      <c r="L126" s="14" t="s">
        <v>2804</v>
      </c>
      <c r="M126" s="19" t="s">
        <v>2805</v>
      </c>
      <c r="N126" s="14" t="s">
        <v>2263</v>
      </c>
      <c r="O126" s="14" t="s">
        <v>2806</v>
      </c>
      <c r="P126" s="14" t="str">
        <f>HYPERLINK("https://photon-sol.tinyastro.io/en/lp/FqeJsP1VsfJhNqZpqDxzfJr5ReTTS4ydrjK6nGU8pump?handle=676050794bc1b1657a56b", "View")</f>
        <v>View</v>
      </c>
    </row>
    <row r="127" spans="1:16" x14ac:dyDescent="0.25">
      <c r="A127" s="16" t="s">
        <v>2807</v>
      </c>
      <c r="B127" s="17">
        <v>32460771</v>
      </c>
      <c r="C127" s="17">
        <v>32460771</v>
      </c>
      <c r="D127" s="17" t="s">
        <v>1595</v>
      </c>
      <c r="E127" s="17" t="s">
        <v>569</v>
      </c>
      <c r="F127" s="17" t="s">
        <v>2808</v>
      </c>
      <c r="G127" s="22" t="s">
        <v>2809</v>
      </c>
      <c r="H127" s="22" t="s">
        <v>2810</v>
      </c>
      <c r="I127" s="17" t="s">
        <v>88</v>
      </c>
      <c r="J127" s="17">
        <v>1</v>
      </c>
      <c r="K127" s="17">
        <v>1</v>
      </c>
      <c r="L127" s="17" t="s">
        <v>2811</v>
      </c>
      <c r="M127" s="19" t="s">
        <v>2812</v>
      </c>
      <c r="N127" s="17" t="s">
        <v>2763</v>
      </c>
      <c r="O127" s="17" t="s">
        <v>2813</v>
      </c>
      <c r="P127" s="17" t="str">
        <f>HYPERLINK("https://dexscreener.com/solana/7Nd7bxwQ1VVBhonRwj6Try5PWiTjRY3fvmWNgBWHpump", "View")</f>
        <v>View</v>
      </c>
    </row>
    <row r="128" spans="1:16" x14ac:dyDescent="0.25">
      <c r="A128" s="13" t="s">
        <v>2814</v>
      </c>
      <c r="B128" s="14">
        <v>97545455</v>
      </c>
      <c r="C128" s="14">
        <v>97545455</v>
      </c>
      <c r="D128" s="14" t="s">
        <v>1595</v>
      </c>
      <c r="E128" s="14" t="s">
        <v>1683</v>
      </c>
      <c r="F128" s="14" t="s">
        <v>2815</v>
      </c>
      <c r="G128" s="21" t="s">
        <v>2816</v>
      </c>
      <c r="H128" s="21" t="s">
        <v>2817</v>
      </c>
      <c r="I128" s="14" t="s">
        <v>88</v>
      </c>
      <c r="J128" s="14">
        <v>1</v>
      </c>
      <c r="K128" s="14">
        <v>1</v>
      </c>
      <c r="L128" s="14" t="s">
        <v>2818</v>
      </c>
      <c r="M128" s="14" t="s">
        <v>1566</v>
      </c>
      <c r="N128" s="14" t="s">
        <v>2308</v>
      </c>
      <c r="O128" s="14" t="s">
        <v>2819</v>
      </c>
      <c r="P128" s="14" t="str">
        <f>HYPERLINK("https://photon-sol.tinyastro.io/en/lp/8UsRH1sHwYNarsSqxhN58gKPB6x55PTDQE6jzvgjpump?handle=676050794bc1b1657a56b", "View")</f>
        <v>View</v>
      </c>
    </row>
    <row r="129" spans="1:16" x14ac:dyDescent="0.25">
      <c r="A129" s="16" t="s">
        <v>2820</v>
      </c>
      <c r="B129" s="17">
        <v>10404116</v>
      </c>
      <c r="C129" s="17">
        <v>10404116</v>
      </c>
      <c r="D129" s="17" t="s">
        <v>1595</v>
      </c>
      <c r="E129" s="17" t="s">
        <v>2821</v>
      </c>
      <c r="F129" s="17" t="s">
        <v>2822</v>
      </c>
      <c r="G129" s="22" t="s">
        <v>2823</v>
      </c>
      <c r="H129" s="22" t="s">
        <v>2824</v>
      </c>
      <c r="I129" s="17" t="s">
        <v>88</v>
      </c>
      <c r="J129" s="17">
        <v>1</v>
      </c>
      <c r="K129" s="17">
        <v>1</v>
      </c>
      <c r="L129" s="17" t="s">
        <v>2825</v>
      </c>
      <c r="M129" s="19" t="s">
        <v>2826</v>
      </c>
      <c r="N129" s="17" t="s">
        <v>2827</v>
      </c>
      <c r="O129" s="17" t="s">
        <v>2828</v>
      </c>
      <c r="P129" s="17" t="str">
        <f>HYPERLINK("https://photon-sol.tinyastro.io/en/lp/ANUWBeUJJQwvJ9mKepXpdFrX4rkNbaz9fquMvbabpump?handle=676050794bc1b1657a56b", "View")</f>
        <v>View</v>
      </c>
    </row>
    <row r="130" spans="1:16" x14ac:dyDescent="0.25">
      <c r="A130" s="13" t="s">
        <v>2829</v>
      </c>
      <c r="B130" s="14">
        <v>97518435</v>
      </c>
      <c r="C130" s="14">
        <v>97518435</v>
      </c>
      <c r="D130" s="14" t="s">
        <v>1595</v>
      </c>
      <c r="E130" s="14" t="s">
        <v>1662</v>
      </c>
      <c r="F130" s="14" t="s">
        <v>2830</v>
      </c>
      <c r="G130" s="22" t="s">
        <v>2831</v>
      </c>
      <c r="H130" s="22" t="s">
        <v>2832</v>
      </c>
      <c r="I130" s="14" t="s">
        <v>88</v>
      </c>
      <c r="J130" s="14">
        <v>1</v>
      </c>
      <c r="K130" s="14">
        <v>1</v>
      </c>
      <c r="L130" s="14" t="s">
        <v>2833</v>
      </c>
      <c r="M130" s="14" t="s">
        <v>1434</v>
      </c>
      <c r="N130" s="14" t="s">
        <v>2223</v>
      </c>
      <c r="O130" s="14" t="s">
        <v>2834</v>
      </c>
      <c r="P130" s="14" t="str">
        <f>HYPERLINK("https://photon-sol.tinyastro.io/en/lp/3VUnCsug7bLBm5a2MacQQNaVaU8jvKFTsga786jBpump?handle=676050794bc1b1657a56b", "View")</f>
        <v>View</v>
      </c>
    </row>
    <row r="131" spans="1:16" x14ac:dyDescent="0.25">
      <c r="A131" s="16" t="s">
        <v>2835</v>
      </c>
      <c r="B131" s="17">
        <v>777189</v>
      </c>
      <c r="C131" s="17">
        <v>777189</v>
      </c>
      <c r="D131" s="17" t="s">
        <v>1595</v>
      </c>
      <c r="E131" s="17" t="s">
        <v>1457</v>
      </c>
      <c r="F131" s="17" t="s">
        <v>2836</v>
      </c>
      <c r="G131" s="20" t="s">
        <v>2837</v>
      </c>
      <c r="H131" s="20" t="s">
        <v>2838</v>
      </c>
      <c r="I131" s="17" t="s">
        <v>88</v>
      </c>
      <c r="J131" s="17">
        <v>1</v>
      </c>
      <c r="K131" s="17">
        <v>1</v>
      </c>
      <c r="L131" s="17" t="s">
        <v>2839</v>
      </c>
      <c r="M131" s="17" t="s">
        <v>1434</v>
      </c>
      <c r="N131" s="17" t="s">
        <v>2840</v>
      </c>
      <c r="O131" s="17" t="s">
        <v>2841</v>
      </c>
      <c r="P131" s="17" t="str">
        <f>HYPERLINK("https://dexscreener.com/solana/7FS4iUbG1KpTA7xzG4Er7H6Nj22PZgonY8N9ERZbpump", "View")</f>
        <v>View</v>
      </c>
    </row>
    <row r="132" spans="1:16" x14ac:dyDescent="0.25">
      <c r="A132" s="13" t="s">
        <v>2842</v>
      </c>
      <c r="B132" s="14">
        <v>34698</v>
      </c>
      <c r="C132" s="14">
        <v>34698</v>
      </c>
      <c r="D132" s="14" t="s">
        <v>2843</v>
      </c>
      <c r="E132" s="14" t="s">
        <v>1007</v>
      </c>
      <c r="F132" s="14" t="s">
        <v>96</v>
      </c>
      <c r="G132" s="15" t="s">
        <v>2051</v>
      </c>
      <c r="H132" s="15" t="s">
        <v>2844</v>
      </c>
      <c r="I132" s="14" t="s">
        <v>88</v>
      </c>
      <c r="J132" s="14">
        <v>1</v>
      </c>
      <c r="K132" s="14">
        <v>1</v>
      </c>
      <c r="L132" s="14" t="s">
        <v>2845</v>
      </c>
      <c r="M132" s="14" t="s">
        <v>117</v>
      </c>
      <c r="N132" s="14" t="s">
        <v>2846</v>
      </c>
      <c r="O132" s="14" t="s">
        <v>2847</v>
      </c>
      <c r="P132" s="14" t="str">
        <f>HYPERLINK("https://dexscreener.com/solana/4JE4tBaHwq9WsqGb4XVq38hGs7PXxd6EwNhUg9y17WGE", "View")</f>
        <v>View</v>
      </c>
    </row>
    <row r="133" spans="1:16" x14ac:dyDescent="0.25">
      <c r="A133" s="16" t="s">
        <v>2848</v>
      </c>
      <c r="B133" s="17">
        <v>92926079</v>
      </c>
      <c r="C133" s="17">
        <v>92926079</v>
      </c>
      <c r="D133" s="17" t="s">
        <v>1595</v>
      </c>
      <c r="E133" s="17" t="s">
        <v>1662</v>
      </c>
      <c r="F133" s="17" t="s">
        <v>2849</v>
      </c>
      <c r="G133" s="22" t="s">
        <v>2850</v>
      </c>
      <c r="H133" s="22" t="s">
        <v>2851</v>
      </c>
      <c r="I133" s="17" t="s">
        <v>88</v>
      </c>
      <c r="J133" s="17">
        <v>1</v>
      </c>
      <c r="K133" s="17">
        <v>1</v>
      </c>
      <c r="L133" s="17" t="s">
        <v>2852</v>
      </c>
      <c r="M133" s="19" t="s">
        <v>2853</v>
      </c>
      <c r="N133" s="17" t="s">
        <v>2263</v>
      </c>
      <c r="O133" s="17" t="s">
        <v>2854</v>
      </c>
      <c r="P133" s="17" t="str">
        <f>HYPERLINK("https://photon-sol.tinyastro.io/en/lp/8HRHhpNcTBCXBgGc5nLPw6o7RxF6wMit85Tpg6xgpump?handle=676050794bc1b1657a56b", "View")</f>
        <v>View</v>
      </c>
    </row>
    <row r="134" spans="1:16" x14ac:dyDescent="0.25">
      <c r="A134" s="13" t="s">
        <v>2855</v>
      </c>
      <c r="B134" s="14">
        <v>45841640</v>
      </c>
      <c r="C134" s="14">
        <v>45841640</v>
      </c>
      <c r="D134" s="14" t="s">
        <v>1595</v>
      </c>
      <c r="E134" s="14" t="s">
        <v>2296</v>
      </c>
      <c r="F134" s="14" t="s">
        <v>2856</v>
      </c>
      <c r="G134" s="20" t="s">
        <v>2857</v>
      </c>
      <c r="H134" s="20" t="s">
        <v>2858</v>
      </c>
      <c r="I134" s="14" t="s">
        <v>88</v>
      </c>
      <c r="J134" s="14">
        <v>1</v>
      </c>
      <c r="K134" s="14">
        <v>1</v>
      </c>
      <c r="L134" s="14" t="s">
        <v>2859</v>
      </c>
      <c r="M134" s="19" t="s">
        <v>2387</v>
      </c>
      <c r="N134" s="14" t="s">
        <v>1667</v>
      </c>
      <c r="O134" s="14" t="s">
        <v>2860</v>
      </c>
      <c r="P134" s="14" t="str">
        <f>HYPERLINK("https://photon-sol.tinyastro.io/en/lp/CixyL7mWfRtS7co2CQco8mHKAejmHqjSFeqVqF7ppump?handle=676050794bc1b1657a56b", "View")</f>
        <v>View</v>
      </c>
    </row>
    <row r="135" spans="1:16" x14ac:dyDescent="0.25">
      <c r="A135" s="16" t="s">
        <v>2861</v>
      </c>
      <c r="B135" s="17">
        <v>1181254</v>
      </c>
      <c r="C135" s="17">
        <v>1181254</v>
      </c>
      <c r="D135" s="17" t="s">
        <v>1595</v>
      </c>
      <c r="E135" s="17" t="s">
        <v>219</v>
      </c>
      <c r="F135" s="17" t="s">
        <v>2862</v>
      </c>
      <c r="G135" s="20" t="s">
        <v>2863</v>
      </c>
      <c r="H135" s="20" t="s">
        <v>2864</v>
      </c>
      <c r="I135" s="17" t="s">
        <v>88</v>
      </c>
      <c r="J135" s="17">
        <v>1</v>
      </c>
      <c r="K135" s="17">
        <v>1</v>
      </c>
      <c r="L135" s="17" t="s">
        <v>2865</v>
      </c>
      <c r="M135" s="17" t="s">
        <v>1434</v>
      </c>
      <c r="N135" s="17" t="s">
        <v>2866</v>
      </c>
      <c r="O135" s="17" t="s">
        <v>2867</v>
      </c>
      <c r="P135" s="17" t="str">
        <f>HYPERLINK("https://dexscreener.com/solana/2TobzM4NNpEvyVAEpFC8AkxJGBHz8fFgMksK1gBy5dub", "View")</f>
        <v>View</v>
      </c>
    </row>
    <row r="136" spans="1:16" x14ac:dyDescent="0.25">
      <c r="A136" s="13" t="s">
        <v>2868</v>
      </c>
      <c r="B136" s="14">
        <v>97545454</v>
      </c>
      <c r="C136" s="14">
        <v>97545454</v>
      </c>
      <c r="D136" s="14" t="s">
        <v>1595</v>
      </c>
      <c r="E136" s="14" t="s">
        <v>2869</v>
      </c>
      <c r="F136" s="14" t="s">
        <v>2870</v>
      </c>
      <c r="G136" s="22" t="s">
        <v>2871</v>
      </c>
      <c r="H136" s="22" t="s">
        <v>2872</v>
      </c>
      <c r="I136" s="14" t="s">
        <v>88</v>
      </c>
      <c r="J136" s="14">
        <v>1</v>
      </c>
      <c r="K136" s="14">
        <v>1</v>
      </c>
      <c r="L136" s="14" t="s">
        <v>2873</v>
      </c>
      <c r="M136" s="14" t="s">
        <v>1448</v>
      </c>
      <c r="N136" s="14" t="s">
        <v>2223</v>
      </c>
      <c r="O136" s="14" t="s">
        <v>2874</v>
      </c>
      <c r="P136" s="14" t="str">
        <f>HYPERLINK("https://photon-sol.tinyastro.io/en/lp/4nbPfXiBFwn6AVv8teyc4gyT5hAvVNEAxqD2c79qpump?handle=676050794bc1b1657a56b", "View")</f>
        <v>View</v>
      </c>
    </row>
    <row r="137" spans="1:16" x14ac:dyDescent="0.25">
      <c r="A137" s="16" t="s">
        <v>2875</v>
      </c>
      <c r="B137" s="17">
        <v>92822700</v>
      </c>
      <c r="C137" s="17">
        <v>92822700</v>
      </c>
      <c r="D137" s="17" t="s">
        <v>1595</v>
      </c>
      <c r="E137" s="17" t="s">
        <v>2869</v>
      </c>
      <c r="F137" s="17" t="s">
        <v>2876</v>
      </c>
      <c r="G137" s="22" t="s">
        <v>1868</v>
      </c>
      <c r="H137" s="22" t="s">
        <v>2877</v>
      </c>
      <c r="I137" s="17" t="s">
        <v>88</v>
      </c>
      <c r="J137" s="17">
        <v>1</v>
      </c>
      <c r="K137" s="17">
        <v>1</v>
      </c>
      <c r="L137" s="17" t="s">
        <v>2878</v>
      </c>
      <c r="M137" s="19" t="s">
        <v>2509</v>
      </c>
      <c r="N137" s="17" t="s">
        <v>2223</v>
      </c>
      <c r="O137" s="17" t="s">
        <v>2879</v>
      </c>
      <c r="P137" s="17" t="str">
        <f>HYPERLINK("https://photon-sol.tinyastro.io/en/lp/5CKF1a1v35Q3i4iL6ECETTLj72zpSNpirjwbAdcFpump?handle=676050794bc1b1657a56b", "View")</f>
        <v>View</v>
      </c>
    </row>
    <row r="138" spans="1:16" x14ac:dyDescent="0.25">
      <c r="A138" s="13" t="s">
        <v>2880</v>
      </c>
      <c r="B138" s="14">
        <v>1554889</v>
      </c>
      <c r="C138" s="14">
        <v>1554889</v>
      </c>
      <c r="D138" s="14" t="s">
        <v>1595</v>
      </c>
      <c r="E138" s="14" t="s">
        <v>2881</v>
      </c>
      <c r="F138" s="14" t="s">
        <v>2882</v>
      </c>
      <c r="G138" s="15" t="s">
        <v>2883</v>
      </c>
      <c r="H138" s="15" t="s">
        <v>2884</v>
      </c>
      <c r="I138" s="14" t="s">
        <v>88</v>
      </c>
      <c r="J138" s="14">
        <v>1</v>
      </c>
      <c r="K138" s="14">
        <v>1</v>
      </c>
      <c r="L138" s="14" t="s">
        <v>2885</v>
      </c>
      <c r="M138" s="14" t="s">
        <v>1705</v>
      </c>
      <c r="N138" s="14" t="s">
        <v>2886</v>
      </c>
      <c r="O138" s="14" t="s">
        <v>2887</v>
      </c>
      <c r="P138" s="14" t="str">
        <f>HYPERLINK("https://photon-sol.tinyastro.io/en/lp/FwLHNPew66JYXcBvK6bfwgVtJwvEB8dRuMt3uqgjpump?handle=676050794bc1b1657a56b", "View")</f>
        <v>View</v>
      </c>
    </row>
    <row r="139" spans="1:16" x14ac:dyDescent="0.25">
      <c r="A139" s="16" t="s">
        <v>2888</v>
      </c>
      <c r="B139" s="17">
        <v>2811207</v>
      </c>
      <c r="C139" s="17">
        <v>2811207</v>
      </c>
      <c r="D139" s="17" t="s">
        <v>1595</v>
      </c>
      <c r="E139" s="17" t="s">
        <v>2889</v>
      </c>
      <c r="F139" s="17" t="s">
        <v>2890</v>
      </c>
      <c r="G139" s="15" t="s">
        <v>1664</v>
      </c>
      <c r="H139" s="15" t="s">
        <v>2891</v>
      </c>
      <c r="I139" s="17" t="s">
        <v>88</v>
      </c>
      <c r="J139" s="17">
        <v>1</v>
      </c>
      <c r="K139" s="17">
        <v>1</v>
      </c>
      <c r="L139" s="17" t="s">
        <v>2892</v>
      </c>
      <c r="M139" s="19" t="s">
        <v>1619</v>
      </c>
      <c r="N139" s="17" t="s">
        <v>2893</v>
      </c>
      <c r="O139" s="17" t="s">
        <v>2894</v>
      </c>
      <c r="P139" s="17" t="str">
        <f>HYPERLINK("https://photon-sol.tinyastro.io/en/lp/Fhnscz1dhqLHc96Ao2on4z4i8ve8BHzeGUd36aKYpump?handle=676050794bc1b1657a56b", "View")</f>
        <v>View</v>
      </c>
    </row>
    <row r="140" spans="1:16" x14ac:dyDescent="0.25">
      <c r="A140" s="13" t="s">
        <v>2880</v>
      </c>
      <c r="B140" s="14">
        <v>7039606</v>
      </c>
      <c r="C140" s="14">
        <v>7039606</v>
      </c>
      <c r="D140" s="14" t="s">
        <v>1595</v>
      </c>
      <c r="E140" s="14" t="s">
        <v>2895</v>
      </c>
      <c r="F140" s="14" t="s">
        <v>2896</v>
      </c>
      <c r="G140" s="22" t="s">
        <v>2897</v>
      </c>
      <c r="H140" s="22" t="s">
        <v>2898</v>
      </c>
      <c r="I140" s="14" t="s">
        <v>88</v>
      </c>
      <c r="J140" s="14">
        <v>1</v>
      </c>
      <c r="K140" s="14">
        <v>1</v>
      </c>
      <c r="L140" s="14" t="s">
        <v>2899</v>
      </c>
      <c r="M140" s="19" t="s">
        <v>2853</v>
      </c>
      <c r="N140" s="14" t="s">
        <v>2231</v>
      </c>
      <c r="O140" s="14" t="s">
        <v>2900</v>
      </c>
      <c r="P140" s="14" t="str">
        <f>HYPERLINK("https://photon-sol.tinyastro.io/en/lp/DXgsXf5stPFYaAd3dBeuzp8YhJheKF22fPnvN5Tppump?handle=676050794bc1b1657a56b", "View")</f>
        <v>View</v>
      </c>
    </row>
    <row r="141" spans="1:16" x14ac:dyDescent="0.25">
      <c r="A141" s="16" t="s">
        <v>2901</v>
      </c>
      <c r="B141" s="17">
        <v>8565466</v>
      </c>
      <c r="C141" s="17">
        <v>8565466</v>
      </c>
      <c r="D141" s="17" t="s">
        <v>1595</v>
      </c>
      <c r="E141" s="17" t="s">
        <v>2902</v>
      </c>
      <c r="F141" s="17" t="s">
        <v>2903</v>
      </c>
      <c r="G141" s="22" t="s">
        <v>2904</v>
      </c>
      <c r="H141" s="22" t="s">
        <v>2905</v>
      </c>
      <c r="I141" s="17" t="s">
        <v>88</v>
      </c>
      <c r="J141" s="17">
        <v>1</v>
      </c>
      <c r="K141" s="17">
        <v>1</v>
      </c>
      <c r="L141" s="17" t="s">
        <v>2906</v>
      </c>
      <c r="M141" s="19" t="s">
        <v>1940</v>
      </c>
      <c r="N141" s="17" t="s">
        <v>2907</v>
      </c>
      <c r="O141" s="17" t="s">
        <v>2908</v>
      </c>
      <c r="P141" s="17" t="str">
        <f>HYPERLINK("https://photon-sol.tinyastro.io/en/lp/CeBp9za8vBpYazKsTdjKpsYjqnZJrYo52CqECNHapump?handle=676050794bc1b1657a56b", "View")</f>
        <v>View</v>
      </c>
    </row>
    <row r="142" spans="1:16" x14ac:dyDescent="0.25">
      <c r="A142" s="13" t="s">
        <v>2909</v>
      </c>
      <c r="B142" s="14">
        <v>19629344</v>
      </c>
      <c r="C142" s="14">
        <v>19629344</v>
      </c>
      <c r="D142" s="14" t="s">
        <v>1646</v>
      </c>
      <c r="E142" s="14" t="s">
        <v>2910</v>
      </c>
      <c r="F142" s="14" t="s">
        <v>2911</v>
      </c>
      <c r="G142" s="20" t="s">
        <v>2912</v>
      </c>
      <c r="H142" s="20" t="s">
        <v>2913</v>
      </c>
      <c r="I142" s="14" t="s">
        <v>88</v>
      </c>
      <c r="J142" s="14">
        <v>2</v>
      </c>
      <c r="K142" s="14">
        <v>1</v>
      </c>
      <c r="L142" s="14" t="s">
        <v>2914</v>
      </c>
      <c r="M142" s="19" t="s">
        <v>2915</v>
      </c>
      <c r="N142" s="14" t="s">
        <v>2916</v>
      </c>
      <c r="O142" s="14" t="s">
        <v>2917</v>
      </c>
      <c r="P142" s="14" t="str">
        <f>HYPERLINK("https://photon-sol.tinyastro.io/en/lp/5rYWXMAqW6NB6LsffGeD9FgP211dE5QJCsVAEMdapump?handle=676050794bc1b1657a56b", "View")</f>
        <v>View</v>
      </c>
    </row>
    <row r="143" spans="1:16" x14ac:dyDescent="0.25">
      <c r="A143" s="16" t="s">
        <v>2918</v>
      </c>
      <c r="B143" s="17">
        <v>11077250</v>
      </c>
      <c r="C143" s="17">
        <v>11077250</v>
      </c>
      <c r="D143" s="17" t="s">
        <v>1595</v>
      </c>
      <c r="E143" s="17" t="s">
        <v>2919</v>
      </c>
      <c r="F143" s="17" t="s">
        <v>2920</v>
      </c>
      <c r="G143" s="22" t="s">
        <v>2597</v>
      </c>
      <c r="H143" s="22" t="s">
        <v>2921</v>
      </c>
      <c r="I143" s="17" t="s">
        <v>88</v>
      </c>
      <c r="J143" s="17">
        <v>1</v>
      </c>
      <c r="K143" s="17">
        <v>1</v>
      </c>
      <c r="L143" s="17" t="s">
        <v>2922</v>
      </c>
      <c r="M143" s="19" t="s">
        <v>2923</v>
      </c>
      <c r="N143" s="17" t="s">
        <v>507</v>
      </c>
      <c r="O143" s="17" t="s">
        <v>2924</v>
      </c>
      <c r="P143" s="17" t="str">
        <f>HYPERLINK("https://photon-sol.tinyastro.io/en/lp/HwXikXc52weGJvzt8b3MCGtKBGCUjBBmkrVrcHNFhQQu?handle=676050794bc1b1657a56b", "View")</f>
        <v>View</v>
      </c>
    </row>
    <row r="144" spans="1:16" x14ac:dyDescent="0.25">
      <c r="A144" s="13" t="s">
        <v>2925</v>
      </c>
      <c r="B144" s="14">
        <v>97545454</v>
      </c>
      <c r="C144" s="14">
        <v>97545454</v>
      </c>
      <c r="D144" s="14" t="s">
        <v>1595</v>
      </c>
      <c r="E144" s="14" t="s">
        <v>2926</v>
      </c>
      <c r="F144" s="14" t="s">
        <v>2927</v>
      </c>
      <c r="G144" s="22" t="s">
        <v>2928</v>
      </c>
      <c r="H144" s="22" t="s">
        <v>2929</v>
      </c>
      <c r="I144" s="14" t="s">
        <v>88</v>
      </c>
      <c r="J144" s="14">
        <v>1</v>
      </c>
      <c r="K144" s="14">
        <v>1</v>
      </c>
      <c r="L144" s="14" t="s">
        <v>2930</v>
      </c>
      <c r="M144" s="19" t="s">
        <v>1619</v>
      </c>
      <c r="N144" s="14" t="s">
        <v>2223</v>
      </c>
      <c r="O144" s="14" t="s">
        <v>2931</v>
      </c>
      <c r="P144" s="14" t="str">
        <f>HYPERLINK("https://photon-sol.tinyastro.io/en/lp/2yS7fgzqvopfoQybkR8q1X6NxwaPUq4T8qEesE8Kpump?handle=676050794bc1b1657a56b", "View")</f>
        <v>View</v>
      </c>
    </row>
    <row r="145" spans="1:16" x14ac:dyDescent="0.25">
      <c r="A145" s="16" t="s">
        <v>2932</v>
      </c>
      <c r="B145" s="17">
        <v>97545454</v>
      </c>
      <c r="C145" s="17">
        <v>97545454</v>
      </c>
      <c r="D145" s="17" t="s">
        <v>1595</v>
      </c>
      <c r="E145" s="17" t="s">
        <v>2926</v>
      </c>
      <c r="F145" s="17" t="s">
        <v>2933</v>
      </c>
      <c r="G145" s="22" t="s">
        <v>2934</v>
      </c>
      <c r="H145" s="22" t="s">
        <v>2935</v>
      </c>
      <c r="I145" s="17" t="s">
        <v>88</v>
      </c>
      <c r="J145" s="17">
        <v>1</v>
      </c>
      <c r="K145" s="17">
        <v>1</v>
      </c>
      <c r="L145" s="17" t="s">
        <v>2936</v>
      </c>
      <c r="M145" s="19" t="s">
        <v>2937</v>
      </c>
      <c r="N145" s="17" t="s">
        <v>2223</v>
      </c>
      <c r="O145" s="17" t="s">
        <v>2938</v>
      </c>
      <c r="P145" s="17" t="str">
        <f>HYPERLINK("https://photon-sol.tinyastro.io/en/lp/964okGKqe2CUJEMBEPRcXDpXW6yisqJgMNt97MPWpump?handle=676050794bc1b1657a56b", "View")</f>
        <v>View</v>
      </c>
    </row>
    <row r="146" spans="1:16" x14ac:dyDescent="0.25">
      <c r="A146" s="13" t="s">
        <v>2939</v>
      </c>
      <c r="B146" s="14">
        <v>97545454</v>
      </c>
      <c r="C146" s="14">
        <v>97545454</v>
      </c>
      <c r="D146" s="14" t="s">
        <v>1595</v>
      </c>
      <c r="E146" s="14" t="s">
        <v>1700</v>
      </c>
      <c r="F146" s="14" t="s">
        <v>2940</v>
      </c>
      <c r="G146" s="22" t="s">
        <v>2941</v>
      </c>
      <c r="H146" s="22" t="s">
        <v>2942</v>
      </c>
      <c r="I146" s="14" t="s">
        <v>88</v>
      </c>
      <c r="J146" s="14">
        <v>1</v>
      </c>
      <c r="K146" s="14">
        <v>1</v>
      </c>
      <c r="L146" s="14" t="s">
        <v>2943</v>
      </c>
      <c r="M146" s="19" t="s">
        <v>1752</v>
      </c>
      <c r="N146" s="14" t="s">
        <v>2223</v>
      </c>
      <c r="O146" s="14" t="s">
        <v>2944</v>
      </c>
      <c r="P146" s="14" t="str">
        <f>HYPERLINK("https://photon-sol.tinyastro.io/en/lp/3zrqmxA4WXTW84tjqVXx3cXdUiQ9Ewxunr99TsiBpump?handle=676050794bc1b1657a56b", "View")</f>
        <v>View</v>
      </c>
    </row>
    <row r="147" spans="1:16" x14ac:dyDescent="0.25">
      <c r="A147" s="16" t="s">
        <v>2945</v>
      </c>
      <c r="B147" s="17">
        <v>3588089</v>
      </c>
      <c r="C147" s="17">
        <v>3588089</v>
      </c>
      <c r="D147" s="17" t="s">
        <v>1646</v>
      </c>
      <c r="E147" s="17" t="s">
        <v>1007</v>
      </c>
      <c r="F147" s="17" t="s">
        <v>2243</v>
      </c>
      <c r="G147" s="22" t="s">
        <v>2882</v>
      </c>
      <c r="H147" s="22" t="s">
        <v>2946</v>
      </c>
      <c r="I147" s="17" t="s">
        <v>88</v>
      </c>
      <c r="J147" s="17">
        <v>2</v>
      </c>
      <c r="K147" s="17">
        <v>1</v>
      </c>
      <c r="L147" s="17" t="s">
        <v>2947</v>
      </c>
      <c r="M147" s="17" t="s">
        <v>1434</v>
      </c>
      <c r="N147" s="17" t="s">
        <v>2948</v>
      </c>
      <c r="O147" s="17" t="s">
        <v>2949</v>
      </c>
      <c r="P147" s="17" t="str">
        <f>HYPERLINK("https://dexscreener.com/solana/4trd89QeJXPrE6yAsQJi71uBkqT4NkGE3dcRXfshpump", "View")</f>
        <v>View</v>
      </c>
    </row>
    <row r="148" spans="1:16" x14ac:dyDescent="0.25">
      <c r="A148" s="13" t="s">
        <v>2950</v>
      </c>
      <c r="B148" s="14">
        <v>96315726</v>
      </c>
      <c r="C148" s="14">
        <v>96315726</v>
      </c>
      <c r="D148" s="14" t="s">
        <v>1595</v>
      </c>
      <c r="E148" s="14" t="s">
        <v>2926</v>
      </c>
      <c r="F148" s="14" t="s">
        <v>2951</v>
      </c>
      <c r="G148" s="22" t="s">
        <v>2952</v>
      </c>
      <c r="H148" s="22" t="s">
        <v>2953</v>
      </c>
      <c r="I148" s="14" t="s">
        <v>88</v>
      </c>
      <c r="J148" s="14">
        <v>1</v>
      </c>
      <c r="K148" s="14">
        <v>1</v>
      </c>
      <c r="L148" s="14" t="s">
        <v>2954</v>
      </c>
      <c r="M148" s="19" t="s">
        <v>2955</v>
      </c>
      <c r="N148" s="14" t="s">
        <v>2223</v>
      </c>
      <c r="O148" s="14" t="s">
        <v>2956</v>
      </c>
      <c r="P148" s="14" t="str">
        <f>HYPERLINK("https://photon-sol.tinyastro.io/en/lp/ZY48L7146vhZSb6vP92VYu9s5fVX9GM4Jzd8rHgpump?handle=676050794bc1b1657a56b", "View")</f>
        <v>View</v>
      </c>
    </row>
    <row r="149" spans="1:16" x14ac:dyDescent="0.25">
      <c r="A149" s="16" t="s">
        <v>2957</v>
      </c>
      <c r="B149" s="17">
        <v>17402796</v>
      </c>
      <c r="C149" s="17">
        <v>17402796</v>
      </c>
      <c r="D149" s="17" t="s">
        <v>1595</v>
      </c>
      <c r="E149" s="17" t="s">
        <v>569</v>
      </c>
      <c r="F149" s="17" t="s">
        <v>2958</v>
      </c>
      <c r="G149" s="20" t="s">
        <v>2959</v>
      </c>
      <c r="H149" s="20" t="s">
        <v>2960</v>
      </c>
      <c r="I149" s="17" t="s">
        <v>88</v>
      </c>
      <c r="J149" s="17">
        <v>1</v>
      </c>
      <c r="K149" s="17">
        <v>1</v>
      </c>
      <c r="L149" s="17" t="s">
        <v>2961</v>
      </c>
      <c r="M149" s="19" t="s">
        <v>2189</v>
      </c>
      <c r="N149" s="17" t="s">
        <v>2962</v>
      </c>
      <c r="O149" s="17" t="s">
        <v>2963</v>
      </c>
      <c r="P149" s="17" t="str">
        <f>HYPERLINK("https://dexscreener.com/solana/AeS1V4Gov3QV6ryUzPZxBWEQgBczDYbemPpYbzAupump", "View")</f>
        <v>View</v>
      </c>
    </row>
    <row r="150" spans="1:16" x14ac:dyDescent="0.25">
      <c r="A150" s="13" t="s">
        <v>2964</v>
      </c>
      <c r="B150" s="14">
        <v>2304234</v>
      </c>
      <c r="C150" s="14">
        <v>2304234</v>
      </c>
      <c r="D150" s="14" t="s">
        <v>1595</v>
      </c>
      <c r="E150" s="14" t="s">
        <v>2965</v>
      </c>
      <c r="F150" s="14" t="s">
        <v>2966</v>
      </c>
      <c r="G150" s="22" t="s">
        <v>2967</v>
      </c>
      <c r="H150" s="22" t="s">
        <v>2968</v>
      </c>
      <c r="I150" s="14" t="s">
        <v>88</v>
      </c>
      <c r="J150" s="14">
        <v>1</v>
      </c>
      <c r="K150" s="14">
        <v>1</v>
      </c>
      <c r="L150" s="14" t="s">
        <v>2969</v>
      </c>
      <c r="M150" s="19" t="s">
        <v>1940</v>
      </c>
      <c r="N150" s="14" t="s">
        <v>223</v>
      </c>
      <c r="O150" s="14" t="s">
        <v>2970</v>
      </c>
      <c r="P150" s="14" t="str">
        <f>HYPERLINK("https://photon-sol.tinyastro.io/en/lp/7uWoAimLRfbB9dN4MH5EScniEjY3rmqbovL4KpYepump?handle=676050794bc1b1657a56b", "View")</f>
        <v>View</v>
      </c>
    </row>
    <row r="151" spans="1:16" x14ac:dyDescent="0.25">
      <c r="A151" s="16" t="s">
        <v>2971</v>
      </c>
      <c r="B151" s="17">
        <v>44762199</v>
      </c>
      <c r="C151" s="17">
        <v>44762199</v>
      </c>
      <c r="D151" s="17" t="s">
        <v>1595</v>
      </c>
      <c r="E151" s="17" t="s">
        <v>2972</v>
      </c>
      <c r="F151" s="17" t="s">
        <v>2973</v>
      </c>
      <c r="G151" s="20" t="s">
        <v>2974</v>
      </c>
      <c r="H151" s="20" t="s">
        <v>2975</v>
      </c>
      <c r="I151" s="17" t="s">
        <v>88</v>
      </c>
      <c r="J151" s="17">
        <v>1</v>
      </c>
      <c r="K151" s="17">
        <v>1</v>
      </c>
      <c r="L151" s="17" t="s">
        <v>2976</v>
      </c>
      <c r="M151" s="19" t="s">
        <v>2525</v>
      </c>
      <c r="N151" s="17" t="s">
        <v>1667</v>
      </c>
      <c r="O151" s="17" t="s">
        <v>2977</v>
      </c>
      <c r="P151" s="17" t="str">
        <f>HYPERLINK("https://photon-sol.tinyastro.io/en/lp/tUMX6zLw12e1yZXt8Geg3us72C6L1CJPHbtLXMzpump?handle=676050794bc1b1657a56b", "View")</f>
        <v>View</v>
      </c>
    </row>
    <row r="152" spans="1:16" x14ac:dyDescent="0.25">
      <c r="A152" s="13" t="s">
        <v>2978</v>
      </c>
      <c r="B152" s="14">
        <v>94561421</v>
      </c>
      <c r="C152" s="14">
        <v>94561421</v>
      </c>
      <c r="D152" s="14" t="s">
        <v>1629</v>
      </c>
      <c r="E152" s="14" t="s">
        <v>2979</v>
      </c>
      <c r="F152" s="14" t="s">
        <v>2980</v>
      </c>
      <c r="G152" s="21" t="s">
        <v>2981</v>
      </c>
      <c r="H152" s="21" t="s">
        <v>2982</v>
      </c>
      <c r="I152" s="14" t="s">
        <v>88</v>
      </c>
      <c r="J152" s="14">
        <v>1</v>
      </c>
      <c r="K152" s="14">
        <v>3</v>
      </c>
      <c r="L152" s="14" t="s">
        <v>2983</v>
      </c>
      <c r="M152" s="14" t="s">
        <v>2984</v>
      </c>
      <c r="N152" s="14" t="s">
        <v>2985</v>
      </c>
      <c r="O152" s="14" t="s">
        <v>2986</v>
      </c>
      <c r="P152" s="14" t="str">
        <f>HYPERLINK("https://photon-sol.tinyastro.io/en/lp/DzuVdjezoX1r6ZR6WGosGMRKE8oRfJWkHtkuAhm6pump?handle=676050794bc1b1657a56b", "View")</f>
        <v>View</v>
      </c>
    </row>
    <row r="153" spans="1:16" x14ac:dyDescent="0.25">
      <c r="A153" s="16" t="s">
        <v>2987</v>
      </c>
      <c r="B153" s="17">
        <v>81430566</v>
      </c>
      <c r="C153" s="17">
        <v>81430566</v>
      </c>
      <c r="D153" s="17" t="s">
        <v>1595</v>
      </c>
      <c r="E153" s="17" t="s">
        <v>2988</v>
      </c>
      <c r="F153" s="17" t="s">
        <v>2989</v>
      </c>
      <c r="G153" s="22" t="s">
        <v>2990</v>
      </c>
      <c r="H153" s="22" t="s">
        <v>2991</v>
      </c>
      <c r="I153" s="17" t="s">
        <v>88</v>
      </c>
      <c r="J153" s="17">
        <v>1</v>
      </c>
      <c r="K153" s="17">
        <v>1</v>
      </c>
      <c r="L153" s="17" t="s">
        <v>2992</v>
      </c>
      <c r="M153" s="19" t="s">
        <v>2993</v>
      </c>
      <c r="N153" s="17" t="s">
        <v>2263</v>
      </c>
      <c r="O153" s="17" t="s">
        <v>2994</v>
      </c>
      <c r="P153" s="17" t="str">
        <f>HYPERLINK("https://photon-sol.tinyastro.io/en/lp/5utcfiTcjf5HjTqpNkDpM2t68gdrKf14mfTzsFBLpump?handle=676050794bc1b1657a56b", "View")</f>
        <v>View</v>
      </c>
    </row>
    <row r="154" spans="1:16" x14ac:dyDescent="0.25">
      <c r="A154" s="13" t="s">
        <v>2995</v>
      </c>
      <c r="B154" s="14">
        <v>3176382</v>
      </c>
      <c r="C154" s="14">
        <v>3176382</v>
      </c>
      <c r="D154" s="14" t="s">
        <v>1595</v>
      </c>
      <c r="E154" s="14" t="s">
        <v>1457</v>
      </c>
      <c r="F154" s="14" t="s">
        <v>2996</v>
      </c>
      <c r="G154" s="22" t="s">
        <v>2997</v>
      </c>
      <c r="H154" s="22" t="s">
        <v>2998</v>
      </c>
      <c r="I154" s="14" t="s">
        <v>88</v>
      </c>
      <c r="J154" s="14">
        <v>1</v>
      </c>
      <c r="K154" s="14">
        <v>1</v>
      </c>
      <c r="L154" s="14" t="s">
        <v>2999</v>
      </c>
      <c r="M154" s="19" t="s">
        <v>3000</v>
      </c>
      <c r="N154" s="14" t="s">
        <v>3001</v>
      </c>
      <c r="O154" s="14" t="s">
        <v>3002</v>
      </c>
      <c r="P154" s="14" t="str">
        <f>HYPERLINK("https://dexscreener.com/solana/8r8xXP3eHgn19HYRX9Qe2AzSaSXrWCj6URAmFpvUpump", "View")</f>
        <v>View</v>
      </c>
    </row>
    <row r="155" spans="1:16" x14ac:dyDescent="0.25">
      <c r="A155" s="16" t="s">
        <v>3003</v>
      </c>
      <c r="B155" s="17">
        <v>97486514</v>
      </c>
      <c r="C155" s="17">
        <v>97486514</v>
      </c>
      <c r="D155" s="17" t="s">
        <v>1595</v>
      </c>
      <c r="E155" s="17" t="s">
        <v>2926</v>
      </c>
      <c r="F155" s="17" t="s">
        <v>3004</v>
      </c>
      <c r="G155" s="21" t="s">
        <v>3005</v>
      </c>
      <c r="H155" s="21" t="s">
        <v>3006</v>
      </c>
      <c r="I155" s="17" t="s">
        <v>88</v>
      </c>
      <c r="J155" s="17">
        <v>1</v>
      </c>
      <c r="K155" s="17">
        <v>1</v>
      </c>
      <c r="L155" s="17" t="s">
        <v>3007</v>
      </c>
      <c r="M155" s="17" t="s">
        <v>1957</v>
      </c>
      <c r="N155" s="17" t="s">
        <v>2263</v>
      </c>
      <c r="O155" s="17" t="s">
        <v>3008</v>
      </c>
      <c r="P155" s="17" t="str">
        <f>HYPERLINK("https://photon-sol.tinyastro.io/en/lp/EGa7n7xAAXTVXEAK5oyaddEvNx2By8HA4TcpfBjCpump?handle=676050794bc1b1657a56b", "View")</f>
        <v>View</v>
      </c>
    </row>
    <row r="156" spans="1:16" x14ac:dyDescent="0.25">
      <c r="A156" s="13" t="s">
        <v>3009</v>
      </c>
      <c r="B156" s="14">
        <v>97545454</v>
      </c>
      <c r="C156" s="14">
        <v>97545454</v>
      </c>
      <c r="D156" s="14" t="s">
        <v>1595</v>
      </c>
      <c r="E156" s="14" t="s">
        <v>2926</v>
      </c>
      <c r="F156" s="14" t="s">
        <v>3010</v>
      </c>
      <c r="G156" s="22" t="s">
        <v>2520</v>
      </c>
      <c r="H156" s="22" t="s">
        <v>3011</v>
      </c>
      <c r="I156" s="14" t="s">
        <v>88</v>
      </c>
      <c r="J156" s="14">
        <v>1</v>
      </c>
      <c r="K156" s="14">
        <v>1</v>
      </c>
      <c r="L156" s="14" t="s">
        <v>3012</v>
      </c>
      <c r="M156" s="19" t="s">
        <v>2486</v>
      </c>
      <c r="N156" s="14" t="s">
        <v>2223</v>
      </c>
      <c r="O156" s="14" t="s">
        <v>3013</v>
      </c>
      <c r="P156" s="14" t="str">
        <f>HYPERLINK("https://photon-sol.tinyastro.io/en/lp/FiTgKPSvkiCCwCABQjbzGQCNSvP58Ag1j5m8NHxKpump?handle=676050794bc1b1657a56b", "View")</f>
        <v>View</v>
      </c>
    </row>
    <row r="157" spans="1:16" x14ac:dyDescent="0.25">
      <c r="A157" s="16" t="s">
        <v>3014</v>
      </c>
      <c r="B157" s="17">
        <v>67062500</v>
      </c>
      <c r="C157" s="17">
        <v>67062500</v>
      </c>
      <c r="D157" s="17" t="s">
        <v>1595</v>
      </c>
      <c r="E157" s="17" t="s">
        <v>3015</v>
      </c>
      <c r="F157" s="17" t="s">
        <v>3016</v>
      </c>
      <c r="G157" s="22" t="s">
        <v>2072</v>
      </c>
      <c r="H157" s="22" t="s">
        <v>3017</v>
      </c>
      <c r="I157" s="17" t="s">
        <v>88</v>
      </c>
      <c r="J157" s="17">
        <v>1</v>
      </c>
      <c r="K157" s="17">
        <v>1</v>
      </c>
      <c r="L157" s="17" t="s">
        <v>3018</v>
      </c>
      <c r="M157" s="19" t="s">
        <v>1856</v>
      </c>
      <c r="N157" s="17" t="s">
        <v>2223</v>
      </c>
      <c r="O157" s="17" t="s">
        <v>3019</v>
      </c>
      <c r="P157" s="17" t="str">
        <f>HYPERLINK("https://photon-sol.tinyastro.io/en/lp/5EokEiXGvV86XNinM2DCLS2Vq6LuuHpeo1beAyxRpump?handle=676050794bc1b1657a56b", "View")</f>
        <v>View</v>
      </c>
    </row>
    <row r="158" spans="1:16" x14ac:dyDescent="0.25">
      <c r="A158" s="13" t="s">
        <v>3020</v>
      </c>
      <c r="B158" s="14">
        <v>58048790</v>
      </c>
      <c r="C158" s="14">
        <v>58048790</v>
      </c>
      <c r="D158" s="14" t="s">
        <v>1629</v>
      </c>
      <c r="E158" s="14" t="s">
        <v>3021</v>
      </c>
      <c r="F158" s="14" t="s">
        <v>3022</v>
      </c>
      <c r="G158" s="20" t="s">
        <v>3023</v>
      </c>
      <c r="H158" s="20" t="s">
        <v>3024</v>
      </c>
      <c r="I158" s="14" t="s">
        <v>88</v>
      </c>
      <c r="J158" s="14">
        <v>2</v>
      </c>
      <c r="K158" s="14">
        <v>2</v>
      </c>
      <c r="L158" s="14" t="s">
        <v>3025</v>
      </c>
      <c r="M158" s="14" t="s">
        <v>1434</v>
      </c>
      <c r="N158" s="14" t="s">
        <v>3026</v>
      </c>
      <c r="O158" s="14" t="s">
        <v>3027</v>
      </c>
      <c r="P158" s="14" t="str">
        <f>HYPERLINK("https://photon-sol.tinyastro.io/en/lp/Bht6wzQdkTVisYx7Ja8THsLDn4wbHSNqhx8ZsEkupump?handle=676050794bc1b1657a56b", "View")</f>
        <v>View</v>
      </c>
    </row>
    <row r="159" spans="1:16" x14ac:dyDescent="0.25">
      <c r="A159" s="16" t="s">
        <v>3028</v>
      </c>
      <c r="B159" s="17">
        <v>510035</v>
      </c>
      <c r="C159" s="17">
        <v>510035</v>
      </c>
      <c r="D159" s="17" t="s">
        <v>1595</v>
      </c>
      <c r="E159" s="17" t="s">
        <v>1457</v>
      </c>
      <c r="F159" s="17" t="s">
        <v>3029</v>
      </c>
      <c r="G159" s="20" t="s">
        <v>3030</v>
      </c>
      <c r="H159" s="20" t="s">
        <v>3031</v>
      </c>
      <c r="I159" s="17" t="s">
        <v>88</v>
      </c>
      <c r="J159" s="17">
        <v>1</v>
      </c>
      <c r="K159" s="17">
        <v>1</v>
      </c>
      <c r="L159" s="17" t="s">
        <v>3032</v>
      </c>
      <c r="M159" s="19" t="s">
        <v>3033</v>
      </c>
      <c r="N159" s="17" t="s">
        <v>3034</v>
      </c>
      <c r="O159" s="17" t="s">
        <v>3035</v>
      </c>
      <c r="P159" s="17" t="str">
        <f>HYPERLINK("https://dexscreener.com/solana/DMUzqxsbRtjnZpzohhruikef1AVT7hb6env4tJQQpump", "View")</f>
        <v>View</v>
      </c>
    </row>
    <row r="160" spans="1:16" x14ac:dyDescent="0.25">
      <c r="A160" s="13" t="s">
        <v>3036</v>
      </c>
      <c r="B160" s="14">
        <v>36912433</v>
      </c>
      <c r="C160" s="14">
        <v>36912433</v>
      </c>
      <c r="D160" s="14" t="s">
        <v>1629</v>
      </c>
      <c r="E160" s="14" t="s">
        <v>3037</v>
      </c>
      <c r="F160" s="14" t="s">
        <v>3038</v>
      </c>
      <c r="G160" s="21" t="s">
        <v>3039</v>
      </c>
      <c r="H160" s="21" t="s">
        <v>3040</v>
      </c>
      <c r="I160" s="14" t="s">
        <v>88</v>
      </c>
      <c r="J160" s="14">
        <v>1</v>
      </c>
      <c r="K160" s="14">
        <v>3</v>
      </c>
      <c r="L160" s="14" t="s">
        <v>3041</v>
      </c>
      <c r="M160" s="14" t="s">
        <v>602</v>
      </c>
      <c r="N160" s="14" t="s">
        <v>3042</v>
      </c>
      <c r="O160" s="14" t="s">
        <v>3043</v>
      </c>
      <c r="P160" s="14" t="str">
        <f>HYPERLINK("https://photon-sol.tinyastro.io/en/lp/97LuaoEf538LY7ZXR3QyE7ZXATDHTY9zttCrSaofpump?handle=676050794bc1b1657a56b", "View")</f>
        <v>View</v>
      </c>
    </row>
    <row r="161" spans="1:16" x14ac:dyDescent="0.25">
      <c r="A161" s="16" t="s">
        <v>3044</v>
      </c>
      <c r="B161" s="17">
        <v>210760</v>
      </c>
      <c r="C161" s="17">
        <v>210760</v>
      </c>
      <c r="D161" s="17" t="s">
        <v>1595</v>
      </c>
      <c r="E161" s="17" t="s">
        <v>3045</v>
      </c>
      <c r="F161" s="17" t="s">
        <v>3046</v>
      </c>
      <c r="G161" s="22" t="s">
        <v>3047</v>
      </c>
      <c r="H161" s="22" t="s">
        <v>3048</v>
      </c>
      <c r="I161" s="17" t="s">
        <v>88</v>
      </c>
      <c r="J161" s="17">
        <v>1</v>
      </c>
      <c r="K161" s="17">
        <v>1</v>
      </c>
      <c r="L161" s="17" t="s">
        <v>3049</v>
      </c>
      <c r="M161" s="17" t="s">
        <v>1434</v>
      </c>
      <c r="N161" s="17" t="s">
        <v>3050</v>
      </c>
      <c r="O161" s="17" t="s">
        <v>3051</v>
      </c>
      <c r="P161" s="17" t="str">
        <f>HYPERLINK("https://dexscreener.com/solana/CN7t4Xxw2RSzEXpyYaG54fi5gKpdd9NTEw61biUW767y", "View")</f>
        <v>View</v>
      </c>
    </row>
    <row r="162" spans="1:16" x14ac:dyDescent="0.25">
      <c r="A162" s="13" t="s">
        <v>3052</v>
      </c>
      <c r="B162" s="14">
        <v>30747553</v>
      </c>
      <c r="C162" s="14">
        <v>30747553</v>
      </c>
      <c r="D162" s="14" t="s">
        <v>1595</v>
      </c>
      <c r="E162" s="14" t="s">
        <v>3015</v>
      </c>
      <c r="F162" s="14" t="s">
        <v>3053</v>
      </c>
      <c r="G162" s="21" t="s">
        <v>3054</v>
      </c>
      <c r="H162" s="21" t="s">
        <v>3055</v>
      </c>
      <c r="I162" s="14" t="s">
        <v>88</v>
      </c>
      <c r="J162" s="14">
        <v>1</v>
      </c>
      <c r="K162" s="14">
        <v>1</v>
      </c>
      <c r="L162" s="14" t="s">
        <v>3056</v>
      </c>
      <c r="M162" s="14" t="s">
        <v>602</v>
      </c>
      <c r="N162" s="14" t="s">
        <v>3057</v>
      </c>
      <c r="O162" s="14" t="s">
        <v>3058</v>
      </c>
      <c r="P162" s="14" t="str">
        <f>HYPERLINK("https://photon-sol.tinyastro.io/en/lp/Ce1j33dgs1fnuQ9PN5VrvG8Urp1R8rTrXr2y7nQipump?handle=676050794bc1b1657a56b", "View")</f>
        <v>View</v>
      </c>
    </row>
    <row r="163" spans="1:16" x14ac:dyDescent="0.25">
      <c r="A163" s="16" t="s">
        <v>3059</v>
      </c>
      <c r="B163" s="17">
        <v>9912983</v>
      </c>
      <c r="C163" s="17">
        <v>9912983</v>
      </c>
      <c r="D163" s="17" t="s">
        <v>1595</v>
      </c>
      <c r="E163" s="17" t="s">
        <v>2821</v>
      </c>
      <c r="F163" s="17" t="s">
        <v>3060</v>
      </c>
      <c r="G163" s="20" t="s">
        <v>3061</v>
      </c>
      <c r="H163" s="20" t="s">
        <v>3062</v>
      </c>
      <c r="I163" s="17" t="s">
        <v>88</v>
      </c>
      <c r="J163" s="17">
        <v>1</v>
      </c>
      <c r="K163" s="17">
        <v>1</v>
      </c>
      <c r="L163" s="17" t="s">
        <v>3063</v>
      </c>
      <c r="M163" s="19" t="s">
        <v>2541</v>
      </c>
      <c r="N163" s="17" t="s">
        <v>1667</v>
      </c>
      <c r="O163" s="17" t="s">
        <v>3064</v>
      </c>
      <c r="P163" s="17" t="str">
        <f>HYPERLINK("https://photon-sol.tinyastro.io/en/lp/2Z7k9knjkZu5vzYB5Zumi6g84vGppbiaNCijWrkypump?handle=676050794bc1b1657a56b", "View")</f>
        <v>View</v>
      </c>
    </row>
    <row r="164" spans="1:16" x14ac:dyDescent="0.25">
      <c r="A164" s="13" t="s">
        <v>3065</v>
      </c>
      <c r="B164" s="14">
        <v>97140467</v>
      </c>
      <c r="C164" s="14">
        <v>97140467</v>
      </c>
      <c r="D164" s="14" t="s">
        <v>1595</v>
      </c>
      <c r="E164" s="14" t="s">
        <v>1662</v>
      </c>
      <c r="F164" s="14" t="s">
        <v>3066</v>
      </c>
      <c r="G164" s="20" t="s">
        <v>1869</v>
      </c>
      <c r="H164" s="20" t="s">
        <v>3067</v>
      </c>
      <c r="I164" s="14" t="s">
        <v>88</v>
      </c>
      <c r="J164" s="14">
        <v>1</v>
      </c>
      <c r="K164" s="14">
        <v>1</v>
      </c>
      <c r="L164" s="14" t="s">
        <v>3068</v>
      </c>
      <c r="M164" s="19" t="s">
        <v>3069</v>
      </c>
      <c r="N164" s="14" t="s">
        <v>2308</v>
      </c>
      <c r="O164" s="14" t="s">
        <v>3070</v>
      </c>
      <c r="P164" s="14" t="str">
        <f>HYPERLINK("https://photon-sol.tinyastro.io/en/lp/EQzR47T2SKz4yfHu1ktzgakrERrMCYxQFL7QcLcmpump?handle=676050794bc1b1657a56b", "View")</f>
        <v>View</v>
      </c>
    </row>
    <row r="165" spans="1:16" x14ac:dyDescent="0.25">
      <c r="A165" s="16" t="s">
        <v>3071</v>
      </c>
      <c r="B165" s="17">
        <v>97545454</v>
      </c>
      <c r="C165" s="17">
        <v>97545454</v>
      </c>
      <c r="D165" s="17" t="s">
        <v>1595</v>
      </c>
      <c r="E165" s="17" t="s">
        <v>1662</v>
      </c>
      <c r="F165" s="17" t="s">
        <v>3072</v>
      </c>
      <c r="G165" s="20" t="s">
        <v>3073</v>
      </c>
      <c r="H165" s="20" t="s">
        <v>3074</v>
      </c>
      <c r="I165" s="17" t="s">
        <v>88</v>
      </c>
      <c r="J165" s="17">
        <v>1</v>
      </c>
      <c r="K165" s="17">
        <v>1</v>
      </c>
      <c r="L165" s="17" t="s">
        <v>3075</v>
      </c>
      <c r="M165" s="19" t="s">
        <v>3076</v>
      </c>
      <c r="N165" s="17" t="s">
        <v>2308</v>
      </c>
      <c r="O165" s="17" t="s">
        <v>3077</v>
      </c>
      <c r="P165" s="17" t="str">
        <f>HYPERLINK("https://photon-sol.tinyastro.io/en/lp/2DunrzKFdvYBAx43YQHVYFkmDiBoPVBkRx41Z4svpump?handle=676050794bc1b1657a56b", "View")</f>
        <v>View</v>
      </c>
    </row>
    <row r="166" spans="1:16" x14ac:dyDescent="0.25">
      <c r="A166" s="13" t="s">
        <v>3078</v>
      </c>
      <c r="B166" s="14">
        <v>90486276</v>
      </c>
      <c r="C166" s="14">
        <v>90486276</v>
      </c>
      <c r="D166" s="14" t="s">
        <v>1595</v>
      </c>
      <c r="E166" s="14" t="s">
        <v>1662</v>
      </c>
      <c r="F166" s="14" t="s">
        <v>3079</v>
      </c>
      <c r="G166" s="20" t="s">
        <v>2172</v>
      </c>
      <c r="H166" s="20" t="s">
        <v>3080</v>
      </c>
      <c r="I166" s="14" t="s">
        <v>88</v>
      </c>
      <c r="J166" s="14">
        <v>1</v>
      </c>
      <c r="K166" s="14">
        <v>1</v>
      </c>
      <c r="L166" s="14" t="s">
        <v>3081</v>
      </c>
      <c r="M166" s="19" t="s">
        <v>2937</v>
      </c>
      <c r="N166" s="14" t="s">
        <v>2308</v>
      </c>
      <c r="O166" s="14" t="s">
        <v>3082</v>
      </c>
      <c r="P166" s="14" t="str">
        <f>HYPERLINK("https://photon-sol.tinyastro.io/en/lp/BieaWssTzTxJwYxpQ7uEfEvKD6NE9chBWzNej3tHpump?handle=676050794bc1b1657a56b", "View")</f>
        <v>View</v>
      </c>
    </row>
    <row r="167" spans="1:16" x14ac:dyDescent="0.25">
      <c r="A167" s="16" t="s">
        <v>3083</v>
      </c>
      <c r="B167" s="17">
        <v>9834062</v>
      </c>
      <c r="C167" s="17">
        <v>9834062</v>
      </c>
      <c r="D167" s="17" t="s">
        <v>1595</v>
      </c>
      <c r="E167" s="17" t="s">
        <v>3084</v>
      </c>
      <c r="F167" s="17" t="s">
        <v>3085</v>
      </c>
      <c r="G167" s="20" t="s">
        <v>3086</v>
      </c>
      <c r="H167" s="20" t="s">
        <v>3087</v>
      </c>
      <c r="I167" s="17" t="s">
        <v>88</v>
      </c>
      <c r="J167" s="17">
        <v>1</v>
      </c>
      <c r="K167" s="17">
        <v>1</v>
      </c>
      <c r="L167" s="17" t="s">
        <v>3088</v>
      </c>
      <c r="M167" s="19" t="s">
        <v>2923</v>
      </c>
      <c r="N167" s="17" t="s">
        <v>3089</v>
      </c>
      <c r="O167" s="17" t="s">
        <v>3090</v>
      </c>
      <c r="P167" s="17" t="str">
        <f>HYPERLINK("https://photon-sol.tinyastro.io/en/lp/3SmhwzbSBjJZXLGJtCTypBo7XKCLcYmRw87zEqvXqnRc?handle=676050794bc1b1657a56b", "View")</f>
        <v>View</v>
      </c>
    </row>
    <row r="168" spans="1:16" x14ac:dyDescent="0.25">
      <c r="A168" s="13" t="s">
        <v>3091</v>
      </c>
      <c r="B168" s="14">
        <v>97441601</v>
      </c>
      <c r="C168" s="14">
        <v>97441601</v>
      </c>
      <c r="D168" s="14" t="s">
        <v>1595</v>
      </c>
      <c r="E168" s="14" t="s">
        <v>1662</v>
      </c>
      <c r="F168" s="14" t="s">
        <v>3092</v>
      </c>
      <c r="G168" s="22" t="s">
        <v>3093</v>
      </c>
      <c r="H168" s="22" t="s">
        <v>3094</v>
      </c>
      <c r="I168" s="14" t="s">
        <v>88</v>
      </c>
      <c r="J168" s="14">
        <v>1</v>
      </c>
      <c r="K168" s="14">
        <v>1</v>
      </c>
      <c r="L168" s="14" t="s">
        <v>3095</v>
      </c>
      <c r="M168" s="19" t="s">
        <v>3069</v>
      </c>
      <c r="N168" s="14" t="s">
        <v>2223</v>
      </c>
      <c r="O168" s="14" t="s">
        <v>3096</v>
      </c>
      <c r="P168" s="14" t="str">
        <f>HYPERLINK("https://photon-sol.tinyastro.io/en/lp/8ML6QhQBgjMHyxZUe9wEzQzGRvDp73gxN6yrGwQvpump?handle=676050794bc1b1657a56b", "View")</f>
        <v>View</v>
      </c>
    </row>
    <row r="169" spans="1:16" x14ac:dyDescent="0.25">
      <c r="A169" s="16" t="s">
        <v>605</v>
      </c>
      <c r="B169" s="17">
        <v>96305051</v>
      </c>
      <c r="C169" s="17">
        <v>96305051</v>
      </c>
      <c r="D169" s="17" t="s">
        <v>1595</v>
      </c>
      <c r="E169" s="17" t="s">
        <v>1662</v>
      </c>
      <c r="F169" s="17" t="s">
        <v>3097</v>
      </c>
      <c r="G169" s="22" t="s">
        <v>3098</v>
      </c>
      <c r="H169" s="22" t="s">
        <v>3099</v>
      </c>
      <c r="I169" s="17" t="s">
        <v>88</v>
      </c>
      <c r="J169" s="17">
        <v>1</v>
      </c>
      <c r="K169" s="17">
        <v>1</v>
      </c>
      <c r="L169" s="17" t="s">
        <v>3100</v>
      </c>
      <c r="M169" s="19" t="s">
        <v>2486</v>
      </c>
      <c r="N169" s="17" t="s">
        <v>2263</v>
      </c>
      <c r="O169" s="17" t="s">
        <v>3101</v>
      </c>
      <c r="P169" s="17" t="str">
        <f>HYPERLINK("https://photon-sol.tinyastro.io/en/lp/BeeLiMyZFyURGNC1sx6Z1Jx1ZU2nrTpsY9kdFXZjpump?handle=676050794bc1b1657a56b", "View")</f>
        <v>View</v>
      </c>
    </row>
    <row r="170" spans="1:16" x14ac:dyDescent="0.25">
      <c r="A170" s="13" t="s">
        <v>3102</v>
      </c>
      <c r="B170" s="14">
        <v>11425420</v>
      </c>
      <c r="C170" s="14">
        <v>11425420</v>
      </c>
      <c r="D170" s="14" t="s">
        <v>1595</v>
      </c>
      <c r="E170" s="14" t="s">
        <v>2234</v>
      </c>
      <c r="F170" s="14" t="s">
        <v>3103</v>
      </c>
      <c r="G170" s="21" t="s">
        <v>3104</v>
      </c>
      <c r="H170" s="21" t="s">
        <v>3105</v>
      </c>
      <c r="I170" s="14" t="s">
        <v>88</v>
      </c>
      <c r="J170" s="14">
        <v>1</v>
      </c>
      <c r="K170" s="14">
        <v>1</v>
      </c>
      <c r="L170" s="14" t="s">
        <v>3106</v>
      </c>
      <c r="M170" s="19" t="s">
        <v>1940</v>
      </c>
      <c r="N170" s="14" t="s">
        <v>3107</v>
      </c>
      <c r="O170" s="14" t="s">
        <v>3108</v>
      </c>
      <c r="P170" s="14" t="str">
        <f>HYPERLINK("https://photon-sol.tinyastro.io/en/lp/5jLUQde4APc7Nz9GxGCAL8ndS4isH5XmADySLdb7pump?handle=676050794bc1b1657a56b", "View")</f>
        <v>View</v>
      </c>
    </row>
    <row r="171" spans="1:16" x14ac:dyDescent="0.25">
      <c r="A171" s="16" t="s">
        <v>3109</v>
      </c>
      <c r="B171" s="17">
        <v>15279313</v>
      </c>
      <c r="C171" s="17">
        <v>15279313</v>
      </c>
      <c r="D171" s="17" t="s">
        <v>1595</v>
      </c>
      <c r="E171" s="17" t="s">
        <v>3110</v>
      </c>
      <c r="F171" s="17" t="s">
        <v>3111</v>
      </c>
      <c r="G171" s="20" t="s">
        <v>3112</v>
      </c>
      <c r="H171" s="20" t="s">
        <v>3113</v>
      </c>
      <c r="I171" s="17" t="s">
        <v>88</v>
      </c>
      <c r="J171" s="17">
        <v>1</v>
      </c>
      <c r="K171" s="17">
        <v>1</v>
      </c>
      <c r="L171" s="17" t="s">
        <v>3114</v>
      </c>
      <c r="M171" s="17" t="s">
        <v>602</v>
      </c>
      <c r="N171" s="17" t="s">
        <v>3115</v>
      </c>
      <c r="O171" s="17" t="s">
        <v>3116</v>
      </c>
      <c r="P171" s="17" t="str">
        <f>HYPERLINK("https://photon-sol.tinyastro.io/en/lp/4kHY4VH4i5ymMHSgt6BpuyeNXx7MzNeq7oZY695tpump?handle=676050794bc1b1657a56b", "View")</f>
        <v>View</v>
      </c>
    </row>
    <row r="172" spans="1:16" x14ac:dyDescent="0.25">
      <c r="A172" s="13" t="s">
        <v>3117</v>
      </c>
      <c r="B172" s="14">
        <v>1745236</v>
      </c>
      <c r="C172" s="14">
        <v>1745236</v>
      </c>
      <c r="D172" s="14" t="s">
        <v>1595</v>
      </c>
      <c r="E172" s="14" t="s">
        <v>1457</v>
      </c>
      <c r="F172" s="14" t="s">
        <v>3118</v>
      </c>
      <c r="G172" s="22" t="s">
        <v>3119</v>
      </c>
      <c r="H172" s="22" t="s">
        <v>3120</v>
      </c>
      <c r="I172" s="14" t="s">
        <v>88</v>
      </c>
      <c r="J172" s="14">
        <v>1</v>
      </c>
      <c r="K172" s="14">
        <v>1</v>
      </c>
      <c r="L172" s="14" t="s">
        <v>3121</v>
      </c>
      <c r="M172" s="19" t="s">
        <v>2493</v>
      </c>
      <c r="N172" s="14" t="s">
        <v>3122</v>
      </c>
      <c r="O172" s="14" t="s">
        <v>3123</v>
      </c>
      <c r="P172" s="14" t="str">
        <f>HYPERLINK("https://dexscreener.com/solana/878WGwJXoRAfuZcWv1fQD2iuo2Phvy8VJFkenDgbpump", "View")</f>
        <v>View</v>
      </c>
    </row>
    <row r="173" spans="1:16" x14ac:dyDescent="0.25">
      <c r="A173" s="16" t="s">
        <v>3124</v>
      </c>
      <c r="B173" s="17">
        <v>52598039</v>
      </c>
      <c r="C173" s="17">
        <v>52598039</v>
      </c>
      <c r="D173" s="17" t="s">
        <v>1595</v>
      </c>
      <c r="E173" s="17" t="s">
        <v>2042</v>
      </c>
      <c r="F173" s="17" t="s">
        <v>3125</v>
      </c>
      <c r="G173" s="22" t="s">
        <v>3126</v>
      </c>
      <c r="H173" s="22" t="s">
        <v>3127</v>
      </c>
      <c r="I173" s="17" t="s">
        <v>88</v>
      </c>
      <c r="J173" s="17">
        <v>1</v>
      </c>
      <c r="K173" s="17">
        <v>1</v>
      </c>
      <c r="L173" s="17" t="s">
        <v>3128</v>
      </c>
      <c r="M173" s="17" t="s">
        <v>1434</v>
      </c>
      <c r="N173" s="17" t="s">
        <v>1011</v>
      </c>
      <c r="O173" s="17" t="s">
        <v>3129</v>
      </c>
      <c r="P173" s="17" t="str">
        <f>HYPERLINK("https://photon-sol.tinyastro.io/en/lp/2DkMwcrHFe6gavhNmuCmvmNQySPxnnzgukrx79SQpump?handle=676050794bc1b1657a56b", "View")</f>
        <v>View</v>
      </c>
    </row>
    <row r="174" spans="1:16" x14ac:dyDescent="0.25">
      <c r="A174" s="13" t="s">
        <v>3130</v>
      </c>
      <c r="B174" s="14">
        <v>55003883</v>
      </c>
      <c r="C174" s="14">
        <v>55003883</v>
      </c>
      <c r="D174" s="14" t="s">
        <v>3131</v>
      </c>
      <c r="E174" s="14" t="s">
        <v>2207</v>
      </c>
      <c r="F174" s="14" t="s">
        <v>3132</v>
      </c>
      <c r="G174" s="21" t="s">
        <v>3133</v>
      </c>
      <c r="H174" s="21" t="s">
        <v>3134</v>
      </c>
      <c r="I174" s="14" t="s">
        <v>88</v>
      </c>
      <c r="J174" s="14">
        <v>1</v>
      </c>
      <c r="K174" s="14">
        <v>16</v>
      </c>
      <c r="L174" s="14" t="s">
        <v>3135</v>
      </c>
      <c r="M174" s="14" t="s">
        <v>3136</v>
      </c>
      <c r="N174" s="14" t="s">
        <v>3137</v>
      </c>
      <c r="O174" s="14" t="s">
        <v>3138</v>
      </c>
      <c r="P174" s="14" t="str">
        <f>HYPERLINK("https://photon-sol.tinyastro.io/en/lp/66b8mPygotxasiWXba7eFSaMXd77g8HaB2yk4F7spump?handle=676050794bc1b1657a56b", "View")</f>
        <v>View</v>
      </c>
    </row>
    <row r="175" spans="1:16" x14ac:dyDescent="0.25">
      <c r="A175" s="16" t="s">
        <v>3139</v>
      </c>
      <c r="B175" s="17">
        <v>1881756</v>
      </c>
      <c r="C175" s="17">
        <v>1881756</v>
      </c>
      <c r="D175" s="17" t="s">
        <v>1595</v>
      </c>
      <c r="E175" s="17" t="s">
        <v>3140</v>
      </c>
      <c r="F175" s="17" t="s">
        <v>3141</v>
      </c>
      <c r="G175" s="22" t="s">
        <v>3142</v>
      </c>
      <c r="H175" s="22" t="s">
        <v>3143</v>
      </c>
      <c r="I175" s="17" t="s">
        <v>88</v>
      </c>
      <c r="J175" s="17">
        <v>1</v>
      </c>
      <c r="K175" s="17">
        <v>1</v>
      </c>
      <c r="L175" s="17" t="s">
        <v>3144</v>
      </c>
      <c r="M175" s="17" t="s">
        <v>788</v>
      </c>
      <c r="N175" s="17" t="s">
        <v>3145</v>
      </c>
      <c r="O175" s="17" t="s">
        <v>3146</v>
      </c>
      <c r="P175" s="17" t="str">
        <f>HYPERLINK("https://photon-sol.tinyastro.io/en/lp/4NxnhKViNC3wJEdkWr4venJykFErjjUimbkEKCRopump?handle=676050794bc1b1657a56b", "View")</f>
        <v>View</v>
      </c>
    </row>
    <row r="176" spans="1:16" x14ac:dyDescent="0.25">
      <c r="A176" s="13" t="s">
        <v>3147</v>
      </c>
      <c r="B176" s="14">
        <v>54530768</v>
      </c>
      <c r="C176" s="14">
        <v>54530768</v>
      </c>
      <c r="D176" s="14" t="s">
        <v>1595</v>
      </c>
      <c r="E176" s="14" t="s">
        <v>3148</v>
      </c>
      <c r="F176" s="14" t="s">
        <v>3016</v>
      </c>
      <c r="G176" s="21" t="s">
        <v>3149</v>
      </c>
      <c r="H176" s="21" t="s">
        <v>3150</v>
      </c>
      <c r="I176" s="14" t="s">
        <v>88</v>
      </c>
      <c r="J176" s="14">
        <v>1</v>
      </c>
      <c r="K176" s="14">
        <v>1</v>
      </c>
      <c r="L176" s="14" t="s">
        <v>3151</v>
      </c>
      <c r="M176" s="14" t="s">
        <v>1434</v>
      </c>
      <c r="N176" s="14" t="s">
        <v>2263</v>
      </c>
      <c r="O176" s="14" t="s">
        <v>3152</v>
      </c>
      <c r="P176" s="14" t="str">
        <f>HYPERLINK("https://photon-sol.tinyastro.io/en/lp/Wp55cYL6TrYpvuWUd2niQo9xPNXMzbtLZmtpsunpump?handle=676050794bc1b1657a56b", "View")</f>
        <v>View</v>
      </c>
    </row>
    <row r="177" spans="1:16" x14ac:dyDescent="0.25">
      <c r="A177" s="16" t="s">
        <v>3153</v>
      </c>
      <c r="B177" s="17">
        <v>65104195</v>
      </c>
      <c r="C177" s="17">
        <v>65104195</v>
      </c>
      <c r="D177" s="17" t="s">
        <v>1595</v>
      </c>
      <c r="E177" s="17" t="s">
        <v>3015</v>
      </c>
      <c r="F177" s="17" t="s">
        <v>3154</v>
      </c>
      <c r="G177" s="22" t="s">
        <v>3155</v>
      </c>
      <c r="H177" s="22" t="s">
        <v>3156</v>
      </c>
      <c r="I177" s="17" t="s">
        <v>88</v>
      </c>
      <c r="J177" s="17">
        <v>1</v>
      </c>
      <c r="K177" s="17">
        <v>1</v>
      </c>
      <c r="L177" s="17" t="s">
        <v>3157</v>
      </c>
      <c r="M177" s="19" t="s">
        <v>3158</v>
      </c>
      <c r="N177" s="17" t="s">
        <v>2223</v>
      </c>
      <c r="O177" s="17" t="s">
        <v>3159</v>
      </c>
      <c r="P177" s="17" t="str">
        <f>HYPERLINK("https://photon-sol.tinyastro.io/en/lp/7teytBJnYn4qBPLTucUNKgXTJDUy9qgeVKpz3L3Bpump?handle=676050794bc1b1657a56b", "View")</f>
        <v>View</v>
      </c>
    </row>
    <row r="178" spans="1:16" x14ac:dyDescent="0.25">
      <c r="A178" s="13" t="s">
        <v>3160</v>
      </c>
      <c r="B178" s="14">
        <v>25105537</v>
      </c>
      <c r="C178" s="14">
        <v>25105537</v>
      </c>
      <c r="D178" s="14" t="s">
        <v>2026</v>
      </c>
      <c r="E178" s="14" t="s">
        <v>2902</v>
      </c>
      <c r="F178" s="14" t="s">
        <v>3161</v>
      </c>
      <c r="G178" s="21" t="s">
        <v>2099</v>
      </c>
      <c r="H178" s="21" t="s">
        <v>3162</v>
      </c>
      <c r="I178" s="14" t="s">
        <v>88</v>
      </c>
      <c r="J178" s="14">
        <v>1</v>
      </c>
      <c r="K178" s="14">
        <v>4</v>
      </c>
      <c r="L178" s="14" t="s">
        <v>3163</v>
      </c>
      <c r="M178" s="14" t="s">
        <v>1932</v>
      </c>
      <c r="N178" s="14" t="s">
        <v>3164</v>
      </c>
      <c r="O178" s="14" t="s">
        <v>3165</v>
      </c>
      <c r="P178" s="14" t="str">
        <f>HYPERLINK("https://photon-sol.tinyastro.io/en/lp/EgVm5kaF7hn6U8g2gdWrg3hz74LdytvkEHdHwg8fpump?handle=676050794bc1b1657a56b", "View")</f>
        <v>View</v>
      </c>
    </row>
    <row r="179" spans="1:16" x14ac:dyDescent="0.25">
      <c r="A179" s="16" t="s">
        <v>3166</v>
      </c>
      <c r="B179" s="17">
        <v>24565988</v>
      </c>
      <c r="C179" s="17">
        <v>24565988</v>
      </c>
      <c r="D179" s="17" t="s">
        <v>1604</v>
      </c>
      <c r="E179" s="17" t="s">
        <v>3167</v>
      </c>
      <c r="F179" s="17" t="s">
        <v>3168</v>
      </c>
      <c r="G179" s="22" t="s">
        <v>2288</v>
      </c>
      <c r="H179" s="22" t="s">
        <v>3169</v>
      </c>
      <c r="I179" s="17" t="s">
        <v>88</v>
      </c>
      <c r="J179" s="17">
        <v>4</v>
      </c>
      <c r="K179" s="17">
        <v>3</v>
      </c>
      <c r="L179" s="17" t="s">
        <v>3170</v>
      </c>
      <c r="M179" s="17" t="s">
        <v>3171</v>
      </c>
      <c r="N179" s="17" t="s">
        <v>3172</v>
      </c>
      <c r="O179" s="17" t="s">
        <v>3173</v>
      </c>
      <c r="P179" s="17" t="str">
        <f>HYPERLINK("https://photon-sol.tinyastro.io/en/lp/BCzmHhheuzURCDKpWKWTzMFC7y76EzyJrA1C3oXNpump?handle=676050794bc1b1657a56b", "View")</f>
        <v>View</v>
      </c>
    </row>
    <row r="180" spans="1:16" x14ac:dyDescent="0.25">
      <c r="A180" s="13" t="s">
        <v>3174</v>
      </c>
      <c r="B180" s="14">
        <v>65836292</v>
      </c>
      <c r="C180" s="14">
        <v>65836292</v>
      </c>
      <c r="D180" s="14" t="s">
        <v>1595</v>
      </c>
      <c r="E180" s="14" t="s">
        <v>3175</v>
      </c>
      <c r="F180" s="14" t="s">
        <v>3176</v>
      </c>
      <c r="G180" s="22" t="s">
        <v>3177</v>
      </c>
      <c r="H180" s="22" t="s">
        <v>3178</v>
      </c>
      <c r="I180" s="14" t="s">
        <v>88</v>
      </c>
      <c r="J180" s="14">
        <v>1</v>
      </c>
      <c r="K180" s="14">
        <v>1</v>
      </c>
      <c r="L180" s="14" t="s">
        <v>3179</v>
      </c>
      <c r="M180" s="14" t="s">
        <v>3180</v>
      </c>
      <c r="N180" s="14" t="s">
        <v>2223</v>
      </c>
      <c r="O180" s="14" t="s">
        <v>3181</v>
      </c>
      <c r="P180" s="14" t="str">
        <f>HYPERLINK("https://photon-sol.tinyastro.io/en/lp/FVPJjijNN3uCVUs8KtEVpfYnJfHxKweqv4xLfY6dpump?handle=676050794bc1b1657a56b", "View")</f>
        <v>View</v>
      </c>
    </row>
    <row r="181" spans="1:16" x14ac:dyDescent="0.25">
      <c r="A181" s="16" t="s">
        <v>3182</v>
      </c>
      <c r="B181" s="17">
        <v>34659530</v>
      </c>
      <c r="C181" s="17">
        <v>34659530</v>
      </c>
      <c r="D181" s="17" t="s">
        <v>1595</v>
      </c>
      <c r="E181" s="17" t="s">
        <v>3183</v>
      </c>
      <c r="F181" s="17" t="s">
        <v>3184</v>
      </c>
      <c r="G181" s="20" t="s">
        <v>3185</v>
      </c>
      <c r="H181" s="20" t="s">
        <v>3186</v>
      </c>
      <c r="I181" s="17" t="s">
        <v>88</v>
      </c>
      <c r="J181" s="17">
        <v>1</v>
      </c>
      <c r="K181" s="17">
        <v>1</v>
      </c>
      <c r="L181" s="17" t="s">
        <v>3187</v>
      </c>
      <c r="M181" s="19" t="s">
        <v>2593</v>
      </c>
      <c r="N181" s="17" t="s">
        <v>3188</v>
      </c>
      <c r="O181" s="17" t="s">
        <v>3189</v>
      </c>
      <c r="P181" s="17" t="str">
        <f>HYPERLINK("https://photon-sol.tinyastro.io/en/lp/HkKrEce9yhtpbgsVSwrvYHM4xUgL1y1JR7cAZVF4pump?handle=676050794bc1b1657a56b", "View")</f>
        <v>View</v>
      </c>
    </row>
    <row r="182" spans="1:16" x14ac:dyDescent="0.25">
      <c r="A182" s="13" t="s">
        <v>3190</v>
      </c>
      <c r="B182" s="14">
        <v>69737482</v>
      </c>
      <c r="C182" s="14">
        <v>69737482</v>
      </c>
      <c r="D182" s="14" t="s">
        <v>3191</v>
      </c>
      <c r="E182" s="14" t="s">
        <v>3192</v>
      </c>
      <c r="F182" s="14" t="s">
        <v>3193</v>
      </c>
      <c r="G182" s="21" t="s">
        <v>3194</v>
      </c>
      <c r="H182" s="21" t="s">
        <v>3195</v>
      </c>
      <c r="I182" s="14" t="s">
        <v>88</v>
      </c>
      <c r="J182" s="14">
        <v>1</v>
      </c>
      <c r="K182" s="14">
        <v>11</v>
      </c>
      <c r="L182" s="14" t="s">
        <v>3196</v>
      </c>
      <c r="M182" s="14" t="s">
        <v>2715</v>
      </c>
      <c r="N182" s="14" t="s">
        <v>3197</v>
      </c>
      <c r="O182" s="14" t="s">
        <v>3198</v>
      </c>
      <c r="P182" s="14" t="str">
        <f>HYPERLINK("https://photon-sol.tinyastro.io/en/lp/3CzP7hBfMzuvJWDgegfiYrsKnVc4UCLKP1pxHRCTpump?handle=676050794bc1b1657a56b", "View")</f>
        <v>View</v>
      </c>
    </row>
    <row r="183" spans="1:16" x14ac:dyDescent="0.25">
      <c r="A183" s="16" t="s">
        <v>3199</v>
      </c>
      <c r="B183" s="17">
        <v>67062500</v>
      </c>
      <c r="C183" s="17">
        <v>67062500</v>
      </c>
      <c r="D183" s="17" t="s">
        <v>3200</v>
      </c>
      <c r="E183" s="17" t="s">
        <v>3175</v>
      </c>
      <c r="F183" s="17" t="s">
        <v>3201</v>
      </c>
      <c r="G183" s="21" t="s">
        <v>3202</v>
      </c>
      <c r="H183" s="21" t="s">
        <v>3203</v>
      </c>
      <c r="I183" s="17" t="s">
        <v>88</v>
      </c>
      <c r="J183" s="17">
        <v>1</v>
      </c>
      <c r="K183" s="17">
        <v>14</v>
      </c>
      <c r="L183" s="17" t="s">
        <v>3204</v>
      </c>
      <c r="M183" s="17" t="s">
        <v>379</v>
      </c>
      <c r="N183" s="17" t="s">
        <v>3205</v>
      </c>
      <c r="O183" s="17" t="s">
        <v>3206</v>
      </c>
      <c r="P183" s="17" t="str">
        <f>HYPERLINK("https://photon-sol.tinyastro.io/en/lp/5qCdjGQx6HCdfHTB16WvGw48LyJtY8Fx39p1a5dupump?handle=676050794bc1b1657a56b", "View")</f>
        <v>View</v>
      </c>
    </row>
    <row r="184" spans="1:16" x14ac:dyDescent="0.25">
      <c r="A184" s="13" t="s">
        <v>3207</v>
      </c>
      <c r="B184" s="14">
        <v>97510807</v>
      </c>
      <c r="C184" s="14">
        <v>97510807</v>
      </c>
      <c r="D184" s="14" t="s">
        <v>1595</v>
      </c>
      <c r="E184" s="14" t="s">
        <v>2926</v>
      </c>
      <c r="F184" s="14" t="s">
        <v>3208</v>
      </c>
      <c r="G184" s="20" t="s">
        <v>3209</v>
      </c>
      <c r="H184" s="20" t="s">
        <v>3210</v>
      </c>
      <c r="I184" s="14" t="s">
        <v>88</v>
      </c>
      <c r="J184" s="14">
        <v>1</v>
      </c>
      <c r="K184" s="14">
        <v>1</v>
      </c>
      <c r="L184" s="14" t="s">
        <v>3211</v>
      </c>
      <c r="M184" s="14" t="s">
        <v>1434</v>
      </c>
      <c r="N184" s="14" t="s">
        <v>2308</v>
      </c>
      <c r="O184" s="14" t="s">
        <v>3212</v>
      </c>
      <c r="P184" s="14" t="str">
        <f>HYPERLINK("https://photon-sol.tinyastro.io/en/lp/MLMVmxHZXVvx7WrMzQzjXTB8LG9NX7itwhVmdJspump?handle=676050794bc1b1657a56b", "View")</f>
        <v>View</v>
      </c>
    </row>
    <row r="185" spans="1:16" x14ac:dyDescent="0.25">
      <c r="A185" s="16" t="s">
        <v>3213</v>
      </c>
      <c r="B185" s="17">
        <v>145134528</v>
      </c>
      <c r="C185" s="17">
        <v>145134528</v>
      </c>
      <c r="D185" s="17" t="s">
        <v>1629</v>
      </c>
      <c r="E185" s="17" t="s">
        <v>3214</v>
      </c>
      <c r="F185" s="17" t="s">
        <v>3215</v>
      </c>
      <c r="G185" s="22" t="s">
        <v>3216</v>
      </c>
      <c r="H185" s="22" t="s">
        <v>3217</v>
      </c>
      <c r="I185" s="17" t="s">
        <v>88</v>
      </c>
      <c r="J185" s="17">
        <v>2</v>
      </c>
      <c r="K185" s="17">
        <v>2</v>
      </c>
      <c r="L185" s="17" t="s">
        <v>3218</v>
      </c>
      <c r="M185" s="17" t="s">
        <v>1434</v>
      </c>
      <c r="N185" s="17" t="s">
        <v>2223</v>
      </c>
      <c r="O185" s="17" t="s">
        <v>3219</v>
      </c>
      <c r="P185" s="17" t="str">
        <f>HYPERLINK("https://photon-sol.tinyastro.io/en/lp/AwLSn8qnNumKRWBAxjAVdUXYWAmmubFQDd9BkKYRpump?handle=676050794bc1b1657a56b", "View")</f>
        <v>View</v>
      </c>
    </row>
    <row r="186" spans="1:16" x14ac:dyDescent="0.25">
      <c r="A186" s="13" t="s">
        <v>3220</v>
      </c>
      <c r="B186" s="14">
        <v>89146157</v>
      </c>
      <c r="C186" s="14">
        <v>89146157</v>
      </c>
      <c r="D186" s="14" t="s">
        <v>1595</v>
      </c>
      <c r="E186" s="14" t="s">
        <v>1457</v>
      </c>
      <c r="F186" s="14" t="s">
        <v>1701</v>
      </c>
      <c r="G186" s="22" t="s">
        <v>3221</v>
      </c>
      <c r="H186" s="22" t="s">
        <v>3222</v>
      </c>
      <c r="I186" s="14" t="s">
        <v>88</v>
      </c>
      <c r="J186" s="14">
        <v>1</v>
      </c>
      <c r="K186" s="14">
        <v>1</v>
      </c>
      <c r="L186" s="14" t="s">
        <v>3223</v>
      </c>
      <c r="M186" s="19" t="s">
        <v>370</v>
      </c>
      <c r="N186" s="14" t="s">
        <v>3224</v>
      </c>
      <c r="O186" s="14" t="s">
        <v>3225</v>
      </c>
      <c r="P186" s="14" t="str">
        <f>HYPERLINK("https://dexscreener.com/solana/A1zdsJnLYCYeoxQnheYGeCiZ41uenWYbrBwrqX3Npump", "View")</f>
        <v>View</v>
      </c>
    </row>
    <row r="187" spans="1:16" x14ac:dyDescent="0.25">
      <c r="A187" s="16" t="s">
        <v>3226</v>
      </c>
      <c r="B187" s="17">
        <v>59509879</v>
      </c>
      <c r="C187" s="17">
        <v>59509879</v>
      </c>
      <c r="D187" s="17" t="s">
        <v>1595</v>
      </c>
      <c r="E187" s="17" t="s">
        <v>3015</v>
      </c>
      <c r="F187" s="17" t="s">
        <v>3227</v>
      </c>
      <c r="G187" s="22" t="s">
        <v>3228</v>
      </c>
      <c r="H187" s="22" t="s">
        <v>3229</v>
      </c>
      <c r="I187" s="17" t="s">
        <v>88</v>
      </c>
      <c r="J187" s="17">
        <v>1</v>
      </c>
      <c r="K187" s="17">
        <v>1</v>
      </c>
      <c r="L187" s="17" t="s">
        <v>3230</v>
      </c>
      <c r="M187" s="19" t="s">
        <v>3231</v>
      </c>
      <c r="N187" s="17" t="s">
        <v>2223</v>
      </c>
      <c r="O187" s="17" t="s">
        <v>3232</v>
      </c>
      <c r="P187" s="17" t="str">
        <f>HYPERLINK("https://photon-sol.tinyastro.io/en/lp/2WNqB8YDSwxaAe4U5E45wxzqDTHVcZXKiedtzB3Jpump?handle=676050794bc1b1657a56b", "View")</f>
        <v>View</v>
      </c>
    </row>
    <row r="188" spans="1:16" x14ac:dyDescent="0.25">
      <c r="A188" s="13" t="s">
        <v>3233</v>
      </c>
      <c r="B188" s="14">
        <v>48063567</v>
      </c>
      <c r="C188" s="14">
        <v>48063567</v>
      </c>
      <c r="D188" s="14" t="s">
        <v>1595</v>
      </c>
      <c r="E188" s="14" t="s">
        <v>3234</v>
      </c>
      <c r="F188" s="14" t="s">
        <v>3235</v>
      </c>
      <c r="G188" s="22" t="s">
        <v>3236</v>
      </c>
      <c r="H188" s="22" t="s">
        <v>3237</v>
      </c>
      <c r="I188" s="14" t="s">
        <v>88</v>
      </c>
      <c r="J188" s="14">
        <v>1</v>
      </c>
      <c r="K188" s="14">
        <v>1</v>
      </c>
      <c r="L188" s="14" t="s">
        <v>3238</v>
      </c>
      <c r="M188" s="19" t="s">
        <v>2122</v>
      </c>
      <c r="N188" s="14" t="s">
        <v>2316</v>
      </c>
      <c r="O188" s="14" t="s">
        <v>3239</v>
      </c>
      <c r="P188" s="14" t="str">
        <f>HYPERLINK("https://photon-sol.tinyastro.io/en/lp/4maQVAHe2buP6ZR8Hep544zAWftgkdCT2rDKn4EHpump?handle=676050794bc1b1657a56b", "View")</f>
        <v>View</v>
      </c>
    </row>
    <row r="189" spans="1:16" x14ac:dyDescent="0.25">
      <c r="A189" s="16" t="s">
        <v>3240</v>
      </c>
      <c r="B189" s="17">
        <v>62926121</v>
      </c>
      <c r="C189" s="17">
        <v>62926121</v>
      </c>
      <c r="D189" s="17" t="s">
        <v>1595</v>
      </c>
      <c r="E189" s="17" t="s">
        <v>3241</v>
      </c>
      <c r="F189" s="17" t="s">
        <v>3242</v>
      </c>
      <c r="G189" s="22" t="s">
        <v>3243</v>
      </c>
      <c r="H189" s="22" t="s">
        <v>3244</v>
      </c>
      <c r="I189" s="17" t="s">
        <v>88</v>
      </c>
      <c r="J189" s="17">
        <v>1</v>
      </c>
      <c r="K189" s="17">
        <v>1</v>
      </c>
      <c r="L189" s="17" t="s">
        <v>3245</v>
      </c>
      <c r="M189" s="19" t="s">
        <v>2486</v>
      </c>
      <c r="N189" s="17" t="s">
        <v>2223</v>
      </c>
      <c r="O189" s="17" t="s">
        <v>3246</v>
      </c>
      <c r="P189" s="17" t="str">
        <f>HYPERLINK("https://photon-sol.tinyastro.io/en/lp/C3mHTRp57rLFwXyuewYqYbeSeCtMsqEwZE688tE6pump?handle=676050794bc1b1657a56b", "View")</f>
        <v>View</v>
      </c>
    </row>
    <row r="190" spans="1:16" x14ac:dyDescent="0.25">
      <c r="A190" s="13" t="s">
        <v>3247</v>
      </c>
      <c r="B190" s="14">
        <v>62919464</v>
      </c>
      <c r="C190" s="14">
        <v>62919464</v>
      </c>
      <c r="D190" s="14" t="s">
        <v>1595</v>
      </c>
      <c r="E190" s="14" t="s">
        <v>3175</v>
      </c>
      <c r="F190" s="14" t="s">
        <v>3248</v>
      </c>
      <c r="G190" s="22" t="s">
        <v>2897</v>
      </c>
      <c r="H190" s="22" t="s">
        <v>3249</v>
      </c>
      <c r="I190" s="14" t="s">
        <v>88</v>
      </c>
      <c r="J190" s="14">
        <v>1</v>
      </c>
      <c r="K190" s="14">
        <v>1</v>
      </c>
      <c r="L190" s="14" t="s">
        <v>3250</v>
      </c>
      <c r="M190" s="19" t="s">
        <v>1940</v>
      </c>
      <c r="N190" s="14" t="s">
        <v>2223</v>
      </c>
      <c r="O190" s="14" t="s">
        <v>3251</v>
      </c>
      <c r="P190" s="14" t="str">
        <f>HYPERLINK("https://photon-sol.tinyastro.io/en/lp/DMqSq8NHxMA8KdfPJoBHkkUUrTja3yiiid5Mo4xnpump?handle=676050794bc1b1657a56b", "View")</f>
        <v>View</v>
      </c>
    </row>
    <row r="191" spans="1:16" x14ac:dyDescent="0.25">
      <c r="A191" s="16" t="s">
        <v>3252</v>
      </c>
      <c r="B191" s="17">
        <v>53398995</v>
      </c>
      <c r="C191" s="17">
        <v>53398995</v>
      </c>
      <c r="D191" s="17" t="s">
        <v>1595</v>
      </c>
      <c r="E191" s="17" t="s">
        <v>3175</v>
      </c>
      <c r="F191" s="17" t="s">
        <v>3253</v>
      </c>
      <c r="G191" s="20" t="s">
        <v>3254</v>
      </c>
      <c r="H191" s="20" t="s">
        <v>3255</v>
      </c>
      <c r="I191" s="17" t="s">
        <v>88</v>
      </c>
      <c r="J191" s="17">
        <v>1</v>
      </c>
      <c r="K191" s="17">
        <v>1</v>
      </c>
      <c r="L191" s="17" t="s">
        <v>3256</v>
      </c>
      <c r="M191" s="19" t="s">
        <v>3158</v>
      </c>
      <c r="N191" s="17" t="s">
        <v>1011</v>
      </c>
      <c r="O191" s="17" t="s">
        <v>3257</v>
      </c>
      <c r="P191" s="17" t="str">
        <f>HYPERLINK("https://photon-sol.tinyastro.io/en/lp/9B1ptYbgABLcLhxpiEEpmtAvK3GZWsre14wxqrXupump?handle=676050794bc1b1657a56b", "View")</f>
        <v>View</v>
      </c>
    </row>
    <row r="192" spans="1:16" x14ac:dyDescent="0.25">
      <c r="A192" s="13" t="s">
        <v>3258</v>
      </c>
      <c r="B192" s="14">
        <v>18104652</v>
      </c>
      <c r="C192" s="14">
        <v>18104652</v>
      </c>
      <c r="D192" s="14" t="s">
        <v>1595</v>
      </c>
      <c r="E192" s="14" t="s">
        <v>2902</v>
      </c>
      <c r="F192" s="14" t="s">
        <v>3259</v>
      </c>
      <c r="G192" s="22" t="s">
        <v>3260</v>
      </c>
      <c r="H192" s="22" t="s">
        <v>2221</v>
      </c>
      <c r="I192" s="14" t="s">
        <v>88</v>
      </c>
      <c r="J192" s="14">
        <v>1</v>
      </c>
      <c r="K192" s="14">
        <v>1</v>
      </c>
      <c r="L192" s="14" t="s">
        <v>3261</v>
      </c>
      <c r="M192" s="19" t="s">
        <v>2189</v>
      </c>
      <c r="N192" s="14" t="s">
        <v>2278</v>
      </c>
      <c r="O192" s="14" t="s">
        <v>3262</v>
      </c>
      <c r="P192" s="14" t="str">
        <f>HYPERLINK("https://photon-sol.tinyastro.io/en/lp/F4h1kQnEPaF6Yto6CogETjX8hNruRaP36V15YgVPpump?handle=676050794bc1b1657a56b", "View")</f>
        <v>View</v>
      </c>
    </row>
    <row r="193" spans="1:16" x14ac:dyDescent="0.25">
      <c r="A193" s="16" t="s">
        <v>3263</v>
      </c>
      <c r="B193" s="17">
        <v>64930073</v>
      </c>
      <c r="C193" s="17">
        <v>64930073</v>
      </c>
      <c r="D193" s="17" t="s">
        <v>3264</v>
      </c>
      <c r="E193" s="17" t="s">
        <v>3175</v>
      </c>
      <c r="F193" s="17" t="s">
        <v>3265</v>
      </c>
      <c r="G193" s="21" t="s">
        <v>3266</v>
      </c>
      <c r="H193" s="21" t="s">
        <v>3267</v>
      </c>
      <c r="I193" s="17" t="s">
        <v>88</v>
      </c>
      <c r="J193" s="17">
        <v>1</v>
      </c>
      <c r="K193" s="17">
        <v>18</v>
      </c>
      <c r="L193" s="17" t="s">
        <v>3268</v>
      </c>
      <c r="M193" s="17" t="s">
        <v>3269</v>
      </c>
      <c r="N193" s="17" t="s">
        <v>3270</v>
      </c>
      <c r="O193" s="17" t="s">
        <v>3271</v>
      </c>
      <c r="P193" s="17" t="str">
        <f>HYPERLINK("https://photon-sol.tinyastro.io/en/lp/zn7ozSyBA4wo38d9GSn3U6jY2EUeW7LfhK3Q55Upump?handle=676050794bc1b1657a56b", "View")</f>
        <v>View</v>
      </c>
    </row>
    <row r="194" spans="1:16" x14ac:dyDescent="0.25">
      <c r="A194" s="13" t="s">
        <v>3272</v>
      </c>
      <c r="B194" s="14">
        <v>62790443</v>
      </c>
      <c r="C194" s="14">
        <v>62790443</v>
      </c>
      <c r="D194" s="14" t="s">
        <v>1595</v>
      </c>
      <c r="E194" s="14" t="s">
        <v>3273</v>
      </c>
      <c r="F194" s="14" t="s">
        <v>3274</v>
      </c>
      <c r="G194" s="22" t="s">
        <v>3275</v>
      </c>
      <c r="H194" s="22" t="s">
        <v>3276</v>
      </c>
      <c r="I194" s="14" t="s">
        <v>88</v>
      </c>
      <c r="J194" s="14">
        <v>1</v>
      </c>
      <c r="K194" s="14">
        <v>1</v>
      </c>
      <c r="L194" s="14" t="s">
        <v>3277</v>
      </c>
      <c r="M194" s="19" t="s">
        <v>370</v>
      </c>
      <c r="N194" s="14" t="s">
        <v>2308</v>
      </c>
      <c r="O194" s="14" t="s">
        <v>3278</v>
      </c>
      <c r="P194" s="14" t="str">
        <f>HYPERLINK("https://photon-sol.tinyastro.io/en/lp/Gi8aMsTpMEkYUn4LXwzEhbYQjFP2xLK5dKevYZUcpump?handle=676050794bc1b1657a56b", "View")</f>
        <v>View</v>
      </c>
    </row>
    <row r="195" spans="1:16" x14ac:dyDescent="0.25">
      <c r="A195" s="16" t="s">
        <v>3279</v>
      </c>
      <c r="B195" s="17">
        <v>4166571</v>
      </c>
      <c r="C195" s="17">
        <v>4166571</v>
      </c>
      <c r="D195" s="17" t="s">
        <v>1595</v>
      </c>
      <c r="E195" s="17" t="s">
        <v>3280</v>
      </c>
      <c r="F195" s="17" t="s">
        <v>3281</v>
      </c>
      <c r="G195" s="22" t="s">
        <v>2897</v>
      </c>
      <c r="H195" s="22" t="s">
        <v>3282</v>
      </c>
      <c r="I195" s="17" t="s">
        <v>88</v>
      </c>
      <c r="J195" s="17">
        <v>1</v>
      </c>
      <c r="K195" s="17">
        <v>1</v>
      </c>
      <c r="L195" s="17" t="s">
        <v>3283</v>
      </c>
      <c r="M195" s="19" t="s">
        <v>2239</v>
      </c>
      <c r="N195" s="17" t="s">
        <v>3284</v>
      </c>
      <c r="O195" s="17" t="s">
        <v>3285</v>
      </c>
      <c r="P195" s="17" t="str">
        <f>HYPERLINK("https://photon-sol.tinyastro.io/en/lp/FN8sbVRP7obTaX6bEwuTY5zVvpmwFBBKNheu5kN2pump?handle=676050794bc1b1657a56b", "View")</f>
        <v>View</v>
      </c>
    </row>
    <row r="196" spans="1:16" x14ac:dyDescent="0.25">
      <c r="A196" s="13" t="s">
        <v>3286</v>
      </c>
      <c r="B196" s="14">
        <v>66986837</v>
      </c>
      <c r="C196" s="14">
        <v>66986837</v>
      </c>
      <c r="D196" s="14" t="s">
        <v>1595</v>
      </c>
      <c r="E196" s="14" t="s">
        <v>3175</v>
      </c>
      <c r="F196" s="14" t="s">
        <v>2333</v>
      </c>
      <c r="G196" s="22" t="s">
        <v>2967</v>
      </c>
      <c r="H196" s="22" t="s">
        <v>3287</v>
      </c>
      <c r="I196" s="14" t="s">
        <v>88</v>
      </c>
      <c r="J196" s="14">
        <v>1</v>
      </c>
      <c r="K196" s="14">
        <v>1</v>
      </c>
      <c r="L196" s="14" t="s">
        <v>3288</v>
      </c>
      <c r="M196" s="14" t="s">
        <v>602</v>
      </c>
      <c r="N196" s="14" t="s">
        <v>2308</v>
      </c>
      <c r="O196" s="14" t="s">
        <v>3289</v>
      </c>
      <c r="P196" s="14" t="str">
        <f>HYPERLINK("https://photon-sol.tinyastro.io/en/lp/5ujrJWPSu1jfEGxUtnCgVs8foAtAqM4XfpFitvhDpump?handle=676050794bc1b1657a56b", "View")</f>
        <v>View</v>
      </c>
    </row>
    <row r="197" spans="1:16" x14ac:dyDescent="0.25">
      <c r="A197" s="16" t="s">
        <v>3290</v>
      </c>
      <c r="B197" s="17">
        <v>17306478</v>
      </c>
      <c r="C197" s="17">
        <v>17306478</v>
      </c>
      <c r="D197" s="17" t="s">
        <v>1629</v>
      </c>
      <c r="E197" s="17" t="s">
        <v>3291</v>
      </c>
      <c r="F197" s="17" t="s">
        <v>3292</v>
      </c>
      <c r="G197" s="20" t="s">
        <v>3293</v>
      </c>
      <c r="H197" s="20" t="s">
        <v>3294</v>
      </c>
      <c r="I197" s="17" t="s">
        <v>88</v>
      </c>
      <c r="J197" s="17">
        <v>2</v>
      </c>
      <c r="K197" s="17">
        <v>2</v>
      </c>
      <c r="L197" s="17" t="s">
        <v>3295</v>
      </c>
      <c r="M197" s="17" t="s">
        <v>1642</v>
      </c>
      <c r="N197" s="17" t="s">
        <v>3296</v>
      </c>
      <c r="O197" s="17" t="s">
        <v>3297</v>
      </c>
      <c r="P197" s="17" t="str">
        <f>HYPERLINK("https://photon-sol.tinyastro.io/en/lp/9GMD5utSNhDPLo16gEQAihRLAz9H9cyCZSsCq36bpump?handle=676050794bc1b1657a56b", "View")</f>
        <v>View</v>
      </c>
    </row>
    <row r="198" spans="1:16" x14ac:dyDescent="0.25">
      <c r="A198" s="13" t="s">
        <v>3298</v>
      </c>
      <c r="B198" s="14">
        <v>2067531</v>
      </c>
      <c r="C198" s="14">
        <v>2067531</v>
      </c>
      <c r="D198" s="14" t="s">
        <v>2496</v>
      </c>
      <c r="E198" s="14" t="s">
        <v>3299</v>
      </c>
      <c r="F198" s="14" t="s">
        <v>3300</v>
      </c>
      <c r="G198" s="21" t="s">
        <v>3301</v>
      </c>
      <c r="H198" s="21" t="s">
        <v>3302</v>
      </c>
      <c r="I198" s="14" t="s">
        <v>88</v>
      </c>
      <c r="J198" s="14">
        <v>1</v>
      </c>
      <c r="K198" s="14">
        <v>13</v>
      </c>
      <c r="L198" s="14" t="s">
        <v>3303</v>
      </c>
      <c r="M198" s="14" t="s">
        <v>3304</v>
      </c>
      <c r="N198" s="14" t="s">
        <v>3305</v>
      </c>
      <c r="O198" s="14" t="s">
        <v>3306</v>
      </c>
      <c r="P198" s="14" t="str">
        <f>HYPERLINK("https://photon-sol.tinyastro.io/en/lp/EZFzgRsCwM9ub1bHKG7ZUkqmF8b5UjptMp7JeNRzpump?handle=676050794bc1b1657a56b", "View")</f>
        <v>View</v>
      </c>
    </row>
    <row r="199" spans="1:16" x14ac:dyDescent="0.25">
      <c r="A199" s="16" t="s">
        <v>3307</v>
      </c>
      <c r="B199" s="17">
        <v>320986</v>
      </c>
      <c r="C199" s="17">
        <v>320986</v>
      </c>
      <c r="D199" s="17" t="s">
        <v>1595</v>
      </c>
      <c r="E199" s="17" t="s">
        <v>1007</v>
      </c>
      <c r="F199" s="17" t="s">
        <v>3308</v>
      </c>
      <c r="G199" s="22" t="s">
        <v>3309</v>
      </c>
      <c r="H199" s="22" t="s">
        <v>3310</v>
      </c>
      <c r="I199" s="17" t="s">
        <v>88</v>
      </c>
      <c r="J199" s="17">
        <v>1</v>
      </c>
      <c r="K199" s="17">
        <v>1</v>
      </c>
      <c r="L199" s="17" t="s">
        <v>3311</v>
      </c>
      <c r="M199" s="17" t="s">
        <v>602</v>
      </c>
      <c r="N199" s="17" t="s">
        <v>3312</v>
      </c>
      <c r="O199" s="17" t="s">
        <v>3313</v>
      </c>
      <c r="P199" s="17" t="str">
        <f>HYPERLINK("https://dexscreener.com/solana/5vrNnSXf2PeF4YMdG4vHi1WzU3hf42JKzV8i7jtBmRww", "View")</f>
        <v>View</v>
      </c>
    </row>
    <row r="200" spans="1:16" x14ac:dyDescent="0.25">
      <c r="A200" s="13" t="s">
        <v>3314</v>
      </c>
      <c r="B200" s="14">
        <v>62932551</v>
      </c>
      <c r="C200" s="14">
        <v>62932551</v>
      </c>
      <c r="D200" s="14" t="s">
        <v>1595</v>
      </c>
      <c r="E200" s="14" t="s">
        <v>2296</v>
      </c>
      <c r="F200" s="14" t="s">
        <v>3315</v>
      </c>
      <c r="G200" s="22" t="s">
        <v>3316</v>
      </c>
      <c r="H200" s="22" t="s">
        <v>2306</v>
      </c>
      <c r="I200" s="14" t="s">
        <v>88</v>
      </c>
      <c r="J200" s="14">
        <v>1</v>
      </c>
      <c r="K200" s="14">
        <v>1</v>
      </c>
      <c r="L200" s="14" t="s">
        <v>3317</v>
      </c>
      <c r="M200" s="14" t="s">
        <v>1932</v>
      </c>
      <c r="N200" s="14" t="s">
        <v>2308</v>
      </c>
      <c r="O200" s="14" t="s">
        <v>3318</v>
      </c>
      <c r="P200" s="14" t="str">
        <f>HYPERLINK("https://photon-sol.tinyastro.io/en/lp/ExFMWipDANA6gx5vgDf6SBvikiChHLcZaUGSWk4upump?handle=676050794bc1b1657a56b", "View")</f>
        <v>View</v>
      </c>
    </row>
    <row r="201" spans="1:16" x14ac:dyDescent="0.25">
      <c r="A201" s="16" t="s">
        <v>3319</v>
      </c>
      <c r="B201" s="17">
        <v>1012993</v>
      </c>
      <c r="C201" s="17">
        <v>1012993</v>
      </c>
      <c r="D201" s="17" t="s">
        <v>1595</v>
      </c>
      <c r="E201" s="17" t="s">
        <v>2200</v>
      </c>
      <c r="F201" s="17" t="s">
        <v>3320</v>
      </c>
      <c r="G201" s="15" t="s">
        <v>3321</v>
      </c>
      <c r="H201" s="15" t="s">
        <v>3322</v>
      </c>
      <c r="I201" s="17" t="s">
        <v>88</v>
      </c>
      <c r="J201" s="17">
        <v>1</v>
      </c>
      <c r="K201" s="17">
        <v>1</v>
      </c>
      <c r="L201" s="17" t="s">
        <v>3323</v>
      </c>
      <c r="M201" s="19" t="s">
        <v>3324</v>
      </c>
      <c r="N201" s="17" t="s">
        <v>3325</v>
      </c>
      <c r="O201" s="17" t="s">
        <v>3326</v>
      </c>
      <c r="P201" s="17" t="str">
        <f>HYPERLINK("https://dexscreener.com/solana/BtAgwRMHrzmoGF3vXL846QqvHpwkseiDWz76Aif4pump", "View")</f>
        <v>View</v>
      </c>
    </row>
    <row r="202" spans="1:16" x14ac:dyDescent="0.25">
      <c r="A202" s="13" t="s">
        <v>558</v>
      </c>
      <c r="B202" s="14">
        <v>4445783</v>
      </c>
      <c r="C202" s="14">
        <v>4445783</v>
      </c>
      <c r="D202" s="14" t="s">
        <v>1595</v>
      </c>
      <c r="E202" s="14" t="s">
        <v>3327</v>
      </c>
      <c r="F202" s="14" t="s">
        <v>3328</v>
      </c>
      <c r="G202" s="20" t="s">
        <v>3329</v>
      </c>
      <c r="H202" s="20" t="s">
        <v>3330</v>
      </c>
      <c r="I202" s="14" t="s">
        <v>88</v>
      </c>
      <c r="J202" s="14">
        <v>1</v>
      </c>
      <c r="K202" s="14">
        <v>1</v>
      </c>
      <c r="L202" s="14" t="s">
        <v>3331</v>
      </c>
      <c r="M202" s="19" t="s">
        <v>1688</v>
      </c>
      <c r="N202" s="14" t="s">
        <v>3332</v>
      </c>
      <c r="O202" s="14" t="s">
        <v>3333</v>
      </c>
      <c r="P202" s="14" t="str">
        <f>HYPERLINK("https://photon-sol.tinyastro.io/en/lp/3doZL2XKzzLGdkjEQ9AenbNLTdNznh6b1EgZLqqrpump?handle=676050794bc1b1657a56b", "View")</f>
        <v>View</v>
      </c>
    </row>
    <row r="203" spans="1:16" x14ac:dyDescent="0.25">
      <c r="A203" s="16" t="s">
        <v>3334</v>
      </c>
      <c r="B203" s="17">
        <v>43265931</v>
      </c>
      <c r="C203" s="17">
        <v>43265931</v>
      </c>
      <c r="D203" s="17" t="s">
        <v>2611</v>
      </c>
      <c r="E203" s="17" t="s">
        <v>3175</v>
      </c>
      <c r="F203" s="17" t="s">
        <v>3335</v>
      </c>
      <c r="G203" s="21" t="s">
        <v>3336</v>
      </c>
      <c r="H203" s="21" t="s">
        <v>3337</v>
      </c>
      <c r="I203" s="17" t="s">
        <v>88</v>
      </c>
      <c r="J203" s="17">
        <v>1</v>
      </c>
      <c r="K203" s="17">
        <v>9</v>
      </c>
      <c r="L203" s="17" t="s">
        <v>3338</v>
      </c>
      <c r="M203" s="17" t="s">
        <v>937</v>
      </c>
      <c r="N203" s="17" t="s">
        <v>3339</v>
      </c>
      <c r="O203" s="17" t="s">
        <v>3340</v>
      </c>
      <c r="P203" s="17" t="str">
        <f>HYPERLINK("https://photon-sol.tinyastro.io/en/lp/AJ1JhYYnKookYLZUEoV1ApFVjZwvKW5A9LmzLBFspump?handle=676050794bc1b1657a56b", "View")</f>
        <v>View</v>
      </c>
    </row>
    <row r="204" spans="1:16" x14ac:dyDescent="0.25">
      <c r="A204" s="13" t="s">
        <v>3341</v>
      </c>
      <c r="B204" s="14">
        <v>10964474</v>
      </c>
      <c r="C204" s="14">
        <v>10964474</v>
      </c>
      <c r="D204" s="14" t="s">
        <v>1595</v>
      </c>
      <c r="E204" s="14" t="s">
        <v>3342</v>
      </c>
      <c r="F204" s="14" t="s">
        <v>3343</v>
      </c>
      <c r="G204" s="22" t="s">
        <v>3344</v>
      </c>
      <c r="H204" s="22" t="s">
        <v>3345</v>
      </c>
      <c r="I204" s="14" t="s">
        <v>88</v>
      </c>
      <c r="J204" s="14">
        <v>1</v>
      </c>
      <c r="K204" s="14">
        <v>1</v>
      </c>
      <c r="L204" s="14" t="s">
        <v>3346</v>
      </c>
      <c r="M204" s="14" t="s">
        <v>602</v>
      </c>
      <c r="N204" s="14" t="s">
        <v>3347</v>
      </c>
      <c r="O204" s="14" t="s">
        <v>3348</v>
      </c>
      <c r="P204" s="14" t="str">
        <f>HYPERLINK("https://photon-sol.tinyastro.io/en/lp/CvzrcDtowxzHDHWnjAPycS9Pp2Kp6iXNkgCAC7KXpump?handle=676050794bc1b1657a56b", "View")</f>
        <v>View</v>
      </c>
    </row>
    <row r="205" spans="1:16" x14ac:dyDescent="0.25">
      <c r="A205" s="16" t="s">
        <v>3349</v>
      </c>
      <c r="B205" s="17">
        <v>3416805</v>
      </c>
      <c r="C205" s="17">
        <v>3416805</v>
      </c>
      <c r="D205" s="17" t="s">
        <v>1604</v>
      </c>
      <c r="E205" s="17" t="s">
        <v>3350</v>
      </c>
      <c r="F205" s="17" t="s">
        <v>3351</v>
      </c>
      <c r="G205" s="21" t="s">
        <v>3352</v>
      </c>
      <c r="H205" s="21" t="s">
        <v>3353</v>
      </c>
      <c r="I205" s="17" t="s">
        <v>88</v>
      </c>
      <c r="J205" s="17">
        <v>1</v>
      </c>
      <c r="K205" s="17">
        <v>6</v>
      </c>
      <c r="L205" s="17" t="s">
        <v>3354</v>
      </c>
      <c r="M205" s="17" t="s">
        <v>3355</v>
      </c>
      <c r="N205" s="17" t="s">
        <v>3356</v>
      </c>
      <c r="O205" s="17" t="s">
        <v>3357</v>
      </c>
      <c r="P205" s="17" t="str">
        <f>HYPERLINK("https://photon-sol.tinyastro.io/en/lp/9JLsnxCqZju5ymLhMkTW6acnUxgrARqz5NAR7Acdpump?handle=676050794bc1b1657a56b", "View")</f>
        <v>View</v>
      </c>
    </row>
    <row r="206" spans="1:16" x14ac:dyDescent="0.25">
      <c r="A206" s="13" t="s">
        <v>3358</v>
      </c>
      <c r="B206" s="14">
        <v>2543625</v>
      </c>
      <c r="C206" s="14">
        <v>2543625</v>
      </c>
      <c r="D206" s="14" t="s">
        <v>1595</v>
      </c>
      <c r="E206" s="14" t="s">
        <v>3359</v>
      </c>
      <c r="F206" s="14" t="s">
        <v>3360</v>
      </c>
      <c r="G206" s="22" t="s">
        <v>2347</v>
      </c>
      <c r="H206" s="22" t="s">
        <v>3361</v>
      </c>
      <c r="I206" s="14" t="s">
        <v>88</v>
      </c>
      <c r="J206" s="14">
        <v>1</v>
      </c>
      <c r="K206" s="14">
        <v>1</v>
      </c>
      <c r="L206" s="14" t="s">
        <v>3362</v>
      </c>
      <c r="M206" s="14" t="s">
        <v>1566</v>
      </c>
      <c r="N206" s="14" t="s">
        <v>3363</v>
      </c>
      <c r="O206" s="14" t="s">
        <v>3364</v>
      </c>
      <c r="P206" s="14" t="str">
        <f>HYPERLINK("https://photon-sol.tinyastro.io/en/lp/86DTwX1M7xt4HnDZNuVUXyMLTsdGKFwuLyLBpTpBpump?handle=676050794bc1b1657a56b", "View")</f>
        <v>View</v>
      </c>
    </row>
    <row r="207" spans="1:16" x14ac:dyDescent="0.25">
      <c r="A207" s="16" t="s">
        <v>3365</v>
      </c>
      <c r="B207" s="17">
        <v>1921550</v>
      </c>
      <c r="C207" s="17">
        <v>1921550</v>
      </c>
      <c r="D207" s="17" t="s">
        <v>1646</v>
      </c>
      <c r="E207" s="17" t="s">
        <v>3366</v>
      </c>
      <c r="F207" s="17" t="s">
        <v>3367</v>
      </c>
      <c r="G207" s="20" t="s">
        <v>3368</v>
      </c>
      <c r="H207" s="20" t="s">
        <v>3369</v>
      </c>
      <c r="I207" s="17" t="s">
        <v>88</v>
      </c>
      <c r="J207" s="17">
        <v>1</v>
      </c>
      <c r="K207" s="17">
        <v>2</v>
      </c>
      <c r="L207" s="17" t="s">
        <v>3370</v>
      </c>
      <c r="M207" s="17" t="s">
        <v>602</v>
      </c>
      <c r="N207" s="17" t="s">
        <v>3371</v>
      </c>
      <c r="O207" s="17" t="s">
        <v>3372</v>
      </c>
      <c r="P207" s="17" t="str">
        <f>HYPERLINK("https://photon-sol.tinyastro.io/en/lp/GX3hMuwYemnoHSemuTJGpRidb5dyVHTiLs28xXw3pump?handle=676050794bc1b1657a56b", "View")</f>
        <v>View</v>
      </c>
    </row>
    <row r="208" spans="1:16" x14ac:dyDescent="0.25">
      <c r="A208" s="13" t="s">
        <v>3373</v>
      </c>
      <c r="B208" s="14">
        <v>2125392</v>
      </c>
      <c r="C208" s="14">
        <v>0</v>
      </c>
      <c r="D208" s="14" t="s">
        <v>2050</v>
      </c>
      <c r="E208" s="14" t="s">
        <v>1407</v>
      </c>
      <c r="F208" s="14" t="s">
        <v>96</v>
      </c>
      <c r="G208" s="18" t="s">
        <v>3374</v>
      </c>
      <c r="H208" s="18" t="s">
        <v>98</v>
      </c>
      <c r="I208" s="14" t="s">
        <v>3375</v>
      </c>
      <c r="J208" s="14">
        <v>1</v>
      </c>
      <c r="K208" s="14">
        <v>0</v>
      </c>
      <c r="L208" s="14" t="s">
        <v>3376</v>
      </c>
      <c r="M208" s="19" t="s">
        <v>101</v>
      </c>
      <c r="N208" s="14" t="s">
        <v>3377</v>
      </c>
      <c r="O208" s="14" t="s">
        <v>3378</v>
      </c>
      <c r="P208" s="14" t="str">
        <f>HYPERLINK("https://photon-sol.tinyastro.io/en/lp/BpqXJMguKsS8azKaVy4tZ4Ysm2e2f2zygZKHx8VKGKBA?handle=676050794bc1b1657a56b", "View")</f>
        <v>View</v>
      </c>
    </row>
    <row r="209" spans="1:16" x14ac:dyDescent="0.25">
      <c r="A209" s="16" t="s">
        <v>3379</v>
      </c>
      <c r="B209" s="17">
        <v>54995309</v>
      </c>
      <c r="C209" s="17">
        <v>72495309</v>
      </c>
      <c r="D209" s="17" t="s">
        <v>1646</v>
      </c>
      <c r="E209" s="17" t="s">
        <v>3175</v>
      </c>
      <c r="F209" s="17" t="s">
        <v>3380</v>
      </c>
      <c r="G209" s="21" t="s">
        <v>3381</v>
      </c>
      <c r="H209" s="21" t="s">
        <v>3382</v>
      </c>
      <c r="I209" s="17" t="s">
        <v>88</v>
      </c>
      <c r="J209" s="17">
        <v>1</v>
      </c>
      <c r="K209" s="17">
        <v>2</v>
      </c>
      <c r="L209" s="17" t="s">
        <v>3383</v>
      </c>
      <c r="M209" s="17" t="s">
        <v>788</v>
      </c>
      <c r="N209" s="17" t="s">
        <v>3384</v>
      </c>
      <c r="O209" s="17" t="s">
        <v>3385</v>
      </c>
      <c r="P209" s="17" t="str">
        <f>HYPERLINK("https://photon-sol.tinyastro.io/en/lp/FanLvKA92zbk6caxysqEB1aggWAexALEwZaBu4GWpump?handle=676050794bc1b1657a56b", "View")</f>
        <v>View</v>
      </c>
    </row>
    <row r="210" spans="1:16" x14ac:dyDescent="0.25">
      <c r="A210" s="13" t="s">
        <v>3386</v>
      </c>
      <c r="B210" s="14">
        <v>10134122</v>
      </c>
      <c r="C210" s="14">
        <v>10134122</v>
      </c>
      <c r="D210" s="14" t="s">
        <v>1595</v>
      </c>
      <c r="E210" s="14" t="s">
        <v>3299</v>
      </c>
      <c r="F210" s="14" t="s">
        <v>3387</v>
      </c>
      <c r="G210" s="20" t="s">
        <v>3388</v>
      </c>
      <c r="H210" s="20" t="s">
        <v>3389</v>
      </c>
      <c r="I210" s="14" t="s">
        <v>88</v>
      </c>
      <c r="J210" s="14">
        <v>1</v>
      </c>
      <c r="K210" s="14">
        <v>1</v>
      </c>
      <c r="L210" s="14" t="s">
        <v>3390</v>
      </c>
      <c r="M210" s="14" t="s">
        <v>1434</v>
      </c>
      <c r="N210" s="14" t="s">
        <v>1980</v>
      </c>
      <c r="O210" s="14" t="s">
        <v>3391</v>
      </c>
      <c r="P210" s="14" t="str">
        <f>HYPERLINK("https://photon-sol.tinyastro.io/en/lp/BDejaaaxb14mfKxRMAb7aGxm4JtMA4J6813JcwzQpump?handle=676050794bc1b1657a56b", "View")</f>
        <v>View</v>
      </c>
    </row>
    <row r="211" spans="1:16" x14ac:dyDescent="0.25">
      <c r="A211" s="16" t="s">
        <v>3392</v>
      </c>
      <c r="B211" s="17">
        <v>38419725</v>
      </c>
      <c r="C211" s="17">
        <v>38419725</v>
      </c>
      <c r="D211" s="17" t="s">
        <v>2611</v>
      </c>
      <c r="E211" s="17" t="s">
        <v>1457</v>
      </c>
      <c r="F211" s="17" t="s">
        <v>3393</v>
      </c>
      <c r="G211" s="21" t="s">
        <v>3394</v>
      </c>
      <c r="H211" s="21" t="s">
        <v>3395</v>
      </c>
      <c r="I211" s="17" t="s">
        <v>88</v>
      </c>
      <c r="J211" s="17">
        <v>2</v>
      </c>
      <c r="K211" s="17">
        <v>8</v>
      </c>
      <c r="L211" s="17" t="s">
        <v>3396</v>
      </c>
      <c r="M211" s="17" t="s">
        <v>179</v>
      </c>
      <c r="N211" s="17" t="s">
        <v>3397</v>
      </c>
      <c r="O211" s="17" t="s">
        <v>3398</v>
      </c>
      <c r="P211" s="17" t="str">
        <f>HYPERLINK("https://dexscreener.com/solana/9AovuJog1VyUcwRXhCheay2NsnyDwnq2tNqozvdMpump", "View")</f>
        <v>View</v>
      </c>
    </row>
    <row r="212" spans="1:16" x14ac:dyDescent="0.25">
      <c r="A212" s="13" t="s">
        <v>1205</v>
      </c>
      <c r="B212" s="14">
        <v>5079204</v>
      </c>
      <c r="C212" s="14">
        <v>5079204</v>
      </c>
      <c r="D212" s="14" t="s">
        <v>1595</v>
      </c>
      <c r="E212" s="14" t="s">
        <v>3299</v>
      </c>
      <c r="F212" s="14" t="s">
        <v>2941</v>
      </c>
      <c r="G212" s="20" t="s">
        <v>1977</v>
      </c>
      <c r="H212" s="20" t="s">
        <v>3399</v>
      </c>
      <c r="I212" s="14" t="s">
        <v>88</v>
      </c>
      <c r="J212" s="14">
        <v>1</v>
      </c>
      <c r="K212" s="14">
        <v>1</v>
      </c>
      <c r="L212" s="14" t="s">
        <v>3400</v>
      </c>
      <c r="M212" s="14" t="s">
        <v>1434</v>
      </c>
      <c r="N212" s="14" t="s">
        <v>3401</v>
      </c>
      <c r="O212" s="14" t="s">
        <v>3402</v>
      </c>
      <c r="P212" s="14" t="str">
        <f>HYPERLINK("https://photon-sol.tinyastro.io/en/lp/CJHsTTaxbJUqyfcxAdukPejhRgSc6os4yNBPHrxmpump?handle=676050794bc1b1657a56b", "View")</f>
        <v>View</v>
      </c>
    </row>
    <row r="213" spans="1:16" x14ac:dyDescent="0.25">
      <c r="A213" s="16" t="s">
        <v>3403</v>
      </c>
      <c r="B213" s="17">
        <v>9295219</v>
      </c>
      <c r="C213" s="17">
        <v>9295219</v>
      </c>
      <c r="D213" s="17" t="s">
        <v>2026</v>
      </c>
      <c r="E213" s="17" t="s">
        <v>3404</v>
      </c>
      <c r="F213" s="17" t="s">
        <v>3405</v>
      </c>
      <c r="G213" s="20" t="s">
        <v>3406</v>
      </c>
      <c r="H213" s="20" t="s">
        <v>3407</v>
      </c>
      <c r="I213" s="17" t="s">
        <v>88</v>
      </c>
      <c r="J213" s="17">
        <v>3</v>
      </c>
      <c r="K213" s="17">
        <v>2</v>
      </c>
      <c r="L213" s="17" t="s">
        <v>3408</v>
      </c>
      <c r="M213" s="17" t="s">
        <v>1642</v>
      </c>
      <c r="N213" s="17" t="s">
        <v>3409</v>
      </c>
      <c r="O213" s="17" t="s">
        <v>3410</v>
      </c>
      <c r="P213" s="17" t="str">
        <f>HYPERLINK("https://dexscreener.com/solana/B9mu3N6JzTLaAmRVN2DwGUYqaWzLLEa7QUEUgAd8pump", "View")</f>
        <v>View</v>
      </c>
    </row>
    <row r="214" spans="1:16" x14ac:dyDescent="0.25">
      <c r="A214" s="13" t="s">
        <v>3411</v>
      </c>
      <c r="B214" s="14">
        <v>11625716</v>
      </c>
      <c r="C214" s="14">
        <v>11625716</v>
      </c>
      <c r="D214" s="14" t="s">
        <v>1595</v>
      </c>
      <c r="E214" s="14" t="s">
        <v>3412</v>
      </c>
      <c r="F214" s="14" t="s">
        <v>3413</v>
      </c>
      <c r="G214" s="20" t="s">
        <v>3414</v>
      </c>
      <c r="H214" s="20" t="s">
        <v>3415</v>
      </c>
      <c r="I214" s="14" t="s">
        <v>88</v>
      </c>
      <c r="J214" s="14">
        <v>1</v>
      </c>
      <c r="K214" s="14">
        <v>1</v>
      </c>
      <c r="L214" s="14" t="s">
        <v>3416</v>
      </c>
      <c r="M214" s="19" t="s">
        <v>3076</v>
      </c>
      <c r="N214" s="14" t="s">
        <v>2585</v>
      </c>
      <c r="O214" s="14" t="s">
        <v>3417</v>
      </c>
      <c r="P214" s="14" t="str">
        <f>HYPERLINK("https://photon-sol.tinyastro.io/en/lp/ArgbCdFiD5QWa23Bzv1ztdMe2ArJC4VzW4eVC65zpump?handle=676050794bc1b1657a56b", "View")</f>
        <v>View</v>
      </c>
    </row>
    <row r="215" spans="1:16" x14ac:dyDescent="0.25">
      <c r="A215" s="16" t="s">
        <v>3418</v>
      </c>
      <c r="B215" s="17">
        <v>13372468</v>
      </c>
      <c r="C215" s="17">
        <v>13372468</v>
      </c>
      <c r="D215" s="17" t="s">
        <v>1595</v>
      </c>
      <c r="E215" s="17" t="s">
        <v>3419</v>
      </c>
      <c r="F215" s="17" t="s">
        <v>3243</v>
      </c>
      <c r="G215" s="20" t="s">
        <v>3420</v>
      </c>
      <c r="H215" s="20" t="s">
        <v>3421</v>
      </c>
      <c r="I215" s="17" t="s">
        <v>88</v>
      </c>
      <c r="J215" s="17">
        <v>1</v>
      </c>
      <c r="K215" s="17">
        <v>1</v>
      </c>
      <c r="L215" s="17" t="s">
        <v>3422</v>
      </c>
      <c r="M215" s="19" t="s">
        <v>1856</v>
      </c>
      <c r="N215" s="17" t="s">
        <v>2308</v>
      </c>
      <c r="O215" s="17" t="s">
        <v>3423</v>
      </c>
      <c r="P215" s="17" t="str">
        <f>HYPERLINK("https://photon-sol.tinyastro.io/en/lp/BFtugQt7dE2WxfugML7v9KJZAD29WCyFsF2aZj5Apump?handle=676050794bc1b1657a56b", "View")</f>
        <v>View</v>
      </c>
    </row>
    <row r="216" spans="1:16" x14ac:dyDescent="0.25">
      <c r="A216" s="13" t="s">
        <v>3424</v>
      </c>
      <c r="B216" s="14">
        <v>2856092</v>
      </c>
      <c r="C216" s="14">
        <v>2856092</v>
      </c>
      <c r="D216" s="14" t="s">
        <v>1595</v>
      </c>
      <c r="E216" s="14" t="s">
        <v>3299</v>
      </c>
      <c r="F216" s="14" t="s">
        <v>3425</v>
      </c>
      <c r="G216" s="20" t="s">
        <v>3426</v>
      </c>
      <c r="H216" s="20" t="s">
        <v>3427</v>
      </c>
      <c r="I216" s="14" t="s">
        <v>88</v>
      </c>
      <c r="J216" s="14">
        <v>1</v>
      </c>
      <c r="K216" s="14">
        <v>1</v>
      </c>
      <c r="L216" s="14" t="s">
        <v>3428</v>
      </c>
      <c r="M216" s="19" t="s">
        <v>2364</v>
      </c>
      <c r="N216" s="14" t="s">
        <v>3429</v>
      </c>
      <c r="O216" s="14" t="s">
        <v>3430</v>
      </c>
      <c r="P216" s="14" t="str">
        <f>HYPERLINK("https://photon-sol.tinyastro.io/en/lp/8cBZwHT483fs7YGfRECPEjz1taE9aEyqSpbX6rp4pump?handle=676050794bc1b1657a56b", "View")</f>
        <v>View</v>
      </c>
    </row>
    <row r="217" spans="1:16" x14ac:dyDescent="0.25">
      <c r="A217" s="16" t="s">
        <v>3431</v>
      </c>
      <c r="B217" s="17">
        <v>2482070</v>
      </c>
      <c r="C217" s="17">
        <v>2482070</v>
      </c>
      <c r="D217" s="17" t="s">
        <v>1595</v>
      </c>
      <c r="E217" s="17" t="s">
        <v>3432</v>
      </c>
      <c r="F217" s="17" t="s">
        <v>2506</v>
      </c>
      <c r="G217" s="20" t="s">
        <v>3433</v>
      </c>
      <c r="H217" s="20" t="s">
        <v>3434</v>
      </c>
      <c r="I217" s="17" t="s">
        <v>88</v>
      </c>
      <c r="J217" s="17">
        <v>1</v>
      </c>
      <c r="K217" s="17">
        <v>1</v>
      </c>
      <c r="L217" s="17" t="s">
        <v>3435</v>
      </c>
      <c r="M217" s="19" t="s">
        <v>2826</v>
      </c>
      <c r="N217" s="17" t="s">
        <v>507</v>
      </c>
      <c r="O217" s="17" t="s">
        <v>3436</v>
      </c>
      <c r="P217" s="17" t="str">
        <f>HYPERLINK("https://photon-sol.tinyastro.io/en/lp/FGyujPrqkRsmjrfZWSwgWaHio9yj4HdSr5XNmZJWYUv?handle=676050794bc1b1657a56b", "View")</f>
        <v>View</v>
      </c>
    </row>
    <row r="218" spans="1:16" x14ac:dyDescent="0.25">
      <c r="A218" s="13" t="s">
        <v>3437</v>
      </c>
      <c r="B218" s="14">
        <v>2280384</v>
      </c>
      <c r="C218" s="14">
        <v>2280384</v>
      </c>
      <c r="D218" s="14" t="s">
        <v>1595</v>
      </c>
      <c r="E218" s="14" t="s">
        <v>3299</v>
      </c>
      <c r="F218" s="14" t="s">
        <v>3438</v>
      </c>
      <c r="G218" s="22" t="s">
        <v>3439</v>
      </c>
      <c r="H218" s="22" t="s">
        <v>3440</v>
      </c>
      <c r="I218" s="14" t="s">
        <v>88</v>
      </c>
      <c r="J218" s="14">
        <v>1</v>
      </c>
      <c r="K218" s="14">
        <v>1</v>
      </c>
      <c r="L218" s="14" t="s">
        <v>3441</v>
      </c>
      <c r="M218" s="19" t="s">
        <v>2517</v>
      </c>
      <c r="N218" s="14" t="s">
        <v>3442</v>
      </c>
      <c r="O218" s="14" t="s">
        <v>3443</v>
      </c>
      <c r="P218" s="14" t="str">
        <f>HYPERLINK("https://photon-sol.tinyastro.io/en/lp/67W2WGnsxYFmRJWD14GDWHc7iYJdPYcHCxKWwUhtpump?handle=676050794bc1b1657a56b", "View")</f>
        <v>View</v>
      </c>
    </row>
    <row r="219" spans="1:16" x14ac:dyDescent="0.25">
      <c r="A219" s="16" t="s">
        <v>3444</v>
      </c>
      <c r="B219" s="17">
        <v>17566209</v>
      </c>
      <c r="C219" s="17">
        <v>17566209</v>
      </c>
      <c r="D219" s="17" t="s">
        <v>1595</v>
      </c>
      <c r="E219" s="17" t="s">
        <v>3299</v>
      </c>
      <c r="F219" s="17" t="s">
        <v>3445</v>
      </c>
      <c r="G219" s="20" t="s">
        <v>3446</v>
      </c>
      <c r="H219" s="20" t="s">
        <v>3447</v>
      </c>
      <c r="I219" s="17" t="s">
        <v>88</v>
      </c>
      <c r="J219" s="17">
        <v>1</v>
      </c>
      <c r="K219" s="17">
        <v>1</v>
      </c>
      <c r="L219" s="17" t="s">
        <v>3448</v>
      </c>
      <c r="M219" s="19" t="s">
        <v>2593</v>
      </c>
      <c r="N219" s="17" t="s">
        <v>2308</v>
      </c>
      <c r="O219" s="17" t="s">
        <v>3449</v>
      </c>
      <c r="P219" s="17" t="str">
        <f>HYPERLINK("https://photon-sol.tinyastro.io/en/lp/59eHPdN2D4rwRXEbpJPr4u2HCQ9u8G4s9F8aFf2Kpump?handle=676050794bc1b1657a56b", "View")</f>
        <v>View</v>
      </c>
    </row>
    <row r="220" spans="1:16" x14ac:dyDescent="0.25">
      <c r="A220" s="13" t="s">
        <v>3450</v>
      </c>
      <c r="B220" s="14">
        <v>6345074</v>
      </c>
      <c r="C220" s="14">
        <v>6345074</v>
      </c>
      <c r="D220" s="14" t="s">
        <v>1629</v>
      </c>
      <c r="E220" s="14" t="s">
        <v>3451</v>
      </c>
      <c r="F220" s="14" t="s">
        <v>3452</v>
      </c>
      <c r="G220" s="20" t="s">
        <v>3453</v>
      </c>
      <c r="H220" s="20" t="s">
        <v>3454</v>
      </c>
      <c r="I220" s="14" t="s">
        <v>88</v>
      </c>
      <c r="J220" s="14">
        <v>2</v>
      </c>
      <c r="K220" s="14">
        <v>2</v>
      </c>
      <c r="L220" s="14" t="s">
        <v>3455</v>
      </c>
      <c r="M220" s="14" t="s">
        <v>1434</v>
      </c>
      <c r="N220" s="14" t="s">
        <v>3456</v>
      </c>
      <c r="O220" s="14" t="s">
        <v>3457</v>
      </c>
      <c r="P220" s="14" t="str">
        <f>HYPERLINK("https://photon-sol.tinyastro.io/en/lp/ErUhvKtfeJ6M6ZepUQkzt4PPZXJZSf5aVim9LUp3pump?handle=676050794bc1b1657a56b", "View")</f>
        <v>View</v>
      </c>
    </row>
    <row r="221" spans="1:16" x14ac:dyDescent="0.25">
      <c r="A221" s="16" t="s">
        <v>3458</v>
      </c>
      <c r="B221" s="17">
        <v>1524284</v>
      </c>
      <c r="C221" s="17">
        <v>1524284</v>
      </c>
      <c r="D221" s="17" t="s">
        <v>1629</v>
      </c>
      <c r="E221" s="17" t="s">
        <v>1007</v>
      </c>
      <c r="F221" s="17" t="s">
        <v>3459</v>
      </c>
      <c r="G221" s="20" t="s">
        <v>3209</v>
      </c>
      <c r="H221" s="20" t="s">
        <v>3460</v>
      </c>
      <c r="I221" s="17" t="s">
        <v>88</v>
      </c>
      <c r="J221" s="17">
        <v>2</v>
      </c>
      <c r="K221" s="17">
        <v>2</v>
      </c>
      <c r="L221" s="17" t="s">
        <v>3461</v>
      </c>
      <c r="M221" s="17" t="s">
        <v>3462</v>
      </c>
      <c r="N221" s="17" t="s">
        <v>3463</v>
      </c>
      <c r="O221" s="17" t="s">
        <v>3464</v>
      </c>
      <c r="P221" s="17" t="str">
        <f>HYPERLINK("https://dexscreener.com/solana/JXL9547qPmBhutuVcFWownV6opuAkgxutvc6KCfpump", "View")</f>
        <v>View</v>
      </c>
    </row>
    <row r="222" spans="1:16" x14ac:dyDescent="0.25">
      <c r="A222" s="13" t="s">
        <v>3465</v>
      </c>
      <c r="B222" s="14">
        <v>10472868</v>
      </c>
      <c r="C222" s="14">
        <v>10472868</v>
      </c>
      <c r="D222" s="14" t="s">
        <v>1629</v>
      </c>
      <c r="E222" s="14" t="s">
        <v>3466</v>
      </c>
      <c r="F222" s="14" t="s">
        <v>3467</v>
      </c>
      <c r="G222" s="20" t="s">
        <v>2582</v>
      </c>
      <c r="H222" s="20" t="s">
        <v>3468</v>
      </c>
      <c r="I222" s="14" t="s">
        <v>88</v>
      </c>
      <c r="J222" s="14">
        <v>2</v>
      </c>
      <c r="K222" s="14">
        <v>2</v>
      </c>
      <c r="L222" s="14" t="s">
        <v>3469</v>
      </c>
      <c r="M222" s="14" t="s">
        <v>1434</v>
      </c>
      <c r="N222" s="14" t="s">
        <v>2411</v>
      </c>
      <c r="O222" s="14" t="s">
        <v>3470</v>
      </c>
      <c r="P222" s="14" t="str">
        <f>HYPERLINK("https://photon-sol.tinyastro.io/en/lp/9kuyyM32RNfLHz33g5idotDfDkM3Gyau1ZVM86cTpump?handle=676050794bc1b1657a56b", "View")</f>
        <v>View</v>
      </c>
    </row>
    <row r="223" spans="1:16" x14ac:dyDescent="0.25">
      <c r="A223" s="16" t="s">
        <v>3471</v>
      </c>
      <c r="B223" s="17">
        <v>2997976</v>
      </c>
      <c r="C223" s="17">
        <v>2997976</v>
      </c>
      <c r="D223" s="17" t="s">
        <v>2026</v>
      </c>
      <c r="E223" s="17" t="s">
        <v>3472</v>
      </c>
      <c r="F223" s="17" t="s">
        <v>3473</v>
      </c>
      <c r="G223" s="21" t="s">
        <v>3474</v>
      </c>
      <c r="H223" s="21" t="s">
        <v>3475</v>
      </c>
      <c r="I223" s="17" t="s">
        <v>88</v>
      </c>
      <c r="J223" s="17">
        <v>1</v>
      </c>
      <c r="K223" s="17">
        <v>4</v>
      </c>
      <c r="L223" s="17" t="s">
        <v>3476</v>
      </c>
      <c r="M223" s="17" t="s">
        <v>1610</v>
      </c>
      <c r="N223" s="17" t="s">
        <v>3477</v>
      </c>
      <c r="O223" s="17" t="s">
        <v>3478</v>
      </c>
      <c r="P223" s="17" t="str">
        <f>HYPERLINK("https://photon-sol.tinyastro.io/en/lp/4ZJpbirBT7fVewxEPx3DsLTE3ptUe2WWg25V5RcTpump?handle=676050794bc1b1657a56b", "View")</f>
        <v>View</v>
      </c>
    </row>
    <row r="224" spans="1:16" x14ac:dyDescent="0.25">
      <c r="A224" s="13" t="s">
        <v>3479</v>
      </c>
      <c r="B224" s="14">
        <v>3441349</v>
      </c>
      <c r="C224" s="14">
        <v>3441349</v>
      </c>
      <c r="D224" s="14" t="s">
        <v>1595</v>
      </c>
      <c r="E224" s="14" t="s">
        <v>3299</v>
      </c>
      <c r="F224" s="14" t="s">
        <v>3480</v>
      </c>
      <c r="G224" s="22" t="s">
        <v>3481</v>
      </c>
      <c r="H224" s="22" t="s">
        <v>3482</v>
      </c>
      <c r="I224" s="14" t="s">
        <v>88</v>
      </c>
      <c r="J224" s="14">
        <v>1</v>
      </c>
      <c r="K224" s="14">
        <v>1</v>
      </c>
      <c r="L224" s="14" t="s">
        <v>3483</v>
      </c>
      <c r="M224" s="14" t="s">
        <v>1434</v>
      </c>
      <c r="N224" s="14" t="s">
        <v>3484</v>
      </c>
      <c r="O224" s="14" t="s">
        <v>3485</v>
      </c>
      <c r="P224" s="14" t="str">
        <f>HYPERLINK("https://photon-sol.tinyastro.io/en/lp/79Dgv7q7ZQ25JoQTM7NxjQVt2DjMaZhTu9Bisz1Wpump?handle=676050794bc1b1657a56b", "View")</f>
        <v>View</v>
      </c>
    </row>
    <row r="225" spans="1:16" x14ac:dyDescent="0.25">
      <c r="A225" s="16" t="s">
        <v>3486</v>
      </c>
      <c r="B225" s="17">
        <v>15696043</v>
      </c>
      <c r="C225" s="17">
        <v>15696043</v>
      </c>
      <c r="D225" s="17" t="s">
        <v>1646</v>
      </c>
      <c r="E225" s="17" t="s">
        <v>3487</v>
      </c>
      <c r="F225" s="17" t="s">
        <v>3488</v>
      </c>
      <c r="G225" s="21" t="s">
        <v>3489</v>
      </c>
      <c r="H225" s="21" t="s">
        <v>3490</v>
      </c>
      <c r="I225" s="17" t="s">
        <v>88</v>
      </c>
      <c r="J225" s="17">
        <v>1</v>
      </c>
      <c r="K225" s="17">
        <v>2</v>
      </c>
      <c r="L225" s="17" t="s">
        <v>3491</v>
      </c>
      <c r="M225" s="19" t="s">
        <v>3492</v>
      </c>
      <c r="N225" s="17" t="s">
        <v>2316</v>
      </c>
      <c r="O225" s="17" t="s">
        <v>3493</v>
      </c>
      <c r="P225" s="17" t="str">
        <f>HYPERLINK("https://photon-sol.tinyastro.io/en/lp/26gyT2WDneQz1yBANkKDRydoGUvzXqjevvdCN35xpump?handle=676050794bc1b1657a56b", "View")</f>
        <v>View</v>
      </c>
    </row>
    <row r="226" spans="1:16" x14ac:dyDescent="0.25">
      <c r="A226" s="13" t="s">
        <v>3494</v>
      </c>
      <c r="B226" s="14">
        <v>2186237</v>
      </c>
      <c r="C226" s="14">
        <v>2186237</v>
      </c>
      <c r="D226" s="14" t="s">
        <v>1595</v>
      </c>
      <c r="E226" s="14" t="s">
        <v>3489</v>
      </c>
      <c r="F226" s="14" t="s">
        <v>3495</v>
      </c>
      <c r="G226" s="20" t="s">
        <v>3496</v>
      </c>
      <c r="H226" s="20" t="s">
        <v>3497</v>
      </c>
      <c r="I226" s="14" t="s">
        <v>88</v>
      </c>
      <c r="J226" s="14">
        <v>1</v>
      </c>
      <c r="K226" s="14">
        <v>1</v>
      </c>
      <c r="L226" s="14" t="s">
        <v>3498</v>
      </c>
      <c r="M226" s="19" t="s">
        <v>2486</v>
      </c>
      <c r="N226" s="14" t="s">
        <v>3499</v>
      </c>
      <c r="O226" s="14" t="s">
        <v>3500</v>
      </c>
      <c r="P226" s="14" t="str">
        <f>HYPERLINK("https://photon-sol.tinyastro.io/en/lp/5bKEtu1zyp9ME9JVApchEEdSEbEeZY9EgTMCYy4zpump?handle=676050794bc1b1657a56b", "View")</f>
        <v>View</v>
      </c>
    </row>
    <row r="227" spans="1:16" x14ac:dyDescent="0.25">
      <c r="A227" s="16" t="s">
        <v>3501</v>
      </c>
      <c r="B227" s="17">
        <v>2167574</v>
      </c>
      <c r="C227" s="17">
        <v>2167574</v>
      </c>
      <c r="D227" s="17" t="s">
        <v>1595</v>
      </c>
      <c r="E227" s="17" t="s">
        <v>2200</v>
      </c>
      <c r="F227" s="17" t="s">
        <v>3502</v>
      </c>
      <c r="G227" s="22" t="s">
        <v>3503</v>
      </c>
      <c r="H227" s="22" t="s">
        <v>3504</v>
      </c>
      <c r="I227" s="17" t="s">
        <v>88</v>
      </c>
      <c r="J227" s="17">
        <v>1</v>
      </c>
      <c r="K227" s="17">
        <v>1</v>
      </c>
      <c r="L227" s="17" t="s">
        <v>3505</v>
      </c>
      <c r="M227" s="19" t="s">
        <v>1721</v>
      </c>
      <c r="N227" s="17" t="s">
        <v>3506</v>
      </c>
      <c r="O227" s="17" t="s">
        <v>3507</v>
      </c>
      <c r="P227" s="17" t="str">
        <f>HYPERLINK("https://dexscreener.com/solana/D2h9V6bkFyhS9mcsjc6ND8bbzmBdsJSu468Wdq7apump", "View")</f>
        <v>View</v>
      </c>
    </row>
    <row r="228" spans="1:16" x14ac:dyDescent="0.25">
      <c r="A228" s="13" t="s">
        <v>3508</v>
      </c>
      <c r="B228" s="14">
        <v>2591603</v>
      </c>
      <c r="C228" s="14">
        <v>2591603</v>
      </c>
      <c r="D228" s="14" t="s">
        <v>1595</v>
      </c>
      <c r="E228" s="14" t="s">
        <v>3509</v>
      </c>
      <c r="F228" s="14" t="s">
        <v>3510</v>
      </c>
      <c r="G228" s="15" t="s">
        <v>3511</v>
      </c>
      <c r="H228" s="15" t="s">
        <v>3512</v>
      </c>
      <c r="I228" s="14" t="s">
        <v>88</v>
      </c>
      <c r="J228" s="14">
        <v>1</v>
      </c>
      <c r="K228" s="14">
        <v>1</v>
      </c>
      <c r="L228" s="14" t="s">
        <v>3513</v>
      </c>
      <c r="M228" s="14" t="s">
        <v>1448</v>
      </c>
      <c r="N228" s="14" t="s">
        <v>3514</v>
      </c>
      <c r="O228" s="14" t="s">
        <v>3515</v>
      </c>
      <c r="P228" s="14" t="str">
        <f>HYPERLINK("https://photon-sol.tinyastro.io/en/lp/AV5f92a5pRyv8CtzBWEfBpJRUqpj2tehaau83Asjpump?handle=676050794bc1b1657a56b", "View")</f>
        <v>View</v>
      </c>
    </row>
    <row r="229" spans="1:16" x14ac:dyDescent="0.25">
      <c r="A229" s="16" t="s">
        <v>3516</v>
      </c>
      <c r="B229" s="17">
        <v>2442246</v>
      </c>
      <c r="C229" s="17">
        <v>2442246</v>
      </c>
      <c r="D229" s="17" t="s">
        <v>1595</v>
      </c>
      <c r="E229" s="17" t="s">
        <v>2200</v>
      </c>
      <c r="F229" s="17" t="s">
        <v>2456</v>
      </c>
      <c r="G229" s="15" t="s">
        <v>2538</v>
      </c>
      <c r="H229" s="15" t="s">
        <v>3517</v>
      </c>
      <c r="I229" s="17" t="s">
        <v>88</v>
      </c>
      <c r="J229" s="17">
        <v>1</v>
      </c>
      <c r="K229" s="17">
        <v>1</v>
      </c>
      <c r="L229" s="17" t="s">
        <v>3518</v>
      </c>
      <c r="M229" s="17" t="s">
        <v>602</v>
      </c>
      <c r="N229" s="17" t="s">
        <v>3519</v>
      </c>
      <c r="O229" s="17" t="s">
        <v>3520</v>
      </c>
      <c r="P229" s="17" t="str">
        <f>HYPERLINK("https://dexscreener.com/solana/3xDgTdh5hYFjmMYTJckcnofkgFL3KLsp3t9kFeeLpump", "View")</f>
        <v>View</v>
      </c>
    </row>
    <row r="230" spans="1:16" x14ac:dyDescent="0.25">
      <c r="A230" s="13" t="s">
        <v>3521</v>
      </c>
      <c r="B230" s="14">
        <v>6884323</v>
      </c>
      <c r="C230" s="14">
        <v>6884323</v>
      </c>
      <c r="D230" s="14" t="s">
        <v>1595</v>
      </c>
      <c r="E230" s="14" t="s">
        <v>3522</v>
      </c>
      <c r="F230" s="14" t="s">
        <v>3523</v>
      </c>
      <c r="G230" s="21" t="s">
        <v>3524</v>
      </c>
      <c r="H230" s="21" t="s">
        <v>3525</v>
      </c>
      <c r="I230" s="14" t="s">
        <v>88</v>
      </c>
      <c r="J230" s="14">
        <v>1</v>
      </c>
      <c r="K230" s="14">
        <v>1</v>
      </c>
      <c r="L230" s="14" t="s">
        <v>3526</v>
      </c>
      <c r="M230" s="14" t="s">
        <v>1434</v>
      </c>
      <c r="N230" s="14" t="s">
        <v>3527</v>
      </c>
      <c r="O230" s="14" t="s">
        <v>3528</v>
      </c>
      <c r="P230" s="14" t="str">
        <f>HYPERLINK("https://photon-sol.tinyastro.io/en/lp/CMWsY4SU8H8RBRzWGBH5TZQsefuGunbUwfQg8Whmpump?handle=676050794bc1b1657a56b", "View")</f>
        <v>View</v>
      </c>
    </row>
    <row r="231" spans="1:16" x14ac:dyDescent="0.25">
      <c r="A231" s="16" t="s">
        <v>3529</v>
      </c>
      <c r="B231" s="17">
        <v>17490669</v>
      </c>
      <c r="C231" s="17">
        <v>17490669</v>
      </c>
      <c r="D231" s="17" t="s">
        <v>1595</v>
      </c>
      <c r="E231" s="17" t="s">
        <v>3530</v>
      </c>
      <c r="F231" s="17" t="s">
        <v>3366</v>
      </c>
      <c r="G231" s="22" t="s">
        <v>3531</v>
      </c>
      <c r="H231" s="22" t="s">
        <v>3532</v>
      </c>
      <c r="I231" s="17" t="s">
        <v>88</v>
      </c>
      <c r="J231" s="17">
        <v>1</v>
      </c>
      <c r="K231" s="17">
        <v>1</v>
      </c>
      <c r="L231" s="17" t="s">
        <v>3533</v>
      </c>
      <c r="M231" s="17" t="s">
        <v>3171</v>
      </c>
      <c r="N231" s="17" t="s">
        <v>2308</v>
      </c>
      <c r="O231" s="17" t="s">
        <v>3534</v>
      </c>
      <c r="P231" s="17" t="str">
        <f>HYPERLINK("https://photon-sol.tinyastro.io/en/lp/9UhD4uq2Yx4UC7B622xw1obguSvMnvcQoPSMWd1Npump?handle=676050794bc1b1657a56b", "View")</f>
        <v>View</v>
      </c>
    </row>
    <row r="232" spans="1:16" x14ac:dyDescent="0.25">
      <c r="A232" s="13" t="s">
        <v>3535</v>
      </c>
      <c r="B232" s="14">
        <v>1697698</v>
      </c>
      <c r="C232" s="14">
        <v>1697698</v>
      </c>
      <c r="D232" s="14" t="s">
        <v>1595</v>
      </c>
      <c r="E232" s="14" t="s">
        <v>3359</v>
      </c>
      <c r="F232" s="14" t="s">
        <v>3536</v>
      </c>
      <c r="G232" s="20" t="s">
        <v>3537</v>
      </c>
      <c r="H232" s="20" t="s">
        <v>3538</v>
      </c>
      <c r="I232" s="14" t="s">
        <v>88</v>
      </c>
      <c r="J232" s="14">
        <v>1</v>
      </c>
      <c r="K232" s="14">
        <v>1</v>
      </c>
      <c r="L232" s="14" t="s">
        <v>3539</v>
      </c>
      <c r="M232" s="14" t="s">
        <v>1705</v>
      </c>
      <c r="N232" s="14" t="s">
        <v>3540</v>
      </c>
      <c r="O232" s="14" t="s">
        <v>3541</v>
      </c>
      <c r="P232" s="14" t="str">
        <f>HYPERLINK("https://photon-sol.tinyastro.io/en/lp/9mPhi8igftGrF7ySZMSCwjST5awUVenqHv6njThjpump?handle=676050794bc1b1657a56b", "View")</f>
        <v>View</v>
      </c>
    </row>
    <row r="233" spans="1:16" x14ac:dyDescent="0.25">
      <c r="A233" s="16" t="s">
        <v>575</v>
      </c>
      <c r="B233" s="17">
        <v>1375277</v>
      </c>
      <c r="C233" s="17">
        <v>1375277</v>
      </c>
      <c r="D233" s="17" t="s">
        <v>2643</v>
      </c>
      <c r="E233" s="17" t="s">
        <v>2200</v>
      </c>
      <c r="F233" s="17" t="s">
        <v>3542</v>
      </c>
      <c r="G233" s="21" t="s">
        <v>3543</v>
      </c>
      <c r="H233" s="21" t="s">
        <v>3544</v>
      </c>
      <c r="I233" s="17" t="s">
        <v>88</v>
      </c>
      <c r="J233" s="17">
        <v>1</v>
      </c>
      <c r="K233" s="17">
        <v>27</v>
      </c>
      <c r="L233" s="17" t="s">
        <v>3545</v>
      </c>
      <c r="M233" s="17" t="s">
        <v>179</v>
      </c>
      <c r="N233" s="17" t="s">
        <v>3546</v>
      </c>
      <c r="O233" s="17" t="s">
        <v>583</v>
      </c>
      <c r="P233" s="17" t="str">
        <f>HYPERLINK("https://dexscreener.com/solana/9PR7nCP9DpcUotnDPVLUBUZKu5WAYkwrCUx9wDnSpump", "View")</f>
        <v>View</v>
      </c>
    </row>
    <row r="234" spans="1:16" x14ac:dyDescent="0.25">
      <c r="A234" s="13" t="s">
        <v>3547</v>
      </c>
      <c r="B234" s="14">
        <v>4372113</v>
      </c>
      <c r="C234" s="14">
        <v>4372113</v>
      </c>
      <c r="D234" s="14" t="s">
        <v>1595</v>
      </c>
      <c r="E234" s="14" t="s">
        <v>3299</v>
      </c>
      <c r="F234" s="14" t="s">
        <v>3548</v>
      </c>
      <c r="G234" s="20" t="s">
        <v>3549</v>
      </c>
      <c r="H234" s="20" t="s">
        <v>3550</v>
      </c>
      <c r="I234" s="14" t="s">
        <v>88</v>
      </c>
      <c r="J234" s="14">
        <v>1</v>
      </c>
      <c r="K234" s="14">
        <v>1</v>
      </c>
      <c r="L234" s="14" t="s">
        <v>3551</v>
      </c>
      <c r="M234" s="19" t="s">
        <v>2826</v>
      </c>
      <c r="N234" s="14" t="s">
        <v>507</v>
      </c>
      <c r="O234" s="14" t="s">
        <v>3552</v>
      </c>
      <c r="P234" s="14" t="str">
        <f>HYPERLINK("https://photon-sol.tinyastro.io/en/lp/6NTqKNWqbeJetdnTsbZhshJ5uEhi2gnMakWiDaGLBEEo?handle=676050794bc1b1657a56b", "View")</f>
        <v>View</v>
      </c>
    </row>
    <row r="235" spans="1:16" x14ac:dyDescent="0.25">
      <c r="A235" s="16" t="s">
        <v>3553</v>
      </c>
      <c r="B235" s="17">
        <v>4250110</v>
      </c>
      <c r="C235" s="17">
        <v>4250110</v>
      </c>
      <c r="D235" s="17" t="s">
        <v>1595</v>
      </c>
      <c r="E235" s="17" t="s">
        <v>3554</v>
      </c>
      <c r="F235" s="17" t="s">
        <v>3555</v>
      </c>
      <c r="G235" s="22" t="s">
        <v>3556</v>
      </c>
      <c r="H235" s="22" t="s">
        <v>3557</v>
      </c>
      <c r="I235" s="17" t="s">
        <v>88</v>
      </c>
      <c r="J235" s="17">
        <v>1</v>
      </c>
      <c r="K235" s="17">
        <v>1</v>
      </c>
      <c r="L235" s="17" t="s">
        <v>3558</v>
      </c>
      <c r="M235" s="19" t="s">
        <v>2239</v>
      </c>
      <c r="N235" s="17" t="s">
        <v>3559</v>
      </c>
      <c r="O235" s="17" t="s">
        <v>3560</v>
      </c>
      <c r="P235" s="17" t="str">
        <f>HYPERLINK("https://photon-sol.tinyastro.io/en/lp/HfXCm49oY1xxfHdHH4qiiKHEz1aYzssT8DKHWYE5pump?handle=676050794bc1b1657a56b", "View")</f>
        <v>View</v>
      </c>
    </row>
    <row r="236" spans="1:16" x14ac:dyDescent="0.25">
      <c r="A236" s="13" t="s">
        <v>3561</v>
      </c>
      <c r="B236" s="14">
        <v>8059876</v>
      </c>
      <c r="C236" s="14">
        <v>8059876</v>
      </c>
      <c r="D236" s="14" t="s">
        <v>1595</v>
      </c>
      <c r="E236" s="14" t="s">
        <v>3562</v>
      </c>
      <c r="F236" s="14" t="s">
        <v>3563</v>
      </c>
      <c r="G236" s="15" t="s">
        <v>3564</v>
      </c>
      <c r="H236" s="15" t="s">
        <v>3565</v>
      </c>
      <c r="I236" s="14" t="s">
        <v>88</v>
      </c>
      <c r="J236" s="14">
        <v>1</v>
      </c>
      <c r="K236" s="14">
        <v>1</v>
      </c>
      <c r="L236" s="14" t="s">
        <v>3566</v>
      </c>
      <c r="M236" s="19" t="s">
        <v>1730</v>
      </c>
      <c r="N236" s="14" t="s">
        <v>3567</v>
      </c>
      <c r="O236" s="14" t="s">
        <v>3568</v>
      </c>
      <c r="P236" s="14" t="str">
        <f>HYPERLINK("https://photon-sol.tinyastro.io/en/lp/8CM7bYF3UBZNk8Mv5prYhP64Ta5G4C4NbCrqGchfpump?handle=676050794bc1b1657a56b", "View")</f>
        <v>View</v>
      </c>
    </row>
    <row r="237" spans="1:16" x14ac:dyDescent="0.25">
      <c r="A237" s="16" t="s">
        <v>3569</v>
      </c>
      <c r="B237" s="17">
        <v>2592534</v>
      </c>
      <c r="C237" s="17">
        <v>2592534</v>
      </c>
      <c r="D237" s="17" t="s">
        <v>1595</v>
      </c>
      <c r="E237" s="17" t="s">
        <v>3432</v>
      </c>
      <c r="F237" s="17" t="s">
        <v>3570</v>
      </c>
      <c r="G237" s="20" t="s">
        <v>3571</v>
      </c>
      <c r="H237" s="20" t="s">
        <v>3572</v>
      </c>
      <c r="I237" s="17" t="s">
        <v>88</v>
      </c>
      <c r="J237" s="17">
        <v>1</v>
      </c>
      <c r="K237" s="17">
        <v>1</v>
      </c>
      <c r="L237" s="17" t="s">
        <v>3573</v>
      </c>
      <c r="M237" s="17" t="s">
        <v>1448</v>
      </c>
      <c r="N237" s="17" t="s">
        <v>3574</v>
      </c>
      <c r="O237" s="17" t="s">
        <v>3575</v>
      </c>
      <c r="P237" s="17" t="str">
        <f>HYPERLINK("https://photon-sol.tinyastro.io/en/lp/HxiPu2T4EXfTo33RCvkihRSxUT11Z7ow6yHM7arHpump?handle=676050794bc1b1657a56b", "View")</f>
        <v>View</v>
      </c>
    </row>
    <row r="238" spans="1:16" x14ac:dyDescent="0.25">
      <c r="A238" s="13" t="s">
        <v>3576</v>
      </c>
      <c r="B238" s="14">
        <v>2843293</v>
      </c>
      <c r="C238" s="14">
        <v>2843293</v>
      </c>
      <c r="D238" s="14" t="s">
        <v>2026</v>
      </c>
      <c r="E238" s="14" t="s">
        <v>3577</v>
      </c>
      <c r="F238" s="14" t="s">
        <v>3578</v>
      </c>
      <c r="G238" s="21" t="s">
        <v>2463</v>
      </c>
      <c r="H238" s="21" t="s">
        <v>3579</v>
      </c>
      <c r="I238" s="14" t="s">
        <v>88</v>
      </c>
      <c r="J238" s="14">
        <v>1</v>
      </c>
      <c r="K238" s="14">
        <v>4</v>
      </c>
      <c r="L238" s="14" t="s">
        <v>3580</v>
      </c>
      <c r="M238" s="14" t="s">
        <v>1957</v>
      </c>
      <c r="N238" s="14" t="s">
        <v>3581</v>
      </c>
      <c r="O238" s="14" t="s">
        <v>3582</v>
      </c>
      <c r="P238" s="14" t="str">
        <f>HYPERLINK("https://photon-sol.tinyastro.io/en/lp/HJzqBShbLXjNFkhW4qXGKy18AHbZUkPnoDo1t3T6pump?handle=676050794bc1b1657a56b", "View")</f>
        <v>View</v>
      </c>
    </row>
    <row r="239" spans="1:16" x14ac:dyDescent="0.25">
      <c r="A239" s="16" t="s">
        <v>3583</v>
      </c>
      <c r="B239" s="17">
        <v>443540</v>
      </c>
      <c r="C239" s="17">
        <v>443540</v>
      </c>
      <c r="D239" s="17" t="s">
        <v>1595</v>
      </c>
      <c r="E239" s="17" t="s">
        <v>2200</v>
      </c>
      <c r="F239" s="17" t="s">
        <v>3584</v>
      </c>
      <c r="G239" s="22" t="s">
        <v>2897</v>
      </c>
      <c r="H239" s="22" t="s">
        <v>3585</v>
      </c>
      <c r="I239" s="17" t="s">
        <v>88</v>
      </c>
      <c r="J239" s="17">
        <v>1</v>
      </c>
      <c r="K239" s="17">
        <v>1</v>
      </c>
      <c r="L239" s="17" t="s">
        <v>3586</v>
      </c>
      <c r="M239" s="17" t="s">
        <v>1434</v>
      </c>
      <c r="N239" s="17" t="s">
        <v>3587</v>
      </c>
      <c r="O239" s="17" t="s">
        <v>3588</v>
      </c>
      <c r="P239" s="17" t="str">
        <f>HYPERLINK("https://dexscreener.com/solana/9U6USdExcmwm8XEefJxFP6kejzJqxgxDRsy4UwUBpump", "View")</f>
        <v>View</v>
      </c>
    </row>
    <row r="240" spans="1:16" x14ac:dyDescent="0.25">
      <c r="A240" s="13" t="s">
        <v>3589</v>
      </c>
      <c r="B240" s="14">
        <v>5136178</v>
      </c>
      <c r="C240" s="14">
        <v>5136178</v>
      </c>
      <c r="D240" s="14" t="s">
        <v>1595</v>
      </c>
      <c r="E240" s="14" t="s">
        <v>3299</v>
      </c>
      <c r="F240" s="14" t="s">
        <v>2443</v>
      </c>
      <c r="G240" s="20" t="s">
        <v>2059</v>
      </c>
      <c r="H240" s="20" t="s">
        <v>3590</v>
      </c>
      <c r="I240" s="14" t="s">
        <v>88</v>
      </c>
      <c r="J240" s="14">
        <v>1</v>
      </c>
      <c r="K240" s="14">
        <v>1</v>
      </c>
      <c r="L240" s="14" t="s">
        <v>3591</v>
      </c>
      <c r="M240" s="14" t="s">
        <v>1434</v>
      </c>
      <c r="N240" s="14" t="s">
        <v>3592</v>
      </c>
      <c r="O240" s="14" t="s">
        <v>3593</v>
      </c>
      <c r="P240" s="14" t="str">
        <f>HYPERLINK("https://photon-sol.tinyastro.io/en/lp/Gf4Yzu3yCU8pg2xtwU7PRsQy2Ts4XhFa5D8DbeSWpump?handle=676050794bc1b1657a56b", "View")</f>
        <v>View</v>
      </c>
    </row>
    <row r="241" spans="1:16" x14ac:dyDescent="0.25">
      <c r="A241" s="16" t="s">
        <v>3594</v>
      </c>
      <c r="B241" s="17">
        <v>9686495</v>
      </c>
      <c r="C241" s="17">
        <v>9686495</v>
      </c>
      <c r="D241" s="17" t="s">
        <v>1629</v>
      </c>
      <c r="E241" s="17" t="s">
        <v>3299</v>
      </c>
      <c r="F241" s="17" t="s">
        <v>2660</v>
      </c>
      <c r="G241" s="21" t="s">
        <v>3595</v>
      </c>
      <c r="H241" s="21" t="s">
        <v>3596</v>
      </c>
      <c r="I241" s="17" t="s">
        <v>88</v>
      </c>
      <c r="J241" s="17">
        <v>1</v>
      </c>
      <c r="K241" s="17">
        <v>3</v>
      </c>
      <c r="L241" s="17" t="s">
        <v>3597</v>
      </c>
      <c r="M241" s="17" t="s">
        <v>3136</v>
      </c>
      <c r="N241" s="17" t="s">
        <v>3598</v>
      </c>
      <c r="O241" s="17" t="s">
        <v>3599</v>
      </c>
      <c r="P241" s="17" t="str">
        <f>HYPERLINK("https://photon-sol.tinyastro.io/en/lp/Hu5ZquXYqxNSFyAB1RbowegjjP37d7XqLdoJTLLopump?handle=676050794bc1b1657a56b", "View")</f>
        <v>View</v>
      </c>
    </row>
    <row r="242" spans="1:16" x14ac:dyDescent="0.25">
      <c r="A242" s="13" t="s">
        <v>3600</v>
      </c>
      <c r="B242" s="14">
        <v>21135266</v>
      </c>
      <c r="C242" s="14">
        <v>26135266</v>
      </c>
      <c r="D242" s="14" t="s">
        <v>3601</v>
      </c>
      <c r="E242" s="14" t="s">
        <v>3602</v>
      </c>
      <c r="F242" s="14" t="s">
        <v>3603</v>
      </c>
      <c r="G242" s="21" t="s">
        <v>3604</v>
      </c>
      <c r="H242" s="21" t="s">
        <v>3605</v>
      </c>
      <c r="I242" s="14" t="s">
        <v>88</v>
      </c>
      <c r="J242" s="14">
        <v>2</v>
      </c>
      <c r="K242" s="14">
        <v>11</v>
      </c>
      <c r="L242" s="14" t="s">
        <v>3606</v>
      </c>
      <c r="M242" s="14" t="s">
        <v>980</v>
      </c>
      <c r="N242" s="14" t="s">
        <v>3607</v>
      </c>
      <c r="O242" s="14" t="s">
        <v>3608</v>
      </c>
      <c r="P242" s="14" t="str">
        <f>HYPERLINK("https://photon-sol.tinyastro.io/en/lp/cecCwCa6sggKyYWfXW6wCtgpyq66F7EiGsy7ow3pump?handle=676050794bc1b1657a56b", "View")</f>
        <v>View</v>
      </c>
    </row>
    <row r="243" spans="1:16" x14ac:dyDescent="0.25">
      <c r="A243" s="16" t="s">
        <v>3609</v>
      </c>
      <c r="B243" s="17">
        <v>1614452</v>
      </c>
      <c r="C243" s="17">
        <v>1614452</v>
      </c>
      <c r="D243" s="17" t="s">
        <v>1595</v>
      </c>
      <c r="E243" s="17" t="s">
        <v>2200</v>
      </c>
      <c r="F243" s="17" t="s">
        <v>3610</v>
      </c>
      <c r="G243" s="20" t="s">
        <v>3611</v>
      </c>
      <c r="H243" s="20" t="s">
        <v>3612</v>
      </c>
      <c r="I243" s="17" t="s">
        <v>88</v>
      </c>
      <c r="J243" s="17">
        <v>1</v>
      </c>
      <c r="K243" s="17">
        <v>1</v>
      </c>
      <c r="L243" s="17" t="s">
        <v>3613</v>
      </c>
      <c r="M243" s="17" t="s">
        <v>1434</v>
      </c>
      <c r="N243" s="17" t="s">
        <v>3614</v>
      </c>
      <c r="O243" s="17" t="s">
        <v>3615</v>
      </c>
      <c r="P243" s="17" t="str">
        <f>HYPERLINK("https://dexscreener.com/solana/CPCd7iEztRBCsJoyPhC2yArnx5EH8MqxbC4jXJCqpump", "View")</f>
        <v>View</v>
      </c>
    </row>
    <row r="244" spans="1:16" x14ac:dyDescent="0.25">
      <c r="A244" s="13" t="s">
        <v>3616</v>
      </c>
      <c r="B244" s="14">
        <v>7432449</v>
      </c>
      <c r="C244" s="14">
        <v>7432449</v>
      </c>
      <c r="D244" s="14" t="s">
        <v>1629</v>
      </c>
      <c r="E244" s="14" t="s">
        <v>2902</v>
      </c>
      <c r="F244" s="14" t="s">
        <v>3617</v>
      </c>
      <c r="G244" s="20" t="s">
        <v>3618</v>
      </c>
      <c r="H244" s="20" t="s">
        <v>1633</v>
      </c>
      <c r="I244" s="14" t="s">
        <v>88</v>
      </c>
      <c r="J244" s="14">
        <v>2</v>
      </c>
      <c r="K244" s="14">
        <v>2</v>
      </c>
      <c r="L244" s="14" t="s">
        <v>3619</v>
      </c>
      <c r="M244" s="14" t="s">
        <v>788</v>
      </c>
      <c r="N244" s="14" t="s">
        <v>3620</v>
      </c>
      <c r="O244" s="14" t="s">
        <v>3621</v>
      </c>
      <c r="P244" s="14" t="str">
        <f>HYPERLINK("https://photon-sol.tinyastro.io/en/lp/CAA1xQyxhUTZhgvMvxs1wfoLSUQ5CjxgJCY9qH31pump?handle=676050794bc1b1657a56b", "View")</f>
        <v>View</v>
      </c>
    </row>
    <row r="245" spans="1:16" x14ac:dyDescent="0.25">
      <c r="A245" s="16" t="s">
        <v>3622</v>
      </c>
      <c r="B245" s="17">
        <v>12106616</v>
      </c>
      <c r="C245" s="17">
        <v>12106616</v>
      </c>
      <c r="D245" s="17" t="s">
        <v>1595</v>
      </c>
      <c r="E245" s="17" t="s">
        <v>3299</v>
      </c>
      <c r="F245" s="17" t="s">
        <v>3045</v>
      </c>
      <c r="G245" s="20" t="s">
        <v>3623</v>
      </c>
      <c r="H245" s="20" t="s">
        <v>3624</v>
      </c>
      <c r="I245" s="17" t="s">
        <v>88</v>
      </c>
      <c r="J245" s="17">
        <v>1</v>
      </c>
      <c r="K245" s="17">
        <v>1</v>
      </c>
      <c r="L245" s="17" t="s">
        <v>3625</v>
      </c>
      <c r="M245" s="19" t="s">
        <v>3626</v>
      </c>
      <c r="N245" s="17" t="s">
        <v>1011</v>
      </c>
      <c r="O245" s="17" t="s">
        <v>3627</v>
      </c>
      <c r="P245" s="17" t="str">
        <f>HYPERLINK("https://photon-sol.tinyastro.io/en/lp/EirTE5BwDZm945KcrYzfwPGVYxzNYdGkHsFuLUK5pump?handle=676050794bc1b1657a56b", "View")</f>
        <v>View</v>
      </c>
    </row>
    <row r="246" spans="1:16" x14ac:dyDescent="0.25">
      <c r="A246" s="13" t="s">
        <v>3628</v>
      </c>
      <c r="B246" s="14">
        <v>4780873</v>
      </c>
      <c r="C246" s="14">
        <v>4780873</v>
      </c>
      <c r="D246" s="14" t="s">
        <v>1595</v>
      </c>
      <c r="E246" s="14" t="s">
        <v>3299</v>
      </c>
      <c r="F246" s="14" t="s">
        <v>3629</v>
      </c>
      <c r="G246" s="20" t="s">
        <v>3630</v>
      </c>
      <c r="H246" s="20" t="s">
        <v>3631</v>
      </c>
      <c r="I246" s="14" t="s">
        <v>88</v>
      </c>
      <c r="J246" s="14">
        <v>1</v>
      </c>
      <c r="K246" s="14">
        <v>1</v>
      </c>
      <c r="L246" s="14" t="s">
        <v>3632</v>
      </c>
      <c r="M246" s="19" t="s">
        <v>1752</v>
      </c>
      <c r="N246" s="14" t="s">
        <v>3633</v>
      </c>
      <c r="O246" s="14" t="s">
        <v>3634</v>
      </c>
      <c r="P246" s="14" t="str">
        <f>HYPERLINK("https://photon-sol.tinyastro.io/en/lp/Bh8nfdNZrjyE6eNAJ5GLJWXm8KuhYfR5Vgot8cP7pump?handle=676050794bc1b1657a56b", "View")</f>
        <v>View</v>
      </c>
    </row>
    <row r="247" spans="1:16" x14ac:dyDescent="0.25">
      <c r="A247" s="16" t="s">
        <v>3635</v>
      </c>
      <c r="B247" s="17">
        <v>2030654</v>
      </c>
      <c r="C247" s="17">
        <v>2030654</v>
      </c>
      <c r="D247" s="17" t="s">
        <v>1595</v>
      </c>
      <c r="E247" s="17" t="s">
        <v>3636</v>
      </c>
      <c r="F247" s="17" t="s">
        <v>3637</v>
      </c>
      <c r="G247" s="20" t="s">
        <v>3638</v>
      </c>
      <c r="H247" s="20" t="s">
        <v>3639</v>
      </c>
      <c r="I247" s="17" t="s">
        <v>88</v>
      </c>
      <c r="J247" s="17">
        <v>1</v>
      </c>
      <c r="K247" s="17">
        <v>1</v>
      </c>
      <c r="L247" s="17" t="s">
        <v>3640</v>
      </c>
      <c r="M247" s="17" t="s">
        <v>602</v>
      </c>
      <c r="N247" s="17" t="s">
        <v>3641</v>
      </c>
      <c r="O247" s="17" t="s">
        <v>3642</v>
      </c>
      <c r="P247" s="17" t="str">
        <f>HYPERLINK("https://photon-sol.tinyastro.io/en/lp/7LqKdeAc7eM6hABavHaqpotNKubxVrhSkoPchcaUpump?handle=676050794bc1b1657a56b", "View")</f>
        <v>View</v>
      </c>
    </row>
    <row r="248" spans="1:16" x14ac:dyDescent="0.25">
      <c r="A248" s="13" t="s">
        <v>3643</v>
      </c>
      <c r="B248" s="14">
        <v>7809157</v>
      </c>
      <c r="C248" s="14">
        <v>7809157</v>
      </c>
      <c r="D248" s="14" t="s">
        <v>1646</v>
      </c>
      <c r="E248" s="14" t="s">
        <v>3299</v>
      </c>
      <c r="F248" s="14" t="s">
        <v>3644</v>
      </c>
      <c r="G248" s="22" t="s">
        <v>3645</v>
      </c>
      <c r="H248" s="22" t="s">
        <v>3646</v>
      </c>
      <c r="I248" s="14" t="s">
        <v>88</v>
      </c>
      <c r="J248" s="14">
        <v>1</v>
      </c>
      <c r="K248" s="14">
        <v>2</v>
      </c>
      <c r="L248" s="14" t="s">
        <v>3647</v>
      </c>
      <c r="M248" s="14" t="s">
        <v>132</v>
      </c>
      <c r="N248" s="14" t="s">
        <v>3648</v>
      </c>
      <c r="O248" s="14" t="s">
        <v>3649</v>
      </c>
      <c r="P248" s="14" t="str">
        <f>HYPERLINK("https://photon-sol.tinyastro.io/en/lp/96n2CYd8Vh8EnbB2XSQzdDmgpVyf7Jb36BX2jDJNpump?handle=676050794bc1b1657a56b", "View")</f>
        <v>View</v>
      </c>
    </row>
    <row r="249" spans="1:16" x14ac:dyDescent="0.25">
      <c r="A249" s="16" t="s">
        <v>3650</v>
      </c>
      <c r="B249" s="17">
        <v>6668131</v>
      </c>
      <c r="C249" s="17">
        <v>6668131</v>
      </c>
      <c r="D249" s="17" t="s">
        <v>1595</v>
      </c>
      <c r="E249" s="17" t="s">
        <v>3299</v>
      </c>
      <c r="F249" s="17" t="s">
        <v>3651</v>
      </c>
      <c r="G249" s="20" t="s">
        <v>3652</v>
      </c>
      <c r="H249" s="20" t="s">
        <v>3653</v>
      </c>
      <c r="I249" s="17" t="s">
        <v>88</v>
      </c>
      <c r="J249" s="17">
        <v>1</v>
      </c>
      <c r="K249" s="17">
        <v>1</v>
      </c>
      <c r="L249" s="17" t="s">
        <v>3654</v>
      </c>
      <c r="M249" s="19" t="s">
        <v>2292</v>
      </c>
      <c r="N249" s="17" t="s">
        <v>3655</v>
      </c>
      <c r="O249" s="17" t="s">
        <v>3656</v>
      </c>
      <c r="P249" s="17" t="str">
        <f>HYPERLINK("https://photon-sol.tinyastro.io/en/lp/8uccgTVU9bdjfZagdGzchrPS7j8F4kk6PYKZaK6Hpump?handle=676050794bc1b1657a56b", "View")</f>
        <v>View</v>
      </c>
    </row>
    <row r="250" spans="1:16" x14ac:dyDescent="0.25">
      <c r="A250" s="13" t="s">
        <v>3657</v>
      </c>
      <c r="B250" s="14">
        <v>13110517</v>
      </c>
      <c r="C250" s="14">
        <v>13110517</v>
      </c>
      <c r="D250" s="14" t="s">
        <v>1646</v>
      </c>
      <c r="E250" s="14" t="s">
        <v>2575</v>
      </c>
      <c r="F250" s="14" t="s">
        <v>3658</v>
      </c>
      <c r="G250" s="22" t="s">
        <v>3659</v>
      </c>
      <c r="H250" s="22" t="s">
        <v>3660</v>
      </c>
      <c r="I250" s="14" t="s">
        <v>88</v>
      </c>
      <c r="J250" s="14">
        <v>1</v>
      </c>
      <c r="K250" s="14">
        <v>2</v>
      </c>
      <c r="L250" s="14" t="s">
        <v>3661</v>
      </c>
      <c r="M250" s="14" t="s">
        <v>1610</v>
      </c>
      <c r="N250" s="14" t="s">
        <v>2223</v>
      </c>
      <c r="O250" s="14" t="s">
        <v>3662</v>
      </c>
      <c r="P250" s="14" t="str">
        <f>HYPERLINK("https://photon-sol.tinyastro.io/en/lp/A6VrjjMYX1cremsJbsXBPSuW9MeCvNUMhHzzp3JHpump?handle=676050794bc1b1657a56b", "View")</f>
        <v>View</v>
      </c>
    </row>
    <row r="251" spans="1:16" x14ac:dyDescent="0.25">
      <c r="A251" s="16" t="s">
        <v>3663</v>
      </c>
      <c r="B251" s="17">
        <v>723267</v>
      </c>
      <c r="C251" s="17">
        <v>723267</v>
      </c>
      <c r="D251" s="17" t="s">
        <v>1595</v>
      </c>
      <c r="E251" s="17" t="s">
        <v>2200</v>
      </c>
      <c r="F251" s="17" t="s">
        <v>2605</v>
      </c>
      <c r="G251" s="15" t="s">
        <v>3664</v>
      </c>
      <c r="H251" s="15" t="s">
        <v>3665</v>
      </c>
      <c r="I251" s="17" t="s">
        <v>88</v>
      </c>
      <c r="J251" s="17">
        <v>1</v>
      </c>
      <c r="K251" s="17">
        <v>1</v>
      </c>
      <c r="L251" s="17" t="s">
        <v>3666</v>
      </c>
      <c r="M251" s="17" t="s">
        <v>1448</v>
      </c>
      <c r="N251" s="17" t="s">
        <v>3667</v>
      </c>
      <c r="O251" s="17" t="s">
        <v>3668</v>
      </c>
      <c r="P251" s="17" t="str">
        <f>HYPERLINK("https://dexscreener.com/solana/9FKppQRvBe1KLCzL5Kr7mFagN6xL86CVdij7EfUPpump", "View")</f>
        <v>View</v>
      </c>
    </row>
    <row r="252" spans="1:16" x14ac:dyDescent="0.25">
      <c r="A252" s="13" t="s">
        <v>3669</v>
      </c>
      <c r="B252" s="14">
        <v>5658609</v>
      </c>
      <c r="C252" s="14">
        <v>5658609</v>
      </c>
      <c r="D252" s="14" t="s">
        <v>1595</v>
      </c>
      <c r="E252" s="14" t="s">
        <v>2490</v>
      </c>
      <c r="F252" s="14" t="s">
        <v>3670</v>
      </c>
      <c r="G252" s="20" t="s">
        <v>3671</v>
      </c>
      <c r="H252" s="20" t="s">
        <v>3672</v>
      </c>
      <c r="I252" s="14" t="s">
        <v>88</v>
      </c>
      <c r="J252" s="14">
        <v>1</v>
      </c>
      <c r="K252" s="14">
        <v>1</v>
      </c>
      <c r="L252" s="14" t="s">
        <v>3673</v>
      </c>
      <c r="M252" s="19" t="s">
        <v>1940</v>
      </c>
      <c r="N252" s="14" t="s">
        <v>3401</v>
      </c>
      <c r="O252" s="14" t="s">
        <v>3674</v>
      </c>
      <c r="P252" s="14" t="str">
        <f>HYPERLINK("https://photon-sol.tinyastro.io/en/lp/9RawbhiJnqYhY4kZDcqbjqsNvXiuCdTnYXekw6Zzpump?handle=676050794bc1b1657a56b", "View")</f>
        <v>View</v>
      </c>
    </row>
    <row r="253" spans="1:16" x14ac:dyDescent="0.25">
      <c r="A253" s="16" t="s">
        <v>3675</v>
      </c>
      <c r="B253" s="17">
        <v>455485</v>
      </c>
      <c r="C253" s="17">
        <v>455485</v>
      </c>
      <c r="D253" s="17" t="s">
        <v>1595</v>
      </c>
      <c r="E253" s="17" t="s">
        <v>2200</v>
      </c>
      <c r="F253" s="17" t="s">
        <v>2220</v>
      </c>
      <c r="G253" s="20" t="s">
        <v>3676</v>
      </c>
      <c r="H253" s="20" t="s">
        <v>3677</v>
      </c>
      <c r="I253" s="17" t="s">
        <v>88</v>
      </c>
      <c r="J253" s="17">
        <v>1</v>
      </c>
      <c r="K253" s="17">
        <v>1</v>
      </c>
      <c r="L253" s="17" t="s">
        <v>3678</v>
      </c>
      <c r="M253" s="17" t="s">
        <v>1957</v>
      </c>
      <c r="N253" s="17" t="s">
        <v>3679</v>
      </c>
      <c r="O253" s="17" t="s">
        <v>3680</v>
      </c>
      <c r="P253" s="17" t="str">
        <f>HYPERLINK("https://dexscreener.com/solana/BP9uo1NFoh8dh7TeeDswyCwj2BUaNL57U8tPCCRFpump", "View")</f>
        <v>View</v>
      </c>
    </row>
    <row r="254" spans="1:16" x14ac:dyDescent="0.25">
      <c r="A254" s="13" t="s">
        <v>3681</v>
      </c>
      <c r="B254" s="14">
        <v>2255533</v>
      </c>
      <c r="C254" s="14">
        <v>2255533</v>
      </c>
      <c r="D254" s="14" t="s">
        <v>1595</v>
      </c>
      <c r="E254" s="14" t="s">
        <v>3530</v>
      </c>
      <c r="F254" s="14" t="s">
        <v>3682</v>
      </c>
      <c r="G254" s="20" t="s">
        <v>3683</v>
      </c>
      <c r="H254" s="20" t="s">
        <v>3684</v>
      </c>
      <c r="I254" s="14" t="s">
        <v>88</v>
      </c>
      <c r="J254" s="14">
        <v>1</v>
      </c>
      <c r="K254" s="14">
        <v>1</v>
      </c>
      <c r="L254" s="14" t="s">
        <v>3685</v>
      </c>
      <c r="M254" s="14" t="s">
        <v>1566</v>
      </c>
      <c r="N254" s="14" t="s">
        <v>3686</v>
      </c>
      <c r="O254" s="14" t="s">
        <v>3687</v>
      </c>
      <c r="P254" s="14" t="str">
        <f>HYPERLINK("https://photon-sol.tinyastro.io/en/lp/44cdaSsGYWAU1HxosBzkBRVcq22TtAQ4windjxr8pump?handle=676050794bc1b1657a56b", "View")</f>
        <v>View</v>
      </c>
    </row>
    <row r="255" spans="1:16" x14ac:dyDescent="0.25">
      <c r="A255" s="16" t="s">
        <v>3688</v>
      </c>
      <c r="B255" s="17">
        <v>32434036</v>
      </c>
      <c r="C255" s="17">
        <v>32434036</v>
      </c>
      <c r="D255" s="17" t="s">
        <v>3689</v>
      </c>
      <c r="E255" s="17" t="s">
        <v>3690</v>
      </c>
      <c r="F255" s="17" t="s">
        <v>3691</v>
      </c>
      <c r="G255" s="21" t="s">
        <v>3692</v>
      </c>
      <c r="H255" s="21" t="s">
        <v>3693</v>
      </c>
      <c r="I255" s="17" t="s">
        <v>88</v>
      </c>
      <c r="J255" s="17">
        <v>2</v>
      </c>
      <c r="K255" s="17">
        <v>7</v>
      </c>
      <c r="L255" s="17" t="s">
        <v>3694</v>
      </c>
      <c r="M255" s="17" t="s">
        <v>3695</v>
      </c>
      <c r="N255" s="17" t="s">
        <v>3696</v>
      </c>
      <c r="O255" s="17" t="s">
        <v>3697</v>
      </c>
      <c r="P255" s="17" t="str">
        <f>HYPERLINK("https://photon-sol.tinyastro.io/en/lp/229C2FyMR1TFRQJn2TVAJ2KdPLNEwsSbmYM7koUqpump?handle=676050794bc1b1657a56b", "View")</f>
        <v>View</v>
      </c>
    </row>
    <row r="256" spans="1:16" x14ac:dyDescent="0.25">
      <c r="A256" s="13" t="s">
        <v>3698</v>
      </c>
      <c r="B256" s="14">
        <v>2917378</v>
      </c>
      <c r="C256" s="14">
        <v>2917378</v>
      </c>
      <c r="D256" s="14" t="s">
        <v>1595</v>
      </c>
      <c r="E256" s="14" t="s">
        <v>3699</v>
      </c>
      <c r="F256" s="14" t="s">
        <v>3700</v>
      </c>
      <c r="G256" s="20" t="s">
        <v>3652</v>
      </c>
      <c r="H256" s="20" t="s">
        <v>3701</v>
      </c>
      <c r="I256" s="14" t="s">
        <v>88</v>
      </c>
      <c r="J256" s="14">
        <v>1</v>
      </c>
      <c r="K256" s="14">
        <v>1</v>
      </c>
      <c r="L256" s="14" t="s">
        <v>3702</v>
      </c>
      <c r="M256" s="19" t="s">
        <v>3076</v>
      </c>
      <c r="N256" s="14" t="s">
        <v>3703</v>
      </c>
      <c r="O256" s="14" t="s">
        <v>3704</v>
      </c>
      <c r="P256" s="14" t="str">
        <f>HYPERLINK("https://photon-sol.tinyastro.io/en/lp/4yVyAGykWwuExnoqh1fvofPLuxPRdtCEKoeTgPGzXKJk?handle=676050794bc1b1657a56b", "View")</f>
        <v>View</v>
      </c>
    </row>
    <row r="257" spans="1:16" x14ac:dyDescent="0.25">
      <c r="A257" s="16" t="s">
        <v>3705</v>
      </c>
      <c r="B257" s="17">
        <v>4983998</v>
      </c>
      <c r="C257" s="17">
        <v>4983998</v>
      </c>
      <c r="D257" s="17" t="s">
        <v>1595</v>
      </c>
      <c r="E257" s="17" t="s">
        <v>3299</v>
      </c>
      <c r="F257" s="17" t="s">
        <v>3706</v>
      </c>
      <c r="G257" s="20" t="s">
        <v>3707</v>
      </c>
      <c r="H257" s="20" t="s">
        <v>3708</v>
      </c>
      <c r="I257" s="17" t="s">
        <v>88</v>
      </c>
      <c r="J257" s="17">
        <v>1</v>
      </c>
      <c r="K257" s="17">
        <v>1</v>
      </c>
      <c r="L257" s="17" t="s">
        <v>3709</v>
      </c>
      <c r="M257" s="17" t="s">
        <v>602</v>
      </c>
      <c r="N257" s="17" t="s">
        <v>3710</v>
      </c>
      <c r="O257" s="17" t="s">
        <v>3711</v>
      </c>
      <c r="P257" s="17" t="str">
        <f>HYPERLINK("https://photon-sol.tinyastro.io/en/lp/3kgh1kZosBDMZAxUiZnDvnRsgDoaBy4mHT9VBfRnpump?handle=676050794bc1b1657a56b", "View")</f>
        <v>View</v>
      </c>
    </row>
    <row r="258" spans="1:16" x14ac:dyDescent="0.25">
      <c r="A258" s="13" t="s">
        <v>3712</v>
      </c>
      <c r="B258" s="14">
        <v>1861688</v>
      </c>
      <c r="C258" s="14">
        <v>1861688</v>
      </c>
      <c r="D258" s="14" t="s">
        <v>1604</v>
      </c>
      <c r="E258" s="14" t="s">
        <v>3299</v>
      </c>
      <c r="F258" s="14" t="s">
        <v>3713</v>
      </c>
      <c r="G258" s="21" t="s">
        <v>3714</v>
      </c>
      <c r="H258" s="21" t="s">
        <v>3715</v>
      </c>
      <c r="I258" s="14" t="s">
        <v>88</v>
      </c>
      <c r="J258" s="14">
        <v>1</v>
      </c>
      <c r="K258" s="14">
        <v>6</v>
      </c>
      <c r="L258" s="14" t="s">
        <v>3716</v>
      </c>
      <c r="M258" s="14" t="s">
        <v>3180</v>
      </c>
      <c r="N258" s="14" t="s">
        <v>3717</v>
      </c>
      <c r="O258" s="14" t="s">
        <v>3718</v>
      </c>
      <c r="P258" s="14" t="str">
        <f>HYPERLINK("https://photon-sol.tinyastro.io/en/lp/Ezyr58ZWq1jMUX9Ae5DakWebQvhr87Vt9E554xTxpump?handle=676050794bc1b1657a56b", "View")</f>
        <v>View</v>
      </c>
    </row>
    <row r="259" spans="1:16" x14ac:dyDescent="0.25">
      <c r="A259" s="16" t="s">
        <v>3719</v>
      </c>
      <c r="B259" s="17">
        <v>4737</v>
      </c>
      <c r="C259" s="17">
        <v>4737</v>
      </c>
      <c r="D259" s="17" t="s">
        <v>1595</v>
      </c>
      <c r="E259" s="17" t="s">
        <v>2200</v>
      </c>
      <c r="F259" s="17" t="s">
        <v>3720</v>
      </c>
      <c r="G259" s="20" t="s">
        <v>3721</v>
      </c>
      <c r="H259" s="20" t="s">
        <v>3722</v>
      </c>
      <c r="I259" s="17" t="s">
        <v>88</v>
      </c>
      <c r="J259" s="17">
        <v>1</v>
      </c>
      <c r="K259" s="17">
        <v>1</v>
      </c>
      <c r="L259" s="17" t="s">
        <v>3723</v>
      </c>
      <c r="M259" s="17" t="s">
        <v>602</v>
      </c>
      <c r="N259" s="17" t="s">
        <v>3724</v>
      </c>
      <c r="O259" s="17" t="s">
        <v>3725</v>
      </c>
      <c r="P259" s="17" t="str">
        <f>HYPERLINK("https://dexscreener.com/solana/4TcqMXdZBjxirf2vtYikWt1ix3YoHJoFAZwrqe39pump", "View")</f>
        <v>View</v>
      </c>
    </row>
    <row r="260" spans="1:16" x14ac:dyDescent="0.25">
      <c r="A260" s="13" t="s">
        <v>3726</v>
      </c>
      <c r="B260" s="14">
        <v>895489</v>
      </c>
      <c r="C260" s="14">
        <v>895489</v>
      </c>
      <c r="D260" s="14" t="s">
        <v>1595</v>
      </c>
      <c r="E260" s="14" t="s">
        <v>2200</v>
      </c>
      <c r="F260" s="14" t="s">
        <v>3727</v>
      </c>
      <c r="G260" s="20" t="s">
        <v>3728</v>
      </c>
      <c r="H260" s="20" t="s">
        <v>1567</v>
      </c>
      <c r="I260" s="14" t="s">
        <v>88</v>
      </c>
      <c r="J260" s="14">
        <v>1</v>
      </c>
      <c r="K260" s="14">
        <v>1</v>
      </c>
      <c r="L260" s="14" t="s">
        <v>3729</v>
      </c>
      <c r="M260" s="14" t="s">
        <v>1448</v>
      </c>
      <c r="N260" s="14" t="s">
        <v>3730</v>
      </c>
      <c r="O260" s="14" t="s">
        <v>3731</v>
      </c>
      <c r="P260" s="14" t="str">
        <f>HYPERLINK("https://dexscreener.com/solana/CdxpACLD8yfHVpkYAuVdXnRMbnAdDtP2qeMeJaNbpump", "View")</f>
        <v>View</v>
      </c>
    </row>
    <row r="261" spans="1:16" x14ac:dyDescent="0.25">
      <c r="A261" s="16" t="s">
        <v>3732</v>
      </c>
      <c r="B261" s="17">
        <v>7354943</v>
      </c>
      <c r="C261" s="17">
        <v>7354943</v>
      </c>
      <c r="D261" s="17" t="s">
        <v>1595</v>
      </c>
      <c r="E261" s="17" t="s">
        <v>3299</v>
      </c>
      <c r="F261" s="17" t="s">
        <v>3733</v>
      </c>
      <c r="G261" s="15" t="s">
        <v>3734</v>
      </c>
      <c r="H261" s="15" t="s">
        <v>3735</v>
      </c>
      <c r="I261" s="17" t="s">
        <v>88</v>
      </c>
      <c r="J261" s="17">
        <v>1</v>
      </c>
      <c r="K261" s="17">
        <v>1</v>
      </c>
      <c r="L261" s="17" t="s">
        <v>3736</v>
      </c>
      <c r="M261" s="19" t="s">
        <v>2189</v>
      </c>
      <c r="N261" s="17" t="s">
        <v>2069</v>
      </c>
      <c r="O261" s="17" t="s">
        <v>3737</v>
      </c>
      <c r="P261" s="17" t="str">
        <f>HYPERLINK("https://photon-sol.tinyastro.io/en/lp/FExxLwtqL3T7h76SfEENvTGRwa3Z8EjzMYYJfAedpump?handle=676050794bc1b1657a56b", "View")</f>
        <v>View</v>
      </c>
    </row>
    <row r="262" spans="1:16" x14ac:dyDescent="0.25">
      <c r="A262" s="13" t="s">
        <v>3738</v>
      </c>
      <c r="B262" s="14">
        <v>9907748</v>
      </c>
      <c r="C262" s="14">
        <v>9907748</v>
      </c>
      <c r="D262" s="14" t="s">
        <v>1595</v>
      </c>
      <c r="E262" s="14" t="s">
        <v>3445</v>
      </c>
      <c r="F262" s="14" t="s">
        <v>3739</v>
      </c>
      <c r="G262" s="20" t="s">
        <v>2449</v>
      </c>
      <c r="H262" s="20" t="s">
        <v>2246</v>
      </c>
      <c r="I262" s="14" t="s">
        <v>88</v>
      </c>
      <c r="J262" s="14">
        <v>1</v>
      </c>
      <c r="K262" s="14">
        <v>1</v>
      </c>
      <c r="L262" s="14" t="s">
        <v>3740</v>
      </c>
      <c r="M262" s="14" t="s">
        <v>1434</v>
      </c>
      <c r="N262" s="14" t="s">
        <v>1667</v>
      </c>
      <c r="O262" s="14" t="s">
        <v>3741</v>
      </c>
      <c r="P262" s="14" t="str">
        <f>HYPERLINK("https://photon-sol.tinyastro.io/en/lp/7zugorW3Nuwkfc4ZpCMHeYRsTF2X2H7efLubBGtipump?handle=676050794bc1b1657a56b", "View")</f>
        <v>View</v>
      </c>
    </row>
    <row r="263" spans="1:16" x14ac:dyDescent="0.25">
      <c r="A263" s="16" t="s">
        <v>3742</v>
      </c>
      <c r="B263" s="17">
        <v>10888508</v>
      </c>
      <c r="C263" s="17">
        <v>10888508</v>
      </c>
      <c r="D263" s="17" t="s">
        <v>1629</v>
      </c>
      <c r="E263" s="17" t="s">
        <v>3299</v>
      </c>
      <c r="F263" s="17" t="s">
        <v>3743</v>
      </c>
      <c r="G263" s="21" t="s">
        <v>3744</v>
      </c>
      <c r="H263" s="21" t="s">
        <v>3745</v>
      </c>
      <c r="I263" s="17" t="s">
        <v>88</v>
      </c>
      <c r="J263" s="17">
        <v>1</v>
      </c>
      <c r="K263" s="17">
        <v>3</v>
      </c>
      <c r="L263" s="17" t="s">
        <v>3746</v>
      </c>
      <c r="M263" s="17" t="s">
        <v>253</v>
      </c>
      <c r="N263" s="17" t="s">
        <v>3747</v>
      </c>
      <c r="O263" s="17" t="s">
        <v>3748</v>
      </c>
      <c r="P263" s="17" t="str">
        <f>HYPERLINK("https://photon-sol.tinyastro.io/en/lp/G9d2xzomPtkBmwpdYmwsdJCzkSsuE2xLCyd4Yoaipump?handle=676050794bc1b1657a56b", "View")</f>
        <v>View</v>
      </c>
    </row>
    <row r="264" spans="1:16" x14ac:dyDescent="0.25">
      <c r="A264" s="13" t="s">
        <v>3749</v>
      </c>
      <c r="B264" s="14">
        <v>343931</v>
      </c>
      <c r="C264" s="14">
        <v>343931</v>
      </c>
      <c r="D264" s="14" t="s">
        <v>1595</v>
      </c>
      <c r="E264" s="14" t="s">
        <v>2200</v>
      </c>
      <c r="F264" s="14" t="s">
        <v>3750</v>
      </c>
      <c r="G264" s="20" t="s">
        <v>3751</v>
      </c>
      <c r="H264" s="20" t="s">
        <v>3752</v>
      </c>
      <c r="I264" s="14" t="s">
        <v>88</v>
      </c>
      <c r="J264" s="14">
        <v>1</v>
      </c>
      <c r="K264" s="14">
        <v>1</v>
      </c>
      <c r="L264" s="14" t="s">
        <v>3753</v>
      </c>
      <c r="M264" s="19" t="s">
        <v>1760</v>
      </c>
      <c r="N264" s="14" t="s">
        <v>3754</v>
      </c>
      <c r="O264" s="14" t="s">
        <v>3755</v>
      </c>
      <c r="P264" s="14" t="str">
        <f>HYPERLINK("https://dexscreener.com/solana/6sJNRK42Y5Uk9NY98VAy73g1FiM2WrXi4cjPbsaM9GSc", "View")</f>
        <v>View</v>
      </c>
    </row>
    <row r="265" spans="1:16" x14ac:dyDescent="0.25">
      <c r="A265" s="16" t="s">
        <v>3756</v>
      </c>
      <c r="B265" s="17">
        <v>3085955</v>
      </c>
      <c r="C265" s="17">
        <v>3085955</v>
      </c>
      <c r="D265" s="17" t="s">
        <v>1595</v>
      </c>
      <c r="E265" s="17" t="s">
        <v>3757</v>
      </c>
      <c r="F265" s="17" t="s">
        <v>3758</v>
      </c>
      <c r="G265" s="22" t="s">
        <v>3759</v>
      </c>
      <c r="H265" s="22" t="s">
        <v>3760</v>
      </c>
      <c r="I265" s="17" t="s">
        <v>88</v>
      </c>
      <c r="J265" s="17">
        <v>1</v>
      </c>
      <c r="K265" s="17">
        <v>1</v>
      </c>
      <c r="L265" s="17" t="s">
        <v>3761</v>
      </c>
      <c r="M265" s="17" t="s">
        <v>1434</v>
      </c>
      <c r="N265" s="17" t="s">
        <v>3762</v>
      </c>
      <c r="O265" s="17" t="s">
        <v>3763</v>
      </c>
      <c r="P265" s="17" t="str">
        <f>HYPERLINK("https://photon-sol.tinyastro.io/en/lp/6wReJnHrsRTtAg9k2TcbDvmVm8rosWaX8GFKta5kVb9w?handle=676050794bc1b1657a56b", "View")</f>
        <v>View</v>
      </c>
    </row>
    <row r="266" spans="1:16" x14ac:dyDescent="0.25">
      <c r="A266" s="13" t="s">
        <v>3764</v>
      </c>
      <c r="B266" s="14">
        <v>7523403</v>
      </c>
      <c r="C266" s="14">
        <v>7523403</v>
      </c>
      <c r="D266" s="14" t="s">
        <v>1595</v>
      </c>
      <c r="E266" s="14" t="s">
        <v>3299</v>
      </c>
      <c r="F266" s="14" t="s">
        <v>2118</v>
      </c>
      <c r="G266" s="22" t="s">
        <v>3765</v>
      </c>
      <c r="H266" s="22" t="s">
        <v>3766</v>
      </c>
      <c r="I266" s="14" t="s">
        <v>88</v>
      </c>
      <c r="J266" s="14">
        <v>1</v>
      </c>
      <c r="K266" s="14">
        <v>1</v>
      </c>
      <c r="L266" s="14" t="s">
        <v>3767</v>
      </c>
      <c r="M266" s="14" t="s">
        <v>1448</v>
      </c>
      <c r="N266" s="14" t="s">
        <v>3768</v>
      </c>
      <c r="O266" s="14" t="s">
        <v>3769</v>
      </c>
      <c r="P266" s="14" t="str">
        <f>HYPERLINK("https://photon-sol.tinyastro.io/en/lp/FWXvBL6sSXMnccpZvsQoxZQQ8pZifs1RhU68Xjb9pump?handle=676050794bc1b1657a56b", "View")</f>
        <v>View</v>
      </c>
    </row>
    <row r="267" spans="1:16" x14ac:dyDescent="0.25">
      <c r="A267" s="16" t="s">
        <v>3770</v>
      </c>
      <c r="B267" s="17">
        <v>2444798</v>
      </c>
      <c r="C267" s="17">
        <v>2444798</v>
      </c>
      <c r="D267" s="17" t="s">
        <v>1595</v>
      </c>
      <c r="E267" s="17" t="s">
        <v>3771</v>
      </c>
      <c r="F267" s="17" t="s">
        <v>3772</v>
      </c>
      <c r="G267" s="22" t="s">
        <v>3773</v>
      </c>
      <c r="H267" s="22" t="s">
        <v>3774</v>
      </c>
      <c r="I267" s="17" t="s">
        <v>88</v>
      </c>
      <c r="J267" s="17">
        <v>1</v>
      </c>
      <c r="K267" s="17">
        <v>1</v>
      </c>
      <c r="L267" s="17" t="s">
        <v>3775</v>
      </c>
      <c r="M267" s="17" t="s">
        <v>1566</v>
      </c>
      <c r="N267" s="17" t="s">
        <v>3776</v>
      </c>
      <c r="O267" s="17" t="s">
        <v>3777</v>
      </c>
      <c r="P267" s="17" t="str">
        <f>HYPERLINK("https://photon-sol.tinyastro.io/en/lp/CScQZEvvfBUu4QBRCzQga2cdb7vX9L5njvC9g8r7pump?handle=676050794bc1b1657a56b", "View")</f>
        <v>View</v>
      </c>
    </row>
    <row r="268" spans="1:16" x14ac:dyDescent="0.25">
      <c r="A268" s="13" t="s">
        <v>3778</v>
      </c>
      <c r="B268" s="14">
        <v>4596742</v>
      </c>
      <c r="C268" s="14">
        <v>4596742</v>
      </c>
      <c r="D268" s="14" t="s">
        <v>1595</v>
      </c>
      <c r="E268" s="14" t="s">
        <v>2490</v>
      </c>
      <c r="F268" s="14" t="s">
        <v>3779</v>
      </c>
      <c r="G268" s="20" t="s">
        <v>3780</v>
      </c>
      <c r="H268" s="20" t="s">
        <v>3781</v>
      </c>
      <c r="I268" s="14" t="s">
        <v>88</v>
      </c>
      <c r="J268" s="14">
        <v>1</v>
      </c>
      <c r="K268" s="14">
        <v>1</v>
      </c>
      <c r="L268" s="14" t="s">
        <v>3782</v>
      </c>
      <c r="M268" s="14" t="s">
        <v>1448</v>
      </c>
      <c r="N268" s="14" t="s">
        <v>507</v>
      </c>
      <c r="O268" s="14" t="s">
        <v>3783</v>
      </c>
      <c r="P268" s="14" t="str">
        <f>HYPERLINK("https://photon-sol.tinyastro.io/en/lp/5Ky54j9CF8TrcN4sHYk5Mco4GjHtEy7CvP2QHZfNpump?handle=676050794bc1b1657a56b", "View")</f>
        <v>View</v>
      </c>
    </row>
    <row r="269" spans="1:16" x14ac:dyDescent="0.25">
      <c r="A269" s="16" t="s">
        <v>3784</v>
      </c>
      <c r="B269" s="17">
        <v>968396</v>
      </c>
      <c r="C269" s="17">
        <v>968396</v>
      </c>
      <c r="D269" s="17" t="s">
        <v>1646</v>
      </c>
      <c r="E269" s="17" t="s">
        <v>1007</v>
      </c>
      <c r="F269" s="17" t="s">
        <v>3785</v>
      </c>
      <c r="G269" s="15" t="s">
        <v>3786</v>
      </c>
      <c r="H269" s="15" t="s">
        <v>3787</v>
      </c>
      <c r="I269" s="17" t="s">
        <v>88</v>
      </c>
      <c r="J269" s="17">
        <v>2</v>
      </c>
      <c r="K269" s="17">
        <v>1</v>
      </c>
      <c r="L269" s="17" t="s">
        <v>3788</v>
      </c>
      <c r="M269" s="17" t="s">
        <v>1448</v>
      </c>
      <c r="N269" s="17" t="s">
        <v>3789</v>
      </c>
      <c r="O269" s="17" t="s">
        <v>3790</v>
      </c>
      <c r="P269" s="17" t="str">
        <f>HYPERLINK("https://dexscreener.com/solana/6UPADnAowcC9cuaj1KeBxt2ZhnuTGEFih7m83t2Spump", "View")</f>
        <v>View</v>
      </c>
    </row>
    <row r="270" spans="1:16" x14ac:dyDescent="0.25">
      <c r="A270" s="13" t="s">
        <v>3791</v>
      </c>
      <c r="B270" s="14">
        <v>306029</v>
      </c>
      <c r="C270" s="14">
        <v>306029</v>
      </c>
      <c r="D270" s="14" t="s">
        <v>1595</v>
      </c>
      <c r="E270" s="14" t="s">
        <v>2200</v>
      </c>
      <c r="F270" s="14" t="s">
        <v>3792</v>
      </c>
      <c r="G270" s="20" t="s">
        <v>3793</v>
      </c>
      <c r="H270" s="20" t="s">
        <v>3794</v>
      </c>
      <c r="I270" s="14" t="s">
        <v>88</v>
      </c>
      <c r="J270" s="14">
        <v>1</v>
      </c>
      <c r="K270" s="14">
        <v>1</v>
      </c>
      <c r="L270" s="14" t="s">
        <v>3795</v>
      </c>
      <c r="M270" s="14" t="s">
        <v>1434</v>
      </c>
      <c r="N270" s="14" t="s">
        <v>3796</v>
      </c>
      <c r="O270" s="14" t="s">
        <v>3797</v>
      </c>
      <c r="P270" s="14" t="str">
        <f>HYPERLINK("https://dexscreener.com/solana/HA1ktBSWW1sqrPCRYtLoeQtPypAJEGt6oQUG7q7TVrEC", "View")</f>
        <v>View</v>
      </c>
    </row>
    <row r="271" spans="1:16" x14ac:dyDescent="0.25">
      <c r="A271" s="16" t="s">
        <v>3798</v>
      </c>
      <c r="B271" s="17">
        <v>15846637</v>
      </c>
      <c r="C271" s="17">
        <v>15846637</v>
      </c>
      <c r="D271" s="17" t="s">
        <v>1595</v>
      </c>
      <c r="E271" s="17" t="s">
        <v>2821</v>
      </c>
      <c r="F271" s="17" t="s">
        <v>3799</v>
      </c>
      <c r="G271" s="20" t="s">
        <v>3800</v>
      </c>
      <c r="H271" s="20" t="s">
        <v>3801</v>
      </c>
      <c r="I271" s="17" t="s">
        <v>88</v>
      </c>
      <c r="J271" s="17">
        <v>1</v>
      </c>
      <c r="K271" s="17">
        <v>1</v>
      </c>
      <c r="L271" s="17" t="s">
        <v>3802</v>
      </c>
      <c r="M271" s="17" t="s">
        <v>3180</v>
      </c>
      <c r="N271" s="17" t="s">
        <v>2308</v>
      </c>
      <c r="O271" s="17" t="s">
        <v>3803</v>
      </c>
      <c r="P271" s="17" t="str">
        <f>HYPERLINK("https://photon-sol.tinyastro.io/en/lp/F87rzEJA3926VhhJ6iQiHqNUJiUoYRbcY9kSvjE3pump?handle=676050794bc1b1657a56b", "View")</f>
        <v>View</v>
      </c>
    </row>
    <row r="272" spans="1:16" x14ac:dyDescent="0.25">
      <c r="A272" s="13" t="s">
        <v>3804</v>
      </c>
      <c r="B272" s="14">
        <v>1614012</v>
      </c>
      <c r="C272" s="14">
        <v>1614012</v>
      </c>
      <c r="D272" s="14" t="s">
        <v>1595</v>
      </c>
      <c r="E272" s="14" t="s">
        <v>2200</v>
      </c>
      <c r="F272" s="14" t="s">
        <v>3805</v>
      </c>
      <c r="G272" s="20" t="s">
        <v>3806</v>
      </c>
      <c r="H272" s="20" t="s">
        <v>3807</v>
      </c>
      <c r="I272" s="14" t="s">
        <v>88</v>
      </c>
      <c r="J272" s="14">
        <v>1</v>
      </c>
      <c r="K272" s="14">
        <v>1</v>
      </c>
      <c r="L272" s="14" t="s">
        <v>3808</v>
      </c>
      <c r="M272" s="19" t="s">
        <v>1730</v>
      </c>
      <c r="N272" s="14" t="s">
        <v>3809</v>
      </c>
      <c r="O272" s="14" t="s">
        <v>3810</v>
      </c>
      <c r="P272" s="14" t="str">
        <f>HYPERLINK("https://dexscreener.com/solana/2hW8PoHcodn4SLPpMyLuxdkw2MffFZLwVuaS1FJmpump", "View")</f>
        <v>View</v>
      </c>
    </row>
    <row r="273" spans="1:16" x14ac:dyDescent="0.25">
      <c r="A273" s="16" t="s">
        <v>3811</v>
      </c>
      <c r="B273" s="17">
        <v>8886701</v>
      </c>
      <c r="C273" s="17">
        <v>8886701</v>
      </c>
      <c r="D273" s="17" t="s">
        <v>1595</v>
      </c>
      <c r="E273" s="17" t="s">
        <v>3812</v>
      </c>
      <c r="F273" s="17" t="s">
        <v>3813</v>
      </c>
      <c r="G273" s="22" t="s">
        <v>3320</v>
      </c>
      <c r="H273" s="22" t="s">
        <v>3814</v>
      </c>
      <c r="I273" s="17" t="s">
        <v>88</v>
      </c>
      <c r="J273" s="17">
        <v>1</v>
      </c>
      <c r="K273" s="17">
        <v>1</v>
      </c>
      <c r="L273" s="17" t="s">
        <v>3815</v>
      </c>
      <c r="M273" s="19" t="s">
        <v>2122</v>
      </c>
      <c r="N273" s="17" t="s">
        <v>3816</v>
      </c>
      <c r="O273" s="17" t="s">
        <v>3817</v>
      </c>
      <c r="P273" s="17" t="str">
        <f>HYPERLINK("https://photon-sol.tinyastro.io/en/lp/33CzwaYoeFMW7fHdTjC6eCFH8giJWrPRGXeRxBdWpump?handle=676050794bc1b1657a56b", "View")</f>
        <v>View</v>
      </c>
    </row>
    <row r="274" spans="1:16" x14ac:dyDescent="0.25">
      <c r="A274" s="13" t="s">
        <v>3818</v>
      </c>
      <c r="B274" s="14">
        <v>4387913</v>
      </c>
      <c r="C274" s="14">
        <v>4387913</v>
      </c>
      <c r="D274" s="14" t="s">
        <v>1595</v>
      </c>
      <c r="E274" s="14" t="s">
        <v>3819</v>
      </c>
      <c r="F274" s="14" t="s">
        <v>3820</v>
      </c>
      <c r="G274" s="20" t="s">
        <v>3821</v>
      </c>
      <c r="H274" s="20" t="s">
        <v>3822</v>
      </c>
      <c r="I274" s="14" t="s">
        <v>88</v>
      </c>
      <c r="J274" s="14">
        <v>1</v>
      </c>
      <c r="K274" s="14">
        <v>1</v>
      </c>
      <c r="L274" s="14" t="s">
        <v>3823</v>
      </c>
      <c r="M274" s="14" t="s">
        <v>1434</v>
      </c>
      <c r="N274" s="14" t="s">
        <v>3824</v>
      </c>
      <c r="O274" s="14" t="s">
        <v>3825</v>
      </c>
      <c r="P274" s="14" t="str">
        <f>HYPERLINK("https://photon-sol.tinyastro.io/en/lp/5HSWu5ZSh5N1LbEYbTeQ8jMSELLhDG5og9qNGVAjpump?handle=676050794bc1b1657a56b", "View")</f>
        <v>View</v>
      </c>
    </row>
    <row r="275" spans="1:16" x14ac:dyDescent="0.25">
      <c r="A275" s="16" t="s">
        <v>3826</v>
      </c>
      <c r="B275" s="17">
        <v>3941989</v>
      </c>
      <c r="C275" s="17">
        <v>3941989</v>
      </c>
      <c r="D275" s="17" t="s">
        <v>1629</v>
      </c>
      <c r="E275" s="17" t="s">
        <v>3827</v>
      </c>
      <c r="F275" s="17" t="s">
        <v>3828</v>
      </c>
      <c r="G275" s="20" t="s">
        <v>3829</v>
      </c>
      <c r="H275" s="20" t="s">
        <v>3830</v>
      </c>
      <c r="I275" s="17" t="s">
        <v>88</v>
      </c>
      <c r="J275" s="17">
        <v>2</v>
      </c>
      <c r="K275" s="17">
        <v>2</v>
      </c>
      <c r="L275" s="17" t="s">
        <v>3831</v>
      </c>
      <c r="M275" s="17" t="s">
        <v>2047</v>
      </c>
      <c r="N275" s="17" t="s">
        <v>3832</v>
      </c>
      <c r="O275" s="17" t="s">
        <v>3833</v>
      </c>
      <c r="P275" s="17" t="str">
        <f>HYPERLINK("https://photon-sol.tinyastro.io/en/lp/8cJPv2QGhQu4NWWHMSa7ssKZSFVJt7ngSeNSFQMqpump?handle=676050794bc1b1657a56b", "View")</f>
        <v>View</v>
      </c>
    </row>
    <row r="276" spans="1:16" x14ac:dyDescent="0.25">
      <c r="A276" s="13" t="s">
        <v>3834</v>
      </c>
      <c r="B276" s="14">
        <v>8048462</v>
      </c>
      <c r="C276" s="14">
        <v>8048462</v>
      </c>
      <c r="D276" s="14" t="s">
        <v>3835</v>
      </c>
      <c r="E276" s="14" t="s">
        <v>3836</v>
      </c>
      <c r="F276" s="14" t="s">
        <v>3837</v>
      </c>
      <c r="G276" s="21" t="s">
        <v>3838</v>
      </c>
      <c r="H276" s="21" t="s">
        <v>3839</v>
      </c>
      <c r="I276" s="14" t="s">
        <v>88</v>
      </c>
      <c r="J276" s="14">
        <v>1</v>
      </c>
      <c r="K276" s="14">
        <v>15</v>
      </c>
      <c r="L276" s="14" t="s">
        <v>3840</v>
      </c>
      <c r="M276" s="14" t="s">
        <v>179</v>
      </c>
      <c r="N276" s="14" t="s">
        <v>3841</v>
      </c>
      <c r="O276" s="14" t="s">
        <v>3842</v>
      </c>
      <c r="P276" s="14" t="str">
        <f>HYPERLINK("https://photon-sol.tinyastro.io/en/lp/7L9M2o26R8G9poY8PQD9GPhiL14sabsFk6MVeW1opump?handle=676050794bc1b1657a56b", "View")</f>
        <v>View</v>
      </c>
    </row>
    <row r="277" spans="1:16" x14ac:dyDescent="0.25">
      <c r="A277" s="16" t="s">
        <v>3843</v>
      </c>
      <c r="B277" s="17">
        <v>3671558</v>
      </c>
      <c r="C277" s="17">
        <v>3671558</v>
      </c>
      <c r="D277" s="17" t="s">
        <v>1595</v>
      </c>
      <c r="E277" s="17" t="s">
        <v>3844</v>
      </c>
      <c r="F277" s="17" t="s">
        <v>3845</v>
      </c>
      <c r="G277" s="15" t="s">
        <v>3846</v>
      </c>
      <c r="H277" s="15" t="s">
        <v>3847</v>
      </c>
      <c r="I277" s="17" t="s">
        <v>88</v>
      </c>
      <c r="J277" s="17">
        <v>1</v>
      </c>
      <c r="K277" s="17">
        <v>1</v>
      </c>
      <c r="L277" s="17" t="s">
        <v>3848</v>
      </c>
      <c r="M277" s="17" t="s">
        <v>1434</v>
      </c>
      <c r="N277" s="17" t="s">
        <v>3849</v>
      </c>
      <c r="O277" s="17" t="s">
        <v>3850</v>
      </c>
      <c r="P277" s="17" t="str">
        <f>HYPERLINK("https://photon-sol.tinyastro.io/en/lp/FpxHig6NpkKaAZtqqb42YQyaPmndtQcG3LxaE5WC5d5n?handle=676050794bc1b1657a56b", "View")</f>
        <v>View</v>
      </c>
    </row>
    <row r="278" spans="1:16" x14ac:dyDescent="0.25">
      <c r="A278" s="13" t="s">
        <v>3851</v>
      </c>
      <c r="B278" s="14">
        <v>1427791</v>
      </c>
      <c r="C278" s="14">
        <v>1427791</v>
      </c>
      <c r="D278" s="14" t="s">
        <v>2026</v>
      </c>
      <c r="E278" s="14" t="s">
        <v>2200</v>
      </c>
      <c r="F278" s="14" t="s">
        <v>3852</v>
      </c>
      <c r="G278" s="21" t="s">
        <v>3853</v>
      </c>
      <c r="H278" s="21" t="s">
        <v>3854</v>
      </c>
      <c r="I278" s="14" t="s">
        <v>88</v>
      </c>
      <c r="J278" s="14">
        <v>1</v>
      </c>
      <c r="K278" s="14">
        <v>4</v>
      </c>
      <c r="L278" s="14" t="s">
        <v>3855</v>
      </c>
      <c r="M278" s="14" t="s">
        <v>3180</v>
      </c>
      <c r="N278" s="14" t="s">
        <v>3856</v>
      </c>
      <c r="O278" s="14" t="s">
        <v>3857</v>
      </c>
      <c r="P278" s="14" t="str">
        <f>HYPERLINK("https://dexscreener.com/solana/CUM4gccKdaPiyaEU8YX13ZFufPA2MFqyk3zUnVa7p11p", "View")</f>
        <v>View</v>
      </c>
    </row>
    <row r="279" spans="1:16" x14ac:dyDescent="0.25">
      <c r="A279" s="16" t="s">
        <v>3858</v>
      </c>
      <c r="B279" s="17">
        <v>2929016</v>
      </c>
      <c r="C279" s="17">
        <v>2929016</v>
      </c>
      <c r="D279" s="17" t="s">
        <v>1595</v>
      </c>
      <c r="E279" s="17" t="s">
        <v>2200</v>
      </c>
      <c r="F279" s="17" t="s">
        <v>3859</v>
      </c>
      <c r="G279" s="15" t="s">
        <v>3734</v>
      </c>
      <c r="H279" s="15" t="s">
        <v>3860</v>
      </c>
      <c r="I279" s="17" t="s">
        <v>88</v>
      </c>
      <c r="J279" s="17">
        <v>1</v>
      </c>
      <c r="K279" s="17">
        <v>1</v>
      </c>
      <c r="L279" s="17" t="s">
        <v>3861</v>
      </c>
      <c r="M279" s="19" t="s">
        <v>3492</v>
      </c>
      <c r="N279" s="17" t="s">
        <v>3862</v>
      </c>
      <c r="O279" s="17" t="s">
        <v>3863</v>
      </c>
      <c r="P279" s="17" t="str">
        <f>HYPERLINK("https://dexscreener.com/solana/Hej96eAZNrdTPvZQe9b91311BJMWMqJRHztmYCjay8qb", "View")</f>
        <v>View</v>
      </c>
    </row>
    <row r="280" spans="1:16" x14ac:dyDescent="0.25">
      <c r="A280" s="13" t="s">
        <v>3864</v>
      </c>
      <c r="B280" s="14">
        <v>235952</v>
      </c>
      <c r="C280" s="14">
        <v>235952</v>
      </c>
      <c r="D280" s="14" t="s">
        <v>1629</v>
      </c>
      <c r="E280" s="14" t="s">
        <v>1007</v>
      </c>
      <c r="F280" s="14" t="s">
        <v>3865</v>
      </c>
      <c r="G280" s="20" t="s">
        <v>3866</v>
      </c>
      <c r="H280" s="20" t="s">
        <v>3867</v>
      </c>
      <c r="I280" s="14" t="s">
        <v>88</v>
      </c>
      <c r="J280" s="14">
        <v>2</v>
      </c>
      <c r="K280" s="14">
        <v>2</v>
      </c>
      <c r="L280" s="14" t="s">
        <v>3868</v>
      </c>
      <c r="M280" s="14" t="s">
        <v>788</v>
      </c>
      <c r="N280" s="14" t="s">
        <v>3869</v>
      </c>
      <c r="O280" s="14" t="s">
        <v>3870</v>
      </c>
      <c r="P280" s="14" t="str">
        <f>HYPERLINK("https://dexscreener.com/solana/9pJ2SaBgN4k3pH1Ygj2Tu16WeDaptVcTcqqXfDNDpump", "View")</f>
        <v>View</v>
      </c>
    </row>
    <row r="281" spans="1:16" x14ac:dyDescent="0.25">
      <c r="A281" s="16" t="s">
        <v>3871</v>
      </c>
      <c r="B281" s="17">
        <v>4142026</v>
      </c>
      <c r="C281" s="17">
        <v>4142026</v>
      </c>
      <c r="D281" s="17" t="s">
        <v>1629</v>
      </c>
      <c r="E281" s="17" t="s">
        <v>3872</v>
      </c>
      <c r="F281" s="17" t="s">
        <v>3873</v>
      </c>
      <c r="G281" s="21" t="s">
        <v>3155</v>
      </c>
      <c r="H281" s="21" t="s">
        <v>3874</v>
      </c>
      <c r="I281" s="17" t="s">
        <v>88</v>
      </c>
      <c r="J281" s="17">
        <v>1</v>
      </c>
      <c r="K281" s="17">
        <v>3</v>
      </c>
      <c r="L281" s="17" t="s">
        <v>3875</v>
      </c>
      <c r="M281" s="17" t="s">
        <v>1566</v>
      </c>
      <c r="N281" s="17" t="s">
        <v>3876</v>
      </c>
      <c r="O281" s="17" t="s">
        <v>3877</v>
      </c>
      <c r="P281" s="17" t="str">
        <f>HYPERLINK("https://photon-sol.tinyastro.io/en/lp/9Che3LP5gPa3XjsTU9kgb8ey6sMEJegA1Ea6KAvDpump?handle=676050794bc1b1657a56b", "View")</f>
        <v>View</v>
      </c>
    </row>
    <row r="282" spans="1:16" x14ac:dyDescent="0.25">
      <c r="A282" s="13" t="s">
        <v>3878</v>
      </c>
      <c r="B282" s="14">
        <v>7383894</v>
      </c>
      <c r="C282" s="14">
        <v>7383894</v>
      </c>
      <c r="D282" s="14" t="s">
        <v>1595</v>
      </c>
      <c r="E282" s="14" t="s">
        <v>3879</v>
      </c>
      <c r="F282" s="14" t="s">
        <v>2966</v>
      </c>
      <c r="G282" s="20" t="s">
        <v>3880</v>
      </c>
      <c r="H282" s="20" t="s">
        <v>3881</v>
      </c>
      <c r="I282" s="14" t="s">
        <v>88</v>
      </c>
      <c r="J282" s="14">
        <v>1</v>
      </c>
      <c r="K282" s="14">
        <v>1</v>
      </c>
      <c r="L282" s="14" t="s">
        <v>3882</v>
      </c>
      <c r="M282" s="19" t="s">
        <v>2593</v>
      </c>
      <c r="N282" s="14" t="s">
        <v>1980</v>
      </c>
      <c r="O282" s="14" t="s">
        <v>3883</v>
      </c>
      <c r="P282" s="14" t="str">
        <f>HYPERLINK("https://photon-sol.tinyastro.io/en/lp/2mE5yLeUYWMwYYMzf6JVsjuErAoPtfsx2rvyCDFBpump?handle=676050794bc1b1657a56b", "View")</f>
        <v>View</v>
      </c>
    </row>
    <row r="283" spans="1:16" x14ac:dyDescent="0.25">
      <c r="A283" s="16" t="s">
        <v>444</v>
      </c>
      <c r="B283" s="17">
        <v>86343</v>
      </c>
      <c r="C283" s="17">
        <v>86343</v>
      </c>
      <c r="D283" s="17" t="s">
        <v>1595</v>
      </c>
      <c r="E283" s="17" t="s">
        <v>2200</v>
      </c>
      <c r="F283" s="17" t="s">
        <v>3884</v>
      </c>
      <c r="G283" s="20" t="s">
        <v>3885</v>
      </c>
      <c r="H283" s="20" t="s">
        <v>3886</v>
      </c>
      <c r="I283" s="17" t="s">
        <v>88</v>
      </c>
      <c r="J283" s="17">
        <v>1</v>
      </c>
      <c r="K283" s="17">
        <v>1</v>
      </c>
      <c r="L283" s="17" t="s">
        <v>3887</v>
      </c>
      <c r="M283" s="17" t="s">
        <v>1434</v>
      </c>
      <c r="N283" s="17" t="s">
        <v>3888</v>
      </c>
      <c r="O283" s="17" t="s">
        <v>452</v>
      </c>
      <c r="P283" s="17" t="str">
        <f>HYPERLINK("https://dexscreener.com/solana/BfdVHnbt9LSNAFCZU9kvTjbrH3jX78sv2siLKGQ7pump", "View")</f>
        <v>View</v>
      </c>
    </row>
    <row r="284" spans="1:16" x14ac:dyDescent="0.25">
      <c r="A284" s="13" t="s">
        <v>3889</v>
      </c>
      <c r="B284" s="14">
        <v>584623</v>
      </c>
      <c r="C284" s="14">
        <v>584623</v>
      </c>
      <c r="D284" s="14" t="s">
        <v>1595</v>
      </c>
      <c r="E284" s="14" t="s">
        <v>2200</v>
      </c>
      <c r="F284" s="14" t="s">
        <v>3890</v>
      </c>
      <c r="G284" s="15" t="s">
        <v>3891</v>
      </c>
      <c r="H284" s="15" t="s">
        <v>3892</v>
      </c>
      <c r="I284" s="14" t="s">
        <v>88</v>
      </c>
      <c r="J284" s="14">
        <v>1</v>
      </c>
      <c r="K284" s="14">
        <v>1</v>
      </c>
      <c r="L284" s="14" t="s">
        <v>3893</v>
      </c>
      <c r="M284" s="14" t="s">
        <v>788</v>
      </c>
      <c r="N284" s="14" t="s">
        <v>3894</v>
      </c>
      <c r="O284" s="14" t="s">
        <v>3895</v>
      </c>
      <c r="P284" s="14" t="str">
        <f>HYPERLINK("https://dexscreener.com/solana/ADUrr7hKNbZR6FuoYFP2ph5boh6rRNhfy4bWHbRfpump", "View")</f>
        <v>View</v>
      </c>
    </row>
    <row r="285" spans="1:16" x14ac:dyDescent="0.25">
      <c r="A285" s="16" t="s">
        <v>3896</v>
      </c>
      <c r="B285" s="17">
        <v>4087534</v>
      </c>
      <c r="C285" s="17">
        <v>4087534</v>
      </c>
      <c r="D285" s="17" t="s">
        <v>1595</v>
      </c>
      <c r="E285" s="17" t="s">
        <v>3140</v>
      </c>
      <c r="F285" s="17" t="s">
        <v>3897</v>
      </c>
      <c r="G285" s="20" t="s">
        <v>3898</v>
      </c>
      <c r="H285" s="20" t="s">
        <v>3899</v>
      </c>
      <c r="I285" s="17" t="s">
        <v>88</v>
      </c>
      <c r="J285" s="17">
        <v>1</v>
      </c>
      <c r="K285" s="17">
        <v>1</v>
      </c>
      <c r="L285" s="17" t="s">
        <v>3900</v>
      </c>
      <c r="M285" s="17" t="s">
        <v>1434</v>
      </c>
      <c r="N285" s="17" t="s">
        <v>3901</v>
      </c>
      <c r="O285" s="17" t="s">
        <v>3902</v>
      </c>
      <c r="P285" s="17" t="str">
        <f>HYPERLINK("https://photon-sol.tinyastro.io/en/lp/HYedqNfL711SXf9NrB2NL4UByNseBR9CV98yfQd5pump?handle=676050794bc1b1657a56b", "View")</f>
        <v>View</v>
      </c>
    </row>
    <row r="286" spans="1:16" x14ac:dyDescent="0.25">
      <c r="A286" s="13" t="s">
        <v>3903</v>
      </c>
      <c r="B286" s="14">
        <v>9237375</v>
      </c>
      <c r="C286" s="14">
        <v>9237375</v>
      </c>
      <c r="D286" s="14" t="s">
        <v>1595</v>
      </c>
      <c r="E286" s="14" t="s">
        <v>3904</v>
      </c>
      <c r="F286" s="14" t="s">
        <v>3636</v>
      </c>
      <c r="G286" s="20" t="s">
        <v>3905</v>
      </c>
      <c r="H286" s="20" t="s">
        <v>3906</v>
      </c>
      <c r="I286" s="14" t="s">
        <v>88</v>
      </c>
      <c r="J286" s="14">
        <v>1</v>
      </c>
      <c r="K286" s="14">
        <v>1</v>
      </c>
      <c r="L286" s="14" t="s">
        <v>3907</v>
      </c>
      <c r="M286" s="19" t="s">
        <v>2292</v>
      </c>
      <c r="N286" s="14" t="s">
        <v>3908</v>
      </c>
      <c r="O286" s="14" t="s">
        <v>3909</v>
      </c>
      <c r="P286" s="14" t="str">
        <f>HYPERLINK("https://photon-sol.tinyastro.io/en/lp/8sV5yhu2hmPKZcN7gkqqdThKn2KxWMvePxWwN9Qdpump?handle=676050794bc1b1657a56b", "View")</f>
        <v>View</v>
      </c>
    </row>
    <row r="287" spans="1:16" x14ac:dyDescent="0.25">
      <c r="A287" s="16" t="s">
        <v>3910</v>
      </c>
      <c r="B287" s="17">
        <v>4165906</v>
      </c>
      <c r="C287" s="17">
        <v>4165906</v>
      </c>
      <c r="D287" s="17" t="s">
        <v>1595</v>
      </c>
      <c r="E287" s="17" t="s">
        <v>3911</v>
      </c>
      <c r="F287" s="17" t="s">
        <v>3912</v>
      </c>
      <c r="G287" s="15" t="s">
        <v>3913</v>
      </c>
      <c r="H287" s="15" t="s">
        <v>3914</v>
      </c>
      <c r="I287" s="17" t="s">
        <v>88</v>
      </c>
      <c r="J287" s="17">
        <v>1</v>
      </c>
      <c r="K287" s="17">
        <v>1</v>
      </c>
      <c r="L287" s="17" t="s">
        <v>3915</v>
      </c>
      <c r="M287" s="17" t="s">
        <v>1434</v>
      </c>
      <c r="N287" s="17" t="s">
        <v>3916</v>
      </c>
      <c r="O287" s="17" t="s">
        <v>3917</v>
      </c>
      <c r="P287" s="17" t="str">
        <f>HYPERLINK("https://photon-sol.tinyastro.io/en/lp/Jn9QCd8kuNwVzGCNm37Hv3Q8rx1ZJjH5Rso86jupump?handle=676050794bc1b1657a56b", "View")</f>
        <v>View</v>
      </c>
    </row>
    <row r="288" spans="1:16" x14ac:dyDescent="0.25">
      <c r="A288" s="13" t="s">
        <v>3918</v>
      </c>
      <c r="B288" s="14">
        <v>4637822</v>
      </c>
      <c r="C288" s="14">
        <v>4637822</v>
      </c>
      <c r="D288" s="14" t="s">
        <v>1595</v>
      </c>
      <c r="E288" s="14" t="s">
        <v>3299</v>
      </c>
      <c r="F288" s="14" t="s">
        <v>3919</v>
      </c>
      <c r="G288" s="20" t="s">
        <v>3920</v>
      </c>
      <c r="H288" s="20" t="s">
        <v>3921</v>
      </c>
      <c r="I288" s="14" t="s">
        <v>88</v>
      </c>
      <c r="J288" s="14">
        <v>1</v>
      </c>
      <c r="K288" s="14">
        <v>1</v>
      </c>
      <c r="L288" s="14" t="s">
        <v>3922</v>
      </c>
      <c r="M288" s="19" t="s">
        <v>2923</v>
      </c>
      <c r="N288" s="14" t="s">
        <v>3923</v>
      </c>
      <c r="O288" s="14" t="s">
        <v>3924</v>
      </c>
      <c r="P288" s="14" t="str">
        <f>HYPERLINK("https://photon-sol.tinyastro.io/en/lp/DV1GQYRoUFwFEndboUDh5z1N55va7Y6YZQFd3zZfpump?handle=676050794bc1b1657a56b", "View")</f>
        <v>View</v>
      </c>
    </row>
    <row r="289" spans="1:16" x14ac:dyDescent="0.25">
      <c r="A289" s="16" t="s">
        <v>2454</v>
      </c>
      <c r="B289" s="17">
        <v>6633551</v>
      </c>
      <c r="C289" s="17">
        <v>6633551</v>
      </c>
      <c r="D289" s="17" t="s">
        <v>1595</v>
      </c>
      <c r="E289" s="17" t="s">
        <v>3299</v>
      </c>
      <c r="F289" s="17" t="s">
        <v>2422</v>
      </c>
      <c r="G289" s="20" t="s">
        <v>3925</v>
      </c>
      <c r="H289" s="20" t="s">
        <v>3926</v>
      </c>
      <c r="I289" s="17" t="s">
        <v>88</v>
      </c>
      <c r="J289" s="17">
        <v>1</v>
      </c>
      <c r="K289" s="17">
        <v>1</v>
      </c>
      <c r="L289" s="17" t="s">
        <v>3927</v>
      </c>
      <c r="M289" s="17" t="s">
        <v>602</v>
      </c>
      <c r="N289" s="17" t="s">
        <v>3928</v>
      </c>
      <c r="O289" s="17" t="s">
        <v>3929</v>
      </c>
      <c r="P289" s="17" t="str">
        <f>HYPERLINK("https://photon-sol.tinyastro.io/en/lp/5tovSU5gn6xiLbuqtdD4sjTyCucs7tpZ3zEyN9HJpump?handle=676050794bc1b1657a56b", "View")</f>
        <v>View</v>
      </c>
    </row>
    <row r="290" spans="1:16" x14ac:dyDescent="0.25">
      <c r="A290" s="13" t="s">
        <v>3930</v>
      </c>
      <c r="B290" s="14">
        <v>4718048</v>
      </c>
      <c r="C290" s="14">
        <v>4718048</v>
      </c>
      <c r="D290" s="14" t="s">
        <v>1595</v>
      </c>
      <c r="E290" s="14" t="s">
        <v>3931</v>
      </c>
      <c r="F290" s="14" t="s">
        <v>3932</v>
      </c>
      <c r="G290" s="20" t="s">
        <v>1445</v>
      </c>
      <c r="H290" s="20" t="s">
        <v>3933</v>
      </c>
      <c r="I290" s="14" t="s">
        <v>88</v>
      </c>
      <c r="J290" s="14">
        <v>1</v>
      </c>
      <c r="K290" s="14">
        <v>1</v>
      </c>
      <c r="L290" s="14" t="s">
        <v>3934</v>
      </c>
      <c r="M290" s="19" t="s">
        <v>1948</v>
      </c>
      <c r="N290" s="14" t="s">
        <v>3935</v>
      </c>
      <c r="O290" s="14" t="s">
        <v>3936</v>
      </c>
      <c r="P290" s="14" t="str">
        <f>HYPERLINK("https://photon-sol.tinyastro.io/en/lp/45jX56iQcGRwp3gMcsqm3S121kaL2voic9PLjpGkpump?handle=676050794bc1b1657a56b", "View")</f>
        <v>View</v>
      </c>
    </row>
    <row r="291" spans="1:16" x14ac:dyDescent="0.25">
      <c r="A291" s="16" t="s">
        <v>3937</v>
      </c>
      <c r="B291" s="17">
        <v>2479095</v>
      </c>
      <c r="C291" s="17">
        <v>2479095</v>
      </c>
      <c r="D291" s="17" t="s">
        <v>1691</v>
      </c>
      <c r="E291" s="17" t="s">
        <v>3938</v>
      </c>
      <c r="F291" s="17" t="s">
        <v>3474</v>
      </c>
      <c r="G291" s="22" t="s">
        <v>3939</v>
      </c>
      <c r="H291" s="22" t="s">
        <v>3940</v>
      </c>
      <c r="I291" s="17" t="s">
        <v>88</v>
      </c>
      <c r="J291" s="17">
        <v>1</v>
      </c>
      <c r="K291" s="17">
        <v>2</v>
      </c>
      <c r="L291" s="17" t="s">
        <v>3941</v>
      </c>
      <c r="M291" s="17" t="s">
        <v>1566</v>
      </c>
      <c r="N291" s="17" t="s">
        <v>3942</v>
      </c>
      <c r="O291" s="17" t="s">
        <v>3943</v>
      </c>
      <c r="P291" s="17" t="str">
        <f>HYPERLINK("https://photon-sol.tinyastro.io/en/lp/Dt6cKjVxj8ZLTu2vg4uqqXYMkr4qGxxCcypcrj82pump?handle=676050794bc1b1657a56b", "View")</f>
        <v>View</v>
      </c>
    </row>
    <row r="292" spans="1:16" x14ac:dyDescent="0.25">
      <c r="A292" s="13" t="s">
        <v>3944</v>
      </c>
      <c r="B292" s="14">
        <v>14104000</v>
      </c>
      <c r="C292" s="14">
        <v>14104000</v>
      </c>
      <c r="D292" s="14" t="s">
        <v>1595</v>
      </c>
      <c r="E292" s="14" t="s">
        <v>3299</v>
      </c>
      <c r="F292" s="14" t="s">
        <v>3945</v>
      </c>
      <c r="G292" s="22" t="s">
        <v>3142</v>
      </c>
      <c r="H292" s="22" t="s">
        <v>3946</v>
      </c>
      <c r="I292" s="14" t="s">
        <v>88</v>
      </c>
      <c r="J292" s="14">
        <v>1</v>
      </c>
      <c r="K292" s="14">
        <v>1</v>
      </c>
      <c r="L292" s="14" t="s">
        <v>3947</v>
      </c>
      <c r="M292" s="14" t="s">
        <v>980</v>
      </c>
      <c r="N292" s="14" t="s">
        <v>3948</v>
      </c>
      <c r="O292" s="14" t="s">
        <v>3949</v>
      </c>
      <c r="P292" s="14" t="str">
        <f>HYPERLINK("https://photon-sol.tinyastro.io/en/lp/2rVVN3MK7JzUSU3ZGSYm8hyC6Rb7Ut6XUoScLpCdpump?handle=676050794bc1b1657a56b", "View")</f>
        <v>View</v>
      </c>
    </row>
    <row r="293" spans="1:16" x14ac:dyDescent="0.25">
      <c r="A293" s="16" t="s">
        <v>3950</v>
      </c>
      <c r="B293" s="17">
        <v>455100</v>
      </c>
      <c r="C293" s="17">
        <v>455100</v>
      </c>
      <c r="D293" s="17" t="s">
        <v>1595</v>
      </c>
      <c r="E293" s="17" t="s">
        <v>2200</v>
      </c>
      <c r="F293" s="17" t="s">
        <v>3951</v>
      </c>
      <c r="G293" s="15" t="s">
        <v>3952</v>
      </c>
      <c r="H293" s="15" t="s">
        <v>3953</v>
      </c>
      <c r="I293" s="17" t="s">
        <v>88</v>
      </c>
      <c r="J293" s="17">
        <v>1</v>
      </c>
      <c r="K293" s="17">
        <v>1</v>
      </c>
      <c r="L293" s="17" t="s">
        <v>3954</v>
      </c>
      <c r="M293" s="17" t="s">
        <v>1434</v>
      </c>
      <c r="N293" s="17" t="s">
        <v>3955</v>
      </c>
      <c r="O293" s="17" t="s">
        <v>3956</v>
      </c>
      <c r="P293" s="17" t="str">
        <f>HYPERLINK("https://dexscreener.com/solana/CwQj6vWCVfpRDfuhLELCxcD29mWngm1zVasKKyRGpump", "View")</f>
        <v>View</v>
      </c>
    </row>
    <row r="294" spans="1:16" x14ac:dyDescent="0.25">
      <c r="A294" s="13" t="s">
        <v>3957</v>
      </c>
      <c r="B294" s="14">
        <v>5562464</v>
      </c>
      <c r="C294" s="14">
        <v>5562464</v>
      </c>
      <c r="D294" s="14" t="s">
        <v>1629</v>
      </c>
      <c r="E294" s="14" t="s">
        <v>3958</v>
      </c>
      <c r="F294" s="14" t="s">
        <v>3959</v>
      </c>
      <c r="G294" s="21" t="s">
        <v>3344</v>
      </c>
      <c r="H294" s="21" t="s">
        <v>3960</v>
      </c>
      <c r="I294" s="14" t="s">
        <v>88</v>
      </c>
      <c r="J294" s="14">
        <v>1</v>
      </c>
      <c r="K294" s="14">
        <v>3</v>
      </c>
      <c r="L294" s="14" t="s">
        <v>3961</v>
      </c>
      <c r="M294" s="14" t="s">
        <v>2047</v>
      </c>
      <c r="N294" s="14" t="s">
        <v>3962</v>
      </c>
      <c r="O294" s="14" t="s">
        <v>3963</v>
      </c>
      <c r="P294" s="14" t="str">
        <f>HYPERLINK("https://photon-sol.tinyastro.io/en/lp/3i4pLN2DvMEmmGMpRn3RUsu2LGLGYH3R8QHFiKzJpump?handle=676050794bc1b1657a56b", "View")</f>
        <v>View</v>
      </c>
    </row>
    <row r="295" spans="1:16" x14ac:dyDescent="0.25">
      <c r="A295" s="16" t="s">
        <v>3964</v>
      </c>
      <c r="B295" s="17">
        <v>4712685</v>
      </c>
      <c r="C295" s="17">
        <v>4712685</v>
      </c>
      <c r="D295" s="17" t="s">
        <v>1595</v>
      </c>
      <c r="E295" s="17" t="s">
        <v>3700</v>
      </c>
      <c r="F295" s="17" t="s">
        <v>3965</v>
      </c>
      <c r="G295" s="20" t="s">
        <v>3966</v>
      </c>
      <c r="H295" s="20" t="s">
        <v>3967</v>
      </c>
      <c r="I295" s="17" t="s">
        <v>88</v>
      </c>
      <c r="J295" s="17">
        <v>1</v>
      </c>
      <c r="K295" s="17">
        <v>1</v>
      </c>
      <c r="L295" s="17" t="s">
        <v>3968</v>
      </c>
      <c r="M295" s="17" t="s">
        <v>1434</v>
      </c>
      <c r="N295" s="17" t="s">
        <v>3969</v>
      </c>
      <c r="O295" s="17" t="s">
        <v>3970</v>
      </c>
      <c r="P295" s="17" t="str">
        <f>HYPERLINK("https://photon-sol.tinyastro.io/en/lp/HgVF22EM2yQupYQV2f8ZQrPPjYRY9Vupr4poxfQ5pump?handle=676050794bc1b1657a56b", "View")</f>
        <v>View</v>
      </c>
    </row>
    <row r="296" spans="1:16" x14ac:dyDescent="0.25">
      <c r="A296" s="13" t="s">
        <v>3971</v>
      </c>
      <c r="B296" s="14">
        <v>134185</v>
      </c>
      <c r="C296" s="14">
        <v>134185</v>
      </c>
      <c r="D296" s="14" t="s">
        <v>1629</v>
      </c>
      <c r="E296" s="14" t="s">
        <v>1007</v>
      </c>
      <c r="F296" s="14" t="s">
        <v>2234</v>
      </c>
      <c r="G296" s="22" t="s">
        <v>3972</v>
      </c>
      <c r="H296" s="22" t="s">
        <v>3973</v>
      </c>
      <c r="I296" s="14" t="s">
        <v>88</v>
      </c>
      <c r="J296" s="14">
        <v>2</v>
      </c>
      <c r="K296" s="14">
        <v>2</v>
      </c>
      <c r="L296" s="14" t="s">
        <v>3974</v>
      </c>
      <c r="M296" s="14" t="s">
        <v>2617</v>
      </c>
      <c r="N296" s="14" t="s">
        <v>3975</v>
      </c>
      <c r="O296" s="14" t="s">
        <v>3976</v>
      </c>
      <c r="P296" s="14" t="str">
        <f>HYPERLINK("https://dexscreener.com/solana/CUots31KNMDbswxamS4fYQD3g4L3i4g2smT1djitpump", "View")</f>
        <v>View</v>
      </c>
    </row>
    <row r="297" spans="1:16" x14ac:dyDescent="0.25">
      <c r="A297" s="16" t="s">
        <v>3977</v>
      </c>
      <c r="B297" s="17">
        <v>202842</v>
      </c>
      <c r="C297" s="17">
        <v>202842</v>
      </c>
      <c r="D297" s="17" t="s">
        <v>1595</v>
      </c>
      <c r="E297" s="17" t="s">
        <v>2200</v>
      </c>
      <c r="F297" s="17" t="s">
        <v>3978</v>
      </c>
      <c r="G297" s="22" t="s">
        <v>3979</v>
      </c>
      <c r="H297" s="22" t="s">
        <v>3980</v>
      </c>
      <c r="I297" s="17" t="s">
        <v>88</v>
      </c>
      <c r="J297" s="17">
        <v>1</v>
      </c>
      <c r="K297" s="17">
        <v>1</v>
      </c>
      <c r="L297" s="17" t="s">
        <v>3981</v>
      </c>
      <c r="M297" s="17" t="s">
        <v>1434</v>
      </c>
      <c r="N297" s="17" t="s">
        <v>3982</v>
      </c>
      <c r="O297" s="17" t="s">
        <v>3983</v>
      </c>
      <c r="P297" s="17" t="str">
        <f>HYPERLINK("https://dexscreener.com/solana/AQtgbbJNXg2T7s6BFU15NhDtSsphKRX2Ro86J2AtgQ2D", "View")</f>
        <v>View</v>
      </c>
    </row>
    <row r="298" spans="1:16" x14ac:dyDescent="0.25">
      <c r="A298" s="13" t="s">
        <v>3984</v>
      </c>
      <c r="B298" s="14">
        <v>4495339</v>
      </c>
      <c r="C298" s="14">
        <v>4495339</v>
      </c>
      <c r="D298" s="14" t="s">
        <v>1654</v>
      </c>
      <c r="E298" s="14" t="s">
        <v>3985</v>
      </c>
      <c r="F298" s="14" t="s">
        <v>3986</v>
      </c>
      <c r="G298" s="21" t="s">
        <v>3758</v>
      </c>
      <c r="H298" s="21" t="s">
        <v>3987</v>
      </c>
      <c r="I298" s="14" t="s">
        <v>88</v>
      </c>
      <c r="J298" s="14">
        <v>1</v>
      </c>
      <c r="K298" s="14">
        <v>5</v>
      </c>
      <c r="L298" s="14" t="s">
        <v>3988</v>
      </c>
      <c r="M298" s="14" t="s">
        <v>1566</v>
      </c>
      <c r="N298" s="14" t="s">
        <v>3989</v>
      </c>
      <c r="O298" s="14" t="s">
        <v>3990</v>
      </c>
      <c r="P298" s="14" t="str">
        <f>HYPERLINK("https://photon-sol.tinyastro.io/en/lp/Ci3uRgyhfiBhiEKc4SGz6TKHBjHtxhwMueyn7ncdpump?handle=676050794bc1b1657a56b", "View")</f>
        <v>View</v>
      </c>
    </row>
    <row r="299" spans="1:16" x14ac:dyDescent="0.25">
      <c r="A299" s="16" t="s">
        <v>3991</v>
      </c>
      <c r="B299" s="17">
        <v>1173356</v>
      </c>
      <c r="C299" s="17">
        <v>1173356</v>
      </c>
      <c r="D299" s="17" t="s">
        <v>1595</v>
      </c>
      <c r="E299" s="17" t="s">
        <v>2200</v>
      </c>
      <c r="F299" s="17" t="s">
        <v>3992</v>
      </c>
      <c r="G299" s="22" t="s">
        <v>3993</v>
      </c>
      <c r="H299" s="22" t="s">
        <v>3994</v>
      </c>
      <c r="I299" s="17" t="s">
        <v>88</v>
      </c>
      <c r="J299" s="17">
        <v>1</v>
      </c>
      <c r="K299" s="17">
        <v>1</v>
      </c>
      <c r="L299" s="17" t="s">
        <v>3995</v>
      </c>
      <c r="M299" s="19" t="s">
        <v>370</v>
      </c>
      <c r="N299" s="17" t="s">
        <v>3996</v>
      </c>
      <c r="O299" s="17" t="s">
        <v>3997</v>
      </c>
      <c r="P299" s="17" t="str">
        <f>HYPERLINK("https://dexscreener.com/solana/6BTJwR27dvEtvan1vJWiiyv6CocPeALGu31EMx6fpump", "View")</f>
        <v>View</v>
      </c>
    </row>
    <row r="300" spans="1:16" x14ac:dyDescent="0.25">
      <c r="A300" s="13" t="s">
        <v>3998</v>
      </c>
      <c r="B300" s="14">
        <v>1494808</v>
      </c>
      <c r="C300" s="14">
        <v>1494808</v>
      </c>
      <c r="D300" s="14" t="s">
        <v>1646</v>
      </c>
      <c r="E300" s="14" t="s">
        <v>1007</v>
      </c>
      <c r="F300" s="14" t="s">
        <v>3999</v>
      </c>
      <c r="G300" s="22" t="s">
        <v>4000</v>
      </c>
      <c r="H300" s="22" t="s">
        <v>4001</v>
      </c>
      <c r="I300" s="14" t="s">
        <v>88</v>
      </c>
      <c r="J300" s="14">
        <v>2</v>
      </c>
      <c r="K300" s="14">
        <v>1</v>
      </c>
      <c r="L300" s="14" t="s">
        <v>4002</v>
      </c>
      <c r="M300" s="14" t="s">
        <v>602</v>
      </c>
      <c r="N300" s="14" t="s">
        <v>4003</v>
      </c>
      <c r="O300" s="14" t="s">
        <v>4004</v>
      </c>
      <c r="P300" s="14" t="str">
        <f>HYPERLINK("https://dexscreener.com/solana/mAhve2iAaV6XXixNXZdwRGDTTHBUp2sb8tD41rHpump", "View")</f>
        <v>View</v>
      </c>
    </row>
    <row r="301" spans="1:16" x14ac:dyDescent="0.25">
      <c r="A301" s="16" t="s">
        <v>4005</v>
      </c>
      <c r="B301" s="17">
        <v>2672622</v>
      </c>
      <c r="C301" s="17">
        <v>2672622</v>
      </c>
      <c r="D301" s="17" t="s">
        <v>1595</v>
      </c>
      <c r="E301" s="17" t="s">
        <v>3299</v>
      </c>
      <c r="F301" s="17" t="s">
        <v>4006</v>
      </c>
      <c r="G301" s="20" t="s">
        <v>4007</v>
      </c>
      <c r="H301" s="20" t="s">
        <v>4008</v>
      </c>
      <c r="I301" s="17" t="s">
        <v>88</v>
      </c>
      <c r="J301" s="17">
        <v>1</v>
      </c>
      <c r="K301" s="17">
        <v>1</v>
      </c>
      <c r="L301" s="17" t="s">
        <v>4009</v>
      </c>
      <c r="M301" s="17" t="s">
        <v>179</v>
      </c>
      <c r="N301" s="17" t="s">
        <v>4010</v>
      </c>
      <c r="O301" s="17" t="s">
        <v>4011</v>
      </c>
      <c r="P301" s="17" t="str">
        <f>HYPERLINK("https://photon-sol.tinyastro.io/en/lp/En3kViAo4ezri6eaA2qVdA41SJJn6pKJuxA74oPvpump?handle=676050794bc1b1657a56b", "View")</f>
        <v>View</v>
      </c>
    </row>
    <row r="302" spans="1:16" x14ac:dyDescent="0.25">
      <c r="A302" s="13" t="s">
        <v>4012</v>
      </c>
      <c r="B302" s="14">
        <v>808015</v>
      </c>
      <c r="C302" s="14">
        <v>808015</v>
      </c>
      <c r="D302" s="14" t="s">
        <v>1595</v>
      </c>
      <c r="E302" s="14" t="s">
        <v>2200</v>
      </c>
      <c r="F302" s="14" t="s">
        <v>4013</v>
      </c>
      <c r="G302" s="22" t="s">
        <v>4014</v>
      </c>
      <c r="H302" s="22" t="s">
        <v>4015</v>
      </c>
      <c r="I302" s="14" t="s">
        <v>88</v>
      </c>
      <c r="J302" s="14">
        <v>1</v>
      </c>
      <c r="K302" s="14">
        <v>1</v>
      </c>
      <c r="L302" s="14" t="s">
        <v>4016</v>
      </c>
      <c r="M302" s="14" t="s">
        <v>1448</v>
      </c>
      <c r="N302" s="14" t="s">
        <v>4017</v>
      </c>
      <c r="O302" s="14" t="s">
        <v>4018</v>
      </c>
      <c r="P302" s="14" t="str">
        <f>HYPERLINK("https://dexscreener.com/solana/3rCFMbCNZhXmUgTR316HFUH5KN8oTCR3LVXVHogJpump", "View")</f>
        <v>View</v>
      </c>
    </row>
    <row r="303" spans="1:16" x14ac:dyDescent="0.25">
      <c r="A303" s="16" t="s">
        <v>4019</v>
      </c>
      <c r="B303" s="17">
        <v>1255954</v>
      </c>
      <c r="C303" s="17">
        <v>1255954</v>
      </c>
      <c r="D303" s="17" t="s">
        <v>1629</v>
      </c>
      <c r="E303" s="17" t="s">
        <v>1007</v>
      </c>
      <c r="F303" s="17" t="s">
        <v>3959</v>
      </c>
      <c r="G303" s="22" t="s">
        <v>4020</v>
      </c>
      <c r="H303" s="22" t="s">
        <v>4021</v>
      </c>
      <c r="I303" s="17" t="s">
        <v>88</v>
      </c>
      <c r="J303" s="17">
        <v>2</v>
      </c>
      <c r="K303" s="17">
        <v>2</v>
      </c>
      <c r="L303" s="17" t="s">
        <v>4022</v>
      </c>
      <c r="M303" s="17" t="s">
        <v>1705</v>
      </c>
      <c r="N303" s="17" t="s">
        <v>4023</v>
      </c>
      <c r="O303" s="17" t="s">
        <v>4024</v>
      </c>
      <c r="P303" s="17" t="str">
        <f>HYPERLINK("https://dexscreener.com/solana/9iuze1ULYZhfVyBwuNu2B2opAWphD5XYsyrfWV5Gpump", "View")</f>
        <v>View</v>
      </c>
    </row>
    <row r="304" spans="1:16" x14ac:dyDescent="0.25">
      <c r="A304" s="13" t="s">
        <v>4025</v>
      </c>
      <c r="B304" s="14">
        <v>241116</v>
      </c>
      <c r="C304" s="14">
        <v>241116</v>
      </c>
      <c r="D304" s="14" t="s">
        <v>1595</v>
      </c>
      <c r="E304" s="14" t="s">
        <v>2200</v>
      </c>
      <c r="F304" s="14" t="s">
        <v>3445</v>
      </c>
      <c r="G304" s="20" t="s">
        <v>4026</v>
      </c>
      <c r="H304" s="20" t="s">
        <v>2960</v>
      </c>
      <c r="I304" s="14" t="s">
        <v>88</v>
      </c>
      <c r="J304" s="14">
        <v>1</v>
      </c>
      <c r="K304" s="14">
        <v>1</v>
      </c>
      <c r="L304" s="14" t="s">
        <v>4027</v>
      </c>
      <c r="M304" s="14" t="s">
        <v>1434</v>
      </c>
      <c r="N304" s="14" t="s">
        <v>4028</v>
      </c>
      <c r="O304" s="14" t="s">
        <v>4029</v>
      </c>
      <c r="P304" s="14" t="str">
        <f>HYPERLINK("https://dexscreener.com/solana/8BFNreX5cd1KUAN1ct75xn4qv74uBJNqLxTfSbKPpump", "View")</f>
        <v>View</v>
      </c>
    </row>
    <row r="305" spans="1:16" x14ac:dyDescent="0.25">
      <c r="A305" s="16" t="s">
        <v>4030</v>
      </c>
      <c r="B305" s="17">
        <v>3491497</v>
      </c>
      <c r="C305" s="17">
        <v>3491497</v>
      </c>
      <c r="D305" s="17" t="s">
        <v>1595</v>
      </c>
      <c r="E305" s="17" t="s">
        <v>2821</v>
      </c>
      <c r="F305" s="17" t="s">
        <v>4031</v>
      </c>
      <c r="G305" s="20" t="s">
        <v>4032</v>
      </c>
      <c r="H305" s="20" t="s">
        <v>4033</v>
      </c>
      <c r="I305" s="17" t="s">
        <v>88</v>
      </c>
      <c r="J305" s="17">
        <v>1</v>
      </c>
      <c r="K305" s="17">
        <v>1</v>
      </c>
      <c r="L305" s="17" t="s">
        <v>4034</v>
      </c>
      <c r="M305" s="17" t="s">
        <v>1566</v>
      </c>
      <c r="N305" s="17" t="s">
        <v>223</v>
      </c>
      <c r="O305" s="17" t="s">
        <v>4035</v>
      </c>
      <c r="P305" s="17" t="str">
        <f>HYPERLINK("https://photon-sol.tinyastro.io/en/lp/GP8f6PbVvvm2SSRoHpB7GRT6L6Rb8yxnTDJsqVZVpump?handle=676050794bc1b1657a56b", "View")</f>
        <v>View</v>
      </c>
    </row>
    <row r="306" spans="1:16" x14ac:dyDescent="0.25">
      <c r="A306" s="13" t="s">
        <v>4036</v>
      </c>
      <c r="B306" s="14">
        <v>5327369</v>
      </c>
      <c r="C306" s="14">
        <v>5327369</v>
      </c>
      <c r="D306" s="14" t="s">
        <v>1595</v>
      </c>
      <c r="E306" s="14" t="s">
        <v>3299</v>
      </c>
      <c r="F306" s="14" t="s">
        <v>3757</v>
      </c>
      <c r="G306" s="22" t="s">
        <v>2429</v>
      </c>
      <c r="H306" s="22" t="s">
        <v>4037</v>
      </c>
      <c r="I306" s="14" t="s">
        <v>88</v>
      </c>
      <c r="J306" s="14">
        <v>1</v>
      </c>
      <c r="K306" s="14">
        <v>1</v>
      </c>
      <c r="L306" s="14" t="s">
        <v>4038</v>
      </c>
      <c r="M306" s="14" t="s">
        <v>1448</v>
      </c>
      <c r="N306" s="14" t="s">
        <v>4039</v>
      </c>
      <c r="O306" s="14" t="s">
        <v>4040</v>
      </c>
      <c r="P306" s="14" t="str">
        <f>HYPERLINK("https://photon-sol.tinyastro.io/en/lp/7tDjS2zfGeEJkGwtCxDUzdG9hZKt3hdBsN84fXMrpump?handle=676050794bc1b1657a56b", "View")</f>
        <v>View</v>
      </c>
    </row>
    <row r="307" spans="1:16" x14ac:dyDescent="0.25">
      <c r="A307" s="16" t="s">
        <v>4041</v>
      </c>
      <c r="B307" s="17">
        <v>4080469</v>
      </c>
      <c r="C307" s="17">
        <v>4080469</v>
      </c>
      <c r="D307" s="17" t="s">
        <v>1595</v>
      </c>
      <c r="E307" s="17" t="s">
        <v>3299</v>
      </c>
      <c r="F307" s="17" t="s">
        <v>4042</v>
      </c>
      <c r="G307" s="20" t="s">
        <v>4043</v>
      </c>
      <c r="H307" s="20" t="s">
        <v>4044</v>
      </c>
      <c r="I307" s="17" t="s">
        <v>88</v>
      </c>
      <c r="J307" s="17">
        <v>1</v>
      </c>
      <c r="K307" s="17">
        <v>1</v>
      </c>
      <c r="L307" s="17" t="s">
        <v>4045</v>
      </c>
      <c r="M307" s="17" t="s">
        <v>602</v>
      </c>
      <c r="N307" s="17" t="s">
        <v>507</v>
      </c>
      <c r="O307" s="17" t="s">
        <v>4046</v>
      </c>
      <c r="P307" s="17" t="str">
        <f>HYPERLINK("https://photon-sol.tinyastro.io/en/lp/48mNui1WEh7UAVLXeCsM2UjjUKjLYX4e3xUPvyhaWrSR?handle=676050794bc1b1657a56b", "View")</f>
        <v>View</v>
      </c>
    </row>
    <row r="308" spans="1:16" x14ac:dyDescent="0.25">
      <c r="A308" s="13" t="s">
        <v>4047</v>
      </c>
      <c r="B308" s="14">
        <v>19432390</v>
      </c>
      <c r="C308" s="14">
        <v>19432390</v>
      </c>
      <c r="D308" s="14" t="s">
        <v>1595</v>
      </c>
      <c r="E308" s="14" t="s">
        <v>2902</v>
      </c>
      <c r="F308" s="14" t="s">
        <v>4048</v>
      </c>
      <c r="G308" s="20" t="s">
        <v>4049</v>
      </c>
      <c r="H308" s="20" t="s">
        <v>4050</v>
      </c>
      <c r="I308" s="14" t="s">
        <v>88</v>
      </c>
      <c r="J308" s="14">
        <v>1</v>
      </c>
      <c r="K308" s="14">
        <v>1</v>
      </c>
      <c r="L308" s="14" t="s">
        <v>4051</v>
      </c>
      <c r="M308" s="19" t="s">
        <v>2189</v>
      </c>
      <c r="N308" s="14" t="s">
        <v>1667</v>
      </c>
      <c r="O308" s="14" t="s">
        <v>4052</v>
      </c>
      <c r="P308" s="14" t="str">
        <f>HYPERLINK("https://photon-sol.tinyastro.io/en/lp/2Y1rr1cb9eA2SRnT2A9KiycxYq42Cbm5e9QFzTigpump?handle=676050794bc1b1657a56b", "View")</f>
        <v>View</v>
      </c>
    </row>
    <row r="309" spans="1:16" x14ac:dyDescent="0.25">
      <c r="A309" s="16" t="s">
        <v>4053</v>
      </c>
      <c r="B309" s="17">
        <v>9899645</v>
      </c>
      <c r="C309" s="17">
        <v>9899645</v>
      </c>
      <c r="D309" s="17" t="s">
        <v>1595</v>
      </c>
      <c r="E309" s="17" t="s">
        <v>3299</v>
      </c>
      <c r="F309" s="17" t="s">
        <v>4054</v>
      </c>
      <c r="G309" s="22" t="s">
        <v>4020</v>
      </c>
      <c r="H309" s="22" t="s">
        <v>4055</v>
      </c>
      <c r="I309" s="17" t="s">
        <v>88</v>
      </c>
      <c r="J309" s="17">
        <v>1</v>
      </c>
      <c r="K309" s="17">
        <v>1</v>
      </c>
      <c r="L309" s="17" t="s">
        <v>4056</v>
      </c>
      <c r="M309" s="17" t="s">
        <v>1434</v>
      </c>
      <c r="N309" s="17" t="s">
        <v>3296</v>
      </c>
      <c r="O309" s="17" t="s">
        <v>4057</v>
      </c>
      <c r="P309" s="17" t="str">
        <f>HYPERLINK("https://photon-sol.tinyastro.io/en/lp/EUzV3E8oTwYeKkhowQaf8HYybve6SNNv9tQFKfb3pump?handle=676050794bc1b1657a56b", "View")</f>
        <v>View</v>
      </c>
    </row>
    <row r="310" spans="1:16" x14ac:dyDescent="0.25">
      <c r="A310" s="13" t="s">
        <v>4058</v>
      </c>
      <c r="B310" s="14">
        <v>3908606</v>
      </c>
      <c r="C310" s="14">
        <v>3908606</v>
      </c>
      <c r="D310" s="14" t="s">
        <v>1654</v>
      </c>
      <c r="E310" s="14" t="s">
        <v>3404</v>
      </c>
      <c r="F310" s="14" t="s">
        <v>4059</v>
      </c>
      <c r="G310" s="22" t="s">
        <v>4060</v>
      </c>
      <c r="H310" s="22" t="s">
        <v>4061</v>
      </c>
      <c r="I310" s="14" t="s">
        <v>88</v>
      </c>
      <c r="J310" s="14">
        <v>3</v>
      </c>
      <c r="K310" s="14">
        <v>3</v>
      </c>
      <c r="L310" s="14" t="s">
        <v>4062</v>
      </c>
      <c r="M310" s="14" t="s">
        <v>2113</v>
      </c>
      <c r="N310" s="14" t="s">
        <v>4063</v>
      </c>
      <c r="O310" s="14" t="s">
        <v>4064</v>
      </c>
      <c r="P310" s="14" t="str">
        <f>HYPERLINK("https://dexscreener.com/solana/2iyzYLvv6vgpESHPR1Ti5r4fCKjzLaHwDLpbApnDpump", "View")</f>
        <v>View</v>
      </c>
    </row>
    <row r="311" spans="1:16" x14ac:dyDescent="0.25">
      <c r="A311" s="16" t="s">
        <v>4065</v>
      </c>
      <c r="B311" s="17">
        <v>90926</v>
      </c>
      <c r="C311" s="17">
        <v>90926</v>
      </c>
      <c r="D311" s="17" t="s">
        <v>1595</v>
      </c>
      <c r="E311" s="17" t="s">
        <v>2200</v>
      </c>
      <c r="F311" s="17" t="s">
        <v>3243</v>
      </c>
      <c r="G311" s="20" t="s">
        <v>4066</v>
      </c>
      <c r="H311" s="20" t="s">
        <v>4067</v>
      </c>
      <c r="I311" s="17" t="s">
        <v>88</v>
      </c>
      <c r="J311" s="17">
        <v>1</v>
      </c>
      <c r="K311" s="17">
        <v>1</v>
      </c>
      <c r="L311" s="17" t="s">
        <v>4068</v>
      </c>
      <c r="M311" s="19" t="s">
        <v>1619</v>
      </c>
      <c r="N311" s="17" t="s">
        <v>4069</v>
      </c>
      <c r="O311" s="17" t="s">
        <v>4070</v>
      </c>
      <c r="P311" s="17" t="str">
        <f>HYPERLINK("https://dexscreener.com/solana/BrN9aQu6XAk36aRMsZMVjkFsmSBhXoFvathsbBiYpump", "View")</f>
        <v>View</v>
      </c>
    </row>
    <row r="312" spans="1:16" x14ac:dyDescent="0.25">
      <c r="A312" s="13" t="s">
        <v>4071</v>
      </c>
      <c r="B312" s="14">
        <v>1248860</v>
      </c>
      <c r="C312" s="14">
        <v>1248860</v>
      </c>
      <c r="D312" s="14" t="s">
        <v>1691</v>
      </c>
      <c r="E312" s="14" t="s">
        <v>2200</v>
      </c>
      <c r="F312" s="14" t="s">
        <v>4072</v>
      </c>
      <c r="G312" s="22" t="s">
        <v>4073</v>
      </c>
      <c r="H312" s="22" t="s">
        <v>4074</v>
      </c>
      <c r="I312" s="14" t="s">
        <v>88</v>
      </c>
      <c r="J312" s="14">
        <v>1</v>
      </c>
      <c r="K312" s="14">
        <v>2</v>
      </c>
      <c r="L312" s="14" t="s">
        <v>4075</v>
      </c>
      <c r="M312" s="14" t="s">
        <v>602</v>
      </c>
      <c r="N312" s="14" t="s">
        <v>4076</v>
      </c>
      <c r="O312" s="14" t="s">
        <v>4077</v>
      </c>
      <c r="P312" s="14" t="str">
        <f>HYPERLINK("https://dexscreener.com/solana/46SJKxbS5BWFBdGWx9fyNHTXQih9eiUPjsS6FHjqpump", "View")</f>
        <v>View</v>
      </c>
    </row>
    <row r="313" spans="1:16" x14ac:dyDescent="0.25">
      <c r="A313" s="16" t="s">
        <v>4078</v>
      </c>
      <c r="B313" s="17">
        <v>20157493</v>
      </c>
      <c r="C313" s="17">
        <v>20157493</v>
      </c>
      <c r="D313" s="17" t="s">
        <v>1629</v>
      </c>
      <c r="E313" s="17" t="s">
        <v>4079</v>
      </c>
      <c r="F313" s="17" t="s">
        <v>4080</v>
      </c>
      <c r="G313" s="20" t="s">
        <v>4081</v>
      </c>
      <c r="H313" s="20" t="s">
        <v>3447</v>
      </c>
      <c r="I313" s="17" t="s">
        <v>88</v>
      </c>
      <c r="J313" s="17">
        <v>2</v>
      </c>
      <c r="K313" s="17">
        <v>2</v>
      </c>
      <c r="L313" s="17" t="s">
        <v>4082</v>
      </c>
      <c r="M313" s="17" t="s">
        <v>1566</v>
      </c>
      <c r="N313" s="17" t="s">
        <v>1980</v>
      </c>
      <c r="O313" s="17" t="s">
        <v>4083</v>
      </c>
      <c r="P313" s="17" t="str">
        <f>HYPERLINK("https://photon-sol.tinyastro.io/en/lp/EQxW5iwhzPqxcWsZoi2dn9AAujNb4yftXx2kVxMfpump?handle=676050794bc1b1657a56b", "View")</f>
        <v>View</v>
      </c>
    </row>
    <row r="314" spans="1:16" x14ac:dyDescent="0.25">
      <c r="A314" s="13" t="s">
        <v>4084</v>
      </c>
      <c r="B314" s="14">
        <v>890984</v>
      </c>
      <c r="C314" s="14">
        <v>890984</v>
      </c>
      <c r="D314" s="14" t="s">
        <v>1595</v>
      </c>
      <c r="E314" s="14" t="s">
        <v>1457</v>
      </c>
      <c r="F314" s="14" t="s">
        <v>4085</v>
      </c>
      <c r="G314" s="22" t="s">
        <v>4086</v>
      </c>
      <c r="H314" s="22" t="s">
        <v>4087</v>
      </c>
      <c r="I314" s="14" t="s">
        <v>88</v>
      </c>
      <c r="J314" s="14">
        <v>1</v>
      </c>
      <c r="K314" s="14">
        <v>1</v>
      </c>
      <c r="L314" s="14" t="s">
        <v>4088</v>
      </c>
      <c r="M314" s="19" t="s">
        <v>2323</v>
      </c>
      <c r="N314" s="14" t="s">
        <v>4089</v>
      </c>
      <c r="O314" s="14" t="s">
        <v>4090</v>
      </c>
      <c r="P314" s="14" t="str">
        <f>HYPERLINK("https://dexscreener.com/solana/EodtMbupUYuMkSaAtQEPkVSTVfvuDcRcnDCoCyqqpump", "View")</f>
        <v>View</v>
      </c>
    </row>
    <row r="315" spans="1:16" x14ac:dyDescent="0.25">
      <c r="A315" s="16" t="s">
        <v>4091</v>
      </c>
      <c r="B315" s="17">
        <v>2569987</v>
      </c>
      <c r="C315" s="17">
        <v>2569987</v>
      </c>
      <c r="D315" s="17" t="s">
        <v>1595</v>
      </c>
      <c r="E315" s="17" t="s">
        <v>4092</v>
      </c>
      <c r="F315" s="17" t="s">
        <v>4093</v>
      </c>
      <c r="G315" s="15" t="s">
        <v>4094</v>
      </c>
      <c r="H315" s="15" t="s">
        <v>4095</v>
      </c>
      <c r="I315" s="17" t="s">
        <v>88</v>
      </c>
      <c r="J315" s="17">
        <v>1</v>
      </c>
      <c r="K315" s="17">
        <v>1</v>
      </c>
      <c r="L315" s="17" t="s">
        <v>4096</v>
      </c>
      <c r="M315" s="17" t="s">
        <v>1448</v>
      </c>
      <c r="N315" s="17" t="s">
        <v>4097</v>
      </c>
      <c r="O315" s="17" t="s">
        <v>4098</v>
      </c>
      <c r="P315" s="17" t="str">
        <f>HYPERLINK("https://photon-sol.tinyastro.io/en/lp/EXyyptR69K9bThvvPJbbjse4cUVgN6mPeoc9geQqpump?handle=676050794bc1b1657a56b", "View")</f>
        <v>View</v>
      </c>
    </row>
    <row r="316" spans="1:16" x14ac:dyDescent="0.25">
      <c r="A316" s="13" t="s">
        <v>4099</v>
      </c>
      <c r="B316" s="14">
        <v>4975823</v>
      </c>
      <c r="C316" s="14">
        <v>4975823</v>
      </c>
      <c r="D316" s="14" t="s">
        <v>1595</v>
      </c>
      <c r="E316" s="14" t="s">
        <v>2200</v>
      </c>
      <c r="F316" s="14" t="s">
        <v>4100</v>
      </c>
      <c r="G316" s="20" t="s">
        <v>4101</v>
      </c>
      <c r="H316" s="20" t="s">
        <v>4102</v>
      </c>
      <c r="I316" s="14" t="s">
        <v>88</v>
      </c>
      <c r="J316" s="14">
        <v>1</v>
      </c>
      <c r="K316" s="14">
        <v>1</v>
      </c>
      <c r="L316" s="14" t="s">
        <v>4103</v>
      </c>
      <c r="M316" s="19" t="s">
        <v>3076</v>
      </c>
      <c r="N316" s="14" t="s">
        <v>4104</v>
      </c>
      <c r="O316" s="14" t="s">
        <v>4105</v>
      </c>
      <c r="P316" s="14" t="str">
        <f>HYPERLINK("https://dexscreener.com/solana/AgQtbsiNfuaviLF7xzxSQFnfWBDu7ekhkNBStxaRpump", "View")</f>
        <v>View</v>
      </c>
    </row>
    <row r="317" spans="1:16" x14ac:dyDescent="0.25">
      <c r="A317" s="16" t="s">
        <v>4106</v>
      </c>
      <c r="B317" s="17">
        <v>1903574</v>
      </c>
      <c r="C317" s="17">
        <v>1903574</v>
      </c>
      <c r="D317" s="17" t="s">
        <v>1595</v>
      </c>
      <c r="E317" s="17" t="s">
        <v>4107</v>
      </c>
      <c r="F317" s="17" t="s">
        <v>4108</v>
      </c>
      <c r="G317" s="15" t="s">
        <v>4109</v>
      </c>
      <c r="H317" s="15" t="s">
        <v>4110</v>
      </c>
      <c r="I317" s="17" t="s">
        <v>88</v>
      </c>
      <c r="J317" s="17">
        <v>1</v>
      </c>
      <c r="K317" s="17">
        <v>1</v>
      </c>
      <c r="L317" s="17" t="s">
        <v>4111</v>
      </c>
      <c r="M317" s="19" t="s">
        <v>2323</v>
      </c>
      <c r="N317" s="17" t="s">
        <v>4112</v>
      </c>
      <c r="O317" s="17" t="s">
        <v>4113</v>
      </c>
      <c r="P317" s="17" t="str">
        <f>HYPERLINK("https://photon-sol.tinyastro.io/en/lp/4jfmiT1Htp3zGEGdz3taXsSz4FU1u2Vw8Bug8fqMpump?handle=676050794bc1b1657a56b", "View")</f>
        <v>View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1E56-F173-4BB3-88BD-1BF7C71120B5}">
  <dimension ref="A1:P10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HYPERLINK("https://gmgn.ai/sol/address/2rC2M2j5WwuL5c7EHmMUSKnXHpVp2TQcnru7gbfERwS3", "GMGN")</f>
        <v>GMGN</v>
      </c>
    </row>
    <row r="2" spans="1:14" x14ac:dyDescent="0.25">
      <c r="A2" s="3" t="s">
        <v>22689</v>
      </c>
      <c r="B2" s="3" t="s">
        <v>22690</v>
      </c>
      <c r="C2" s="3" t="s">
        <v>1562</v>
      </c>
      <c r="D2" s="3" t="s">
        <v>11184</v>
      </c>
      <c r="E2" s="3" t="s">
        <v>22691</v>
      </c>
      <c r="F2" s="3" t="s">
        <v>18</v>
      </c>
      <c r="G2" s="3" t="s">
        <v>18</v>
      </c>
      <c r="H2" s="3">
        <v>87</v>
      </c>
      <c r="I2" s="3">
        <v>14</v>
      </c>
      <c r="J2" s="3" t="s">
        <v>18115</v>
      </c>
      <c r="K2" s="3" t="s">
        <v>3269</v>
      </c>
      <c r="L2" s="3">
        <v>32</v>
      </c>
      <c r="M2" s="3">
        <v>214</v>
      </c>
      <c r="N2" s="3" t="str">
        <f>HYPERLINK("https://solscan.io/account/2rC2M2j5WwuL5c7EHmMUSKnXHpVp2TQcnru7gbfERwS3", "Solscan")</f>
        <v>Solscan</v>
      </c>
    </row>
    <row r="3" spans="1:14" x14ac:dyDescent="0.25">
      <c r="A3" s="1" t="s">
        <v>21</v>
      </c>
      <c r="B3" s="4" t="s">
        <v>22692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HYPERLINK("https://birdeye.so/profile/2rC2M2j5WwuL5c7EHmMUSKnXHpVp2TQcnru7gbfERwS3", "Birdeye")</f>
        <v>Birdeye</v>
      </c>
    </row>
    <row r="4" spans="1:14" x14ac:dyDescent="0.25">
      <c r="A4" s="1" t="s">
        <v>25</v>
      </c>
      <c r="B4" s="3" t="s">
        <v>20030</v>
      </c>
      <c r="C4" s="3"/>
      <c r="D4" s="3" t="s">
        <v>2004</v>
      </c>
      <c r="E4" s="3" t="s">
        <v>22693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21276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15</v>
      </c>
      <c r="D10" s="1">
        <v>12</v>
      </c>
      <c r="E10" s="1">
        <v>7</v>
      </c>
      <c r="F10" s="1">
        <v>9</v>
      </c>
      <c r="G10" s="1">
        <v>41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12321</v>
      </c>
      <c r="C11" s="1" t="s">
        <v>22694</v>
      </c>
      <c r="D11" s="1" t="s">
        <v>22695</v>
      </c>
      <c r="E11" s="1" t="s">
        <v>11192</v>
      </c>
      <c r="F11" s="1" t="s">
        <v>22696</v>
      </c>
      <c r="G11" s="1" t="s">
        <v>7503</v>
      </c>
      <c r="H11" s="3"/>
      <c r="I11" s="3" t="s">
        <v>50</v>
      </c>
      <c r="J11" s="3" t="s">
        <v>7497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22697</v>
      </c>
      <c r="C12" s="1" t="s">
        <v>22698</v>
      </c>
      <c r="D12" s="1" t="s">
        <v>22699</v>
      </c>
      <c r="E12" s="1" t="s">
        <v>4730</v>
      </c>
      <c r="F12" s="1" t="s">
        <v>22700</v>
      </c>
      <c r="G12" s="1" t="s">
        <v>21668</v>
      </c>
      <c r="H12" s="3"/>
      <c r="I12" s="3" t="s">
        <v>59</v>
      </c>
      <c r="J12" s="3" t="s">
        <v>21970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22701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9497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22702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8230</v>
      </c>
      <c r="B20" s="14">
        <v>29030</v>
      </c>
      <c r="C20" s="14">
        <v>0</v>
      </c>
      <c r="D20" s="14" t="s">
        <v>13664</v>
      </c>
      <c r="E20" s="14" t="s">
        <v>4679</v>
      </c>
      <c r="F20" s="14" t="s">
        <v>96</v>
      </c>
      <c r="G20" s="18" t="s">
        <v>5436</v>
      </c>
      <c r="H20" s="18" t="s">
        <v>98</v>
      </c>
      <c r="I20" s="14" t="s">
        <v>22703</v>
      </c>
      <c r="J20" s="14">
        <v>1</v>
      </c>
      <c r="K20" s="14">
        <v>0</v>
      </c>
      <c r="L20" s="14" t="s">
        <v>22704</v>
      </c>
      <c r="M20" s="19" t="s">
        <v>101</v>
      </c>
      <c r="N20" s="14" t="s">
        <v>17385</v>
      </c>
      <c r="O20" s="14" t="s">
        <v>18385</v>
      </c>
      <c r="P20" s="14" t="str">
        <f>HYPERLINK("https://dexscreener.com/solana/8SgNwESovnbG1oNEaPVhg6CR9mTMSK7jPvcYRe3wpump", "View")</f>
        <v>View</v>
      </c>
    </row>
    <row r="21" spans="1:16" x14ac:dyDescent="0.25">
      <c r="A21" s="16" t="s">
        <v>144</v>
      </c>
      <c r="B21" s="17">
        <v>127795</v>
      </c>
      <c r="C21" s="17">
        <v>119408</v>
      </c>
      <c r="D21" s="17" t="s">
        <v>22705</v>
      </c>
      <c r="E21" s="17" t="s">
        <v>4665</v>
      </c>
      <c r="F21" s="17" t="s">
        <v>20655</v>
      </c>
      <c r="G21" s="21" t="s">
        <v>12959</v>
      </c>
      <c r="H21" s="21" t="s">
        <v>22706</v>
      </c>
      <c r="I21" s="17" t="s">
        <v>88</v>
      </c>
      <c r="J21" s="17">
        <v>1</v>
      </c>
      <c r="K21" s="17">
        <v>6</v>
      </c>
      <c r="L21" s="17" t="s">
        <v>22707</v>
      </c>
      <c r="M21" s="17" t="s">
        <v>150</v>
      </c>
      <c r="N21" s="17" t="s">
        <v>22708</v>
      </c>
      <c r="O21" s="17" t="s">
        <v>152</v>
      </c>
      <c r="P21" s="17" t="str">
        <f>HYPERLINK("https://dexscreener.com/solana/66gsTs88mXJ5L4AtJnWqFW6H2L5YQDRy4W41y6zbpump", "View")</f>
        <v>View</v>
      </c>
    </row>
    <row r="22" spans="1:16" x14ac:dyDescent="0.25">
      <c r="A22" s="13" t="s">
        <v>22709</v>
      </c>
      <c r="B22" s="14">
        <v>114360</v>
      </c>
      <c r="C22" s="14">
        <v>0</v>
      </c>
      <c r="D22" s="14" t="s">
        <v>22710</v>
      </c>
      <c r="E22" s="14" t="s">
        <v>4679</v>
      </c>
      <c r="F22" s="14" t="s">
        <v>96</v>
      </c>
      <c r="G22" s="18" t="s">
        <v>22711</v>
      </c>
      <c r="H22" s="18" t="s">
        <v>98</v>
      </c>
      <c r="I22" s="14" t="s">
        <v>22712</v>
      </c>
      <c r="J22" s="14">
        <v>1</v>
      </c>
      <c r="K22" s="14">
        <v>0</v>
      </c>
      <c r="L22" s="14" t="s">
        <v>22713</v>
      </c>
      <c r="M22" s="19" t="s">
        <v>101</v>
      </c>
      <c r="N22" s="14" t="s">
        <v>22714</v>
      </c>
      <c r="O22" s="14" t="s">
        <v>22715</v>
      </c>
      <c r="P22" s="14" t="str">
        <f>HYPERLINK("https://dexscreener.com/solana/7LzF7BgpmXapBUMmJMwyP5o4uC2rr7T8keRc4R3kpump", "View")</f>
        <v>View</v>
      </c>
    </row>
    <row r="23" spans="1:16" x14ac:dyDescent="0.25">
      <c r="A23" s="16" t="s">
        <v>22716</v>
      </c>
      <c r="B23" s="17">
        <v>3423214</v>
      </c>
      <c r="C23" s="17">
        <v>855803</v>
      </c>
      <c r="D23" s="17" t="s">
        <v>717</v>
      </c>
      <c r="E23" s="17" t="s">
        <v>3554</v>
      </c>
      <c r="F23" s="17" t="s">
        <v>4108</v>
      </c>
      <c r="G23" s="15" t="s">
        <v>21649</v>
      </c>
      <c r="H23" s="15" t="s">
        <v>22717</v>
      </c>
      <c r="I23" s="17" t="s">
        <v>88</v>
      </c>
      <c r="J23" s="17">
        <v>1</v>
      </c>
      <c r="K23" s="17">
        <v>1</v>
      </c>
      <c r="L23" s="17" t="s">
        <v>22718</v>
      </c>
      <c r="M23" s="17" t="s">
        <v>1566</v>
      </c>
      <c r="N23" s="17" t="s">
        <v>22719</v>
      </c>
      <c r="O23" s="17" t="s">
        <v>22720</v>
      </c>
      <c r="P23" s="17" t="str">
        <f>HYPERLINK("https://photon-sol.tinyastro.io/en/lp/2sAeTUeDoAUCb7wwLMBXuqxBsaCGMRs84H4itrxopump?handle=676050794bc1b1657a56b", "View")</f>
        <v>View</v>
      </c>
    </row>
    <row r="24" spans="1:16" x14ac:dyDescent="0.25">
      <c r="A24" s="13" t="s">
        <v>22721</v>
      </c>
      <c r="B24" s="14">
        <v>553531</v>
      </c>
      <c r="C24" s="14">
        <v>0</v>
      </c>
      <c r="D24" s="14" t="s">
        <v>13664</v>
      </c>
      <c r="E24" s="14" t="s">
        <v>4679</v>
      </c>
      <c r="F24" s="14" t="s">
        <v>96</v>
      </c>
      <c r="G24" s="18" t="s">
        <v>5436</v>
      </c>
      <c r="H24" s="18" t="s">
        <v>98</v>
      </c>
      <c r="I24" s="14" t="s">
        <v>22722</v>
      </c>
      <c r="J24" s="14">
        <v>1</v>
      </c>
      <c r="K24" s="14">
        <v>0</v>
      </c>
      <c r="L24" s="14" t="s">
        <v>22723</v>
      </c>
      <c r="M24" s="19" t="s">
        <v>101</v>
      </c>
      <c r="N24" s="14" t="s">
        <v>5115</v>
      </c>
      <c r="O24" s="14" t="s">
        <v>22724</v>
      </c>
      <c r="P24" s="14" t="str">
        <f>HYPERLINK("https://dexscreener.com/solana/GBf5P7Ucj6NwBYrwj4pMEEfEMJUG99gvhcQHwbypump", "View")</f>
        <v>View</v>
      </c>
    </row>
    <row r="25" spans="1:16" x14ac:dyDescent="0.25">
      <c r="A25" s="16" t="s">
        <v>15988</v>
      </c>
      <c r="B25" s="17">
        <v>6641021</v>
      </c>
      <c r="C25" s="17">
        <v>6641021</v>
      </c>
      <c r="D25" s="17" t="s">
        <v>22725</v>
      </c>
      <c r="E25" s="17" t="s">
        <v>4679</v>
      </c>
      <c r="F25" s="17" t="s">
        <v>3046</v>
      </c>
      <c r="G25" s="21" t="s">
        <v>7598</v>
      </c>
      <c r="H25" s="21" t="s">
        <v>22726</v>
      </c>
      <c r="I25" s="17" t="s">
        <v>88</v>
      </c>
      <c r="J25" s="17">
        <v>1</v>
      </c>
      <c r="K25" s="17">
        <v>2</v>
      </c>
      <c r="L25" s="17" t="s">
        <v>22727</v>
      </c>
      <c r="M25" s="17" t="s">
        <v>5702</v>
      </c>
      <c r="N25" s="17" t="s">
        <v>12453</v>
      </c>
      <c r="O25" s="17" t="s">
        <v>15992</v>
      </c>
      <c r="P25" s="17" t="str">
        <f>HYPERLINK("https://dexscreener.com/solana/DVvaDPo7TsbrMkK9ndXxzwymfEKP3v7XLtduD8rzpump", "View")</f>
        <v>View</v>
      </c>
    </row>
    <row r="26" spans="1:16" x14ac:dyDescent="0.25">
      <c r="A26" s="13" t="s">
        <v>367</v>
      </c>
      <c r="B26" s="14">
        <v>109356</v>
      </c>
      <c r="C26" s="14">
        <v>0</v>
      </c>
      <c r="D26" s="14" t="s">
        <v>13664</v>
      </c>
      <c r="E26" s="14" t="s">
        <v>4679</v>
      </c>
      <c r="F26" s="14" t="s">
        <v>96</v>
      </c>
      <c r="G26" s="18" t="s">
        <v>5436</v>
      </c>
      <c r="H26" s="18" t="s">
        <v>98</v>
      </c>
      <c r="I26" s="14" t="s">
        <v>22728</v>
      </c>
      <c r="J26" s="14">
        <v>1</v>
      </c>
      <c r="K26" s="14">
        <v>0</v>
      </c>
      <c r="L26" s="14" t="s">
        <v>22729</v>
      </c>
      <c r="M26" s="19" t="s">
        <v>101</v>
      </c>
      <c r="N26" s="14" t="s">
        <v>22730</v>
      </c>
      <c r="O26" s="14" t="s">
        <v>372</v>
      </c>
      <c r="P26" s="14" t="str">
        <f>HYPERLINK("https://dexscreener.com/solana/Z5qTBYTgbK9nezJPSLxuJEpEhDimcJKLq9xN6MF2sh1", "View")</f>
        <v>View</v>
      </c>
    </row>
    <row r="27" spans="1:16" x14ac:dyDescent="0.25">
      <c r="A27" s="16" t="s">
        <v>22731</v>
      </c>
      <c r="B27" s="17">
        <v>511309</v>
      </c>
      <c r="C27" s="17">
        <v>0</v>
      </c>
      <c r="D27" s="17" t="s">
        <v>13664</v>
      </c>
      <c r="E27" s="17" t="s">
        <v>4679</v>
      </c>
      <c r="F27" s="17" t="s">
        <v>96</v>
      </c>
      <c r="G27" s="18" t="s">
        <v>5436</v>
      </c>
      <c r="H27" s="18" t="s">
        <v>98</v>
      </c>
      <c r="I27" s="17" t="s">
        <v>22732</v>
      </c>
      <c r="J27" s="17">
        <v>1</v>
      </c>
      <c r="K27" s="17">
        <v>0</v>
      </c>
      <c r="L27" s="17" t="s">
        <v>22733</v>
      </c>
      <c r="M27" s="19" t="s">
        <v>101</v>
      </c>
      <c r="N27" s="17" t="s">
        <v>5585</v>
      </c>
      <c r="O27" s="17" t="s">
        <v>22734</v>
      </c>
      <c r="P27" s="17" t="str">
        <f>HYPERLINK("https://dexscreener.com/solana/DFwNZPHkZWix2LutzYKD5rzpyayKSLY5Uw88pRDypump", "View")</f>
        <v>View</v>
      </c>
    </row>
    <row r="28" spans="1:16" x14ac:dyDescent="0.25">
      <c r="A28" s="13" t="s">
        <v>9562</v>
      </c>
      <c r="B28" s="14">
        <v>1012071</v>
      </c>
      <c r="C28" s="14">
        <v>0</v>
      </c>
      <c r="D28" s="14" t="s">
        <v>13664</v>
      </c>
      <c r="E28" s="14" t="s">
        <v>5472</v>
      </c>
      <c r="F28" s="14" t="s">
        <v>96</v>
      </c>
      <c r="G28" s="18" t="s">
        <v>2739</v>
      </c>
      <c r="H28" s="18" t="s">
        <v>98</v>
      </c>
      <c r="I28" s="14" t="s">
        <v>22735</v>
      </c>
      <c r="J28" s="14">
        <v>1</v>
      </c>
      <c r="K28" s="14">
        <v>0</v>
      </c>
      <c r="L28" s="14" t="s">
        <v>22736</v>
      </c>
      <c r="M28" s="19" t="s">
        <v>101</v>
      </c>
      <c r="N28" s="14" t="s">
        <v>11726</v>
      </c>
      <c r="O28" s="14" t="s">
        <v>22737</v>
      </c>
      <c r="P28" s="14" t="str">
        <f>HYPERLINK("https://photon-sol.tinyastro.io/en/lp/91jaduSqmLCd79cuwWwkjhA8GPd7k1BAjLNgsMoBpump?handle=676050794bc1b1657a56b", "View")</f>
        <v>View</v>
      </c>
    </row>
    <row r="29" spans="1:16" x14ac:dyDescent="0.25">
      <c r="A29" s="16" t="s">
        <v>22738</v>
      </c>
      <c r="B29" s="17">
        <v>1966956</v>
      </c>
      <c r="C29" s="17">
        <v>1794847</v>
      </c>
      <c r="D29" s="17" t="s">
        <v>22739</v>
      </c>
      <c r="E29" s="17" t="s">
        <v>5472</v>
      </c>
      <c r="F29" s="17" t="s">
        <v>22740</v>
      </c>
      <c r="G29" s="21" t="s">
        <v>22741</v>
      </c>
      <c r="H29" s="21" t="s">
        <v>22742</v>
      </c>
      <c r="I29" s="17" t="s">
        <v>88</v>
      </c>
      <c r="J29" s="17">
        <v>1</v>
      </c>
      <c r="K29" s="17">
        <v>5</v>
      </c>
      <c r="L29" s="17" t="s">
        <v>22743</v>
      </c>
      <c r="M29" s="17" t="s">
        <v>179</v>
      </c>
      <c r="N29" s="17" t="s">
        <v>22744</v>
      </c>
      <c r="O29" s="17" t="s">
        <v>22745</v>
      </c>
      <c r="P29" s="17" t="str">
        <f>HYPERLINK("https://photon-sol.tinyastro.io/en/lp/A9Fie1WTbEzY6xTTUXB5hhGXkbqsNrRqbfxyRCs3pump?handle=676050794bc1b1657a56b", "View")</f>
        <v>View</v>
      </c>
    </row>
    <row r="30" spans="1:16" x14ac:dyDescent="0.25">
      <c r="A30" s="13" t="s">
        <v>22746</v>
      </c>
      <c r="B30" s="14">
        <v>1257226</v>
      </c>
      <c r="C30" s="14">
        <v>1257226</v>
      </c>
      <c r="D30" s="14" t="s">
        <v>9668</v>
      </c>
      <c r="E30" s="14" t="s">
        <v>5046</v>
      </c>
      <c r="F30" s="14" t="s">
        <v>3243</v>
      </c>
      <c r="G30" s="22" t="s">
        <v>4919</v>
      </c>
      <c r="H30" s="22" t="s">
        <v>22747</v>
      </c>
      <c r="I30" s="14" t="s">
        <v>88</v>
      </c>
      <c r="J30" s="14">
        <v>1</v>
      </c>
      <c r="K30" s="14">
        <v>2</v>
      </c>
      <c r="L30" s="14" t="s">
        <v>22748</v>
      </c>
      <c r="M30" s="14" t="s">
        <v>1610</v>
      </c>
      <c r="N30" s="14" t="s">
        <v>22749</v>
      </c>
      <c r="O30" s="14" t="s">
        <v>22750</v>
      </c>
      <c r="P30" s="14" t="str">
        <f>HYPERLINK("https://photon-sol.tinyastro.io/en/lp/BDFNionGZKEMy2p3yiTgXwDr14iQ7dE5xnbgzsmTpump?handle=676050794bc1b1657a56b", "View")</f>
        <v>View</v>
      </c>
    </row>
    <row r="31" spans="1:16" x14ac:dyDescent="0.25">
      <c r="A31" s="16" t="s">
        <v>3117</v>
      </c>
      <c r="B31" s="17">
        <v>2473354</v>
      </c>
      <c r="C31" s="17">
        <v>1738718</v>
      </c>
      <c r="D31" s="17" t="s">
        <v>22751</v>
      </c>
      <c r="E31" s="17" t="s">
        <v>5721</v>
      </c>
      <c r="F31" s="17" t="s">
        <v>22752</v>
      </c>
      <c r="G31" s="21" t="s">
        <v>9095</v>
      </c>
      <c r="H31" s="21" t="s">
        <v>22753</v>
      </c>
      <c r="I31" s="17" t="s">
        <v>88</v>
      </c>
      <c r="J31" s="17">
        <v>2</v>
      </c>
      <c r="K31" s="17">
        <v>5</v>
      </c>
      <c r="L31" s="17" t="s">
        <v>22754</v>
      </c>
      <c r="M31" s="17" t="s">
        <v>7381</v>
      </c>
      <c r="N31" s="17" t="s">
        <v>22755</v>
      </c>
      <c r="O31" s="17" t="s">
        <v>3123</v>
      </c>
      <c r="P31" s="17" t="str">
        <f>HYPERLINK("https://photon-sol.tinyastro.io/en/lp/878WGwJXoRAfuZcWv1fQD2iuo2Phvy8VJFkenDgbpump?handle=676050794bc1b1657a56b", "View")</f>
        <v>View</v>
      </c>
    </row>
    <row r="32" spans="1:16" x14ac:dyDescent="0.25">
      <c r="A32" s="13" t="s">
        <v>22756</v>
      </c>
      <c r="B32" s="14">
        <v>214504</v>
      </c>
      <c r="C32" s="14">
        <v>0</v>
      </c>
      <c r="D32" s="14" t="s">
        <v>13664</v>
      </c>
      <c r="E32" s="14" t="s">
        <v>4679</v>
      </c>
      <c r="F32" s="14" t="s">
        <v>96</v>
      </c>
      <c r="G32" s="18" t="s">
        <v>5436</v>
      </c>
      <c r="H32" s="18" t="s">
        <v>98</v>
      </c>
      <c r="I32" s="14" t="s">
        <v>22757</v>
      </c>
      <c r="J32" s="14">
        <v>1</v>
      </c>
      <c r="K32" s="14">
        <v>0</v>
      </c>
      <c r="L32" s="14" t="s">
        <v>22758</v>
      </c>
      <c r="M32" s="19" t="s">
        <v>101</v>
      </c>
      <c r="N32" s="14" t="s">
        <v>22759</v>
      </c>
      <c r="O32" s="14" t="s">
        <v>22760</v>
      </c>
      <c r="P32" s="14" t="str">
        <f>HYPERLINK("https://dexscreener.com/solana/9koJWK1JQRsvTCgMH9X3txrbjVfSMvzrzFa8uRyzpump", "View")</f>
        <v>View</v>
      </c>
    </row>
    <row r="33" spans="1:16" x14ac:dyDescent="0.25">
      <c r="A33" s="16" t="s">
        <v>22761</v>
      </c>
      <c r="B33" s="17">
        <v>241333</v>
      </c>
      <c r="C33" s="17">
        <v>241333</v>
      </c>
      <c r="D33" s="17" t="s">
        <v>9364</v>
      </c>
      <c r="E33" s="17" t="s">
        <v>4665</v>
      </c>
      <c r="F33" s="17" t="s">
        <v>6227</v>
      </c>
      <c r="G33" s="22" t="s">
        <v>19069</v>
      </c>
      <c r="H33" s="22" t="s">
        <v>13127</v>
      </c>
      <c r="I33" s="17" t="s">
        <v>88</v>
      </c>
      <c r="J33" s="17">
        <v>1</v>
      </c>
      <c r="K33" s="17">
        <v>3</v>
      </c>
      <c r="L33" s="17" t="s">
        <v>22762</v>
      </c>
      <c r="M33" s="17" t="s">
        <v>132</v>
      </c>
      <c r="N33" s="17" t="s">
        <v>22763</v>
      </c>
      <c r="O33" s="17" t="s">
        <v>22764</v>
      </c>
      <c r="P33" s="17" t="str">
        <f>HYPERLINK("https://dexscreener.com/solana/4pmzgjkwyFdxbfxQseYHvpu1twBR8PGZNx2SuvTto7kj", "View")</f>
        <v>View</v>
      </c>
    </row>
    <row r="34" spans="1:16" x14ac:dyDescent="0.25">
      <c r="A34" s="13" t="s">
        <v>22765</v>
      </c>
      <c r="B34" s="14">
        <v>406205</v>
      </c>
      <c r="C34" s="14">
        <v>0</v>
      </c>
      <c r="D34" s="14" t="s">
        <v>13664</v>
      </c>
      <c r="E34" s="14" t="s">
        <v>4679</v>
      </c>
      <c r="F34" s="14" t="s">
        <v>96</v>
      </c>
      <c r="G34" s="18" t="s">
        <v>5436</v>
      </c>
      <c r="H34" s="18" t="s">
        <v>98</v>
      </c>
      <c r="I34" s="14" t="s">
        <v>22766</v>
      </c>
      <c r="J34" s="14">
        <v>1</v>
      </c>
      <c r="K34" s="14">
        <v>0</v>
      </c>
      <c r="L34" s="14" t="s">
        <v>22767</v>
      </c>
      <c r="M34" s="19" t="s">
        <v>101</v>
      </c>
      <c r="N34" s="14" t="s">
        <v>18183</v>
      </c>
      <c r="O34" s="14" t="s">
        <v>22768</v>
      </c>
      <c r="P34" s="14" t="str">
        <f>HYPERLINK("https://dexscreener.com/solana/Bg6CZaEfPj6UK2V2dYDn48vonKWBwEMq6B3ysWLUpump", "View")</f>
        <v>View</v>
      </c>
    </row>
    <row r="35" spans="1:16" x14ac:dyDescent="0.25">
      <c r="A35" s="16" t="s">
        <v>10035</v>
      </c>
      <c r="B35" s="17">
        <v>1429107</v>
      </c>
      <c r="C35" s="17">
        <v>1429107</v>
      </c>
      <c r="D35" s="17" t="s">
        <v>12557</v>
      </c>
      <c r="E35" s="17" t="s">
        <v>4679</v>
      </c>
      <c r="F35" s="17" t="s">
        <v>8642</v>
      </c>
      <c r="G35" s="22" t="s">
        <v>4924</v>
      </c>
      <c r="H35" s="22" t="s">
        <v>22769</v>
      </c>
      <c r="I35" s="17" t="s">
        <v>88</v>
      </c>
      <c r="J35" s="17">
        <v>1</v>
      </c>
      <c r="K35" s="17">
        <v>2</v>
      </c>
      <c r="L35" s="17" t="s">
        <v>22770</v>
      </c>
      <c r="M35" s="17" t="s">
        <v>160</v>
      </c>
      <c r="N35" s="17" t="s">
        <v>22771</v>
      </c>
      <c r="O35" s="17" t="s">
        <v>10038</v>
      </c>
      <c r="P35" s="17" t="str">
        <f>HYPERLINK("https://dexscreener.com/solana/9mkfqGLt7jLr581QtNWby4DKfQwNtvvoqtypbbxxpump", "View")</f>
        <v>View</v>
      </c>
    </row>
    <row r="36" spans="1:16" x14ac:dyDescent="0.25">
      <c r="A36" s="13" t="s">
        <v>22772</v>
      </c>
      <c r="B36" s="14">
        <v>658598</v>
      </c>
      <c r="C36" s="14">
        <v>658598</v>
      </c>
      <c r="D36" s="14" t="s">
        <v>22773</v>
      </c>
      <c r="E36" s="14" t="s">
        <v>2605</v>
      </c>
      <c r="F36" s="14" t="s">
        <v>2823</v>
      </c>
      <c r="G36" s="20" t="s">
        <v>4101</v>
      </c>
      <c r="H36" s="20" t="s">
        <v>22774</v>
      </c>
      <c r="I36" s="14" t="s">
        <v>88</v>
      </c>
      <c r="J36" s="14">
        <v>1</v>
      </c>
      <c r="K36" s="14">
        <v>1</v>
      </c>
      <c r="L36" s="14" t="s">
        <v>22775</v>
      </c>
      <c r="M36" s="14" t="s">
        <v>117</v>
      </c>
      <c r="N36" s="14" t="s">
        <v>16558</v>
      </c>
      <c r="O36" s="14" t="s">
        <v>22776</v>
      </c>
      <c r="P36" s="14" t="str">
        <f>HYPERLINK("https://photon-sol.tinyastro.io/en/lp/FwyphJ7dUABAm1kKMtWrX2QtfY9RnxFcB3jVp6FNpump?handle=676050794bc1b1657a56b", "View")</f>
        <v>View</v>
      </c>
    </row>
    <row r="37" spans="1:16" x14ac:dyDescent="0.25">
      <c r="A37" s="16" t="s">
        <v>22777</v>
      </c>
      <c r="B37" s="17">
        <v>6459876</v>
      </c>
      <c r="C37" s="17">
        <v>6459876</v>
      </c>
      <c r="D37" s="17" t="s">
        <v>22773</v>
      </c>
      <c r="E37" s="17" t="s">
        <v>3629</v>
      </c>
      <c r="F37" s="17" t="s">
        <v>12035</v>
      </c>
      <c r="G37" s="20" t="s">
        <v>22778</v>
      </c>
      <c r="H37" s="20" t="s">
        <v>22779</v>
      </c>
      <c r="I37" s="17" t="s">
        <v>88</v>
      </c>
      <c r="J37" s="17">
        <v>1</v>
      </c>
      <c r="K37" s="17">
        <v>1</v>
      </c>
      <c r="L37" s="17" t="s">
        <v>22780</v>
      </c>
      <c r="M37" s="17" t="s">
        <v>1714</v>
      </c>
      <c r="N37" s="17" t="s">
        <v>1980</v>
      </c>
      <c r="O37" s="17" t="s">
        <v>22781</v>
      </c>
      <c r="P37" s="17" t="str">
        <f>HYPERLINK("https://photon-sol.tinyastro.io/en/lp/EHsZCgU7acL2sUdby6HdR33bfDMrME18MsfkFUz8pump?handle=676050794bc1b1657a56b", "View")</f>
        <v>View</v>
      </c>
    </row>
    <row r="38" spans="1:16" x14ac:dyDescent="0.25">
      <c r="A38" s="13" t="s">
        <v>22782</v>
      </c>
      <c r="B38" s="14">
        <v>170531</v>
      </c>
      <c r="C38" s="14">
        <v>0</v>
      </c>
      <c r="D38" s="14" t="s">
        <v>10230</v>
      </c>
      <c r="E38" s="14" t="s">
        <v>4665</v>
      </c>
      <c r="F38" s="14" t="s">
        <v>96</v>
      </c>
      <c r="G38" s="18" t="s">
        <v>22783</v>
      </c>
      <c r="H38" s="18" t="s">
        <v>98</v>
      </c>
      <c r="I38" s="14" t="s">
        <v>22784</v>
      </c>
      <c r="J38" s="14">
        <v>1</v>
      </c>
      <c r="K38" s="14">
        <v>0</v>
      </c>
      <c r="L38" s="14" t="s">
        <v>22785</v>
      </c>
      <c r="M38" s="19" t="s">
        <v>101</v>
      </c>
      <c r="N38" s="14" t="s">
        <v>22786</v>
      </c>
      <c r="O38" s="14" t="s">
        <v>22787</v>
      </c>
      <c r="P38" s="14" t="str">
        <f>HYPERLINK("https://dexscreener.com/solana/HKvbG3qbWvVu3RCwd8SgR8yFSTu5M7DDD2ciLvoDpump", "View")</f>
        <v>View</v>
      </c>
    </row>
    <row r="39" spans="1:16" x14ac:dyDescent="0.25">
      <c r="A39" s="16" t="s">
        <v>22788</v>
      </c>
      <c r="B39" s="17">
        <v>1108376</v>
      </c>
      <c r="C39" s="17">
        <v>1108376</v>
      </c>
      <c r="D39" s="17" t="s">
        <v>22789</v>
      </c>
      <c r="E39" s="17" t="s">
        <v>4679</v>
      </c>
      <c r="F39" s="17" t="s">
        <v>2346</v>
      </c>
      <c r="G39" s="21" t="s">
        <v>17044</v>
      </c>
      <c r="H39" s="21" t="s">
        <v>22790</v>
      </c>
      <c r="I39" s="17" t="s">
        <v>88</v>
      </c>
      <c r="J39" s="17">
        <v>1</v>
      </c>
      <c r="K39" s="17">
        <v>6</v>
      </c>
      <c r="L39" s="17" t="s">
        <v>22791</v>
      </c>
      <c r="M39" s="17" t="s">
        <v>117</v>
      </c>
      <c r="N39" s="17" t="s">
        <v>22792</v>
      </c>
      <c r="O39" s="17" t="s">
        <v>22793</v>
      </c>
      <c r="P39" s="17" t="str">
        <f>HYPERLINK("https://dexscreener.com/solana/BpBHdYW5YY2hM6f3mJk197U6LTpQujCC43iaVMhXpump", "View")</f>
        <v>View</v>
      </c>
    </row>
    <row r="40" spans="1:16" x14ac:dyDescent="0.25">
      <c r="A40" s="13" t="s">
        <v>22794</v>
      </c>
      <c r="B40" s="14">
        <v>997316</v>
      </c>
      <c r="C40" s="14">
        <v>0</v>
      </c>
      <c r="D40" s="14" t="s">
        <v>10230</v>
      </c>
      <c r="E40" s="14" t="s">
        <v>4665</v>
      </c>
      <c r="F40" s="14" t="s">
        <v>96</v>
      </c>
      <c r="G40" s="18" t="s">
        <v>22783</v>
      </c>
      <c r="H40" s="18" t="s">
        <v>98</v>
      </c>
      <c r="I40" s="14" t="s">
        <v>22795</v>
      </c>
      <c r="J40" s="14">
        <v>1</v>
      </c>
      <c r="K40" s="14">
        <v>0</v>
      </c>
      <c r="L40" s="14" t="s">
        <v>22796</v>
      </c>
      <c r="M40" s="19" t="s">
        <v>101</v>
      </c>
      <c r="N40" s="14" t="s">
        <v>22797</v>
      </c>
      <c r="O40" s="14" t="s">
        <v>22798</v>
      </c>
      <c r="P40" s="14" t="str">
        <f>HYPERLINK("https://dexscreener.com/solana/5ExkyeCgCu2Hrmq3cnwA9rtfVTajxVLofirykpqSpump", "View")</f>
        <v>View</v>
      </c>
    </row>
    <row r="41" spans="1:16" x14ac:dyDescent="0.25">
      <c r="A41" s="16" t="s">
        <v>22799</v>
      </c>
      <c r="B41" s="17">
        <v>996111</v>
      </c>
      <c r="C41" s="17">
        <v>498055</v>
      </c>
      <c r="D41" s="17" t="s">
        <v>20588</v>
      </c>
      <c r="E41" s="17" t="s">
        <v>3510</v>
      </c>
      <c r="F41" s="17" t="s">
        <v>3993</v>
      </c>
      <c r="G41" s="15" t="s">
        <v>13266</v>
      </c>
      <c r="H41" s="15" t="s">
        <v>22800</v>
      </c>
      <c r="I41" s="17" t="s">
        <v>88</v>
      </c>
      <c r="J41" s="17">
        <v>1</v>
      </c>
      <c r="K41" s="17">
        <v>1</v>
      </c>
      <c r="L41" s="17" t="s">
        <v>22801</v>
      </c>
      <c r="M41" s="17" t="s">
        <v>1566</v>
      </c>
      <c r="N41" s="17" t="s">
        <v>5696</v>
      </c>
      <c r="O41" s="17" t="s">
        <v>22802</v>
      </c>
      <c r="P41" s="17" t="str">
        <f>HYPERLINK("https://photon-sol.tinyastro.io/en/lp/CUWF9b6VPvWJoDd22koHr7AQYt2TgkjyTXQKscsZq3Gf?handle=676050794bc1b1657a56b", "View")</f>
        <v>View</v>
      </c>
    </row>
    <row r="42" spans="1:16" x14ac:dyDescent="0.25">
      <c r="A42" s="13" t="s">
        <v>17931</v>
      </c>
      <c r="B42" s="14">
        <v>1044110</v>
      </c>
      <c r="C42" s="14">
        <v>313233</v>
      </c>
      <c r="D42" s="14" t="s">
        <v>20588</v>
      </c>
      <c r="E42" s="14" t="s">
        <v>7639</v>
      </c>
      <c r="F42" s="14" t="s">
        <v>4660</v>
      </c>
      <c r="G42" s="15" t="s">
        <v>22803</v>
      </c>
      <c r="H42" s="15" t="s">
        <v>22804</v>
      </c>
      <c r="I42" s="14" t="s">
        <v>88</v>
      </c>
      <c r="J42" s="14">
        <v>1</v>
      </c>
      <c r="K42" s="14">
        <v>1</v>
      </c>
      <c r="L42" s="14" t="s">
        <v>22805</v>
      </c>
      <c r="M42" s="14" t="s">
        <v>1932</v>
      </c>
      <c r="N42" s="14" t="s">
        <v>5278</v>
      </c>
      <c r="O42" s="14" t="s">
        <v>22806</v>
      </c>
      <c r="P42" s="14" t="str">
        <f>HYPERLINK("https://photon-sol.tinyastro.io/en/lp/FeA3cqWpMaBeL2R3yvm64U8C7NWvXrV5JmFgc6G4pump?handle=676050794bc1b1657a56b", "View")</f>
        <v>View</v>
      </c>
    </row>
    <row r="43" spans="1:16" x14ac:dyDescent="0.25">
      <c r="A43" s="16" t="s">
        <v>22807</v>
      </c>
      <c r="B43" s="17">
        <v>1114230</v>
      </c>
      <c r="C43" s="17">
        <v>0</v>
      </c>
      <c r="D43" s="17" t="s">
        <v>10098</v>
      </c>
      <c r="E43" s="17" t="s">
        <v>4679</v>
      </c>
      <c r="F43" s="17" t="s">
        <v>96</v>
      </c>
      <c r="G43" s="18" t="s">
        <v>2739</v>
      </c>
      <c r="H43" s="18" t="s">
        <v>98</v>
      </c>
      <c r="I43" s="17" t="s">
        <v>22808</v>
      </c>
      <c r="J43" s="17">
        <v>1</v>
      </c>
      <c r="K43" s="17">
        <v>0</v>
      </c>
      <c r="L43" s="17" t="s">
        <v>22809</v>
      </c>
      <c r="M43" s="19" t="s">
        <v>101</v>
      </c>
      <c r="N43" s="17" t="s">
        <v>15940</v>
      </c>
      <c r="O43" s="17" t="s">
        <v>22810</v>
      </c>
      <c r="P43" s="17" t="str">
        <f>HYPERLINK("https://dexscreener.com/solana/6UJTRK2p4ndw7fQzmzMi1cDCKmFBqBCuA28aSeZFpump", "View")</f>
        <v>View</v>
      </c>
    </row>
    <row r="44" spans="1:16" x14ac:dyDescent="0.25">
      <c r="A44" s="13" t="s">
        <v>22811</v>
      </c>
      <c r="B44" s="14">
        <v>1143625</v>
      </c>
      <c r="C44" s="14">
        <v>1143625</v>
      </c>
      <c r="D44" s="14" t="s">
        <v>1289</v>
      </c>
      <c r="E44" s="14" t="s">
        <v>3510</v>
      </c>
      <c r="F44" s="14" t="s">
        <v>8978</v>
      </c>
      <c r="G44" s="20" t="s">
        <v>4990</v>
      </c>
      <c r="H44" s="20" t="s">
        <v>22812</v>
      </c>
      <c r="I44" s="14" t="s">
        <v>88</v>
      </c>
      <c r="J44" s="14">
        <v>1</v>
      </c>
      <c r="K44" s="14">
        <v>1</v>
      </c>
      <c r="L44" s="14" t="s">
        <v>22813</v>
      </c>
      <c r="M44" s="14" t="s">
        <v>179</v>
      </c>
      <c r="N44" s="14" t="s">
        <v>15749</v>
      </c>
      <c r="O44" s="14" t="s">
        <v>22814</v>
      </c>
      <c r="P44" s="14" t="str">
        <f>HYPERLINK("https://photon-sol.tinyastro.io/en/lp/76SyDGE161gDnTLqrzHhuzQVAueHSshYHdsuMtLApump?handle=676050794bc1b1657a56b", "View")</f>
        <v>View</v>
      </c>
    </row>
    <row r="45" spans="1:16" x14ac:dyDescent="0.25">
      <c r="A45" s="16" t="s">
        <v>9957</v>
      </c>
      <c r="B45" s="17">
        <v>1094572</v>
      </c>
      <c r="C45" s="17">
        <v>1094572</v>
      </c>
      <c r="D45" s="17" t="s">
        <v>10387</v>
      </c>
      <c r="E45" s="17" t="s">
        <v>4679</v>
      </c>
      <c r="F45" s="17" t="s">
        <v>2200</v>
      </c>
      <c r="G45" s="21" t="s">
        <v>3645</v>
      </c>
      <c r="H45" s="21" t="s">
        <v>21076</v>
      </c>
      <c r="I45" s="17" t="s">
        <v>88</v>
      </c>
      <c r="J45" s="17">
        <v>1</v>
      </c>
      <c r="K45" s="17">
        <v>2</v>
      </c>
      <c r="L45" s="17" t="s">
        <v>22815</v>
      </c>
      <c r="M45" s="17" t="s">
        <v>117</v>
      </c>
      <c r="N45" s="17" t="s">
        <v>22816</v>
      </c>
      <c r="O45" s="17" t="s">
        <v>9964</v>
      </c>
      <c r="P45" s="17" t="str">
        <f>HYPERLINK("https://dexscreener.com/solana/ABHQGzXNoRbJ1sjUsCJ2TmTAo1uMx4EUpV1qYiSVpump", "View")</f>
        <v>View</v>
      </c>
    </row>
    <row r="46" spans="1:16" x14ac:dyDescent="0.25">
      <c r="A46" s="13" t="s">
        <v>3732</v>
      </c>
      <c r="B46" s="14">
        <v>1682787</v>
      </c>
      <c r="C46" s="14">
        <v>0</v>
      </c>
      <c r="D46" s="14" t="s">
        <v>10098</v>
      </c>
      <c r="E46" s="14" t="s">
        <v>4665</v>
      </c>
      <c r="F46" s="14" t="s">
        <v>96</v>
      </c>
      <c r="G46" s="18" t="s">
        <v>11238</v>
      </c>
      <c r="H46" s="18" t="s">
        <v>98</v>
      </c>
      <c r="I46" s="14" t="s">
        <v>22817</v>
      </c>
      <c r="J46" s="14">
        <v>1</v>
      </c>
      <c r="K46" s="14">
        <v>0</v>
      </c>
      <c r="L46" s="14" t="s">
        <v>22818</v>
      </c>
      <c r="M46" s="19" t="s">
        <v>101</v>
      </c>
      <c r="N46" s="14" t="s">
        <v>1973</v>
      </c>
      <c r="O46" s="14" t="s">
        <v>22819</v>
      </c>
      <c r="P46" s="14" t="str">
        <f>HYPERLINK("https://dexscreener.com/solana/JBf7BeXuV2414oDPCPfZoTsuQxWzay1rLs4qQSKFpump", "View")</f>
        <v>View</v>
      </c>
    </row>
    <row r="47" spans="1:16" x14ac:dyDescent="0.25">
      <c r="A47" s="16" t="s">
        <v>10156</v>
      </c>
      <c r="B47" s="17">
        <v>199894</v>
      </c>
      <c r="C47" s="17">
        <v>199894</v>
      </c>
      <c r="D47" s="17" t="s">
        <v>1289</v>
      </c>
      <c r="E47" s="17" t="s">
        <v>4665</v>
      </c>
      <c r="F47" s="17" t="s">
        <v>22820</v>
      </c>
      <c r="G47" s="20" t="s">
        <v>6009</v>
      </c>
      <c r="H47" s="20" t="s">
        <v>22821</v>
      </c>
      <c r="I47" s="17" t="s">
        <v>88</v>
      </c>
      <c r="J47" s="17">
        <v>1</v>
      </c>
      <c r="K47" s="17">
        <v>1</v>
      </c>
      <c r="L47" s="17" t="s">
        <v>22822</v>
      </c>
      <c r="M47" s="17" t="s">
        <v>937</v>
      </c>
      <c r="N47" s="17" t="s">
        <v>22823</v>
      </c>
      <c r="O47" s="17" t="s">
        <v>10161</v>
      </c>
      <c r="P47" s="17" t="str">
        <f>HYPERLINK("https://dexscreener.com/solana/FueRQG7Pe1EmMGtcevu95YwtCKNMQg1zRbreLsw3pump", "View")</f>
        <v>View</v>
      </c>
    </row>
    <row r="48" spans="1:16" x14ac:dyDescent="0.25">
      <c r="A48" s="13" t="s">
        <v>20254</v>
      </c>
      <c r="B48" s="14">
        <v>236365</v>
      </c>
      <c r="C48" s="14">
        <v>118183</v>
      </c>
      <c r="D48" s="14" t="s">
        <v>20588</v>
      </c>
      <c r="E48" s="14" t="s">
        <v>4679</v>
      </c>
      <c r="F48" s="14" t="s">
        <v>4482</v>
      </c>
      <c r="G48" s="15" t="s">
        <v>22824</v>
      </c>
      <c r="H48" s="15" t="s">
        <v>22825</v>
      </c>
      <c r="I48" s="14" t="s">
        <v>88</v>
      </c>
      <c r="J48" s="14">
        <v>1</v>
      </c>
      <c r="K48" s="14">
        <v>1</v>
      </c>
      <c r="L48" s="14" t="s">
        <v>22826</v>
      </c>
      <c r="M48" s="14" t="s">
        <v>602</v>
      </c>
      <c r="N48" s="14" t="s">
        <v>22827</v>
      </c>
      <c r="O48" s="14" t="s">
        <v>20257</v>
      </c>
      <c r="P48" s="14" t="str">
        <f>HYPERLINK("https://dexscreener.com/solana/DLkvHmHi3caM6gKtkShBhnYGXGbGkhfND3sAQ1Jupump", "View")</f>
        <v>View</v>
      </c>
    </row>
    <row r="49" spans="1:16" x14ac:dyDescent="0.25">
      <c r="A49" s="16" t="s">
        <v>22828</v>
      </c>
      <c r="B49" s="17">
        <v>1300944</v>
      </c>
      <c r="C49" s="17">
        <v>0</v>
      </c>
      <c r="D49" s="17" t="s">
        <v>10098</v>
      </c>
      <c r="E49" s="17" t="s">
        <v>11889</v>
      </c>
      <c r="F49" s="17" t="s">
        <v>96</v>
      </c>
      <c r="G49" s="18" t="s">
        <v>22829</v>
      </c>
      <c r="H49" s="18" t="s">
        <v>98</v>
      </c>
      <c r="I49" s="17" t="s">
        <v>22830</v>
      </c>
      <c r="J49" s="17">
        <v>1</v>
      </c>
      <c r="K49" s="17">
        <v>0</v>
      </c>
      <c r="L49" s="17" t="s">
        <v>22831</v>
      </c>
      <c r="M49" s="19" t="s">
        <v>101</v>
      </c>
      <c r="N49" s="17" t="s">
        <v>11849</v>
      </c>
      <c r="O49" s="17" t="s">
        <v>22832</v>
      </c>
      <c r="P49" s="17" t="str">
        <f>HYPERLINK("https://photon-sol.tinyastro.io/en/lp/95iE8kbkAxuLZ6UMrApiedytrQ4BeSt1awHptrmkpump?handle=676050794bc1b1657a56b", "View")</f>
        <v>View</v>
      </c>
    </row>
    <row r="50" spans="1:16" x14ac:dyDescent="0.25">
      <c r="A50" s="13" t="s">
        <v>22833</v>
      </c>
      <c r="B50" s="14">
        <v>2197298</v>
      </c>
      <c r="C50" s="14">
        <v>2197298</v>
      </c>
      <c r="D50" s="14" t="s">
        <v>1289</v>
      </c>
      <c r="E50" s="14" t="s">
        <v>5098</v>
      </c>
      <c r="F50" s="14" t="s">
        <v>4868</v>
      </c>
      <c r="G50" s="20" t="s">
        <v>5681</v>
      </c>
      <c r="H50" s="20" t="s">
        <v>22834</v>
      </c>
      <c r="I50" s="14" t="s">
        <v>88</v>
      </c>
      <c r="J50" s="14">
        <v>1</v>
      </c>
      <c r="K50" s="14">
        <v>1</v>
      </c>
      <c r="L50" s="14" t="s">
        <v>22835</v>
      </c>
      <c r="M50" s="14" t="s">
        <v>1434</v>
      </c>
      <c r="N50" s="14" t="s">
        <v>4249</v>
      </c>
      <c r="O50" s="14" t="s">
        <v>22836</v>
      </c>
      <c r="P50" s="14" t="str">
        <f>HYPERLINK("https://photon-sol.tinyastro.io/en/lp/DQShvC5E65CQSYHzCPVYVLWanXsKi62gd2bzeKpupump?handle=676050794bc1b1657a56b", "View")</f>
        <v>View</v>
      </c>
    </row>
    <row r="51" spans="1:16" x14ac:dyDescent="0.25">
      <c r="A51" s="16" t="s">
        <v>22837</v>
      </c>
      <c r="B51" s="17">
        <v>895351</v>
      </c>
      <c r="C51" s="17">
        <v>895351</v>
      </c>
      <c r="D51" s="17" t="s">
        <v>1289</v>
      </c>
      <c r="E51" s="17" t="s">
        <v>4679</v>
      </c>
      <c r="F51" s="17" t="s">
        <v>14344</v>
      </c>
      <c r="G51" s="21" t="s">
        <v>8978</v>
      </c>
      <c r="H51" s="21" t="s">
        <v>22838</v>
      </c>
      <c r="I51" s="17" t="s">
        <v>88</v>
      </c>
      <c r="J51" s="17">
        <v>1</v>
      </c>
      <c r="K51" s="17">
        <v>1</v>
      </c>
      <c r="L51" s="17" t="s">
        <v>22839</v>
      </c>
      <c r="M51" s="17" t="s">
        <v>656</v>
      </c>
      <c r="N51" s="17" t="s">
        <v>22840</v>
      </c>
      <c r="O51" s="17" t="s">
        <v>22841</v>
      </c>
      <c r="P51" s="17" t="str">
        <f>HYPERLINK("https://dexscreener.com/solana/DXG751S7qe2GYKdR655FXZeaDNsLfJiw4nkvvFGvpump", "View")</f>
        <v>View</v>
      </c>
    </row>
    <row r="52" spans="1:16" x14ac:dyDescent="0.25">
      <c r="A52" s="13" t="s">
        <v>22842</v>
      </c>
      <c r="B52" s="14">
        <v>314678</v>
      </c>
      <c r="C52" s="14">
        <v>314678</v>
      </c>
      <c r="D52" s="14" t="s">
        <v>1372</v>
      </c>
      <c r="E52" s="14" t="s">
        <v>4665</v>
      </c>
      <c r="F52" s="14" t="s">
        <v>3502</v>
      </c>
      <c r="G52" s="21" t="s">
        <v>5721</v>
      </c>
      <c r="H52" s="21" t="s">
        <v>22843</v>
      </c>
      <c r="I52" s="14" t="s">
        <v>88</v>
      </c>
      <c r="J52" s="14">
        <v>1</v>
      </c>
      <c r="K52" s="14">
        <v>4</v>
      </c>
      <c r="L52" s="14" t="s">
        <v>22844</v>
      </c>
      <c r="M52" s="14" t="s">
        <v>150</v>
      </c>
      <c r="N52" s="14" t="s">
        <v>22845</v>
      </c>
      <c r="O52" s="14" t="s">
        <v>22846</v>
      </c>
      <c r="P52" s="14" t="str">
        <f>HYPERLINK("https://dexscreener.com/solana/6UmMAjSYeA5vR94Bn2qD7n2jWpQdd3nW22Vo95RSpump", "View")</f>
        <v>View</v>
      </c>
    </row>
    <row r="53" spans="1:16" x14ac:dyDescent="0.25">
      <c r="A53" s="16" t="s">
        <v>22847</v>
      </c>
      <c r="B53" s="17">
        <v>97858</v>
      </c>
      <c r="C53" s="17">
        <v>97858</v>
      </c>
      <c r="D53" s="17" t="s">
        <v>18041</v>
      </c>
      <c r="E53" s="17" t="s">
        <v>4396</v>
      </c>
      <c r="F53" s="17" t="s">
        <v>8642</v>
      </c>
      <c r="G53" s="21" t="s">
        <v>4224</v>
      </c>
      <c r="H53" s="21" t="s">
        <v>22848</v>
      </c>
      <c r="I53" s="17" t="s">
        <v>88</v>
      </c>
      <c r="J53" s="17">
        <v>1</v>
      </c>
      <c r="K53" s="17">
        <v>2</v>
      </c>
      <c r="L53" s="17" t="s">
        <v>22849</v>
      </c>
      <c r="M53" s="17" t="s">
        <v>4413</v>
      </c>
      <c r="N53" s="17" t="s">
        <v>22850</v>
      </c>
      <c r="O53" s="17" t="s">
        <v>22851</v>
      </c>
      <c r="P53" s="17" t="str">
        <f>HYPERLINK("https://dexscreener.com/solana/GEpKxmMkeXycPkBV7AnTozVhoSvAha8XggRrPnzppump", "View")</f>
        <v>View</v>
      </c>
    </row>
    <row r="54" spans="1:16" x14ac:dyDescent="0.25">
      <c r="A54" s="13" t="s">
        <v>3998</v>
      </c>
      <c r="B54" s="14">
        <v>636241</v>
      </c>
      <c r="C54" s="14">
        <v>636241</v>
      </c>
      <c r="D54" s="14" t="s">
        <v>10387</v>
      </c>
      <c r="E54" s="14" t="s">
        <v>4679</v>
      </c>
      <c r="F54" s="14" t="s">
        <v>22852</v>
      </c>
      <c r="G54" s="21" t="s">
        <v>14057</v>
      </c>
      <c r="H54" s="21" t="s">
        <v>22853</v>
      </c>
      <c r="I54" s="14" t="s">
        <v>88</v>
      </c>
      <c r="J54" s="14">
        <v>1</v>
      </c>
      <c r="K54" s="14">
        <v>2</v>
      </c>
      <c r="L54" s="14" t="s">
        <v>22854</v>
      </c>
      <c r="M54" s="14" t="s">
        <v>788</v>
      </c>
      <c r="N54" s="14" t="s">
        <v>22855</v>
      </c>
      <c r="O54" s="14" t="s">
        <v>4004</v>
      </c>
      <c r="P54" s="14" t="str">
        <f>HYPERLINK("https://dexscreener.com/solana/mAhve2iAaV6XXixNXZdwRGDTTHBUp2sb8tD41rHpump", "View")</f>
        <v>View</v>
      </c>
    </row>
    <row r="55" spans="1:16" x14ac:dyDescent="0.25">
      <c r="A55" s="16" t="s">
        <v>20665</v>
      </c>
      <c r="B55" s="17">
        <v>143867</v>
      </c>
      <c r="C55" s="17">
        <v>143867</v>
      </c>
      <c r="D55" s="17" t="s">
        <v>22856</v>
      </c>
      <c r="E55" s="17" t="s">
        <v>4665</v>
      </c>
      <c r="F55" s="17" t="s">
        <v>8564</v>
      </c>
      <c r="G55" s="21" t="s">
        <v>18730</v>
      </c>
      <c r="H55" s="21" t="s">
        <v>22857</v>
      </c>
      <c r="I55" s="17" t="s">
        <v>88</v>
      </c>
      <c r="J55" s="17">
        <v>1</v>
      </c>
      <c r="K55" s="17">
        <v>4</v>
      </c>
      <c r="L55" s="17" t="s">
        <v>22858</v>
      </c>
      <c r="M55" s="17" t="s">
        <v>1526</v>
      </c>
      <c r="N55" s="17" t="s">
        <v>22859</v>
      </c>
      <c r="O55" s="17" t="s">
        <v>20670</v>
      </c>
      <c r="P55" s="17" t="str">
        <f>HYPERLINK("https://dexscreener.com/solana/33ihhsv2zxE1uxRQTpKKkLzFq1gL514G11brfgqGpump", "View")</f>
        <v>View</v>
      </c>
    </row>
    <row r="56" spans="1:16" x14ac:dyDescent="0.25">
      <c r="A56" s="13" t="s">
        <v>22860</v>
      </c>
      <c r="B56" s="14">
        <v>934478</v>
      </c>
      <c r="C56" s="14">
        <v>0</v>
      </c>
      <c r="D56" s="14" t="s">
        <v>10098</v>
      </c>
      <c r="E56" s="14" t="s">
        <v>4679</v>
      </c>
      <c r="F56" s="14" t="s">
        <v>96</v>
      </c>
      <c r="G56" s="18" t="s">
        <v>2739</v>
      </c>
      <c r="H56" s="18" t="s">
        <v>98</v>
      </c>
      <c r="I56" s="14" t="s">
        <v>22861</v>
      </c>
      <c r="J56" s="14">
        <v>1</v>
      </c>
      <c r="K56" s="14">
        <v>0</v>
      </c>
      <c r="L56" s="14" t="s">
        <v>22862</v>
      </c>
      <c r="M56" s="19" t="s">
        <v>101</v>
      </c>
      <c r="N56" s="14" t="s">
        <v>22863</v>
      </c>
      <c r="O56" s="14" t="s">
        <v>22864</v>
      </c>
      <c r="P56" s="14" t="str">
        <f>HYPERLINK("https://dexscreener.com/solana/7iKtXcMzE9pij8d2N3Lr91SFk3ctapyjKNydqY1Rpump", "View")</f>
        <v>View</v>
      </c>
    </row>
    <row r="57" spans="1:16" x14ac:dyDescent="0.25">
      <c r="A57" s="16" t="s">
        <v>5836</v>
      </c>
      <c r="B57" s="17">
        <v>360093</v>
      </c>
      <c r="C57" s="17">
        <v>360093</v>
      </c>
      <c r="D57" s="17" t="s">
        <v>883</v>
      </c>
      <c r="E57" s="17" t="s">
        <v>4679</v>
      </c>
      <c r="F57" s="17" t="s">
        <v>18532</v>
      </c>
      <c r="G57" s="21" t="s">
        <v>19894</v>
      </c>
      <c r="H57" s="21" t="s">
        <v>22865</v>
      </c>
      <c r="I57" s="17" t="s">
        <v>88</v>
      </c>
      <c r="J57" s="17">
        <v>1</v>
      </c>
      <c r="K57" s="17">
        <v>1</v>
      </c>
      <c r="L57" s="17" t="s">
        <v>22866</v>
      </c>
      <c r="M57" s="17" t="s">
        <v>1610</v>
      </c>
      <c r="N57" s="17" t="s">
        <v>22867</v>
      </c>
      <c r="O57" s="17" t="s">
        <v>22868</v>
      </c>
      <c r="P57" s="17" t="str">
        <f>HYPERLINK("https://dexscreener.com/solana/EJMNLsLodt9ytfE5E8oKksdgnkDdU8gGYCKFpSUMpump", "View")</f>
        <v>View</v>
      </c>
    </row>
    <row r="58" spans="1:16" x14ac:dyDescent="0.25">
      <c r="A58" s="13" t="s">
        <v>22869</v>
      </c>
      <c r="B58" s="14">
        <v>254876</v>
      </c>
      <c r="C58" s="14">
        <v>254876</v>
      </c>
      <c r="D58" s="14" t="s">
        <v>883</v>
      </c>
      <c r="E58" s="14" t="s">
        <v>4679</v>
      </c>
      <c r="F58" s="14" t="s">
        <v>5497</v>
      </c>
      <c r="G58" s="22" t="s">
        <v>4217</v>
      </c>
      <c r="H58" s="22" t="s">
        <v>22870</v>
      </c>
      <c r="I58" s="14" t="s">
        <v>88</v>
      </c>
      <c r="J58" s="14">
        <v>1</v>
      </c>
      <c r="K58" s="14">
        <v>1</v>
      </c>
      <c r="L58" s="14" t="s">
        <v>22871</v>
      </c>
      <c r="M58" s="14" t="s">
        <v>1434</v>
      </c>
      <c r="N58" s="14" t="s">
        <v>22872</v>
      </c>
      <c r="O58" s="14" t="s">
        <v>22873</v>
      </c>
      <c r="P58" s="14" t="str">
        <f>HYPERLINK("https://dexscreener.com/solana/82jE2mJaHvkUruxzkkyiVFSs2qWeHengLv6Qmycmpump", "View")</f>
        <v>View</v>
      </c>
    </row>
    <row r="59" spans="1:16" x14ac:dyDescent="0.25">
      <c r="A59" s="16" t="s">
        <v>10523</v>
      </c>
      <c r="B59" s="17">
        <v>1632337</v>
      </c>
      <c r="C59" s="17">
        <v>1632337</v>
      </c>
      <c r="D59" s="17" t="s">
        <v>19607</v>
      </c>
      <c r="E59" s="17" t="s">
        <v>4665</v>
      </c>
      <c r="F59" s="17" t="s">
        <v>22874</v>
      </c>
      <c r="G59" s="21" t="s">
        <v>19106</v>
      </c>
      <c r="H59" s="21" t="s">
        <v>22875</v>
      </c>
      <c r="I59" s="17" t="s">
        <v>88</v>
      </c>
      <c r="J59" s="17">
        <v>1</v>
      </c>
      <c r="K59" s="17">
        <v>3</v>
      </c>
      <c r="L59" s="17" t="s">
        <v>22876</v>
      </c>
      <c r="M59" s="17" t="s">
        <v>9534</v>
      </c>
      <c r="N59" s="17" t="s">
        <v>22877</v>
      </c>
      <c r="O59" s="17" t="s">
        <v>10528</v>
      </c>
      <c r="P59" s="17" t="str">
        <f>HYPERLINK("https://dexscreener.com/solana/CLmkmdeeDqZRciDPrpVS8JtFj2g1hh8U4XQmQishpump", "View")</f>
        <v>View</v>
      </c>
    </row>
    <row r="60" spans="1:16" x14ac:dyDescent="0.25">
      <c r="A60" s="13" t="s">
        <v>22878</v>
      </c>
      <c r="B60" s="14">
        <v>307366</v>
      </c>
      <c r="C60" s="14">
        <v>307366</v>
      </c>
      <c r="D60" s="14" t="s">
        <v>19626</v>
      </c>
      <c r="E60" s="14" t="s">
        <v>4665</v>
      </c>
      <c r="F60" s="14" t="s">
        <v>3744</v>
      </c>
      <c r="G60" s="21" t="s">
        <v>3445</v>
      </c>
      <c r="H60" s="21" t="s">
        <v>22879</v>
      </c>
      <c r="I60" s="14" t="s">
        <v>88</v>
      </c>
      <c r="J60" s="14">
        <v>1</v>
      </c>
      <c r="K60" s="14">
        <v>4</v>
      </c>
      <c r="L60" s="14" t="s">
        <v>22880</v>
      </c>
      <c r="M60" s="14" t="s">
        <v>5061</v>
      </c>
      <c r="N60" s="14" t="s">
        <v>22881</v>
      </c>
      <c r="O60" s="14" t="s">
        <v>22882</v>
      </c>
      <c r="P60" s="14" t="str">
        <f>HYPERLINK("https://dexscreener.com/solana/BGaumRqjesfv7jHecTG4cZJNJKt4eJGpTPeFqt3rpump", "View")</f>
        <v>View</v>
      </c>
    </row>
    <row r="61" spans="1:16" x14ac:dyDescent="0.25">
      <c r="A61" s="16" t="s">
        <v>22883</v>
      </c>
      <c r="B61" s="17">
        <v>831197</v>
      </c>
      <c r="C61" s="17">
        <v>831197</v>
      </c>
      <c r="D61" s="17" t="s">
        <v>18041</v>
      </c>
      <c r="E61" s="17" t="s">
        <v>15709</v>
      </c>
      <c r="F61" s="17" t="s">
        <v>15641</v>
      </c>
      <c r="G61" s="21" t="s">
        <v>4951</v>
      </c>
      <c r="H61" s="21" t="s">
        <v>22884</v>
      </c>
      <c r="I61" s="17" t="s">
        <v>88</v>
      </c>
      <c r="J61" s="17">
        <v>1</v>
      </c>
      <c r="K61" s="17">
        <v>2</v>
      </c>
      <c r="L61" s="17" t="s">
        <v>22885</v>
      </c>
      <c r="M61" s="17" t="s">
        <v>2715</v>
      </c>
      <c r="N61" s="17" t="s">
        <v>22886</v>
      </c>
      <c r="O61" s="17" t="s">
        <v>22887</v>
      </c>
      <c r="P61" s="17" t="str">
        <f>HYPERLINK("https://photon-sol.tinyastro.io/en/lp/4mVuZYSQaxBUGzuWaq5SPAPLNWmMk65NSbStU9vKpump?handle=676050794bc1b1657a56b", "View")</f>
        <v>View</v>
      </c>
    </row>
    <row r="62" spans="1:16" x14ac:dyDescent="0.25">
      <c r="A62" s="13" t="s">
        <v>22888</v>
      </c>
      <c r="B62" s="14">
        <v>242366</v>
      </c>
      <c r="C62" s="14">
        <v>0</v>
      </c>
      <c r="D62" s="14" t="s">
        <v>10098</v>
      </c>
      <c r="E62" s="14" t="s">
        <v>4665</v>
      </c>
      <c r="F62" s="14" t="s">
        <v>96</v>
      </c>
      <c r="G62" s="18" t="s">
        <v>11238</v>
      </c>
      <c r="H62" s="18" t="s">
        <v>98</v>
      </c>
      <c r="I62" s="14" t="s">
        <v>22889</v>
      </c>
      <c r="J62" s="14">
        <v>1</v>
      </c>
      <c r="K62" s="14">
        <v>0</v>
      </c>
      <c r="L62" s="14" t="s">
        <v>22890</v>
      </c>
      <c r="M62" s="19" t="s">
        <v>101</v>
      </c>
      <c r="N62" s="14" t="s">
        <v>22891</v>
      </c>
      <c r="O62" s="14" t="s">
        <v>22892</v>
      </c>
      <c r="P62" s="14" t="str">
        <f>HYPERLINK("https://dexscreener.com/solana/8xvcUfPviuf8do4i37i7hSZkvdHsNVaBwuJEYT47pump", "View")</f>
        <v>View</v>
      </c>
    </row>
    <row r="63" spans="1:16" x14ac:dyDescent="0.25">
      <c r="A63" s="16" t="s">
        <v>22893</v>
      </c>
      <c r="B63" s="17">
        <v>401291</v>
      </c>
      <c r="C63" s="17">
        <v>401291</v>
      </c>
      <c r="D63" s="17" t="s">
        <v>1289</v>
      </c>
      <c r="E63" s="17" t="s">
        <v>4919</v>
      </c>
      <c r="F63" s="17" t="s">
        <v>22894</v>
      </c>
      <c r="G63" s="21" t="s">
        <v>8245</v>
      </c>
      <c r="H63" s="21" t="s">
        <v>22895</v>
      </c>
      <c r="I63" s="17" t="s">
        <v>88</v>
      </c>
      <c r="J63" s="17">
        <v>1</v>
      </c>
      <c r="K63" s="17">
        <v>1</v>
      </c>
      <c r="L63" s="17" t="s">
        <v>22896</v>
      </c>
      <c r="M63" s="17" t="s">
        <v>699</v>
      </c>
      <c r="N63" s="17" t="s">
        <v>22897</v>
      </c>
      <c r="O63" s="17" t="s">
        <v>22898</v>
      </c>
      <c r="P63" s="17" t="str">
        <f>HYPERLINK("https://photon-sol.tinyastro.io/en/lp/9dpB13TqfTFz7jZgtXf1DKD37BBrMztZFQwQgM5Hpump?handle=676050794bc1b1657a56b", "View")</f>
        <v>View</v>
      </c>
    </row>
    <row r="64" spans="1:16" x14ac:dyDescent="0.25">
      <c r="A64" s="13" t="s">
        <v>22899</v>
      </c>
      <c r="B64" s="14">
        <v>1324704</v>
      </c>
      <c r="C64" s="14">
        <v>1324704</v>
      </c>
      <c r="D64" s="14" t="s">
        <v>22900</v>
      </c>
      <c r="E64" s="14" t="s">
        <v>8306</v>
      </c>
      <c r="F64" s="14" t="s">
        <v>10388</v>
      </c>
      <c r="G64" s="21" t="s">
        <v>22901</v>
      </c>
      <c r="H64" s="21" t="s">
        <v>22902</v>
      </c>
      <c r="I64" s="14" t="s">
        <v>88</v>
      </c>
      <c r="J64" s="14">
        <v>1</v>
      </c>
      <c r="K64" s="14">
        <v>5</v>
      </c>
      <c r="L64" s="14" t="s">
        <v>22903</v>
      </c>
      <c r="M64" s="14" t="s">
        <v>680</v>
      </c>
      <c r="N64" s="14" t="s">
        <v>22904</v>
      </c>
      <c r="O64" s="14" t="s">
        <v>22905</v>
      </c>
      <c r="P64" s="14" t="str">
        <f>HYPERLINK("https://photon-sol.tinyastro.io/en/lp/CpSGhqtgkrM8AMYUNNKVhGUhFNg9vRDUHTMoyiB7pump?handle=676050794bc1b1657a56b", "View")</f>
        <v>View</v>
      </c>
    </row>
    <row r="65" spans="1:16" x14ac:dyDescent="0.25">
      <c r="A65" s="16" t="s">
        <v>22906</v>
      </c>
      <c r="B65" s="17">
        <v>620901</v>
      </c>
      <c r="C65" s="17">
        <v>0</v>
      </c>
      <c r="D65" s="17" t="s">
        <v>864</v>
      </c>
      <c r="E65" s="17" t="s">
        <v>4665</v>
      </c>
      <c r="F65" s="17" t="s">
        <v>96</v>
      </c>
      <c r="G65" s="18" t="s">
        <v>4929</v>
      </c>
      <c r="H65" s="18" t="s">
        <v>98</v>
      </c>
      <c r="I65" s="17" t="s">
        <v>22907</v>
      </c>
      <c r="J65" s="17">
        <v>1</v>
      </c>
      <c r="K65" s="17">
        <v>0</v>
      </c>
      <c r="L65" s="17" t="s">
        <v>22908</v>
      </c>
      <c r="M65" s="19" t="s">
        <v>101</v>
      </c>
      <c r="N65" s="17" t="s">
        <v>10259</v>
      </c>
      <c r="O65" s="17" t="s">
        <v>22909</v>
      </c>
      <c r="P65" s="17" t="str">
        <f>HYPERLINK("https://dexscreener.com/solana/AiLMt6uGiWq4EkLmXfQgM4FhnbQBesJAvcB37VmHpump", "View")</f>
        <v>View</v>
      </c>
    </row>
    <row r="66" spans="1:16" x14ac:dyDescent="0.25">
      <c r="A66" s="13" t="s">
        <v>5658</v>
      </c>
      <c r="B66" s="14">
        <v>44043</v>
      </c>
      <c r="C66" s="14">
        <v>40361</v>
      </c>
      <c r="D66" s="14" t="s">
        <v>16144</v>
      </c>
      <c r="E66" s="14" t="s">
        <v>4499</v>
      </c>
      <c r="F66" s="14" t="s">
        <v>15474</v>
      </c>
      <c r="G66" s="22" t="s">
        <v>3792</v>
      </c>
      <c r="H66" s="22" t="s">
        <v>22910</v>
      </c>
      <c r="I66" s="14" t="s">
        <v>88</v>
      </c>
      <c r="J66" s="14">
        <v>6</v>
      </c>
      <c r="K66" s="14">
        <v>6</v>
      </c>
      <c r="L66" s="14" t="s">
        <v>22911</v>
      </c>
      <c r="M66" s="14" t="s">
        <v>150</v>
      </c>
      <c r="N66" s="14" t="s">
        <v>22912</v>
      </c>
      <c r="O66" s="14" t="s">
        <v>15135</v>
      </c>
      <c r="P66" s="14" t="str">
        <f>HYPERLINK("https://dexscreener.com/solana/HUdqc5MR5h3FssESabPnQ1GTgTcPvnNudAuLj5J6a9sU", "View")</f>
        <v>View</v>
      </c>
    </row>
    <row r="67" spans="1:16" x14ac:dyDescent="0.25">
      <c r="A67" s="16" t="s">
        <v>22913</v>
      </c>
      <c r="B67" s="17">
        <v>372956</v>
      </c>
      <c r="C67" s="17">
        <v>0</v>
      </c>
      <c r="D67" s="17" t="s">
        <v>864</v>
      </c>
      <c r="E67" s="17" t="s">
        <v>4660</v>
      </c>
      <c r="F67" s="17" t="s">
        <v>96</v>
      </c>
      <c r="G67" s="18" t="s">
        <v>3793</v>
      </c>
      <c r="H67" s="18" t="s">
        <v>98</v>
      </c>
      <c r="I67" s="17" t="s">
        <v>22914</v>
      </c>
      <c r="J67" s="17">
        <v>1</v>
      </c>
      <c r="K67" s="17">
        <v>0</v>
      </c>
      <c r="L67" s="17" t="s">
        <v>22915</v>
      </c>
      <c r="M67" s="19" t="s">
        <v>101</v>
      </c>
      <c r="N67" s="17" t="s">
        <v>22916</v>
      </c>
      <c r="O67" s="17" t="s">
        <v>22917</v>
      </c>
      <c r="P67" s="17" t="str">
        <f>HYPERLINK("https://photon-sol.tinyastro.io/en/lp/A5jwvxkTSFT4uhtqkmZ5dxtWHSevB6i2CQuAHvAc2scH?handle=676050794bc1b1657a56b", "View")</f>
        <v>View</v>
      </c>
    </row>
    <row r="68" spans="1:16" x14ac:dyDescent="0.25">
      <c r="A68" s="13" t="s">
        <v>22918</v>
      </c>
      <c r="B68" s="14">
        <v>167575</v>
      </c>
      <c r="C68" s="14">
        <v>167575</v>
      </c>
      <c r="D68" s="14" t="s">
        <v>913</v>
      </c>
      <c r="E68" s="14" t="s">
        <v>4396</v>
      </c>
      <c r="F68" s="14" t="s">
        <v>16968</v>
      </c>
      <c r="G68" s="21" t="s">
        <v>7291</v>
      </c>
      <c r="H68" s="21" t="s">
        <v>477</v>
      </c>
      <c r="I68" s="14" t="s">
        <v>88</v>
      </c>
      <c r="J68" s="14">
        <v>1</v>
      </c>
      <c r="K68" s="14">
        <v>2</v>
      </c>
      <c r="L68" s="14" t="s">
        <v>22919</v>
      </c>
      <c r="M68" s="14" t="s">
        <v>1448</v>
      </c>
      <c r="N68" s="14" t="s">
        <v>22920</v>
      </c>
      <c r="O68" s="14" t="s">
        <v>22921</v>
      </c>
      <c r="P68" s="14" t="str">
        <f>HYPERLINK("https://dexscreener.com/solana/72XUGRRzuSoLRch3QPpSPHkuZ8F58rvtCNF4QSosLb4H", "View")</f>
        <v>View</v>
      </c>
    </row>
    <row r="69" spans="1:16" x14ac:dyDescent="0.25">
      <c r="A69" s="16" t="s">
        <v>15161</v>
      </c>
      <c r="B69" s="17">
        <v>655824</v>
      </c>
      <c r="C69" s="17">
        <v>655824</v>
      </c>
      <c r="D69" s="17" t="s">
        <v>1289</v>
      </c>
      <c r="E69" s="17" t="s">
        <v>4396</v>
      </c>
      <c r="F69" s="17" t="s">
        <v>2531</v>
      </c>
      <c r="G69" s="20" t="s">
        <v>5305</v>
      </c>
      <c r="H69" s="20" t="s">
        <v>22594</v>
      </c>
      <c r="I69" s="17" t="s">
        <v>88</v>
      </c>
      <c r="J69" s="17">
        <v>1</v>
      </c>
      <c r="K69" s="17">
        <v>1</v>
      </c>
      <c r="L69" s="17" t="s">
        <v>22922</v>
      </c>
      <c r="M69" s="17" t="s">
        <v>1957</v>
      </c>
      <c r="N69" s="17" t="s">
        <v>223</v>
      </c>
      <c r="O69" s="17" t="s">
        <v>15165</v>
      </c>
      <c r="P69" s="17" t="str">
        <f>HYPERLINK("https://dexscreener.com/solana/HxvyzyFVbq1KHyNhhvtjmWM69q3gR2WFW5F9622vpump", "View")</f>
        <v>View</v>
      </c>
    </row>
    <row r="70" spans="1:16" x14ac:dyDescent="0.25">
      <c r="A70" s="13" t="s">
        <v>22923</v>
      </c>
      <c r="B70" s="14">
        <v>911906</v>
      </c>
      <c r="C70" s="14">
        <v>911906</v>
      </c>
      <c r="D70" s="14" t="s">
        <v>883</v>
      </c>
      <c r="E70" s="14" t="s">
        <v>4665</v>
      </c>
      <c r="F70" s="14" t="s">
        <v>9395</v>
      </c>
      <c r="G70" s="22" t="s">
        <v>4874</v>
      </c>
      <c r="H70" s="22" t="s">
        <v>22924</v>
      </c>
      <c r="I70" s="14" t="s">
        <v>88</v>
      </c>
      <c r="J70" s="14">
        <v>1</v>
      </c>
      <c r="K70" s="14">
        <v>1</v>
      </c>
      <c r="L70" s="14" t="s">
        <v>22925</v>
      </c>
      <c r="M70" s="14" t="s">
        <v>179</v>
      </c>
      <c r="N70" s="14" t="s">
        <v>22926</v>
      </c>
      <c r="O70" s="14" t="s">
        <v>22927</v>
      </c>
      <c r="P70" s="14" t="str">
        <f>HYPERLINK("https://dexscreener.com/solana/jKUo4bdgLggxhimCYuVZK1kx8faVsQBjG9sQ4oBpump", "View")</f>
        <v>View</v>
      </c>
    </row>
    <row r="71" spans="1:16" x14ac:dyDescent="0.25">
      <c r="A71" s="16" t="s">
        <v>22928</v>
      </c>
      <c r="B71" s="17">
        <v>2389910</v>
      </c>
      <c r="C71" s="17">
        <v>0</v>
      </c>
      <c r="D71" s="17" t="s">
        <v>864</v>
      </c>
      <c r="E71" s="17" t="s">
        <v>4673</v>
      </c>
      <c r="F71" s="17" t="s">
        <v>96</v>
      </c>
      <c r="G71" s="18" t="s">
        <v>16241</v>
      </c>
      <c r="H71" s="18" t="s">
        <v>98</v>
      </c>
      <c r="I71" s="17" t="s">
        <v>22929</v>
      </c>
      <c r="J71" s="17">
        <v>1</v>
      </c>
      <c r="K71" s="17">
        <v>0</v>
      </c>
      <c r="L71" s="17" t="s">
        <v>22930</v>
      </c>
      <c r="M71" s="19" t="s">
        <v>101</v>
      </c>
      <c r="N71" s="17" t="s">
        <v>507</v>
      </c>
      <c r="O71" s="17" t="s">
        <v>22931</v>
      </c>
      <c r="P71" s="17" t="str">
        <f>HYPERLINK("https://photon-sol.tinyastro.io/en/lp/3zmeFfnCHrE8byXqDz1asmUMt8w7XCL4pCeJQQ4Rpump?handle=676050794bc1b1657a56b", "View")</f>
        <v>View</v>
      </c>
    </row>
    <row r="72" spans="1:16" x14ac:dyDescent="0.25">
      <c r="A72" s="13" t="s">
        <v>22932</v>
      </c>
      <c r="B72" s="14">
        <v>465045</v>
      </c>
      <c r="C72" s="14">
        <v>0</v>
      </c>
      <c r="D72" s="14" t="s">
        <v>10098</v>
      </c>
      <c r="E72" s="14" t="s">
        <v>4665</v>
      </c>
      <c r="F72" s="14" t="s">
        <v>96</v>
      </c>
      <c r="G72" s="18" t="s">
        <v>11238</v>
      </c>
      <c r="H72" s="18" t="s">
        <v>98</v>
      </c>
      <c r="I72" s="14" t="s">
        <v>22933</v>
      </c>
      <c r="J72" s="14">
        <v>1</v>
      </c>
      <c r="K72" s="14">
        <v>0</v>
      </c>
      <c r="L72" s="14" t="s">
        <v>22934</v>
      </c>
      <c r="M72" s="19" t="s">
        <v>101</v>
      </c>
      <c r="N72" s="14" t="s">
        <v>10182</v>
      </c>
      <c r="O72" s="14" t="s">
        <v>22935</v>
      </c>
      <c r="P72" s="14" t="str">
        <f>HYPERLINK("https://dexscreener.com/solana/7AAQ3UfUL7bFU2BtxnjSmNSuoSM2kEJNSfYxMQJkpump", "View")</f>
        <v>View</v>
      </c>
    </row>
    <row r="73" spans="1:16" x14ac:dyDescent="0.25">
      <c r="A73" s="16" t="s">
        <v>22936</v>
      </c>
      <c r="B73" s="17">
        <v>749881</v>
      </c>
      <c r="C73" s="17">
        <v>0</v>
      </c>
      <c r="D73" s="17" t="s">
        <v>864</v>
      </c>
      <c r="E73" s="17" t="s">
        <v>4919</v>
      </c>
      <c r="F73" s="17" t="s">
        <v>96</v>
      </c>
      <c r="G73" s="18" t="s">
        <v>5299</v>
      </c>
      <c r="H73" s="18" t="s">
        <v>98</v>
      </c>
      <c r="I73" s="17" t="s">
        <v>22937</v>
      </c>
      <c r="J73" s="17">
        <v>1</v>
      </c>
      <c r="K73" s="17">
        <v>0</v>
      </c>
      <c r="L73" s="17" t="s">
        <v>22938</v>
      </c>
      <c r="M73" s="19" t="s">
        <v>101</v>
      </c>
      <c r="N73" s="17" t="s">
        <v>507</v>
      </c>
      <c r="O73" s="17" t="s">
        <v>22939</v>
      </c>
      <c r="P73" s="17" t="str">
        <f>HYPERLINK("https://photon-sol.tinyastro.io/en/lp/8VzZhSniSCa8gFoM72nnaisj2Li32g4Wp7ncC6v7pump?handle=676050794bc1b1657a56b", "View")</f>
        <v>View</v>
      </c>
    </row>
    <row r="74" spans="1:16" x14ac:dyDescent="0.25">
      <c r="A74" s="13" t="s">
        <v>22940</v>
      </c>
      <c r="B74" s="14">
        <v>562878</v>
      </c>
      <c r="C74" s="14">
        <v>0</v>
      </c>
      <c r="D74" s="14" t="s">
        <v>864</v>
      </c>
      <c r="E74" s="14" t="s">
        <v>4665</v>
      </c>
      <c r="F74" s="14" t="s">
        <v>96</v>
      </c>
      <c r="G74" s="18" t="s">
        <v>4929</v>
      </c>
      <c r="H74" s="18" t="s">
        <v>98</v>
      </c>
      <c r="I74" s="14" t="s">
        <v>22941</v>
      </c>
      <c r="J74" s="14">
        <v>1</v>
      </c>
      <c r="K74" s="14">
        <v>0</v>
      </c>
      <c r="L74" s="14" t="s">
        <v>22942</v>
      </c>
      <c r="M74" s="19" t="s">
        <v>101</v>
      </c>
      <c r="N74" s="14" t="s">
        <v>5105</v>
      </c>
      <c r="O74" s="14" t="s">
        <v>22943</v>
      </c>
      <c r="P74" s="14" t="str">
        <f>HYPERLINK("https://dexscreener.com/solana/2VK292LjbV39o7SWcx5U3BMod8dDYvHXKz4qRc1Fpump", "View")</f>
        <v>View</v>
      </c>
    </row>
    <row r="75" spans="1:16" x14ac:dyDescent="0.25">
      <c r="A75" s="16" t="s">
        <v>22944</v>
      </c>
      <c r="B75" s="17">
        <v>654058</v>
      </c>
      <c r="C75" s="17">
        <v>0</v>
      </c>
      <c r="D75" s="17" t="s">
        <v>864</v>
      </c>
      <c r="E75" s="17" t="s">
        <v>4919</v>
      </c>
      <c r="F75" s="17" t="s">
        <v>96</v>
      </c>
      <c r="G75" s="18" t="s">
        <v>5299</v>
      </c>
      <c r="H75" s="18" t="s">
        <v>98</v>
      </c>
      <c r="I75" s="17" t="s">
        <v>22945</v>
      </c>
      <c r="J75" s="17">
        <v>1</v>
      </c>
      <c r="K75" s="17">
        <v>0</v>
      </c>
      <c r="L75" s="17" t="s">
        <v>22946</v>
      </c>
      <c r="M75" s="19" t="s">
        <v>101</v>
      </c>
      <c r="N75" s="17" t="s">
        <v>507</v>
      </c>
      <c r="O75" s="17" t="s">
        <v>22947</v>
      </c>
      <c r="P75" s="17" t="str">
        <f>HYPERLINK("https://photon-sol.tinyastro.io/en/lp/2rZRtuAUBjiBxqL8Rid9ZfxecnnhZ7nhjjs4TgDfpump?handle=676050794bc1b1657a56b", "View")</f>
        <v>View</v>
      </c>
    </row>
    <row r="76" spans="1:16" x14ac:dyDescent="0.25">
      <c r="A76" s="13" t="s">
        <v>22948</v>
      </c>
      <c r="B76" s="14">
        <v>2177715</v>
      </c>
      <c r="C76" s="14">
        <v>0</v>
      </c>
      <c r="D76" s="14" t="s">
        <v>864</v>
      </c>
      <c r="E76" s="14" t="s">
        <v>2605</v>
      </c>
      <c r="F76" s="14" t="s">
        <v>96</v>
      </c>
      <c r="G76" s="18" t="s">
        <v>7895</v>
      </c>
      <c r="H76" s="18" t="s">
        <v>98</v>
      </c>
      <c r="I76" s="14" t="s">
        <v>22949</v>
      </c>
      <c r="J76" s="14">
        <v>1</v>
      </c>
      <c r="K76" s="14">
        <v>0</v>
      </c>
      <c r="L76" s="14" t="s">
        <v>22950</v>
      </c>
      <c r="M76" s="19" t="s">
        <v>101</v>
      </c>
      <c r="N76" s="14" t="s">
        <v>507</v>
      </c>
      <c r="O76" s="14" t="s">
        <v>22951</v>
      </c>
      <c r="P76" s="14" t="str">
        <f>HYPERLINK("https://photon-sol.tinyastro.io/en/lp/G6q8fYGnNypnzkjnPWpepgLTAsBT951T9iuYpaYypump?handle=676050794bc1b1657a56b", "View")</f>
        <v>View</v>
      </c>
    </row>
    <row r="77" spans="1:16" x14ac:dyDescent="0.25">
      <c r="A77" s="16" t="s">
        <v>22952</v>
      </c>
      <c r="B77" s="17">
        <v>2363851</v>
      </c>
      <c r="C77" s="17">
        <v>0</v>
      </c>
      <c r="D77" s="17" t="s">
        <v>864</v>
      </c>
      <c r="E77" s="17" t="s">
        <v>2605</v>
      </c>
      <c r="F77" s="17" t="s">
        <v>96</v>
      </c>
      <c r="G77" s="18" t="s">
        <v>7895</v>
      </c>
      <c r="H77" s="18" t="s">
        <v>98</v>
      </c>
      <c r="I77" s="17" t="s">
        <v>22953</v>
      </c>
      <c r="J77" s="17">
        <v>1</v>
      </c>
      <c r="K77" s="17">
        <v>0</v>
      </c>
      <c r="L77" s="17" t="s">
        <v>22954</v>
      </c>
      <c r="M77" s="19" t="s">
        <v>101</v>
      </c>
      <c r="N77" s="17" t="s">
        <v>507</v>
      </c>
      <c r="O77" s="17" t="s">
        <v>22955</v>
      </c>
      <c r="P77" s="17" t="str">
        <f>HYPERLINK("https://photon-sol.tinyastro.io/en/lp/8pDVXiPNp69ntNHJkofwoHSE5qPy4zWVSQndvy2ppump?handle=676050794bc1b1657a56b", "View")</f>
        <v>View</v>
      </c>
    </row>
    <row r="78" spans="1:16" x14ac:dyDescent="0.25">
      <c r="A78" s="13" t="s">
        <v>22956</v>
      </c>
      <c r="B78" s="14">
        <v>2279170</v>
      </c>
      <c r="C78" s="14">
        <v>0</v>
      </c>
      <c r="D78" s="14" t="s">
        <v>864</v>
      </c>
      <c r="E78" s="14" t="s">
        <v>4665</v>
      </c>
      <c r="F78" s="14" t="s">
        <v>96</v>
      </c>
      <c r="G78" s="18" t="s">
        <v>4929</v>
      </c>
      <c r="H78" s="18" t="s">
        <v>98</v>
      </c>
      <c r="I78" s="14" t="s">
        <v>22957</v>
      </c>
      <c r="J78" s="14">
        <v>1</v>
      </c>
      <c r="K78" s="14">
        <v>0</v>
      </c>
      <c r="L78" s="14" t="s">
        <v>22958</v>
      </c>
      <c r="M78" s="19" t="s">
        <v>101</v>
      </c>
      <c r="N78" s="14" t="s">
        <v>794</v>
      </c>
      <c r="O78" s="14" t="s">
        <v>22959</v>
      </c>
      <c r="P78" s="14" t="str">
        <f>HYPERLINK("https://dexscreener.com/solana/pFZd2acHWRV8iksLNVyVtzzviWs4cHZMz2nq1ELpump", "View")</f>
        <v>View</v>
      </c>
    </row>
    <row r="79" spans="1:16" x14ac:dyDescent="0.25">
      <c r="A79" s="16" t="s">
        <v>22960</v>
      </c>
      <c r="B79" s="17">
        <v>99271</v>
      </c>
      <c r="C79" s="17">
        <v>99271</v>
      </c>
      <c r="D79" s="17" t="s">
        <v>883</v>
      </c>
      <c r="E79" s="17" t="s">
        <v>4396</v>
      </c>
      <c r="F79" s="17" t="s">
        <v>10061</v>
      </c>
      <c r="G79" s="21" t="s">
        <v>14402</v>
      </c>
      <c r="H79" s="21" t="s">
        <v>22961</v>
      </c>
      <c r="I79" s="17" t="s">
        <v>88</v>
      </c>
      <c r="J79" s="17">
        <v>1</v>
      </c>
      <c r="K79" s="17">
        <v>1</v>
      </c>
      <c r="L79" s="17" t="s">
        <v>22962</v>
      </c>
      <c r="M79" s="17" t="s">
        <v>680</v>
      </c>
      <c r="N79" s="17" t="s">
        <v>22963</v>
      </c>
      <c r="O79" s="17" t="s">
        <v>22964</v>
      </c>
      <c r="P79" s="17" t="str">
        <f>HYPERLINK("https://dexscreener.com/solana/GVQ4gKZnja2AihfoAEKJTtFES2n4H6YLSSF7jYKc8Yia", "View")</f>
        <v>View</v>
      </c>
    </row>
    <row r="80" spans="1:16" x14ac:dyDescent="0.25">
      <c r="A80" s="13" t="s">
        <v>22965</v>
      </c>
      <c r="B80" s="14">
        <v>472471</v>
      </c>
      <c r="C80" s="14">
        <v>0</v>
      </c>
      <c r="D80" s="14" t="s">
        <v>864</v>
      </c>
      <c r="E80" s="14" t="s">
        <v>4919</v>
      </c>
      <c r="F80" s="14" t="s">
        <v>96</v>
      </c>
      <c r="G80" s="18" t="s">
        <v>5299</v>
      </c>
      <c r="H80" s="18" t="s">
        <v>98</v>
      </c>
      <c r="I80" s="14" t="s">
        <v>22966</v>
      </c>
      <c r="J80" s="14">
        <v>1</v>
      </c>
      <c r="K80" s="14">
        <v>0</v>
      </c>
      <c r="L80" s="14" t="s">
        <v>22967</v>
      </c>
      <c r="M80" s="19" t="s">
        <v>101</v>
      </c>
      <c r="N80" s="14" t="s">
        <v>507</v>
      </c>
      <c r="O80" s="14" t="s">
        <v>22968</v>
      </c>
      <c r="P80" s="14" t="str">
        <f>HYPERLINK("https://photon-sol.tinyastro.io/en/lp/2uv2mnhvLR2jERfTFrCumVTxrXjGi3p4h2Emfhtppump?handle=676050794bc1b1657a56b", "View")</f>
        <v>View</v>
      </c>
    </row>
    <row r="81" spans="1:16" x14ac:dyDescent="0.25">
      <c r="A81" s="16" t="s">
        <v>2519</v>
      </c>
      <c r="B81" s="17">
        <v>173929</v>
      </c>
      <c r="C81" s="17">
        <v>173929</v>
      </c>
      <c r="D81" s="17" t="s">
        <v>883</v>
      </c>
      <c r="E81" s="17" t="s">
        <v>4396</v>
      </c>
      <c r="F81" s="17" t="s">
        <v>5914</v>
      </c>
      <c r="G81" s="21" t="s">
        <v>5204</v>
      </c>
      <c r="H81" s="21" t="s">
        <v>22969</v>
      </c>
      <c r="I81" s="17" t="s">
        <v>88</v>
      </c>
      <c r="J81" s="17">
        <v>1</v>
      </c>
      <c r="K81" s="17">
        <v>1</v>
      </c>
      <c r="L81" s="17" t="s">
        <v>22970</v>
      </c>
      <c r="M81" s="17" t="s">
        <v>680</v>
      </c>
      <c r="N81" s="17" t="s">
        <v>22971</v>
      </c>
      <c r="O81" s="17" t="s">
        <v>18901</v>
      </c>
      <c r="P81" s="17" t="str">
        <f>HYPERLINK("https://dexscreener.com/solana/EA8gnhyGTGd73LcFZRTybziXcgaPBpidHWBcpa5Lpump", "View")</f>
        <v>View</v>
      </c>
    </row>
    <row r="82" spans="1:16" x14ac:dyDescent="0.25">
      <c r="A82" s="13" t="s">
        <v>22972</v>
      </c>
      <c r="B82" s="14">
        <v>10194</v>
      </c>
      <c r="C82" s="14">
        <v>0</v>
      </c>
      <c r="D82" s="14" t="s">
        <v>864</v>
      </c>
      <c r="E82" s="14" t="s">
        <v>4396</v>
      </c>
      <c r="F82" s="14" t="s">
        <v>96</v>
      </c>
      <c r="G82" s="18" t="s">
        <v>4739</v>
      </c>
      <c r="H82" s="18" t="s">
        <v>98</v>
      </c>
      <c r="I82" s="14" t="s">
        <v>22973</v>
      </c>
      <c r="J82" s="14">
        <v>1</v>
      </c>
      <c r="K82" s="14">
        <v>0</v>
      </c>
      <c r="L82" s="14" t="s">
        <v>22974</v>
      </c>
      <c r="M82" s="19" t="s">
        <v>101</v>
      </c>
      <c r="N82" s="14" t="s">
        <v>22975</v>
      </c>
      <c r="O82" s="14" t="s">
        <v>22976</v>
      </c>
      <c r="P82" s="14" t="str">
        <f>HYPERLINK("https://dexscreener.com/solana/B9DNQ2tYM2p8qH9ifc69rsVcHR2ETetGoBFhqmQqKdVN", "View")</f>
        <v>View</v>
      </c>
    </row>
    <row r="83" spans="1:16" x14ac:dyDescent="0.25">
      <c r="A83" s="16" t="s">
        <v>22977</v>
      </c>
      <c r="B83" s="17">
        <v>1632502</v>
      </c>
      <c r="C83" s="17">
        <v>1632502</v>
      </c>
      <c r="D83" s="17" t="s">
        <v>883</v>
      </c>
      <c r="E83" s="17" t="s">
        <v>4919</v>
      </c>
      <c r="F83" s="17" t="s">
        <v>2823</v>
      </c>
      <c r="G83" s="21" t="s">
        <v>4919</v>
      </c>
      <c r="H83" s="21" t="s">
        <v>22978</v>
      </c>
      <c r="I83" s="17" t="s">
        <v>88</v>
      </c>
      <c r="J83" s="17">
        <v>1</v>
      </c>
      <c r="K83" s="17">
        <v>1</v>
      </c>
      <c r="L83" s="17" t="s">
        <v>22979</v>
      </c>
      <c r="M83" s="17" t="s">
        <v>5501</v>
      </c>
      <c r="N83" s="17" t="s">
        <v>22980</v>
      </c>
      <c r="O83" s="17" t="s">
        <v>22981</v>
      </c>
      <c r="P83" s="17" t="str">
        <f>HYPERLINK("https://photon-sol.tinyastro.io/en/lp/9fURVh8YkzXDch2KmiBK7YT1zPYGC9UcWfXATvcupump?handle=676050794bc1b1657a56b", "View")</f>
        <v>View</v>
      </c>
    </row>
    <row r="84" spans="1:16" x14ac:dyDescent="0.25">
      <c r="A84" s="13" t="s">
        <v>22982</v>
      </c>
      <c r="B84" s="14">
        <v>358316</v>
      </c>
      <c r="C84" s="14">
        <v>358316</v>
      </c>
      <c r="D84" s="14" t="s">
        <v>883</v>
      </c>
      <c r="E84" s="14" t="s">
        <v>4919</v>
      </c>
      <c r="F84" s="14" t="s">
        <v>3481</v>
      </c>
      <c r="G84" s="15" t="s">
        <v>1846</v>
      </c>
      <c r="H84" s="15" t="s">
        <v>22983</v>
      </c>
      <c r="I84" s="14" t="s">
        <v>88</v>
      </c>
      <c r="J84" s="14">
        <v>1</v>
      </c>
      <c r="K84" s="14">
        <v>1</v>
      </c>
      <c r="L84" s="14" t="s">
        <v>22984</v>
      </c>
      <c r="M84" s="14" t="s">
        <v>304</v>
      </c>
      <c r="N84" s="14" t="s">
        <v>22985</v>
      </c>
      <c r="O84" s="14" t="s">
        <v>22986</v>
      </c>
      <c r="P84" s="14" t="str">
        <f>HYPERLINK("https://photon-sol.tinyastro.io/en/lp/GgByqxhf61FDrQXuhcwJ2KufCgfCdRqxjo7FeSHmpump?handle=676050794bc1b1657a56b", "View")</f>
        <v>View</v>
      </c>
    </row>
    <row r="85" spans="1:16" x14ac:dyDescent="0.25">
      <c r="A85" s="16" t="s">
        <v>4593</v>
      </c>
      <c r="B85" s="17">
        <v>65732</v>
      </c>
      <c r="C85" s="17">
        <v>0</v>
      </c>
      <c r="D85" s="17" t="s">
        <v>10098</v>
      </c>
      <c r="E85" s="17" t="s">
        <v>4396</v>
      </c>
      <c r="F85" s="17" t="s">
        <v>96</v>
      </c>
      <c r="G85" s="18" t="s">
        <v>14118</v>
      </c>
      <c r="H85" s="18" t="s">
        <v>98</v>
      </c>
      <c r="I85" s="17" t="s">
        <v>22987</v>
      </c>
      <c r="J85" s="17">
        <v>1</v>
      </c>
      <c r="K85" s="17">
        <v>0</v>
      </c>
      <c r="L85" s="17" t="s">
        <v>22988</v>
      </c>
      <c r="M85" s="19" t="s">
        <v>101</v>
      </c>
      <c r="N85" s="17" t="s">
        <v>10240</v>
      </c>
      <c r="O85" s="17" t="s">
        <v>4597</v>
      </c>
      <c r="P85" s="17" t="str">
        <f>HYPERLINK("https://dexscreener.com/solana/94zczHm8beQ4ToTSCpngqMxEDvvwpxk5EnAt7cuBpump", "View")</f>
        <v>View</v>
      </c>
    </row>
    <row r="86" spans="1:16" x14ac:dyDescent="0.25">
      <c r="A86" s="13" t="s">
        <v>22989</v>
      </c>
      <c r="B86" s="14">
        <v>1727940</v>
      </c>
      <c r="C86" s="14">
        <v>1727940</v>
      </c>
      <c r="D86" s="14" t="s">
        <v>1289</v>
      </c>
      <c r="E86" s="14" t="s">
        <v>3275</v>
      </c>
      <c r="F86" s="14" t="s">
        <v>5715</v>
      </c>
      <c r="G86" s="20" t="s">
        <v>15970</v>
      </c>
      <c r="H86" s="20" t="s">
        <v>22990</v>
      </c>
      <c r="I86" s="14" t="s">
        <v>88</v>
      </c>
      <c r="J86" s="14">
        <v>1</v>
      </c>
      <c r="K86" s="14">
        <v>1</v>
      </c>
      <c r="L86" s="14" t="s">
        <v>22991</v>
      </c>
      <c r="M86" s="14" t="s">
        <v>2672</v>
      </c>
      <c r="N86" s="14" t="s">
        <v>507</v>
      </c>
      <c r="O86" s="14" t="s">
        <v>22992</v>
      </c>
      <c r="P86" s="14" t="str">
        <f>HYPERLINK("https://photon-sol.tinyastro.io/en/lp/6EzM7YcaUmZmsvMK7AwA26U24xD3DTyqjyLNnpX1UhGL?handle=676050794bc1b1657a56b", "View")</f>
        <v>View</v>
      </c>
    </row>
    <row r="87" spans="1:16" x14ac:dyDescent="0.25">
      <c r="A87" s="16" t="s">
        <v>7437</v>
      </c>
      <c r="B87" s="17">
        <v>98610</v>
      </c>
      <c r="C87" s="17">
        <v>98610</v>
      </c>
      <c r="D87" s="17" t="s">
        <v>883</v>
      </c>
      <c r="E87" s="17" t="s">
        <v>4396</v>
      </c>
      <c r="F87" s="17" t="s">
        <v>5674</v>
      </c>
      <c r="G87" s="21" t="s">
        <v>3320</v>
      </c>
      <c r="H87" s="21" t="s">
        <v>22993</v>
      </c>
      <c r="I87" s="17" t="s">
        <v>88</v>
      </c>
      <c r="J87" s="17">
        <v>1</v>
      </c>
      <c r="K87" s="17">
        <v>1</v>
      </c>
      <c r="L87" s="17" t="s">
        <v>22994</v>
      </c>
      <c r="M87" s="17" t="s">
        <v>1610</v>
      </c>
      <c r="N87" s="17" t="s">
        <v>22995</v>
      </c>
      <c r="O87" s="17" t="s">
        <v>7444</v>
      </c>
      <c r="P87" s="17" t="str">
        <f>HYPERLINK("https://dexscreener.com/solana/CJA4R4Bibxnvthy4fNqmdcsaUjG58QKHxY2GtS91pump", "View")</f>
        <v>View</v>
      </c>
    </row>
    <row r="88" spans="1:16" x14ac:dyDescent="0.25">
      <c r="A88" s="13" t="s">
        <v>15193</v>
      </c>
      <c r="B88" s="14">
        <v>56127</v>
      </c>
      <c r="C88" s="14">
        <v>56127</v>
      </c>
      <c r="D88" s="14" t="s">
        <v>1289</v>
      </c>
      <c r="E88" s="14" t="s">
        <v>4396</v>
      </c>
      <c r="F88" s="14" t="s">
        <v>4706</v>
      </c>
      <c r="G88" s="15" t="s">
        <v>3023</v>
      </c>
      <c r="H88" s="15" t="s">
        <v>22996</v>
      </c>
      <c r="I88" s="14" t="s">
        <v>88</v>
      </c>
      <c r="J88" s="14">
        <v>1</v>
      </c>
      <c r="K88" s="14">
        <v>1</v>
      </c>
      <c r="L88" s="14" t="s">
        <v>22997</v>
      </c>
      <c r="M88" s="14" t="s">
        <v>937</v>
      </c>
      <c r="N88" s="14" t="s">
        <v>22998</v>
      </c>
      <c r="O88" s="14" t="s">
        <v>18950</v>
      </c>
      <c r="P88" s="14" t="str">
        <f>HYPERLINK("https://dexscreener.com/solana/BigaGMpcCq3iBp62RcoJw1w2aLGYtqPsPRguYH3xpump", "View")</f>
        <v>View</v>
      </c>
    </row>
    <row r="89" spans="1:16" x14ac:dyDescent="0.25">
      <c r="A89" s="16" t="s">
        <v>22999</v>
      </c>
      <c r="B89" s="17">
        <v>433389</v>
      </c>
      <c r="C89" s="17">
        <v>433389</v>
      </c>
      <c r="D89" s="17" t="s">
        <v>20588</v>
      </c>
      <c r="E89" s="17" t="s">
        <v>3275</v>
      </c>
      <c r="F89" s="17" t="s">
        <v>4014</v>
      </c>
      <c r="G89" s="21" t="s">
        <v>3309</v>
      </c>
      <c r="H89" s="21" t="s">
        <v>23000</v>
      </c>
      <c r="I89" s="17" t="s">
        <v>88</v>
      </c>
      <c r="J89" s="17">
        <v>1</v>
      </c>
      <c r="K89" s="17">
        <v>1</v>
      </c>
      <c r="L89" s="17" t="s">
        <v>23001</v>
      </c>
      <c r="M89" s="17" t="s">
        <v>1642</v>
      </c>
      <c r="N89" s="17" t="s">
        <v>23002</v>
      </c>
      <c r="O89" s="17" t="s">
        <v>23003</v>
      </c>
      <c r="P89" s="17" t="str">
        <f>HYPERLINK("https://photon-sol.tinyastro.io/en/lp/9nNQf9kFu271RS1oRLvUXFb6C5Tfsh8PWz7zznhmpump?handle=676050794bc1b1657a56b", "View")</f>
        <v>View</v>
      </c>
    </row>
    <row r="90" spans="1:16" x14ac:dyDescent="0.25">
      <c r="A90" s="13" t="s">
        <v>23004</v>
      </c>
      <c r="B90" s="14">
        <v>301203</v>
      </c>
      <c r="C90" s="14">
        <v>301203</v>
      </c>
      <c r="D90" s="14" t="s">
        <v>883</v>
      </c>
      <c r="E90" s="14" t="s">
        <v>4919</v>
      </c>
      <c r="F90" s="14" t="s">
        <v>5424</v>
      </c>
      <c r="G90" s="21" t="s">
        <v>2623</v>
      </c>
      <c r="H90" s="21" t="s">
        <v>23005</v>
      </c>
      <c r="I90" s="14" t="s">
        <v>88</v>
      </c>
      <c r="J90" s="14">
        <v>1</v>
      </c>
      <c r="K90" s="14">
        <v>1</v>
      </c>
      <c r="L90" s="14" t="s">
        <v>23006</v>
      </c>
      <c r="M90" s="14" t="s">
        <v>3180</v>
      </c>
      <c r="N90" s="14" t="s">
        <v>23007</v>
      </c>
      <c r="O90" s="14" t="s">
        <v>23008</v>
      </c>
      <c r="P90" s="14" t="str">
        <f>HYPERLINK("https://photon-sol.tinyastro.io/en/lp/9Dkh7QPc3iF1kwyPPCmLDpF9ZP61tyKxxe5E8QCtpump?handle=676050794bc1b1657a56b", "View")</f>
        <v>View</v>
      </c>
    </row>
    <row r="91" spans="1:16" x14ac:dyDescent="0.25">
      <c r="A91" s="16" t="s">
        <v>23009</v>
      </c>
      <c r="B91" s="17">
        <v>83847</v>
      </c>
      <c r="C91" s="17">
        <v>83847</v>
      </c>
      <c r="D91" s="17" t="s">
        <v>883</v>
      </c>
      <c r="E91" s="17" t="s">
        <v>4396</v>
      </c>
      <c r="F91" s="17" t="s">
        <v>23010</v>
      </c>
      <c r="G91" s="21" t="s">
        <v>2347</v>
      </c>
      <c r="H91" s="21" t="s">
        <v>23011</v>
      </c>
      <c r="I91" s="17" t="s">
        <v>88</v>
      </c>
      <c r="J91" s="17">
        <v>1</v>
      </c>
      <c r="K91" s="17">
        <v>1</v>
      </c>
      <c r="L91" s="17" t="s">
        <v>23012</v>
      </c>
      <c r="M91" s="17" t="s">
        <v>1705</v>
      </c>
      <c r="N91" s="17" t="s">
        <v>23013</v>
      </c>
      <c r="O91" s="17" t="s">
        <v>23014</v>
      </c>
      <c r="P91" s="17" t="str">
        <f>HYPERLINK("https://dexscreener.com/solana/reTfz5xtwM91ew4kByz1fu5ybZdsr4zAVduq49Gpump", "View")</f>
        <v>View</v>
      </c>
    </row>
    <row r="92" spans="1:16" x14ac:dyDescent="0.25">
      <c r="A92" s="13" t="s">
        <v>23015</v>
      </c>
      <c r="B92" s="14">
        <v>2371782</v>
      </c>
      <c r="C92" s="14">
        <v>2371782</v>
      </c>
      <c r="D92" s="14" t="s">
        <v>883</v>
      </c>
      <c r="E92" s="14" t="s">
        <v>4919</v>
      </c>
      <c r="F92" s="14" t="s">
        <v>5409</v>
      </c>
      <c r="G92" s="20" t="s">
        <v>5305</v>
      </c>
      <c r="H92" s="20" t="s">
        <v>23016</v>
      </c>
      <c r="I92" s="14" t="s">
        <v>88</v>
      </c>
      <c r="J92" s="14">
        <v>1</v>
      </c>
      <c r="K92" s="14">
        <v>1</v>
      </c>
      <c r="L92" s="14" t="s">
        <v>23017</v>
      </c>
      <c r="M92" s="14" t="s">
        <v>1566</v>
      </c>
      <c r="N92" s="14" t="s">
        <v>507</v>
      </c>
      <c r="O92" s="14" t="s">
        <v>23018</v>
      </c>
      <c r="P92" s="14" t="str">
        <f>HYPERLINK("https://photon-sol.tinyastro.io/en/lp/59P94M6bjT89Ch1Aej6FPtWN5ErgnEWWrEpbDirHpump?handle=676050794bc1b1657a56b", "View")</f>
        <v>View</v>
      </c>
    </row>
    <row r="93" spans="1:16" x14ac:dyDescent="0.25">
      <c r="A93" s="16" t="s">
        <v>23019</v>
      </c>
      <c r="B93" s="17">
        <v>247678</v>
      </c>
      <c r="C93" s="17">
        <v>247678</v>
      </c>
      <c r="D93" s="17" t="s">
        <v>883</v>
      </c>
      <c r="E93" s="17" t="s">
        <v>4396</v>
      </c>
      <c r="F93" s="17" t="s">
        <v>16962</v>
      </c>
      <c r="G93" s="21" t="s">
        <v>4817</v>
      </c>
      <c r="H93" s="21" t="s">
        <v>23020</v>
      </c>
      <c r="I93" s="17" t="s">
        <v>88</v>
      </c>
      <c r="J93" s="17">
        <v>1</v>
      </c>
      <c r="K93" s="17">
        <v>1</v>
      </c>
      <c r="L93" s="17" t="s">
        <v>23021</v>
      </c>
      <c r="M93" s="17" t="s">
        <v>6235</v>
      </c>
      <c r="N93" s="17" t="s">
        <v>23022</v>
      </c>
      <c r="O93" s="17" t="s">
        <v>23023</v>
      </c>
      <c r="P93" s="17" t="str">
        <f>HYPERLINK("https://dexscreener.com/solana/Gp2cd4mEUGWc9srhMqUpdXcpiq5G67YP1i1JE1hfpump", "View")</f>
        <v>View</v>
      </c>
    </row>
    <row r="94" spans="1:16" x14ac:dyDescent="0.25">
      <c r="A94" s="13" t="s">
        <v>23024</v>
      </c>
      <c r="B94" s="14">
        <v>280038</v>
      </c>
      <c r="C94" s="14">
        <v>280038</v>
      </c>
      <c r="D94" s="14" t="s">
        <v>1281</v>
      </c>
      <c r="E94" s="14" t="s">
        <v>4396</v>
      </c>
      <c r="F94" s="14" t="s">
        <v>2554</v>
      </c>
      <c r="G94" s="15" t="s">
        <v>4066</v>
      </c>
      <c r="H94" s="15" t="s">
        <v>6763</v>
      </c>
      <c r="I94" s="14" t="s">
        <v>88</v>
      </c>
      <c r="J94" s="14">
        <v>1</v>
      </c>
      <c r="K94" s="14">
        <v>3</v>
      </c>
      <c r="L94" s="14" t="s">
        <v>23025</v>
      </c>
      <c r="M94" s="14" t="s">
        <v>277</v>
      </c>
      <c r="N94" s="14" t="s">
        <v>6176</v>
      </c>
      <c r="O94" s="14" t="s">
        <v>23026</v>
      </c>
      <c r="P94" s="14" t="str">
        <f>HYPERLINK("https://dexscreener.com/solana/D2Wzx6tqqKeHJ4bXky3JSgjHXmfyAte1kcJFfWGxpump", "View")</f>
        <v>View</v>
      </c>
    </row>
    <row r="95" spans="1:16" x14ac:dyDescent="0.25">
      <c r="A95" s="16" t="s">
        <v>11043</v>
      </c>
      <c r="B95" s="17">
        <v>5426</v>
      </c>
      <c r="C95" s="17">
        <v>5426</v>
      </c>
      <c r="D95" s="17" t="s">
        <v>1289</v>
      </c>
      <c r="E95" s="17" t="s">
        <v>4396</v>
      </c>
      <c r="F95" s="17" t="s">
        <v>2547</v>
      </c>
      <c r="G95" s="15" t="s">
        <v>5347</v>
      </c>
      <c r="H95" s="15" t="s">
        <v>23027</v>
      </c>
      <c r="I95" s="17" t="s">
        <v>88</v>
      </c>
      <c r="J95" s="17">
        <v>1</v>
      </c>
      <c r="K95" s="17">
        <v>1</v>
      </c>
      <c r="L95" s="17" t="s">
        <v>23028</v>
      </c>
      <c r="M95" s="17" t="s">
        <v>117</v>
      </c>
      <c r="N95" s="17" t="s">
        <v>23029</v>
      </c>
      <c r="O95" s="17" t="s">
        <v>11047</v>
      </c>
      <c r="P95" s="17" t="str">
        <f>HYPERLINK("https://dexscreener.com/solana/8oAiUkC1gpr4Tuz3ZA7YUntWE47sop1fYmGWo4Zrpump", "View")</f>
        <v>View</v>
      </c>
    </row>
    <row r="96" spans="1:16" x14ac:dyDescent="0.25">
      <c r="A96" s="13" t="s">
        <v>15223</v>
      </c>
      <c r="B96" s="14">
        <v>183707</v>
      </c>
      <c r="C96" s="14">
        <v>183707</v>
      </c>
      <c r="D96" s="14" t="s">
        <v>883</v>
      </c>
      <c r="E96" s="14" t="s">
        <v>4665</v>
      </c>
      <c r="F96" s="14" t="s">
        <v>5226</v>
      </c>
      <c r="G96" s="15" t="s">
        <v>23030</v>
      </c>
      <c r="H96" s="15" t="s">
        <v>23031</v>
      </c>
      <c r="I96" s="14" t="s">
        <v>88</v>
      </c>
      <c r="J96" s="14">
        <v>1</v>
      </c>
      <c r="K96" s="14">
        <v>1</v>
      </c>
      <c r="L96" s="14" t="s">
        <v>23032</v>
      </c>
      <c r="M96" s="14" t="s">
        <v>602</v>
      </c>
      <c r="N96" s="14" t="s">
        <v>23033</v>
      </c>
      <c r="O96" s="14" t="s">
        <v>15230</v>
      </c>
      <c r="P96" s="14" t="str">
        <f>HYPERLINK("https://dexscreener.com/solana/7sFkV9Naouhm8tws55AKg6uwuuysBSbRRFzWeZmJpump", "View")</f>
        <v>View</v>
      </c>
    </row>
    <row r="97" spans="1:16" x14ac:dyDescent="0.25">
      <c r="A97" s="16" t="s">
        <v>23034</v>
      </c>
      <c r="B97" s="17">
        <v>14603</v>
      </c>
      <c r="C97" s="17">
        <v>14603</v>
      </c>
      <c r="D97" s="17" t="s">
        <v>883</v>
      </c>
      <c r="E97" s="17" t="s">
        <v>4396</v>
      </c>
      <c r="F97" s="17" t="s">
        <v>6398</v>
      </c>
      <c r="G97" s="15" t="s">
        <v>3880</v>
      </c>
      <c r="H97" s="15" t="s">
        <v>23035</v>
      </c>
      <c r="I97" s="17" t="s">
        <v>88</v>
      </c>
      <c r="J97" s="17">
        <v>1</v>
      </c>
      <c r="K97" s="17">
        <v>1</v>
      </c>
      <c r="L97" s="17" t="s">
        <v>23036</v>
      </c>
      <c r="M97" s="17" t="s">
        <v>179</v>
      </c>
      <c r="N97" s="17" t="s">
        <v>23037</v>
      </c>
      <c r="O97" s="17" t="s">
        <v>23038</v>
      </c>
      <c r="P97" s="17" t="str">
        <f>HYPERLINK("https://dexscreener.com/solana/4bLyzrVvz43NrDBu5J142wpbXNFaBfDQknRRqNoPpump", "View")</f>
        <v>View</v>
      </c>
    </row>
    <row r="98" spans="1:16" x14ac:dyDescent="0.25">
      <c r="A98" s="13" t="s">
        <v>17508</v>
      </c>
      <c r="B98" s="14">
        <v>12582</v>
      </c>
      <c r="C98" s="14">
        <v>12582</v>
      </c>
      <c r="D98" s="14" t="s">
        <v>20588</v>
      </c>
      <c r="E98" s="14" t="s">
        <v>4396</v>
      </c>
      <c r="F98" s="14" t="s">
        <v>19936</v>
      </c>
      <c r="G98" s="21" t="s">
        <v>19069</v>
      </c>
      <c r="H98" s="21" t="s">
        <v>23039</v>
      </c>
      <c r="I98" s="14" t="s">
        <v>88</v>
      </c>
      <c r="J98" s="14">
        <v>1</v>
      </c>
      <c r="K98" s="14">
        <v>1</v>
      </c>
      <c r="L98" s="14" t="s">
        <v>23040</v>
      </c>
      <c r="M98" s="14" t="s">
        <v>4922</v>
      </c>
      <c r="N98" s="14" t="s">
        <v>23041</v>
      </c>
      <c r="O98" s="14" t="s">
        <v>17513</v>
      </c>
      <c r="P98" s="14" t="str">
        <f>HYPERLINK("https://dexscreener.com/solana/Bp2KgefjvRDhvuLGjXHsSFxmqkJEXk3ZAa1FQ4rWpump", "View")</f>
        <v>View</v>
      </c>
    </row>
    <row r="99" spans="1:16" x14ac:dyDescent="0.25">
      <c r="A99" s="16" t="s">
        <v>11036</v>
      </c>
      <c r="B99" s="17">
        <v>17185</v>
      </c>
      <c r="C99" s="17">
        <v>17185</v>
      </c>
      <c r="D99" s="17" t="s">
        <v>883</v>
      </c>
      <c r="E99" s="17" t="s">
        <v>4396</v>
      </c>
      <c r="F99" s="17" t="s">
        <v>10641</v>
      </c>
      <c r="G99" s="21" t="s">
        <v>4761</v>
      </c>
      <c r="H99" s="21" t="s">
        <v>23042</v>
      </c>
      <c r="I99" s="17" t="s">
        <v>88</v>
      </c>
      <c r="J99" s="17">
        <v>1</v>
      </c>
      <c r="K99" s="17">
        <v>1</v>
      </c>
      <c r="L99" s="17" t="s">
        <v>23043</v>
      </c>
      <c r="M99" s="17" t="s">
        <v>179</v>
      </c>
      <c r="N99" s="17" t="s">
        <v>23044</v>
      </c>
      <c r="O99" s="17" t="s">
        <v>11042</v>
      </c>
      <c r="P99" s="17" t="str">
        <f>HYPERLINK("https://dexscreener.com/solana/6R3cyLUa8PmYo3Xk29bRXxGeVHSYF8RYrAsikeSwpump", "View")</f>
        <v>View</v>
      </c>
    </row>
    <row r="100" spans="1:16" x14ac:dyDescent="0.25">
      <c r="A100" s="13" t="s">
        <v>23045</v>
      </c>
      <c r="B100" s="14">
        <v>333612</v>
      </c>
      <c r="C100" s="14">
        <v>333612</v>
      </c>
      <c r="D100" s="14" t="s">
        <v>883</v>
      </c>
      <c r="E100" s="14" t="s">
        <v>6206</v>
      </c>
      <c r="F100" s="14" t="s">
        <v>5077</v>
      </c>
      <c r="G100" s="20" t="s">
        <v>14277</v>
      </c>
      <c r="H100" s="20" t="s">
        <v>22692</v>
      </c>
      <c r="I100" s="14" t="s">
        <v>88</v>
      </c>
      <c r="J100" s="14">
        <v>1</v>
      </c>
      <c r="K100" s="14">
        <v>1</v>
      </c>
      <c r="L100" s="14" t="s">
        <v>23046</v>
      </c>
      <c r="M100" s="14" t="s">
        <v>141</v>
      </c>
      <c r="N100" s="14" t="s">
        <v>507</v>
      </c>
      <c r="O100" s="14" t="s">
        <v>23047</v>
      </c>
      <c r="P100" s="14" t="str">
        <f>HYPERLINK("https://photon-sol.tinyastro.io/en/lp/D2qtVnKiRB69E7SBwARQrheRvoBB35rV3mW6HoBzpump?handle=676050794bc1b1657a56b", "View")</f>
        <v>View</v>
      </c>
    </row>
    <row r="101" spans="1:16" x14ac:dyDescent="0.25">
      <c r="A101" s="16" t="s">
        <v>23048</v>
      </c>
      <c r="B101" s="17">
        <v>85986</v>
      </c>
      <c r="C101" s="17">
        <v>85986</v>
      </c>
      <c r="D101" s="17" t="s">
        <v>883</v>
      </c>
      <c r="E101" s="17" t="s">
        <v>4396</v>
      </c>
      <c r="F101" s="17" t="s">
        <v>6248</v>
      </c>
      <c r="G101" s="15" t="s">
        <v>6249</v>
      </c>
      <c r="H101" s="15" t="s">
        <v>23049</v>
      </c>
      <c r="I101" s="17" t="s">
        <v>88</v>
      </c>
      <c r="J101" s="17">
        <v>1</v>
      </c>
      <c r="K101" s="17">
        <v>1</v>
      </c>
      <c r="L101" s="17" t="s">
        <v>23050</v>
      </c>
      <c r="M101" s="17" t="s">
        <v>117</v>
      </c>
      <c r="N101" s="17" t="s">
        <v>23051</v>
      </c>
      <c r="O101" s="17" t="s">
        <v>23052</v>
      </c>
      <c r="P101" s="17" t="str">
        <f>HYPERLINK("https://dexscreener.com/solana/12WRu4BdJk1yM3Nk433yg3S9GnxniUdueeu29iMPpump", "View")</f>
        <v>View</v>
      </c>
    </row>
    <row r="102" spans="1:16" x14ac:dyDescent="0.25">
      <c r="A102" s="13" t="s">
        <v>23053</v>
      </c>
      <c r="B102" s="14">
        <v>640295</v>
      </c>
      <c r="C102" s="14">
        <v>640295</v>
      </c>
      <c r="D102" s="14" t="s">
        <v>883</v>
      </c>
      <c r="E102" s="14" t="s">
        <v>4919</v>
      </c>
      <c r="F102" s="14" t="s">
        <v>2547</v>
      </c>
      <c r="G102" s="15" t="s">
        <v>6142</v>
      </c>
      <c r="H102" s="15" t="s">
        <v>23054</v>
      </c>
      <c r="I102" s="14" t="s">
        <v>88</v>
      </c>
      <c r="J102" s="14">
        <v>1</v>
      </c>
      <c r="K102" s="14">
        <v>1</v>
      </c>
      <c r="L102" s="14" t="s">
        <v>23055</v>
      </c>
      <c r="M102" s="14" t="s">
        <v>179</v>
      </c>
      <c r="N102" s="14" t="s">
        <v>507</v>
      </c>
      <c r="O102" s="14" t="s">
        <v>23056</v>
      </c>
      <c r="P102" s="14" t="str">
        <f>HYPERLINK("https://photon-sol.tinyastro.io/en/lp/5iL3GGkpCdffKc5LNYZC9ihtYvA9WwB3fhoXzviNQym2?handle=676050794bc1b1657a56b", "View")</f>
        <v>View</v>
      </c>
    </row>
    <row r="103" spans="1:16" x14ac:dyDescent="0.25">
      <c r="A103" s="16" t="s">
        <v>23057</v>
      </c>
      <c r="B103" s="17">
        <v>633470</v>
      </c>
      <c r="C103" s="17">
        <v>633470</v>
      </c>
      <c r="D103" s="17" t="s">
        <v>1289</v>
      </c>
      <c r="E103" s="17" t="s">
        <v>3275</v>
      </c>
      <c r="F103" s="17" t="s">
        <v>5552</v>
      </c>
      <c r="G103" s="15" t="s">
        <v>11890</v>
      </c>
      <c r="H103" s="15" t="s">
        <v>23058</v>
      </c>
      <c r="I103" s="17" t="s">
        <v>88</v>
      </c>
      <c r="J103" s="17">
        <v>1</v>
      </c>
      <c r="K103" s="17">
        <v>1</v>
      </c>
      <c r="L103" s="17" t="s">
        <v>23059</v>
      </c>
      <c r="M103" s="17" t="s">
        <v>398</v>
      </c>
      <c r="N103" s="17" t="s">
        <v>507</v>
      </c>
      <c r="O103" s="17" t="s">
        <v>23060</v>
      </c>
      <c r="P103" s="17" t="str">
        <f>HYPERLINK("https://photon-sol.tinyastro.io/en/lp/9vtsZVkEqd99uEqiQQ5oxSSrdGsG9iEJeH9amDK3pump?handle=676050794bc1b1657a56b", "View")</f>
        <v>View</v>
      </c>
    </row>
    <row r="104" spans="1:16" x14ac:dyDescent="0.25">
      <c r="A104" s="13" t="s">
        <v>11067</v>
      </c>
      <c r="B104" s="14">
        <v>82350</v>
      </c>
      <c r="C104" s="14">
        <v>82350</v>
      </c>
      <c r="D104" s="14" t="s">
        <v>883</v>
      </c>
      <c r="E104" s="14" t="s">
        <v>4396</v>
      </c>
      <c r="F104" s="14" t="s">
        <v>16962</v>
      </c>
      <c r="G104" s="21" t="s">
        <v>4817</v>
      </c>
      <c r="H104" s="21" t="s">
        <v>16646</v>
      </c>
      <c r="I104" s="14" t="s">
        <v>88</v>
      </c>
      <c r="J104" s="14">
        <v>1</v>
      </c>
      <c r="K104" s="14">
        <v>1</v>
      </c>
      <c r="L104" s="14" t="s">
        <v>23061</v>
      </c>
      <c r="M104" s="14" t="s">
        <v>3269</v>
      </c>
      <c r="N104" s="14" t="s">
        <v>23062</v>
      </c>
      <c r="O104" s="14" t="s">
        <v>11096</v>
      </c>
      <c r="P104" s="14" t="str">
        <f>HYPERLINK("https://dexscreener.com/solana/AY4AxLZaqZ6XAt3GhUnqreBH1DM7YzqAsoqQ8KmJpump", "View")</f>
        <v>View</v>
      </c>
    </row>
    <row r="105" spans="1:16" x14ac:dyDescent="0.25">
      <c r="A105" s="16" t="s">
        <v>11067</v>
      </c>
      <c r="B105" s="17">
        <v>162290</v>
      </c>
      <c r="C105" s="17">
        <v>162290</v>
      </c>
      <c r="D105" s="17" t="s">
        <v>883</v>
      </c>
      <c r="E105" s="17" t="s">
        <v>4396</v>
      </c>
      <c r="F105" s="17" t="s">
        <v>15038</v>
      </c>
      <c r="G105" s="21" t="s">
        <v>11559</v>
      </c>
      <c r="H105" s="21" t="s">
        <v>23063</v>
      </c>
      <c r="I105" s="17" t="s">
        <v>88</v>
      </c>
      <c r="J105" s="17">
        <v>1</v>
      </c>
      <c r="K105" s="17">
        <v>1</v>
      </c>
      <c r="L105" s="17" t="s">
        <v>23064</v>
      </c>
      <c r="M105" s="17" t="s">
        <v>602</v>
      </c>
      <c r="N105" s="17" t="s">
        <v>23065</v>
      </c>
      <c r="O105" s="17" t="s">
        <v>23066</v>
      </c>
      <c r="P105" s="17" t="str">
        <f>HYPERLINK("https://dexscreener.com/solana/14XveTDF5PkEeJUHap6vUDndJ8u6QUQXX9J3zwgJpump", "View")</f>
        <v>View</v>
      </c>
    </row>
    <row r="106" spans="1:16" x14ac:dyDescent="0.25">
      <c r="A106" s="13" t="s">
        <v>23067</v>
      </c>
      <c r="B106" s="14">
        <v>1313962</v>
      </c>
      <c r="C106" s="14">
        <v>1313962</v>
      </c>
      <c r="D106" s="14" t="s">
        <v>883</v>
      </c>
      <c r="E106" s="14" t="s">
        <v>4660</v>
      </c>
      <c r="F106" s="14" t="s">
        <v>5345</v>
      </c>
      <c r="G106" s="22" t="s">
        <v>6398</v>
      </c>
      <c r="H106" s="22" t="s">
        <v>23068</v>
      </c>
      <c r="I106" s="14" t="s">
        <v>88</v>
      </c>
      <c r="J106" s="14">
        <v>1</v>
      </c>
      <c r="K106" s="14">
        <v>1</v>
      </c>
      <c r="L106" s="14" t="s">
        <v>23069</v>
      </c>
      <c r="M106" s="14" t="s">
        <v>1957</v>
      </c>
      <c r="N106" s="14" t="s">
        <v>507</v>
      </c>
      <c r="O106" s="14" t="s">
        <v>23070</v>
      </c>
      <c r="P106" s="14" t="str">
        <f>HYPERLINK("https://photon-sol.tinyastro.io/en/lp/CVSjB4RXWhJ6yqJK2AahsQkq2wAiyEdf5vY3j42Upump?handle=676050794bc1b1657a56b", "View")</f>
        <v>View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B1C-0DCD-495E-8491-76FAA3663E08}">
  <dimension ref="A1:P32"/>
  <sheetViews>
    <sheetView workbookViewId="0"/>
  </sheetViews>
  <sheetFormatPr defaultRowHeight="15" x14ac:dyDescent="0.25"/>
  <cols>
    <col min="1" max="1" width="45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HYPERLINK("https://gmgn.ai/sol/address/ZG9ZAFLXpwC9DckehxLpvBxf5PwoHxfucLkLM3PtRcE", "GMGN")</f>
        <v>GMGN</v>
      </c>
    </row>
    <row r="2" spans="1:14" x14ac:dyDescent="0.25">
      <c r="A2" s="3" t="s">
        <v>23071</v>
      </c>
      <c r="B2" s="3" t="s">
        <v>23072</v>
      </c>
      <c r="C2" s="3" t="s">
        <v>20380</v>
      </c>
      <c r="D2" s="3" t="s">
        <v>23073</v>
      </c>
      <c r="E2" s="3" t="s">
        <v>23074</v>
      </c>
      <c r="F2" s="3" t="s">
        <v>20377</v>
      </c>
      <c r="G2" s="3" t="s">
        <v>18</v>
      </c>
      <c r="H2" s="3">
        <v>13</v>
      </c>
      <c r="I2" s="3">
        <v>0</v>
      </c>
      <c r="J2" s="3" t="s">
        <v>4437</v>
      </c>
      <c r="K2" s="3" t="s">
        <v>20378</v>
      </c>
      <c r="L2" s="3">
        <v>4</v>
      </c>
      <c r="M2" s="3">
        <v>23</v>
      </c>
      <c r="N2" s="3" t="str">
        <f>HYPERLINK("https://solscan.io/account/ZG9ZAFLXpwC9DckehxLpvBxf5PwoHxfucLkLM3PtRcE", "Solscan")</f>
        <v>Solscan</v>
      </c>
    </row>
    <row r="3" spans="1:14" x14ac:dyDescent="0.25">
      <c r="A3" s="1" t="s">
        <v>21</v>
      </c>
      <c r="B3" s="4" t="s">
        <v>23075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HYPERLINK("https://birdeye.so/profile/ZG9ZAFLXpwC9DckehxLpvBxf5PwoHxfucLkLM3PtRcE", "Birdeye")</f>
        <v>Birdeye</v>
      </c>
    </row>
    <row r="4" spans="1:14" x14ac:dyDescent="0.25">
      <c r="A4" s="1" t="s">
        <v>25</v>
      </c>
      <c r="B4" s="3" t="s">
        <v>13981</v>
      </c>
      <c r="C4" s="3"/>
      <c r="D4" s="3" t="s">
        <v>8457</v>
      </c>
      <c r="E4" s="3" t="s">
        <v>23076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14174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21194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1</v>
      </c>
      <c r="E10" s="1">
        <v>1</v>
      </c>
      <c r="F10" s="1">
        <v>3</v>
      </c>
      <c r="G10" s="1">
        <v>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1784</v>
      </c>
      <c r="C11" s="1" t="s">
        <v>1784</v>
      </c>
      <c r="D11" s="1" t="s">
        <v>1784</v>
      </c>
      <c r="E11" s="1" t="s">
        <v>1784</v>
      </c>
      <c r="F11" s="1" t="s">
        <v>15563</v>
      </c>
      <c r="G11" s="1" t="s">
        <v>20382</v>
      </c>
      <c r="H11" s="3"/>
      <c r="I11" s="3" t="s">
        <v>50</v>
      </c>
      <c r="J11" s="3" t="s">
        <v>1583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23077</v>
      </c>
      <c r="C12" s="1" t="s">
        <v>14171</v>
      </c>
      <c r="D12" s="1" t="s">
        <v>8327</v>
      </c>
      <c r="E12" s="1" t="s">
        <v>32</v>
      </c>
      <c r="F12" s="1" t="s">
        <v>17993</v>
      </c>
      <c r="G12" s="1" t="s">
        <v>21199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1792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23078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894599</v>
      </c>
      <c r="C20" s="14">
        <v>894599</v>
      </c>
      <c r="D20" s="14" t="s">
        <v>10157</v>
      </c>
      <c r="E20" s="14" t="s">
        <v>1457</v>
      </c>
      <c r="F20" s="14" t="s">
        <v>23079</v>
      </c>
      <c r="G20" s="21" t="s">
        <v>20427</v>
      </c>
      <c r="H20" s="21" t="s">
        <v>23080</v>
      </c>
      <c r="I20" s="14" t="s">
        <v>88</v>
      </c>
      <c r="J20" s="14">
        <v>1</v>
      </c>
      <c r="K20" s="14">
        <v>1</v>
      </c>
      <c r="L20" s="14" t="s">
        <v>23081</v>
      </c>
      <c r="M20" s="14" t="s">
        <v>364</v>
      </c>
      <c r="N20" s="14" t="s">
        <v>23082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20393</v>
      </c>
      <c r="B21" s="17">
        <v>9164476</v>
      </c>
      <c r="C21" s="17">
        <v>9164476</v>
      </c>
      <c r="D21" s="17" t="s">
        <v>16221</v>
      </c>
      <c r="E21" s="17" t="s">
        <v>340</v>
      </c>
      <c r="F21" s="17" t="s">
        <v>23083</v>
      </c>
      <c r="G21" s="21" t="s">
        <v>23084</v>
      </c>
      <c r="H21" s="21" t="s">
        <v>23085</v>
      </c>
      <c r="I21" s="17" t="s">
        <v>88</v>
      </c>
      <c r="J21" s="17">
        <v>3</v>
      </c>
      <c r="K21" s="17">
        <v>8</v>
      </c>
      <c r="L21" s="17" t="s">
        <v>23086</v>
      </c>
      <c r="M21" s="17" t="s">
        <v>414</v>
      </c>
      <c r="N21" s="17" t="s">
        <v>23087</v>
      </c>
      <c r="O21" s="17" t="s">
        <v>20399</v>
      </c>
      <c r="P21" s="17" t="str">
        <f>HYPERLINK("https://dexscreener.com/solana/DtWz93pDUZe5cYqBFmZjXq1wzZqZPygCeox5d3ajpump", "View")</f>
        <v>View</v>
      </c>
    </row>
    <row r="22" spans="1:16" x14ac:dyDescent="0.25">
      <c r="A22" s="13" t="s">
        <v>20393</v>
      </c>
      <c r="B22" s="14">
        <v>2175638</v>
      </c>
      <c r="C22" s="14">
        <v>2175638</v>
      </c>
      <c r="D22" s="14" t="s">
        <v>9682</v>
      </c>
      <c r="E22" s="14" t="s">
        <v>569</v>
      </c>
      <c r="F22" s="14" t="s">
        <v>23088</v>
      </c>
      <c r="G22" s="15" t="s">
        <v>23089</v>
      </c>
      <c r="H22" s="15" t="s">
        <v>23090</v>
      </c>
      <c r="I22" s="14" t="s">
        <v>88</v>
      </c>
      <c r="J22" s="14">
        <v>2</v>
      </c>
      <c r="K22" s="14">
        <v>1</v>
      </c>
      <c r="L22" s="14" t="s">
        <v>20402</v>
      </c>
      <c r="M22" s="14" t="s">
        <v>1642</v>
      </c>
      <c r="N22" s="14" t="s">
        <v>23091</v>
      </c>
      <c r="O22" s="14" t="s">
        <v>20404</v>
      </c>
      <c r="P22" s="14" t="str">
        <f>HYPERLINK("https://dexscreener.com/solana/BZasDyB47q8t4TsBDz1QzMEtji5NKcgGD7mWBRjMpump", "View")</f>
        <v>View</v>
      </c>
    </row>
    <row r="23" spans="1:16" x14ac:dyDescent="0.25">
      <c r="A23" s="16" t="s">
        <v>12637</v>
      </c>
      <c r="B23" s="17">
        <v>22423520</v>
      </c>
      <c r="C23" s="17">
        <v>22423520</v>
      </c>
      <c r="D23" s="17" t="s">
        <v>15598</v>
      </c>
      <c r="E23" s="17" t="s">
        <v>2375</v>
      </c>
      <c r="F23" s="17" t="s">
        <v>17108</v>
      </c>
      <c r="G23" s="20" t="s">
        <v>23092</v>
      </c>
      <c r="H23" s="20" t="s">
        <v>1758</v>
      </c>
      <c r="I23" s="17" t="s">
        <v>88</v>
      </c>
      <c r="J23" s="17">
        <v>1</v>
      </c>
      <c r="K23" s="17">
        <v>1</v>
      </c>
      <c r="L23" s="17" t="s">
        <v>20407</v>
      </c>
      <c r="M23" s="19" t="s">
        <v>2915</v>
      </c>
      <c r="N23" s="17" t="s">
        <v>23093</v>
      </c>
      <c r="O23" s="17" t="s">
        <v>20409</v>
      </c>
      <c r="P23" s="17" t="str">
        <f>HYPERLINK("https://dexscreener.com/solana/39WcEuRp1poYHyjEtDVXA5vcy85F7gy6UurEL157pump", "View")</f>
        <v>View</v>
      </c>
    </row>
    <row r="24" spans="1:16" x14ac:dyDescent="0.25">
      <c r="A24" s="13" t="s">
        <v>20410</v>
      </c>
      <c r="B24" s="14">
        <v>1292290</v>
      </c>
      <c r="C24" s="14">
        <v>1292290</v>
      </c>
      <c r="D24" s="14" t="s">
        <v>23094</v>
      </c>
      <c r="E24" s="14" t="s">
        <v>2390</v>
      </c>
      <c r="F24" s="14" t="s">
        <v>23095</v>
      </c>
      <c r="G24" s="21" t="s">
        <v>23096</v>
      </c>
      <c r="H24" s="21" t="s">
        <v>23097</v>
      </c>
      <c r="I24" s="14" t="s">
        <v>88</v>
      </c>
      <c r="J24" s="14">
        <v>5</v>
      </c>
      <c r="K24" s="14">
        <v>6</v>
      </c>
      <c r="L24" s="14" t="s">
        <v>23098</v>
      </c>
      <c r="M24" s="14" t="s">
        <v>132</v>
      </c>
      <c r="N24" s="14" t="s">
        <v>23099</v>
      </c>
      <c r="O24" s="14" t="s">
        <v>20417</v>
      </c>
      <c r="P24" s="14" t="str">
        <f>HYPERLINK("https://dexscreener.com/solana/BhbfgSh5P742DE5eMx24iZXNZeD2vNRFBZe3EP9Mpump", "View")</f>
        <v>View</v>
      </c>
    </row>
    <row r="25" spans="1:16" x14ac:dyDescent="0.25">
      <c r="A25" s="16" t="s">
        <v>10378</v>
      </c>
      <c r="B25" s="17">
        <v>186819</v>
      </c>
      <c r="C25" s="17">
        <v>186819</v>
      </c>
      <c r="D25" s="17" t="s">
        <v>9682</v>
      </c>
      <c r="E25" s="17" t="s">
        <v>5459</v>
      </c>
      <c r="F25" s="17" t="s">
        <v>3510</v>
      </c>
      <c r="G25" s="20" t="s">
        <v>4066</v>
      </c>
      <c r="H25" s="20" t="s">
        <v>23100</v>
      </c>
      <c r="I25" s="17" t="s">
        <v>88</v>
      </c>
      <c r="J25" s="17">
        <v>2</v>
      </c>
      <c r="K25" s="17">
        <v>2</v>
      </c>
      <c r="L25" s="17" t="s">
        <v>20420</v>
      </c>
      <c r="M25" s="17" t="s">
        <v>5061</v>
      </c>
      <c r="N25" s="17" t="s">
        <v>23101</v>
      </c>
      <c r="O25" s="17" t="s">
        <v>10382</v>
      </c>
      <c r="P25" s="17" t="str">
        <f>HYPERLINK("https://dexscreener.com/solana/Er2mtAhfbZUWbLhxY3ShN5Prj2DrnGjy6d8FYoMXpump", "View")</f>
        <v>View</v>
      </c>
    </row>
    <row r="26" spans="1:16" x14ac:dyDescent="0.25">
      <c r="A26" s="13" t="s">
        <v>20422</v>
      </c>
      <c r="B26" s="14">
        <v>3514432</v>
      </c>
      <c r="C26" s="14">
        <v>3514432</v>
      </c>
      <c r="D26" s="14" t="s">
        <v>16054</v>
      </c>
      <c r="E26" s="14" t="s">
        <v>2390</v>
      </c>
      <c r="F26" s="14" t="s">
        <v>23102</v>
      </c>
      <c r="G26" s="20" t="s">
        <v>14038</v>
      </c>
      <c r="H26" s="20" t="s">
        <v>23075</v>
      </c>
      <c r="I26" s="14" t="s">
        <v>88</v>
      </c>
      <c r="J26" s="14">
        <v>3</v>
      </c>
      <c r="K26" s="14">
        <v>2</v>
      </c>
      <c r="L26" s="14" t="s">
        <v>23103</v>
      </c>
      <c r="M26" s="14" t="s">
        <v>5729</v>
      </c>
      <c r="N26" s="14" t="s">
        <v>23104</v>
      </c>
      <c r="O26" s="14" t="s">
        <v>20425</v>
      </c>
      <c r="P26" s="14" t="str">
        <f>HYPERLINK("https://dexscreener.com/solana/54A7rix3sh5n3hKpZ1VMABLAqrnod8PUCs5AXVsGpump", "View")</f>
        <v>View</v>
      </c>
    </row>
    <row r="27" spans="1:16" x14ac:dyDescent="0.25">
      <c r="A27" s="16" t="s">
        <v>20196</v>
      </c>
      <c r="B27" s="17">
        <v>21349260</v>
      </c>
      <c r="C27" s="17">
        <v>21349260</v>
      </c>
      <c r="D27" s="17" t="s">
        <v>10517</v>
      </c>
      <c r="E27" s="17" t="s">
        <v>23105</v>
      </c>
      <c r="F27" s="17" t="s">
        <v>23106</v>
      </c>
      <c r="G27" s="15" t="s">
        <v>23107</v>
      </c>
      <c r="H27" s="15" t="s">
        <v>23108</v>
      </c>
      <c r="I27" s="17" t="s">
        <v>88</v>
      </c>
      <c r="J27" s="17">
        <v>1</v>
      </c>
      <c r="K27" s="17">
        <v>1</v>
      </c>
      <c r="L27" s="17" t="s">
        <v>23109</v>
      </c>
      <c r="M27" s="17" t="s">
        <v>1957</v>
      </c>
      <c r="N27" s="17" t="s">
        <v>23110</v>
      </c>
      <c r="O27" s="17" t="s">
        <v>20432</v>
      </c>
      <c r="P27" s="17" t="str">
        <f>HYPERLINK("https://photon-sol.tinyastro.io/en/lp/2gMovG6QWCubWR5ayTXdJyvq18bFzFxeZ22k5UdKpump?handle=676050794bc1b1657a56b", "View")</f>
        <v>View</v>
      </c>
    </row>
    <row r="28" spans="1:16" x14ac:dyDescent="0.25">
      <c r="A28" s="13" t="s">
        <v>20433</v>
      </c>
      <c r="B28" s="14">
        <v>20278730</v>
      </c>
      <c r="C28" s="14">
        <v>278730</v>
      </c>
      <c r="D28" s="14" t="s">
        <v>20434</v>
      </c>
      <c r="E28" s="14" t="s">
        <v>23111</v>
      </c>
      <c r="F28" s="14" t="s">
        <v>23112</v>
      </c>
      <c r="G28" s="15" t="s">
        <v>23113</v>
      </c>
      <c r="H28" s="15" t="s">
        <v>23114</v>
      </c>
      <c r="I28" s="14" t="s">
        <v>88</v>
      </c>
      <c r="J28" s="14">
        <v>1</v>
      </c>
      <c r="K28" s="14">
        <v>7</v>
      </c>
      <c r="L28" s="14" t="s">
        <v>20438</v>
      </c>
      <c r="M28" s="14" t="s">
        <v>132</v>
      </c>
      <c r="N28" s="14" t="s">
        <v>23115</v>
      </c>
      <c r="O28" s="14" t="s">
        <v>20440</v>
      </c>
      <c r="P28" s="14" t="str">
        <f>HYPERLINK("https://photon-sol.tinyastro.io/en/lp/3wJ8vbpzdXnWL2SkB3fzkdKgyAUPaK98BD9C9B2bpump?handle=676050794bc1b1657a56b", "View")</f>
        <v>View</v>
      </c>
    </row>
    <row r="29" spans="1:16" x14ac:dyDescent="0.25">
      <c r="A29" s="16" t="s">
        <v>3071</v>
      </c>
      <c r="B29" s="17">
        <v>1737352</v>
      </c>
      <c r="C29" s="17">
        <v>1737352</v>
      </c>
      <c r="D29" s="17" t="s">
        <v>16054</v>
      </c>
      <c r="E29" s="17" t="s">
        <v>569</v>
      </c>
      <c r="F29" s="17" t="s">
        <v>23116</v>
      </c>
      <c r="G29" s="22" t="s">
        <v>19867</v>
      </c>
      <c r="H29" s="22" t="s">
        <v>23117</v>
      </c>
      <c r="I29" s="17" t="s">
        <v>88</v>
      </c>
      <c r="J29" s="17">
        <v>2</v>
      </c>
      <c r="K29" s="17">
        <v>3</v>
      </c>
      <c r="L29" s="17" t="s">
        <v>23118</v>
      </c>
      <c r="M29" s="17" t="s">
        <v>179</v>
      </c>
      <c r="N29" s="17" t="s">
        <v>23119</v>
      </c>
      <c r="O29" s="17" t="s">
        <v>20448</v>
      </c>
      <c r="P29" s="17" t="str">
        <f>HYPERLINK("https://dexscreener.com/solana/CXAtTTTyrHYt1B7pc8CJThygsTLWszd9ASffCE1Npump", "View")</f>
        <v>View</v>
      </c>
    </row>
    <row r="30" spans="1:16" x14ac:dyDescent="0.25">
      <c r="A30" s="13" t="s">
        <v>3071</v>
      </c>
      <c r="B30" s="14">
        <v>1704538</v>
      </c>
      <c r="C30" s="14">
        <v>1704538</v>
      </c>
      <c r="D30" s="14" t="s">
        <v>10517</v>
      </c>
      <c r="E30" s="14" t="s">
        <v>4224</v>
      </c>
      <c r="F30" s="14" t="s">
        <v>5346</v>
      </c>
      <c r="G30" s="15" t="s">
        <v>22082</v>
      </c>
      <c r="H30" s="15" t="s">
        <v>23120</v>
      </c>
      <c r="I30" s="14" t="s">
        <v>88</v>
      </c>
      <c r="J30" s="14">
        <v>1</v>
      </c>
      <c r="K30" s="14">
        <v>1</v>
      </c>
      <c r="L30" s="14" t="s">
        <v>20450</v>
      </c>
      <c r="M30" s="14" t="s">
        <v>788</v>
      </c>
      <c r="N30" s="14" t="s">
        <v>20451</v>
      </c>
      <c r="O30" s="14" t="s">
        <v>20452</v>
      </c>
      <c r="P30" s="14" t="str">
        <f>HYPERLINK("https://photon-sol.tinyastro.io/en/lp/HwoTcHHEcUNm3AmfnMTUeg4vFxjNrYoBMM8Yy8tLpump?handle=676050794bc1b1657a56b", "View")</f>
        <v>View</v>
      </c>
    </row>
    <row r="31" spans="1:16" x14ac:dyDescent="0.25">
      <c r="A31" s="16" t="s">
        <v>20453</v>
      </c>
      <c r="B31" s="17">
        <v>28131906</v>
      </c>
      <c r="C31" s="17">
        <v>131906</v>
      </c>
      <c r="D31" s="17" t="s">
        <v>12557</v>
      </c>
      <c r="E31" s="17" t="s">
        <v>23121</v>
      </c>
      <c r="F31" s="17" t="s">
        <v>1816</v>
      </c>
      <c r="G31" s="15" t="s">
        <v>23122</v>
      </c>
      <c r="H31" s="15" t="s">
        <v>9926</v>
      </c>
      <c r="I31" s="17" t="s">
        <v>88</v>
      </c>
      <c r="J31" s="17">
        <v>1</v>
      </c>
      <c r="K31" s="17">
        <v>1</v>
      </c>
      <c r="L31" s="17" t="s">
        <v>23123</v>
      </c>
      <c r="M31" s="17" t="s">
        <v>132</v>
      </c>
      <c r="N31" s="17" t="s">
        <v>23124</v>
      </c>
      <c r="O31" s="17" t="s">
        <v>20458</v>
      </c>
      <c r="P31" s="17" t="str">
        <f>HYPERLINK("https://photon-sol.tinyastro.io/en/lp/842FK7G2wxFDgNToxFXFETizmNMJTfKrrJ2kUP6qpump?handle=676050794bc1b1657a56b", "View")</f>
        <v>View</v>
      </c>
    </row>
    <row r="32" spans="1:16" x14ac:dyDescent="0.25">
      <c r="A32" s="13" t="s">
        <v>7531</v>
      </c>
      <c r="B32" s="14">
        <v>162644</v>
      </c>
      <c r="C32" s="14">
        <v>644</v>
      </c>
      <c r="D32" s="14" t="s">
        <v>8439</v>
      </c>
      <c r="E32" s="14" t="s">
        <v>4180</v>
      </c>
      <c r="F32" s="14" t="s">
        <v>4667</v>
      </c>
      <c r="G32" s="15" t="s">
        <v>23125</v>
      </c>
      <c r="H32" s="15" t="s">
        <v>23126</v>
      </c>
      <c r="I32" s="14" t="s">
        <v>88</v>
      </c>
      <c r="J32" s="14">
        <v>1</v>
      </c>
      <c r="K32" s="14">
        <v>2</v>
      </c>
      <c r="L32" s="14" t="s">
        <v>21487</v>
      </c>
      <c r="M32" s="14" t="s">
        <v>414</v>
      </c>
      <c r="N32" s="14" t="s">
        <v>23127</v>
      </c>
      <c r="O32" s="14" t="s">
        <v>17669</v>
      </c>
      <c r="P32" s="14" t="str">
        <f>HYPERLINK("https://dexscreener.com/solana/APXEzWaC12YAejZr1v4sBhTcJMosGSA6oV5aTn9Jpump", "View")</f>
        <v>View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AAED-BA71-4EF4-9B79-7FABCC90013E}">
  <dimension ref="A1:P2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HYPERLINK("https://gmgn.ai/sol/address/7SRzu42NLKJHJNbE1Q9aX89uNBY4iguJJgTKT62FYhbH", "GMGN")</f>
        <v>GMGN</v>
      </c>
    </row>
    <row r="2" spans="1:14" x14ac:dyDescent="0.25">
      <c r="A2" s="3" t="s">
        <v>23128</v>
      </c>
      <c r="B2" s="3" t="s">
        <v>23129</v>
      </c>
      <c r="C2" s="3" t="s">
        <v>9638</v>
      </c>
      <c r="D2" s="3" t="s">
        <v>23130</v>
      </c>
      <c r="E2" s="3" t="s">
        <v>23131</v>
      </c>
      <c r="F2" s="3" t="s">
        <v>23132</v>
      </c>
      <c r="G2" s="3" t="s">
        <v>18</v>
      </c>
      <c r="H2" s="3">
        <v>6</v>
      </c>
      <c r="I2" s="3">
        <v>0</v>
      </c>
      <c r="J2" s="3" t="s">
        <v>4420</v>
      </c>
      <c r="K2" s="3" t="s">
        <v>4268</v>
      </c>
      <c r="L2" s="3">
        <v>4</v>
      </c>
      <c r="M2" s="3">
        <v>10</v>
      </c>
      <c r="N2" s="3" t="str">
        <f>HYPERLINK("https://solscan.io/account/7SRzu42NLKJHJNbE1Q9aX89uNBY4iguJJgTKT62FYhbH", "Solscan")</f>
        <v>Solscan</v>
      </c>
    </row>
    <row r="3" spans="1:14" x14ac:dyDescent="0.25">
      <c r="A3" s="1" t="s">
        <v>21</v>
      </c>
      <c r="B3" s="23" t="s">
        <v>21317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HYPERLINK("https://birdeye.so/profile/7SRzu42NLKJHJNbE1Q9aX89uNBY4iguJJgTKT62FYhbH", "Birdeye")</f>
        <v>Birdeye</v>
      </c>
    </row>
    <row r="4" spans="1:14" x14ac:dyDescent="0.25">
      <c r="A4" s="1" t="s">
        <v>25</v>
      </c>
      <c r="B4" s="23" t="s">
        <v>4264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23133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0</v>
      </c>
      <c r="D10" s="1">
        <v>1</v>
      </c>
      <c r="E10" s="1">
        <v>0</v>
      </c>
      <c r="F10" s="1">
        <v>3</v>
      </c>
      <c r="G10" s="1">
        <v>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9642</v>
      </c>
      <c r="C11" s="1" t="s">
        <v>1779</v>
      </c>
      <c r="D11" s="1" t="s">
        <v>4363</v>
      </c>
      <c r="E11" s="1" t="s">
        <v>1779</v>
      </c>
      <c r="F11" s="1" t="s">
        <v>9643</v>
      </c>
      <c r="G11" s="1" t="s">
        <v>1779</v>
      </c>
      <c r="H11" s="3"/>
      <c r="I11" s="3" t="s">
        <v>50</v>
      </c>
      <c r="J11" s="3" t="s">
        <v>8326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23134</v>
      </c>
      <c r="C12" s="1" t="s">
        <v>1786</v>
      </c>
      <c r="D12" s="1" t="s">
        <v>15567</v>
      </c>
      <c r="E12" s="1" t="s">
        <v>1786</v>
      </c>
      <c r="F12" s="1" t="s">
        <v>8334</v>
      </c>
      <c r="G12" s="1" t="s">
        <v>1786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23135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23136</v>
      </c>
      <c r="B20" s="14">
        <v>12055323</v>
      </c>
      <c r="C20" s="14">
        <v>12055323</v>
      </c>
      <c r="D20" s="14" t="s">
        <v>23137</v>
      </c>
      <c r="E20" s="14" t="s">
        <v>18087</v>
      </c>
      <c r="F20" s="14" t="s">
        <v>23138</v>
      </c>
      <c r="G20" s="21" t="s">
        <v>23139</v>
      </c>
      <c r="H20" s="21" t="s">
        <v>23140</v>
      </c>
      <c r="I20" s="14" t="s">
        <v>88</v>
      </c>
      <c r="J20" s="14">
        <v>2</v>
      </c>
      <c r="K20" s="14">
        <v>12</v>
      </c>
      <c r="L20" s="14" t="s">
        <v>23141</v>
      </c>
      <c r="M20" s="14" t="s">
        <v>132</v>
      </c>
      <c r="N20" s="14" t="s">
        <v>23142</v>
      </c>
      <c r="O20" s="14" t="s">
        <v>23143</v>
      </c>
      <c r="P20" s="14" t="str">
        <f>HYPERLINK("https://photon-sol.tinyastro.io/en/lp/75gTkoZ1gEJXcA2Qqpqm8bes6QZVTEwnzQ3Xvz5tpump?handle=676050794bc1b1657a56b", "View")</f>
        <v>View</v>
      </c>
    </row>
    <row r="21" spans="1:16" x14ac:dyDescent="0.25">
      <c r="A21" s="16" t="s">
        <v>23144</v>
      </c>
      <c r="B21" s="17">
        <v>29502983</v>
      </c>
      <c r="C21" s="17">
        <v>29502983</v>
      </c>
      <c r="D21" s="17" t="s">
        <v>9662</v>
      </c>
      <c r="E21" s="17" t="s">
        <v>2243</v>
      </c>
      <c r="F21" s="17" t="s">
        <v>23145</v>
      </c>
      <c r="G21" s="20" t="s">
        <v>23030</v>
      </c>
      <c r="H21" s="20" t="s">
        <v>23146</v>
      </c>
      <c r="I21" s="17" t="s">
        <v>88</v>
      </c>
      <c r="J21" s="17">
        <v>1</v>
      </c>
      <c r="K21" s="17">
        <v>1</v>
      </c>
      <c r="L21" s="17" t="s">
        <v>23147</v>
      </c>
      <c r="M21" s="19" t="s">
        <v>3000</v>
      </c>
      <c r="N21" s="17" t="s">
        <v>2585</v>
      </c>
      <c r="O21" s="17" t="s">
        <v>23148</v>
      </c>
      <c r="P21" s="17" t="str">
        <f>HYPERLINK("https://photon-sol.tinyastro.io/en/lp/F4eSacuq5ixrGPK63vfKwFtbksuV9RwM7GLvaXF3pump?handle=676050794bc1b1657a56b", "View")</f>
        <v>View</v>
      </c>
    </row>
    <row r="22" spans="1:16" x14ac:dyDescent="0.25">
      <c r="A22" s="13" t="s">
        <v>17163</v>
      </c>
      <c r="B22" s="14">
        <v>1673220</v>
      </c>
      <c r="C22" s="14">
        <v>1673220</v>
      </c>
      <c r="D22" s="14" t="s">
        <v>23149</v>
      </c>
      <c r="E22" s="14" t="s">
        <v>1007</v>
      </c>
      <c r="F22" s="14" t="s">
        <v>1976</v>
      </c>
      <c r="G22" s="20" t="s">
        <v>12072</v>
      </c>
      <c r="H22" s="20" t="s">
        <v>23150</v>
      </c>
      <c r="I22" s="14" t="s">
        <v>88</v>
      </c>
      <c r="J22" s="14">
        <v>1</v>
      </c>
      <c r="K22" s="14">
        <v>1</v>
      </c>
      <c r="L22" s="14" t="s">
        <v>23151</v>
      </c>
      <c r="M22" s="19" t="s">
        <v>2167</v>
      </c>
      <c r="N22" s="14" t="s">
        <v>23152</v>
      </c>
      <c r="O22" s="14" t="s">
        <v>23153</v>
      </c>
      <c r="P22" s="14" t="str">
        <f>HYPERLINK("https://dexscreener.com/solana/uKAC2qC2Wx1FqFvibz6wSoMF5LHtCXbPgBihrtjpump", "View")</f>
        <v>View</v>
      </c>
    </row>
    <row r="23" spans="1:16" x14ac:dyDescent="0.25">
      <c r="A23" s="16" t="s">
        <v>16914</v>
      </c>
      <c r="B23" s="17">
        <v>1802426</v>
      </c>
      <c r="C23" s="17">
        <v>1802426</v>
      </c>
      <c r="D23" s="17" t="s">
        <v>23154</v>
      </c>
      <c r="E23" s="17" t="s">
        <v>2200</v>
      </c>
      <c r="F23" s="17" t="s">
        <v>23155</v>
      </c>
      <c r="G23" s="21" t="s">
        <v>21128</v>
      </c>
      <c r="H23" s="21" t="s">
        <v>23156</v>
      </c>
      <c r="I23" s="17" t="s">
        <v>88</v>
      </c>
      <c r="J23" s="17">
        <v>1</v>
      </c>
      <c r="K23" s="17">
        <v>10</v>
      </c>
      <c r="L23" s="17" t="s">
        <v>23157</v>
      </c>
      <c r="M23" s="17" t="s">
        <v>680</v>
      </c>
      <c r="N23" s="17" t="s">
        <v>23158</v>
      </c>
      <c r="O23" s="17" t="s">
        <v>16918</v>
      </c>
      <c r="P23" s="17" t="str">
        <f>HYPERLINK("https://dexscreener.com/solana/TrUPjEqGpUph6sMJX8C3yYja9u4RcVUGTCkGG4xLrjG", "View")</f>
        <v>View</v>
      </c>
    </row>
    <row r="24" spans="1:16" x14ac:dyDescent="0.25">
      <c r="A24" s="13" t="s">
        <v>23159</v>
      </c>
      <c r="B24" s="14">
        <v>22032138</v>
      </c>
      <c r="C24" s="14">
        <v>22032137</v>
      </c>
      <c r="D24" s="14" t="s">
        <v>9905</v>
      </c>
      <c r="E24" s="14" t="s">
        <v>13534</v>
      </c>
      <c r="F24" s="14" t="s">
        <v>13448</v>
      </c>
      <c r="G24" s="20" t="s">
        <v>14673</v>
      </c>
      <c r="H24" s="20" t="s">
        <v>23160</v>
      </c>
      <c r="I24" s="14" t="s">
        <v>88</v>
      </c>
      <c r="J24" s="14">
        <v>1</v>
      </c>
      <c r="K24" s="14">
        <v>1</v>
      </c>
      <c r="L24" s="14" t="s">
        <v>23161</v>
      </c>
      <c r="M24" s="14" t="s">
        <v>117</v>
      </c>
      <c r="N24" s="14" t="s">
        <v>507</v>
      </c>
      <c r="O24" s="14" t="s">
        <v>23162</v>
      </c>
      <c r="P24" s="14" t="str">
        <f>HYPERLINK("https://photon-sol.tinyastro.io/en/lp/6LCckQfyVEFwcxtfyARkf8oKiDv5dpFY6dQ9JCuqpump?handle=676050794bc1b1657a56b", "View")</f>
        <v>View</v>
      </c>
    </row>
    <row r="25" spans="1:16" x14ac:dyDescent="0.25">
      <c r="A25" s="16" t="s">
        <v>23163</v>
      </c>
      <c r="B25" s="17">
        <v>19646584</v>
      </c>
      <c r="C25" s="17">
        <v>19646584</v>
      </c>
      <c r="D25" s="17" t="s">
        <v>10517</v>
      </c>
      <c r="E25" s="17" t="s">
        <v>17972</v>
      </c>
      <c r="F25" s="17" t="s">
        <v>9280</v>
      </c>
      <c r="G25" s="21" t="s">
        <v>23164</v>
      </c>
      <c r="H25" s="21" t="s">
        <v>23165</v>
      </c>
      <c r="I25" s="17" t="s">
        <v>88</v>
      </c>
      <c r="J25" s="17">
        <v>1</v>
      </c>
      <c r="K25" s="17">
        <v>1</v>
      </c>
      <c r="L25" s="17" t="s">
        <v>23166</v>
      </c>
      <c r="M25" s="17" t="s">
        <v>4985</v>
      </c>
      <c r="N25" s="17" t="s">
        <v>507</v>
      </c>
      <c r="O25" s="17" t="s">
        <v>23167</v>
      </c>
      <c r="P25" s="17" t="str">
        <f>HYPERLINK("https://photon-sol.tinyastro.io/en/lp/3NYJ6KuVFEKebxr7C1au2WjVSiAobhPzsqebnWgSpump?handle=676050794bc1b1657a56b", "View")</f>
        <v>View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9FCC-35C5-4295-AD32-E2D4CF1258AF}">
  <dimension ref="A1:P9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HYPERLINK("https://gmgn.ai/sol/address/6veEYFhoCUtqpbj3PFgXVxgoLQTnHuCgMcNQvgCyn6YE", "GMGN")</f>
        <v>GMGN</v>
      </c>
    </row>
    <row r="2" spans="1:14" x14ac:dyDescent="0.25">
      <c r="A2" s="3" t="s">
        <v>23168</v>
      </c>
      <c r="B2" s="3" t="s">
        <v>23169</v>
      </c>
      <c r="C2" s="3" t="s">
        <v>6309</v>
      </c>
      <c r="D2" s="3" t="s">
        <v>1771</v>
      </c>
      <c r="E2" s="3" t="s">
        <v>23170</v>
      </c>
      <c r="F2" s="3" t="s">
        <v>23171</v>
      </c>
      <c r="G2" s="3" t="s">
        <v>18</v>
      </c>
      <c r="H2" s="3">
        <v>77</v>
      </c>
      <c r="I2" s="3">
        <v>0</v>
      </c>
      <c r="J2" s="3" t="s">
        <v>4429</v>
      </c>
      <c r="K2" s="3" t="s">
        <v>7601</v>
      </c>
      <c r="L2" s="3">
        <v>70</v>
      </c>
      <c r="M2" s="3">
        <v>17</v>
      </c>
      <c r="N2" s="3" t="str">
        <f>HYPERLINK("https://solscan.io/account/6veEYFhoCUtqpbj3PFgXVxgoLQTnHuCgMcNQvgCyn6YE", "Solscan")</f>
        <v>Solscan</v>
      </c>
    </row>
    <row r="3" spans="1:14" x14ac:dyDescent="0.25">
      <c r="A3" s="1" t="s">
        <v>21</v>
      </c>
      <c r="B3" s="4" t="s">
        <v>23172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HYPERLINK("https://birdeye.so/profile/6veEYFhoCUtqpbj3PFgXVxgoLQTnHuCgMcNQvgCyn6YE", "Birdeye")</f>
        <v>Birdeye</v>
      </c>
    </row>
    <row r="4" spans="1:14" x14ac:dyDescent="0.25">
      <c r="A4" s="1" t="s">
        <v>25</v>
      </c>
      <c r="B4" s="3" t="s">
        <v>8594</v>
      </c>
      <c r="C4" s="3"/>
      <c r="D4" s="3" t="s">
        <v>1568</v>
      </c>
      <c r="E4" s="3" t="s">
        <v>21602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14174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2</v>
      </c>
      <c r="D10" s="1">
        <v>4</v>
      </c>
      <c r="E10" s="1">
        <v>32</v>
      </c>
      <c r="F10" s="1">
        <v>29</v>
      </c>
      <c r="G10" s="1">
        <v>10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23173</v>
      </c>
      <c r="D11" s="1" t="s">
        <v>9700</v>
      </c>
      <c r="E11" s="1" t="s">
        <v>23174</v>
      </c>
      <c r="F11" s="1" t="s">
        <v>23175</v>
      </c>
      <c r="G11" s="1" t="s">
        <v>1572</v>
      </c>
      <c r="H11" s="3"/>
      <c r="I11" s="3" t="s">
        <v>50</v>
      </c>
      <c r="J11" s="3" t="s">
        <v>23176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23177</v>
      </c>
      <c r="D12" s="1" t="s">
        <v>9644</v>
      </c>
      <c r="E12" s="1" t="s">
        <v>4129</v>
      </c>
      <c r="F12" s="1" t="s">
        <v>15659</v>
      </c>
      <c r="G12" s="1" t="s">
        <v>20574</v>
      </c>
      <c r="H12" s="3"/>
      <c r="I12" s="3" t="s">
        <v>59</v>
      </c>
      <c r="J12" s="3" t="s">
        <v>22701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23178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23179</v>
      </c>
      <c r="B20" s="14">
        <v>1156642</v>
      </c>
      <c r="C20" s="14">
        <v>1156642</v>
      </c>
      <c r="D20" s="14" t="s">
        <v>8469</v>
      </c>
      <c r="E20" s="14" t="s">
        <v>8306</v>
      </c>
      <c r="F20" s="14" t="s">
        <v>5687</v>
      </c>
      <c r="G20" s="15" t="s">
        <v>2289</v>
      </c>
      <c r="H20" s="15" t="s">
        <v>23180</v>
      </c>
      <c r="I20" s="14" t="s">
        <v>88</v>
      </c>
      <c r="J20" s="14">
        <v>1</v>
      </c>
      <c r="K20" s="14">
        <v>1</v>
      </c>
      <c r="L20" s="14" t="s">
        <v>23181</v>
      </c>
      <c r="M20" s="19" t="s">
        <v>2387</v>
      </c>
      <c r="N20" s="14" t="s">
        <v>1941</v>
      </c>
      <c r="O20" s="14" t="s">
        <v>23182</v>
      </c>
      <c r="P20" s="14" t="str">
        <f>HYPERLINK("https://photon-sol.tinyastro.io/en/lp/AbqxLmMHRxo2QHtio7ciGLZkLAAiZja6m97t7d8SwNbS?handle=676050794bc1b1657a56b", "View")</f>
        <v>View</v>
      </c>
    </row>
    <row r="21" spans="1:16" x14ac:dyDescent="0.25">
      <c r="A21" s="16" t="s">
        <v>23183</v>
      </c>
      <c r="B21" s="17">
        <v>1283340</v>
      </c>
      <c r="C21" s="17">
        <v>1283340</v>
      </c>
      <c r="D21" s="17" t="s">
        <v>8469</v>
      </c>
      <c r="E21" s="17" t="s">
        <v>12036</v>
      </c>
      <c r="F21" s="17" t="s">
        <v>1884</v>
      </c>
      <c r="G21" s="20" t="s">
        <v>9563</v>
      </c>
      <c r="H21" s="20" t="s">
        <v>23184</v>
      </c>
      <c r="I21" s="17" t="s">
        <v>88</v>
      </c>
      <c r="J21" s="17">
        <v>1</v>
      </c>
      <c r="K21" s="17">
        <v>1</v>
      </c>
      <c r="L21" s="17" t="s">
        <v>23185</v>
      </c>
      <c r="M21" s="17" t="s">
        <v>1448</v>
      </c>
      <c r="N21" s="17" t="s">
        <v>14340</v>
      </c>
      <c r="O21" s="17" t="s">
        <v>23186</v>
      </c>
      <c r="P21" s="17" t="str">
        <f>HYPERLINK("https://photon-sol.tinyastro.io/en/lp/4HjZHqVL9VhivaV3GBxZx76rr1TTkYKZZBNQ8Poqpump?handle=676050794bc1b1657a56b", "View")</f>
        <v>View</v>
      </c>
    </row>
    <row r="22" spans="1:16" x14ac:dyDescent="0.25">
      <c r="A22" s="13" t="s">
        <v>23187</v>
      </c>
      <c r="B22" s="14">
        <v>834180</v>
      </c>
      <c r="C22" s="14">
        <v>834180</v>
      </c>
      <c r="D22" s="14" t="s">
        <v>8469</v>
      </c>
      <c r="E22" s="14" t="s">
        <v>5551</v>
      </c>
      <c r="F22" s="14" t="s">
        <v>6269</v>
      </c>
      <c r="G22" s="22" t="s">
        <v>12237</v>
      </c>
      <c r="H22" s="22" t="s">
        <v>11444</v>
      </c>
      <c r="I22" s="14" t="s">
        <v>88</v>
      </c>
      <c r="J22" s="14">
        <v>1</v>
      </c>
      <c r="K22" s="14">
        <v>1</v>
      </c>
      <c r="L22" s="14" t="s">
        <v>23188</v>
      </c>
      <c r="M22" s="19" t="s">
        <v>1827</v>
      </c>
      <c r="N22" s="14" t="s">
        <v>8075</v>
      </c>
      <c r="O22" s="14" t="s">
        <v>23189</v>
      </c>
      <c r="P22" s="14" t="str">
        <f>HYPERLINK("https://photon-sol.tinyastro.io/en/lp/9hKiqkTMTddSMc7icBGAZxAH9qwaE6bnmtQDgcgpump?handle=676050794bc1b1657a56b", "View")</f>
        <v>View</v>
      </c>
    </row>
    <row r="23" spans="1:16" x14ac:dyDescent="0.25">
      <c r="A23" s="16" t="s">
        <v>1594</v>
      </c>
      <c r="B23" s="17">
        <v>1009811</v>
      </c>
      <c r="C23" s="17">
        <v>1009811</v>
      </c>
      <c r="D23" s="17" t="s">
        <v>8469</v>
      </c>
      <c r="E23" s="17" t="s">
        <v>5753</v>
      </c>
      <c r="F23" s="17" t="s">
        <v>4147</v>
      </c>
      <c r="G23" s="20" t="s">
        <v>5305</v>
      </c>
      <c r="H23" s="20" t="s">
        <v>7757</v>
      </c>
      <c r="I23" s="17" t="s">
        <v>88</v>
      </c>
      <c r="J23" s="17">
        <v>1</v>
      </c>
      <c r="K23" s="17">
        <v>1</v>
      </c>
      <c r="L23" s="17" t="s">
        <v>23190</v>
      </c>
      <c r="M23" s="19" t="s">
        <v>3000</v>
      </c>
      <c r="N23" s="17" t="s">
        <v>2585</v>
      </c>
      <c r="O23" s="17" t="s">
        <v>23191</v>
      </c>
      <c r="P23" s="17" t="str">
        <f>HYPERLINK("https://photon-sol.tinyastro.io/en/lp/BSJfPkQYM5JBvZiT58bpFMRf5WtotHHoqww88bYQRaJ9?handle=676050794bc1b1657a56b", "View")</f>
        <v>View</v>
      </c>
    </row>
    <row r="24" spans="1:16" x14ac:dyDescent="0.25">
      <c r="A24" s="13" t="s">
        <v>23192</v>
      </c>
      <c r="B24" s="14">
        <v>1830228</v>
      </c>
      <c r="C24" s="14">
        <v>1830228</v>
      </c>
      <c r="D24" s="14" t="s">
        <v>8469</v>
      </c>
      <c r="E24" s="14" t="s">
        <v>6268</v>
      </c>
      <c r="F24" s="14" t="s">
        <v>1671</v>
      </c>
      <c r="G24" s="20" t="s">
        <v>22563</v>
      </c>
      <c r="H24" s="20" t="s">
        <v>23193</v>
      </c>
      <c r="I24" s="14" t="s">
        <v>88</v>
      </c>
      <c r="J24" s="14">
        <v>1</v>
      </c>
      <c r="K24" s="14">
        <v>1</v>
      </c>
      <c r="L24" s="14" t="s">
        <v>23194</v>
      </c>
      <c r="M24" s="19" t="s">
        <v>1760</v>
      </c>
      <c r="N24" s="14" t="s">
        <v>23195</v>
      </c>
      <c r="O24" s="14" t="s">
        <v>23196</v>
      </c>
      <c r="P24" s="14" t="str">
        <f>HYPERLINK("https://photon-sol.tinyastro.io/en/lp/HHabtCxTQuVijgSEBQXkoLDn8PTP3sgFcZkXmjbXpump?handle=676050794bc1b1657a56b", "View")</f>
        <v>View</v>
      </c>
    </row>
    <row r="25" spans="1:16" x14ac:dyDescent="0.25">
      <c r="A25" s="16" t="s">
        <v>23197</v>
      </c>
      <c r="B25" s="17">
        <v>657965</v>
      </c>
      <c r="C25" s="17">
        <v>657965</v>
      </c>
      <c r="D25" s="17" t="s">
        <v>8469</v>
      </c>
      <c r="E25" s="17" t="s">
        <v>12036</v>
      </c>
      <c r="F25" s="17" t="s">
        <v>3845</v>
      </c>
      <c r="G25" s="20" t="s">
        <v>6009</v>
      </c>
      <c r="H25" s="20" t="s">
        <v>13457</v>
      </c>
      <c r="I25" s="17" t="s">
        <v>88</v>
      </c>
      <c r="J25" s="17">
        <v>1</v>
      </c>
      <c r="K25" s="17">
        <v>1</v>
      </c>
      <c r="L25" s="17" t="s">
        <v>23198</v>
      </c>
      <c r="M25" s="19" t="s">
        <v>2323</v>
      </c>
      <c r="N25" s="17" t="s">
        <v>23199</v>
      </c>
      <c r="O25" s="17" t="s">
        <v>23200</v>
      </c>
      <c r="P25" s="17" t="str">
        <f>HYPERLINK("https://photon-sol.tinyastro.io/en/lp/DCsePZTYJBqmK2k5N1bJsPtJd8tWv8djmFnA69r9pump?handle=676050794bc1b1657a56b", "View")</f>
        <v>View</v>
      </c>
    </row>
    <row r="26" spans="1:16" x14ac:dyDescent="0.25">
      <c r="A26" s="13" t="s">
        <v>23201</v>
      </c>
      <c r="B26" s="14">
        <v>1147731</v>
      </c>
      <c r="C26" s="14">
        <v>1147731</v>
      </c>
      <c r="D26" s="14" t="s">
        <v>8469</v>
      </c>
      <c r="E26" s="14" t="s">
        <v>4945</v>
      </c>
      <c r="F26" s="14" t="s">
        <v>6261</v>
      </c>
      <c r="G26" s="21" t="s">
        <v>4869</v>
      </c>
      <c r="H26" s="21" t="s">
        <v>23202</v>
      </c>
      <c r="I26" s="14" t="s">
        <v>88</v>
      </c>
      <c r="J26" s="14">
        <v>1</v>
      </c>
      <c r="K26" s="14">
        <v>1</v>
      </c>
      <c r="L26" s="14" t="s">
        <v>23203</v>
      </c>
      <c r="M26" s="19" t="s">
        <v>3626</v>
      </c>
      <c r="N26" s="14" t="s">
        <v>23204</v>
      </c>
      <c r="O26" s="14" t="s">
        <v>23205</v>
      </c>
      <c r="P26" s="14" t="str">
        <f>HYPERLINK("https://photon-sol.tinyastro.io/en/lp/9T8ymJQAuv6f1v3dH6t17ghwK86W3PHobxCckKMLpump?handle=676050794bc1b1657a56b", "View")</f>
        <v>View</v>
      </c>
    </row>
    <row r="27" spans="1:16" x14ac:dyDescent="0.25">
      <c r="A27" s="16" t="s">
        <v>23206</v>
      </c>
      <c r="B27" s="17">
        <v>1118163</v>
      </c>
      <c r="C27" s="17">
        <v>1118163</v>
      </c>
      <c r="D27" s="17" t="s">
        <v>8469</v>
      </c>
      <c r="E27" s="17" t="s">
        <v>3142</v>
      </c>
      <c r="F27" s="17" t="s">
        <v>14402</v>
      </c>
      <c r="G27" s="22" t="s">
        <v>3765</v>
      </c>
      <c r="H27" s="22" t="s">
        <v>7640</v>
      </c>
      <c r="I27" s="17" t="s">
        <v>88</v>
      </c>
      <c r="J27" s="17">
        <v>1</v>
      </c>
      <c r="K27" s="17">
        <v>1</v>
      </c>
      <c r="L27" s="17" t="s">
        <v>23207</v>
      </c>
      <c r="M27" s="17" t="s">
        <v>1434</v>
      </c>
      <c r="N27" s="17" t="s">
        <v>23208</v>
      </c>
      <c r="O27" s="17" t="s">
        <v>23209</v>
      </c>
      <c r="P27" s="17" t="str">
        <f>HYPERLINK("https://photon-sol.tinyastro.io/en/lp/HcxvjdTjpsnWEUuoxJxTCbzjyPznKWw9U63AFeYWpump?handle=676050794bc1b1657a56b", "View")</f>
        <v>View</v>
      </c>
    </row>
    <row r="28" spans="1:16" x14ac:dyDescent="0.25">
      <c r="A28" s="13" t="s">
        <v>23210</v>
      </c>
      <c r="B28" s="14">
        <v>1667073</v>
      </c>
      <c r="C28" s="14">
        <v>1667073</v>
      </c>
      <c r="D28" s="14" t="s">
        <v>8469</v>
      </c>
      <c r="E28" s="14" t="s">
        <v>12036</v>
      </c>
      <c r="F28" s="14" t="s">
        <v>3773</v>
      </c>
      <c r="G28" s="20" t="s">
        <v>13016</v>
      </c>
      <c r="H28" s="20" t="s">
        <v>23211</v>
      </c>
      <c r="I28" s="14" t="s">
        <v>88</v>
      </c>
      <c r="J28" s="14">
        <v>1</v>
      </c>
      <c r="K28" s="14">
        <v>1</v>
      </c>
      <c r="L28" s="14" t="s">
        <v>23212</v>
      </c>
      <c r="M28" s="19" t="s">
        <v>1948</v>
      </c>
      <c r="N28" s="14" t="s">
        <v>2608</v>
      </c>
      <c r="O28" s="14" t="s">
        <v>23213</v>
      </c>
      <c r="P28" s="14" t="str">
        <f>HYPERLINK("https://photon-sol.tinyastro.io/en/lp/9cap8Lk93af3wDF6hdgX1jcVqZLdoHwQDcEsSv8qpump?handle=676050794bc1b1657a56b", "View")</f>
        <v>View</v>
      </c>
    </row>
    <row r="29" spans="1:16" x14ac:dyDescent="0.25">
      <c r="A29" s="16" t="s">
        <v>23214</v>
      </c>
      <c r="B29" s="17">
        <v>1809750</v>
      </c>
      <c r="C29" s="17">
        <v>1809750</v>
      </c>
      <c r="D29" s="17" t="s">
        <v>8469</v>
      </c>
      <c r="E29" s="17" t="s">
        <v>4609</v>
      </c>
      <c r="F29" s="17" t="s">
        <v>20083</v>
      </c>
      <c r="G29" s="20" t="s">
        <v>5535</v>
      </c>
      <c r="H29" s="20" t="s">
        <v>23172</v>
      </c>
      <c r="I29" s="17" t="s">
        <v>88</v>
      </c>
      <c r="J29" s="17">
        <v>1</v>
      </c>
      <c r="K29" s="17">
        <v>1</v>
      </c>
      <c r="L29" s="17" t="s">
        <v>23215</v>
      </c>
      <c r="M29" s="19" t="s">
        <v>2239</v>
      </c>
      <c r="N29" s="17" t="s">
        <v>5302</v>
      </c>
      <c r="O29" s="17" t="s">
        <v>23216</v>
      </c>
      <c r="P29" s="17" t="str">
        <f>HYPERLINK("https://photon-sol.tinyastro.io/en/lp/GAKZ42PdKJ1a1EszEJdiJt6JCP4ZPtqH4ENFPyuwpump?handle=676050794bc1b1657a56b", "View")</f>
        <v>View</v>
      </c>
    </row>
    <row r="30" spans="1:16" x14ac:dyDescent="0.25">
      <c r="A30" s="13" t="s">
        <v>23217</v>
      </c>
      <c r="B30" s="14">
        <v>798572</v>
      </c>
      <c r="C30" s="14">
        <v>798572</v>
      </c>
      <c r="D30" s="14" t="s">
        <v>8469</v>
      </c>
      <c r="E30" s="14" t="s">
        <v>12036</v>
      </c>
      <c r="F30" s="14" t="s">
        <v>5220</v>
      </c>
      <c r="G30" s="22" t="s">
        <v>5248</v>
      </c>
      <c r="H30" s="22" t="s">
        <v>23218</v>
      </c>
      <c r="I30" s="14" t="s">
        <v>88</v>
      </c>
      <c r="J30" s="14">
        <v>1</v>
      </c>
      <c r="K30" s="14">
        <v>1</v>
      </c>
      <c r="L30" s="14" t="s">
        <v>23219</v>
      </c>
      <c r="M30" s="19" t="s">
        <v>1752</v>
      </c>
      <c r="N30" s="14" t="s">
        <v>8121</v>
      </c>
      <c r="O30" s="14" t="s">
        <v>23220</v>
      </c>
      <c r="P30" s="14" t="str">
        <f>HYPERLINK("https://photon-sol.tinyastro.io/en/lp/8UqZ2uu4vvAG1to1oRZgFx81ZgZjmCN53TNEx6WMcg8E?handle=676050794bc1b1657a56b", "View")</f>
        <v>View</v>
      </c>
    </row>
    <row r="31" spans="1:16" x14ac:dyDescent="0.25">
      <c r="A31" s="16" t="s">
        <v>23221</v>
      </c>
      <c r="B31" s="17">
        <v>2197002</v>
      </c>
      <c r="C31" s="17">
        <v>2197002</v>
      </c>
      <c r="D31" s="17" t="s">
        <v>8469</v>
      </c>
      <c r="E31" s="17" t="s">
        <v>11161</v>
      </c>
      <c r="F31" s="17" t="s">
        <v>8575</v>
      </c>
      <c r="G31" s="20" t="s">
        <v>2863</v>
      </c>
      <c r="H31" s="20" t="s">
        <v>9677</v>
      </c>
      <c r="I31" s="17" t="s">
        <v>88</v>
      </c>
      <c r="J31" s="17">
        <v>1</v>
      </c>
      <c r="K31" s="17">
        <v>1</v>
      </c>
      <c r="L31" s="17" t="s">
        <v>23222</v>
      </c>
      <c r="M31" s="19" t="s">
        <v>1688</v>
      </c>
      <c r="N31" s="17" t="s">
        <v>7687</v>
      </c>
      <c r="O31" s="17" t="s">
        <v>23223</v>
      </c>
      <c r="P31" s="17" t="str">
        <f>HYPERLINK("https://photon-sol.tinyastro.io/en/lp/6aXciqbrLnJdVKRHvSbu78vhHNd6k7JBp1htBrHMpump?handle=676050794bc1b1657a56b", "View")</f>
        <v>View</v>
      </c>
    </row>
    <row r="32" spans="1:16" x14ac:dyDescent="0.25">
      <c r="A32" s="13" t="s">
        <v>23224</v>
      </c>
      <c r="B32" s="14">
        <v>1578002</v>
      </c>
      <c r="C32" s="14">
        <v>1578002</v>
      </c>
      <c r="D32" s="14" t="s">
        <v>8469</v>
      </c>
      <c r="E32" s="14" t="s">
        <v>1639</v>
      </c>
      <c r="F32" s="14" t="s">
        <v>6261</v>
      </c>
      <c r="G32" s="22" t="s">
        <v>6161</v>
      </c>
      <c r="H32" s="22" t="s">
        <v>23225</v>
      </c>
      <c r="I32" s="14" t="s">
        <v>88</v>
      </c>
      <c r="J32" s="14">
        <v>1</v>
      </c>
      <c r="K32" s="14">
        <v>1</v>
      </c>
      <c r="L32" s="14" t="s">
        <v>23226</v>
      </c>
      <c r="M32" s="19" t="s">
        <v>2315</v>
      </c>
      <c r="N32" s="14" t="s">
        <v>23227</v>
      </c>
      <c r="O32" s="14" t="s">
        <v>23228</v>
      </c>
      <c r="P32" s="14" t="str">
        <f>HYPERLINK("https://photon-sol.tinyastro.io/en/lp/CFzmcx3rMa5utyraNCRUTwuJ53Aw9pp5jzy3eX2Gpump?handle=676050794bc1b1657a56b", "View")</f>
        <v>View</v>
      </c>
    </row>
    <row r="33" spans="1:16" x14ac:dyDescent="0.25">
      <c r="A33" s="16" t="s">
        <v>23229</v>
      </c>
      <c r="B33" s="17">
        <v>2487318</v>
      </c>
      <c r="C33" s="17">
        <v>2487318</v>
      </c>
      <c r="D33" s="17" t="s">
        <v>8469</v>
      </c>
      <c r="E33" s="17" t="s">
        <v>12036</v>
      </c>
      <c r="F33" s="17" t="s">
        <v>5077</v>
      </c>
      <c r="G33" s="20" t="s">
        <v>7875</v>
      </c>
      <c r="H33" s="20" t="s">
        <v>23230</v>
      </c>
      <c r="I33" s="17" t="s">
        <v>88</v>
      </c>
      <c r="J33" s="17">
        <v>1</v>
      </c>
      <c r="K33" s="17">
        <v>1</v>
      </c>
      <c r="L33" s="17" t="s">
        <v>23231</v>
      </c>
      <c r="M33" s="19" t="s">
        <v>2315</v>
      </c>
      <c r="N33" s="17" t="s">
        <v>3188</v>
      </c>
      <c r="O33" s="17" t="s">
        <v>23232</v>
      </c>
      <c r="P33" s="17" t="str">
        <f>HYPERLINK("https://photon-sol.tinyastro.io/en/lp/G98Zj4yR7dDArBFFNeMVDsGUb7BKAQVJpan77ngSpump?handle=676050794bc1b1657a56b", "View")</f>
        <v>View</v>
      </c>
    </row>
    <row r="34" spans="1:16" x14ac:dyDescent="0.25">
      <c r="A34" s="13" t="s">
        <v>23233</v>
      </c>
      <c r="B34" s="14">
        <v>1098816</v>
      </c>
      <c r="C34" s="14">
        <v>1098816</v>
      </c>
      <c r="D34" s="14" t="s">
        <v>8469</v>
      </c>
      <c r="E34" s="14" t="s">
        <v>17627</v>
      </c>
      <c r="F34" s="14" t="s">
        <v>1816</v>
      </c>
      <c r="G34" s="22" t="s">
        <v>1970</v>
      </c>
      <c r="H34" s="22" t="s">
        <v>23234</v>
      </c>
      <c r="I34" s="14" t="s">
        <v>88</v>
      </c>
      <c r="J34" s="14">
        <v>1</v>
      </c>
      <c r="K34" s="14">
        <v>1</v>
      </c>
      <c r="L34" s="14" t="s">
        <v>23235</v>
      </c>
      <c r="M34" s="19" t="s">
        <v>1856</v>
      </c>
      <c r="N34" s="14" t="s">
        <v>23236</v>
      </c>
      <c r="O34" s="14" t="s">
        <v>23237</v>
      </c>
      <c r="P34" s="14" t="str">
        <f>HYPERLINK("https://photon-sol.tinyastro.io/en/lp/J7zsZxpjNaadXQosJFpjzwsDjozdyaQtmC63Syv4pump?handle=676050794bc1b1657a56b", "View")</f>
        <v>View</v>
      </c>
    </row>
    <row r="35" spans="1:16" x14ac:dyDescent="0.25">
      <c r="A35" s="16" t="s">
        <v>6702</v>
      </c>
      <c r="B35" s="17">
        <v>2202179</v>
      </c>
      <c r="C35" s="17">
        <v>2202179</v>
      </c>
      <c r="D35" s="17" t="s">
        <v>8469</v>
      </c>
      <c r="E35" s="17" t="s">
        <v>23238</v>
      </c>
      <c r="F35" s="17" t="s">
        <v>3563</v>
      </c>
      <c r="G35" s="20" t="s">
        <v>2059</v>
      </c>
      <c r="H35" s="20" t="s">
        <v>20813</v>
      </c>
      <c r="I35" s="17" t="s">
        <v>88</v>
      </c>
      <c r="J35" s="17">
        <v>1</v>
      </c>
      <c r="K35" s="17">
        <v>1</v>
      </c>
      <c r="L35" s="17" t="s">
        <v>23239</v>
      </c>
      <c r="M35" s="19" t="s">
        <v>3626</v>
      </c>
      <c r="N35" s="17" t="s">
        <v>23240</v>
      </c>
      <c r="O35" s="17" t="s">
        <v>6710</v>
      </c>
      <c r="P35" s="17" t="str">
        <f>HYPERLINK("https://photon-sol.tinyastro.io/en/lp/Hx2u67DY8EgtZppfCYQyWz68Syp8xJsRX1nDAMRbpump?handle=676050794bc1b1657a56b", "View")</f>
        <v>View</v>
      </c>
    </row>
    <row r="36" spans="1:16" x14ac:dyDescent="0.25">
      <c r="A36" s="13" t="s">
        <v>19817</v>
      </c>
      <c r="B36" s="14">
        <v>142019</v>
      </c>
      <c r="C36" s="14">
        <v>142019</v>
      </c>
      <c r="D36" s="14" t="s">
        <v>8469</v>
      </c>
      <c r="E36" s="14" t="s">
        <v>4665</v>
      </c>
      <c r="F36" s="14" t="s">
        <v>4806</v>
      </c>
      <c r="G36" s="22" t="s">
        <v>6161</v>
      </c>
      <c r="H36" s="22" t="s">
        <v>23241</v>
      </c>
      <c r="I36" s="14" t="s">
        <v>88</v>
      </c>
      <c r="J36" s="14">
        <v>1</v>
      </c>
      <c r="K36" s="14">
        <v>1</v>
      </c>
      <c r="L36" s="14" t="s">
        <v>23242</v>
      </c>
      <c r="M36" s="19" t="s">
        <v>3000</v>
      </c>
      <c r="N36" s="14" t="s">
        <v>23243</v>
      </c>
      <c r="O36" s="14" t="s">
        <v>19823</v>
      </c>
      <c r="P36" s="14" t="str">
        <f>HYPERLINK("https://dexscreener.com/solana/8Uta7sNbvr7mXR4bn9zSLW4KaGZn8ULK4GFHPjSCvjmR", "View")</f>
        <v>View</v>
      </c>
    </row>
    <row r="37" spans="1:16" x14ac:dyDescent="0.25">
      <c r="A37" s="16" t="s">
        <v>7452</v>
      </c>
      <c r="B37" s="17">
        <v>634194</v>
      </c>
      <c r="C37" s="17">
        <v>634194</v>
      </c>
      <c r="D37" s="17" t="s">
        <v>8469</v>
      </c>
      <c r="E37" s="17" t="s">
        <v>4673</v>
      </c>
      <c r="F37" s="17" t="s">
        <v>17627</v>
      </c>
      <c r="G37" s="20" t="s">
        <v>11890</v>
      </c>
      <c r="H37" s="20" t="s">
        <v>23244</v>
      </c>
      <c r="I37" s="17" t="s">
        <v>88</v>
      </c>
      <c r="J37" s="17">
        <v>1</v>
      </c>
      <c r="K37" s="17">
        <v>1</v>
      </c>
      <c r="L37" s="17" t="s">
        <v>23245</v>
      </c>
      <c r="M37" s="17" t="s">
        <v>602</v>
      </c>
      <c r="N37" s="17" t="s">
        <v>507</v>
      </c>
      <c r="O37" s="17" t="s">
        <v>9198</v>
      </c>
      <c r="P37" s="17" t="str">
        <f>HYPERLINK("https://photon-sol.tinyastro.io/en/lp/2cVo1vP8kNCQG7Yc6SZqViWbJG2H5FTyHdF5hexNpump?handle=676050794bc1b1657a56b", "View")</f>
        <v>View</v>
      </c>
    </row>
    <row r="38" spans="1:16" x14ac:dyDescent="0.25">
      <c r="A38" s="13" t="s">
        <v>23246</v>
      </c>
      <c r="B38" s="14">
        <v>60776</v>
      </c>
      <c r="C38" s="14">
        <v>60776</v>
      </c>
      <c r="D38" s="14" t="s">
        <v>8469</v>
      </c>
      <c r="E38" s="14" t="s">
        <v>3320</v>
      </c>
      <c r="F38" s="14" t="s">
        <v>2597</v>
      </c>
      <c r="G38" s="22" t="s">
        <v>5012</v>
      </c>
      <c r="H38" s="22" t="s">
        <v>23247</v>
      </c>
      <c r="I38" s="14" t="s">
        <v>88</v>
      </c>
      <c r="J38" s="14">
        <v>1</v>
      </c>
      <c r="K38" s="14">
        <v>1</v>
      </c>
      <c r="L38" s="14" t="s">
        <v>23248</v>
      </c>
      <c r="M38" s="19" t="s">
        <v>2323</v>
      </c>
      <c r="N38" s="14" t="s">
        <v>23249</v>
      </c>
      <c r="O38" s="14" t="s">
        <v>23250</v>
      </c>
      <c r="P38" s="14" t="str">
        <f>HYPERLINK("https://dexscreener.com/solana/9nThs637Y2LcjVekQBWjvk5kfoX6KcpaUqzLEg6mz7py", "View")</f>
        <v>View</v>
      </c>
    </row>
    <row r="39" spans="1:16" x14ac:dyDescent="0.25">
      <c r="A39" s="16" t="s">
        <v>16374</v>
      </c>
      <c r="B39" s="17">
        <v>685015</v>
      </c>
      <c r="C39" s="17">
        <v>685015</v>
      </c>
      <c r="D39" s="17" t="s">
        <v>8469</v>
      </c>
      <c r="E39" s="17" t="s">
        <v>12036</v>
      </c>
      <c r="F39" s="17" t="s">
        <v>3939</v>
      </c>
      <c r="G39" s="15" t="s">
        <v>15868</v>
      </c>
      <c r="H39" s="15" t="s">
        <v>23251</v>
      </c>
      <c r="I39" s="17" t="s">
        <v>88</v>
      </c>
      <c r="J39" s="17">
        <v>1</v>
      </c>
      <c r="K39" s="17">
        <v>1</v>
      </c>
      <c r="L39" s="17" t="s">
        <v>23252</v>
      </c>
      <c r="M39" s="19" t="s">
        <v>2923</v>
      </c>
      <c r="N39" s="17" t="s">
        <v>23253</v>
      </c>
      <c r="O39" s="17" t="s">
        <v>23254</v>
      </c>
      <c r="P39" s="17" t="str">
        <f>HYPERLINK("https://photon-sol.tinyastro.io/en/lp/KSD8v9vtXSAb87GRpzoPTEfky5AaYYwwcXnz3XJRR1a?handle=676050794bc1b1657a56b", "View")</f>
        <v>View</v>
      </c>
    </row>
    <row r="40" spans="1:16" x14ac:dyDescent="0.25">
      <c r="A40" s="13" t="s">
        <v>23255</v>
      </c>
      <c r="B40" s="14">
        <v>656206</v>
      </c>
      <c r="C40" s="14">
        <v>656206</v>
      </c>
      <c r="D40" s="14" t="s">
        <v>8469</v>
      </c>
      <c r="E40" s="14" t="s">
        <v>8306</v>
      </c>
      <c r="F40" s="14" t="s">
        <v>12202</v>
      </c>
      <c r="G40" s="15" t="s">
        <v>4755</v>
      </c>
      <c r="H40" s="15" t="s">
        <v>23256</v>
      </c>
      <c r="I40" s="14" t="s">
        <v>88</v>
      </c>
      <c r="J40" s="14">
        <v>1</v>
      </c>
      <c r="K40" s="14">
        <v>1</v>
      </c>
      <c r="L40" s="14" t="s">
        <v>23257</v>
      </c>
      <c r="M40" s="19" t="s">
        <v>370</v>
      </c>
      <c r="N40" s="14" t="s">
        <v>23258</v>
      </c>
      <c r="O40" s="14" t="s">
        <v>23259</v>
      </c>
      <c r="P40" s="14" t="str">
        <f>HYPERLINK("https://photon-sol.tinyastro.io/en/lp/EhZd9Hfr4tMY5oLq9ytp4rEJrCDJpHju7RcuH2i4QoL?handle=676050794bc1b1657a56b", "View")</f>
        <v>View</v>
      </c>
    </row>
    <row r="41" spans="1:16" x14ac:dyDescent="0.25">
      <c r="A41" s="16" t="s">
        <v>23260</v>
      </c>
      <c r="B41" s="17">
        <v>1333669</v>
      </c>
      <c r="C41" s="17">
        <v>1333669</v>
      </c>
      <c r="D41" s="17" t="s">
        <v>8469</v>
      </c>
      <c r="E41" s="17" t="s">
        <v>17014</v>
      </c>
      <c r="F41" s="17" t="s">
        <v>11933</v>
      </c>
      <c r="G41" s="22" t="s">
        <v>3890</v>
      </c>
      <c r="H41" s="22" t="s">
        <v>9408</v>
      </c>
      <c r="I41" s="17" t="s">
        <v>88</v>
      </c>
      <c r="J41" s="17">
        <v>1</v>
      </c>
      <c r="K41" s="17">
        <v>1</v>
      </c>
      <c r="L41" s="17" t="s">
        <v>23261</v>
      </c>
      <c r="M41" s="19" t="s">
        <v>1940</v>
      </c>
      <c r="N41" s="17" t="s">
        <v>2231</v>
      </c>
      <c r="O41" s="17" t="s">
        <v>23262</v>
      </c>
      <c r="P41" s="17" t="str">
        <f>HYPERLINK("https://photon-sol.tinyastro.io/en/lp/HFEB7FdptjwE4wVfD7dKR2ZDx8LffSrEGBFHM1ftpump?handle=676050794bc1b1657a56b", "View")</f>
        <v>View</v>
      </c>
    </row>
    <row r="42" spans="1:16" x14ac:dyDescent="0.25">
      <c r="A42" s="13" t="s">
        <v>23263</v>
      </c>
      <c r="B42" s="14">
        <v>722092</v>
      </c>
      <c r="C42" s="14">
        <v>722092</v>
      </c>
      <c r="D42" s="14" t="s">
        <v>8469</v>
      </c>
      <c r="E42" s="14" t="s">
        <v>12036</v>
      </c>
      <c r="F42" s="14" t="s">
        <v>3439</v>
      </c>
      <c r="G42" s="20" t="s">
        <v>4799</v>
      </c>
      <c r="H42" s="20" t="s">
        <v>23264</v>
      </c>
      <c r="I42" s="14" t="s">
        <v>88</v>
      </c>
      <c r="J42" s="14">
        <v>1</v>
      </c>
      <c r="K42" s="14">
        <v>1</v>
      </c>
      <c r="L42" s="14" t="s">
        <v>23265</v>
      </c>
      <c r="M42" s="19" t="s">
        <v>370</v>
      </c>
      <c r="N42" s="14" t="s">
        <v>5709</v>
      </c>
      <c r="O42" s="14" t="s">
        <v>23266</v>
      </c>
      <c r="P42" s="14" t="str">
        <f>HYPERLINK("https://photon-sol.tinyastro.io/en/lp/6rNVbPduPEkCRCePQXs7eHp24x1yQcMFXiaGZqK4kyWj?handle=676050794bc1b1657a56b", "View")</f>
        <v>View</v>
      </c>
    </row>
    <row r="43" spans="1:16" x14ac:dyDescent="0.25">
      <c r="A43" s="16" t="s">
        <v>23267</v>
      </c>
      <c r="B43" s="17">
        <v>2442093</v>
      </c>
      <c r="C43" s="17">
        <v>2442093</v>
      </c>
      <c r="D43" s="17" t="s">
        <v>8469</v>
      </c>
      <c r="E43" s="17" t="s">
        <v>4666</v>
      </c>
      <c r="F43" s="17" t="s">
        <v>15605</v>
      </c>
      <c r="G43" s="20" t="s">
        <v>13495</v>
      </c>
      <c r="H43" s="20" t="s">
        <v>23268</v>
      </c>
      <c r="I43" s="17" t="s">
        <v>88</v>
      </c>
      <c r="J43" s="17">
        <v>1</v>
      </c>
      <c r="K43" s="17">
        <v>1</v>
      </c>
      <c r="L43" s="17" t="s">
        <v>18558</v>
      </c>
      <c r="M43" s="19" t="s">
        <v>2593</v>
      </c>
      <c r="N43" s="17" t="s">
        <v>3633</v>
      </c>
      <c r="O43" s="17" t="s">
        <v>23269</v>
      </c>
      <c r="P43" s="17" t="str">
        <f>HYPERLINK("https://photon-sol.tinyastro.io/en/lp/SwwBBekTQUTTmCdWjYmbm8GRNFV4vQjH3HAYJ1upump?handle=676050794bc1b1657a56b", "View")</f>
        <v>View</v>
      </c>
    </row>
    <row r="44" spans="1:16" x14ac:dyDescent="0.25">
      <c r="A44" s="13" t="s">
        <v>23270</v>
      </c>
      <c r="B44" s="14">
        <v>638105</v>
      </c>
      <c r="C44" s="14">
        <v>638105</v>
      </c>
      <c r="D44" s="14" t="s">
        <v>8469</v>
      </c>
      <c r="E44" s="14" t="s">
        <v>5675</v>
      </c>
      <c r="F44" s="14" t="s">
        <v>5675</v>
      </c>
      <c r="G44" s="20" t="s">
        <v>14444</v>
      </c>
      <c r="H44" s="20" t="s">
        <v>23271</v>
      </c>
      <c r="I44" s="14" t="s">
        <v>88</v>
      </c>
      <c r="J44" s="14">
        <v>1</v>
      </c>
      <c r="K44" s="14">
        <v>1</v>
      </c>
      <c r="L44" s="14" t="s">
        <v>23272</v>
      </c>
      <c r="M44" s="14" t="s">
        <v>1448</v>
      </c>
      <c r="N44" s="14" t="s">
        <v>21867</v>
      </c>
      <c r="O44" s="14" t="s">
        <v>23273</v>
      </c>
      <c r="P44" s="14" t="str">
        <f>HYPERLINK("https://photon-sol.tinyastro.io/en/lp/rRxd8pMVfstfSHJK2TGyoDxFcVVSxyyRQpT4VywFcat?handle=676050794bc1b1657a56b", "View")</f>
        <v>View</v>
      </c>
    </row>
    <row r="45" spans="1:16" x14ac:dyDescent="0.25">
      <c r="A45" s="16" t="s">
        <v>23274</v>
      </c>
      <c r="B45" s="17">
        <v>2337222</v>
      </c>
      <c r="C45" s="17">
        <v>2337222</v>
      </c>
      <c r="D45" s="17" t="s">
        <v>8469</v>
      </c>
      <c r="E45" s="17" t="s">
        <v>12036</v>
      </c>
      <c r="F45" s="17" t="s">
        <v>4660</v>
      </c>
      <c r="G45" s="20" t="s">
        <v>3611</v>
      </c>
      <c r="H45" s="20" t="s">
        <v>23275</v>
      </c>
      <c r="I45" s="17" t="s">
        <v>88</v>
      </c>
      <c r="J45" s="17">
        <v>1</v>
      </c>
      <c r="K45" s="17">
        <v>1</v>
      </c>
      <c r="L45" s="17" t="s">
        <v>23276</v>
      </c>
      <c r="M45" s="19" t="s">
        <v>3626</v>
      </c>
      <c r="N45" s="17" t="s">
        <v>1667</v>
      </c>
      <c r="O45" s="17" t="s">
        <v>23277</v>
      </c>
      <c r="P45" s="17" t="str">
        <f>HYPERLINK("https://photon-sol.tinyastro.io/en/lp/DS3e9jwHBRpX5aoAwv1paBBcmKPeMvzMxp5TjEqmpump?handle=676050794bc1b1657a56b", "View")</f>
        <v>View</v>
      </c>
    </row>
    <row r="46" spans="1:16" x14ac:dyDescent="0.25">
      <c r="A46" s="13" t="s">
        <v>23278</v>
      </c>
      <c r="B46" s="14">
        <v>666492</v>
      </c>
      <c r="C46" s="14">
        <v>666492</v>
      </c>
      <c r="D46" s="14" t="s">
        <v>8469</v>
      </c>
      <c r="E46" s="14" t="s">
        <v>17509</v>
      </c>
      <c r="F46" s="14" t="s">
        <v>4609</v>
      </c>
      <c r="G46" s="22" t="s">
        <v>4555</v>
      </c>
      <c r="H46" s="22" t="s">
        <v>15666</v>
      </c>
      <c r="I46" s="14" t="s">
        <v>88</v>
      </c>
      <c r="J46" s="14">
        <v>1</v>
      </c>
      <c r="K46" s="14">
        <v>1</v>
      </c>
      <c r="L46" s="14" t="s">
        <v>23279</v>
      </c>
      <c r="M46" s="19" t="s">
        <v>2479</v>
      </c>
      <c r="N46" s="14" t="s">
        <v>23280</v>
      </c>
      <c r="O46" s="14" t="s">
        <v>23281</v>
      </c>
      <c r="P46" s="14" t="str">
        <f>HYPERLINK("https://photon-sol.tinyastro.io/en/lp/3SWtffBvtewZAzk39AQJMpVzY94FA892E7XsahubzQwt?handle=676050794bc1b1657a56b", "View")</f>
        <v>View</v>
      </c>
    </row>
    <row r="47" spans="1:16" x14ac:dyDescent="0.25">
      <c r="A47" s="16" t="s">
        <v>23282</v>
      </c>
      <c r="B47" s="17">
        <v>554162</v>
      </c>
      <c r="C47" s="17">
        <v>554162</v>
      </c>
      <c r="D47" s="17" t="s">
        <v>8469</v>
      </c>
      <c r="E47" s="17" t="s">
        <v>4665</v>
      </c>
      <c r="F47" s="17" t="s">
        <v>7598</v>
      </c>
      <c r="G47" s="20" t="s">
        <v>8279</v>
      </c>
      <c r="H47" s="20" t="s">
        <v>23160</v>
      </c>
      <c r="I47" s="17" t="s">
        <v>88</v>
      </c>
      <c r="J47" s="17">
        <v>1</v>
      </c>
      <c r="K47" s="17">
        <v>1</v>
      </c>
      <c r="L47" s="17" t="s">
        <v>23283</v>
      </c>
      <c r="M47" s="19" t="s">
        <v>2923</v>
      </c>
      <c r="N47" s="17" t="s">
        <v>23284</v>
      </c>
      <c r="O47" s="17" t="s">
        <v>23285</v>
      </c>
      <c r="P47" s="17" t="str">
        <f>HYPERLINK("https://dexscreener.com/solana/GxQxuquGAg9JwazPh2VgrLnmCZgJ6xwfttzkmJxfpump", "View")</f>
        <v>View</v>
      </c>
    </row>
    <row r="48" spans="1:16" x14ac:dyDescent="0.25">
      <c r="A48" s="13" t="s">
        <v>23286</v>
      </c>
      <c r="B48" s="14">
        <v>608756</v>
      </c>
      <c r="C48" s="14">
        <v>608756</v>
      </c>
      <c r="D48" s="14" t="s">
        <v>8469</v>
      </c>
      <c r="E48" s="14" t="s">
        <v>2547</v>
      </c>
      <c r="F48" s="14" t="s">
        <v>1970</v>
      </c>
      <c r="G48" s="15" t="s">
        <v>4252</v>
      </c>
      <c r="H48" s="15" t="s">
        <v>23287</v>
      </c>
      <c r="I48" s="14" t="s">
        <v>88</v>
      </c>
      <c r="J48" s="14">
        <v>1</v>
      </c>
      <c r="K48" s="14">
        <v>1</v>
      </c>
      <c r="L48" s="14" t="s">
        <v>23288</v>
      </c>
      <c r="M48" s="19" t="s">
        <v>2853</v>
      </c>
      <c r="N48" s="14" t="s">
        <v>23289</v>
      </c>
      <c r="O48" s="14" t="s">
        <v>23290</v>
      </c>
      <c r="P48" s="14" t="str">
        <f>HYPERLINK("https://photon-sol.tinyastro.io/en/lp/5gkD1fjuFpK9UHaU63mW3yoQw1J1UdntCZF5D8pPbEqc?handle=676050794bc1b1657a56b", "View")</f>
        <v>View</v>
      </c>
    </row>
    <row r="49" spans="1:16" x14ac:dyDescent="0.25">
      <c r="A49" s="16" t="s">
        <v>13038</v>
      </c>
      <c r="B49" s="17">
        <v>358702</v>
      </c>
      <c r="C49" s="17">
        <v>358702</v>
      </c>
      <c r="D49" s="17" t="s">
        <v>8469</v>
      </c>
      <c r="E49" s="17" t="s">
        <v>17627</v>
      </c>
      <c r="F49" s="17" t="s">
        <v>6599</v>
      </c>
      <c r="G49" s="21" t="s">
        <v>22625</v>
      </c>
      <c r="H49" s="21" t="s">
        <v>23291</v>
      </c>
      <c r="I49" s="17" t="s">
        <v>88</v>
      </c>
      <c r="J49" s="17">
        <v>1</v>
      </c>
      <c r="K49" s="17">
        <v>1</v>
      </c>
      <c r="L49" s="17" t="s">
        <v>23292</v>
      </c>
      <c r="M49" s="17" t="s">
        <v>602</v>
      </c>
      <c r="N49" s="17" t="s">
        <v>23293</v>
      </c>
      <c r="O49" s="17" t="s">
        <v>18555</v>
      </c>
      <c r="P49" s="17" t="str">
        <f>HYPERLINK("https://photon-sol.tinyastro.io/en/lp/AdKzRJoVKdJ8BNwPy2DiYiujimLr9GQQdc32sQhHpump?handle=676050794bc1b1657a56b", "View")</f>
        <v>View</v>
      </c>
    </row>
    <row r="50" spans="1:16" x14ac:dyDescent="0.25">
      <c r="A50" s="13" t="s">
        <v>23294</v>
      </c>
      <c r="B50" s="14">
        <v>586487</v>
      </c>
      <c r="C50" s="14">
        <v>586487</v>
      </c>
      <c r="D50" s="14" t="s">
        <v>8469</v>
      </c>
      <c r="E50" s="14" t="s">
        <v>12036</v>
      </c>
      <c r="F50" s="14" t="s">
        <v>4458</v>
      </c>
      <c r="G50" s="22" t="s">
        <v>17881</v>
      </c>
      <c r="H50" s="22" t="s">
        <v>4142</v>
      </c>
      <c r="I50" s="14" t="s">
        <v>88</v>
      </c>
      <c r="J50" s="14">
        <v>1</v>
      </c>
      <c r="K50" s="14">
        <v>1</v>
      </c>
      <c r="L50" s="14" t="s">
        <v>23295</v>
      </c>
      <c r="M50" s="19" t="s">
        <v>3324</v>
      </c>
      <c r="N50" s="14" t="s">
        <v>23296</v>
      </c>
      <c r="O50" s="14" t="s">
        <v>23297</v>
      </c>
      <c r="P50" s="14" t="str">
        <f>HYPERLINK("https://photon-sol.tinyastro.io/en/lp/6fLYupYMgJjMRnhNgSrpKXir5oURys5tPUuTr3EPpump?handle=676050794bc1b1657a56b", "View")</f>
        <v>View</v>
      </c>
    </row>
    <row r="51" spans="1:16" x14ac:dyDescent="0.25">
      <c r="A51" s="16" t="s">
        <v>3071</v>
      </c>
      <c r="B51" s="17">
        <v>404558</v>
      </c>
      <c r="C51" s="17">
        <v>404558</v>
      </c>
      <c r="D51" s="17" t="s">
        <v>8469</v>
      </c>
      <c r="E51" s="17" t="s">
        <v>3320</v>
      </c>
      <c r="F51" s="17" t="s">
        <v>2164</v>
      </c>
      <c r="G51" s="22" t="s">
        <v>4687</v>
      </c>
      <c r="H51" s="22" t="s">
        <v>23298</v>
      </c>
      <c r="I51" s="17" t="s">
        <v>88</v>
      </c>
      <c r="J51" s="17">
        <v>1</v>
      </c>
      <c r="K51" s="17">
        <v>1</v>
      </c>
      <c r="L51" s="17" t="s">
        <v>23299</v>
      </c>
      <c r="M51" s="19" t="s">
        <v>1856</v>
      </c>
      <c r="N51" s="17" t="s">
        <v>23300</v>
      </c>
      <c r="O51" s="17" t="s">
        <v>18521</v>
      </c>
      <c r="P51" s="17" t="str">
        <f>HYPERLINK("https://dexscreener.com/solana/27vMFjJerzLd5iZX2tRWL4eHUTr5Lfh5YWdakU3Zpump", "View")</f>
        <v>View</v>
      </c>
    </row>
    <row r="52" spans="1:16" x14ac:dyDescent="0.25">
      <c r="A52" s="13" t="s">
        <v>23301</v>
      </c>
      <c r="B52" s="14">
        <v>1624483</v>
      </c>
      <c r="C52" s="14">
        <v>1624483</v>
      </c>
      <c r="D52" s="14" t="s">
        <v>8469</v>
      </c>
      <c r="E52" s="14" t="s">
        <v>4665</v>
      </c>
      <c r="F52" s="14" t="s">
        <v>3309</v>
      </c>
      <c r="G52" s="15" t="s">
        <v>3537</v>
      </c>
      <c r="H52" s="15" t="s">
        <v>23302</v>
      </c>
      <c r="I52" s="14" t="s">
        <v>88</v>
      </c>
      <c r="J52" s="14">
        <v>1</v>
      </c>
      <c r="K52" s="14">
        <v>1</v>
      </c>
      <c r="L52" s="14" t="s">
        <v>23303</v>
      </c>
      <c r="M52" s="14" t="s">
        <v>1448</v>
      </c>
      <c r="N52" s="14" t="s">
        <v>23304</v>
      </c>
      <c r="O52" s="14" t="s">
        <v>23305</v>
      </c>
      <c r="P52" s="14" t="str">
        <f>HYPERLINK("https://dexscreener.com/solana/2GuWPNogCENK6mWz8gTXtcm7yin9mRnbPSUPHotopump", "View")</f>
        <v>View</v>
      </c>
    </row>
    <row r="53" spans="1:16" x14ac:dyDescent="0.25">
      <c r="A53" s="16" t="s">
        <v>23306</v>
      </c>
      <c r="B53" s="17">
        <v>573056</v>
      </c>
      <c r="C53" s="17">
        <v>573056</v>
      </c>
      <c r="D53" s="17" t="s">
        <v>8469</v>
      </c>
      <c r="E53" s="17" t="s">
        <v>5551</v>
      </c>
      <c r="F53" s="17" t="s">
        <v>3142</v>
      </c>
      <c r="G53" s="20" t="s">
        <v>4101</v>
      </c>
      <c r="H53" s="20" t="s">
        <v>23307</v>
      </c>
      <c r="I53" s="17" t="s">
        <v>88</v>
      </c>
      <c r="J53" s="17">
        <v>1</v>
      </c>
      <c r="K53" s="17">
        <v>1</v>
      </c>
      <c r="L53" s="17" t="s">
        <v>23308</v>
      </c>
      <c r="M53" s="19" t="s">
        <v>2525</v>
      </c>
      <c r="N53" s="17" t="s">
        <v>23309</v>
      </c>
      <c r="O53" s="17" t="s">
        <v>23310</v>
      </c>
      <c r="P53" s="17" t="str">
        <f>HYPERLINK("https://photon-sol.tinyastro.io/en/lp/5Mt65tNTRmZ2vURPjKSu71o2TDfgrTXuFTUm41b7xUFh?handle=676050794bc1b1657a56b", "View")</f>
        <v>View</v>
      </c>
    </row>
    <row r="54" spans="1:16" x14ac:dyDescent="0.25">
      <c r="A54" s="13" t="s">
        <v>7423</v>
      </c>
      <c r="B54" s="14">
        <v>617464</v>
      </c>
      <c r="C54" s="14">
        <v>617464</v>
      </c>
      <c r="D54" s="14" t="s">
        <v>8469</v>
      </c>
      <c r="E54" s="14" t="s">
        <v>12036</v>
      </c>
      <c r="F54" s="14" t="s">
        <v>8306</v>
      </c>
      <c r="G54" s="22" t="s">
        <v>96</v>
      </c>
      <c r="H54" s="22" t="s">
        <v>23311</v>
      </c>
      <c r="I54" s="14" t="s">
        <v>88</v>
      </c>
      <c r="J54" s="14">
        <v>1</v>
      </c>
      <c r="K54" s="14">
        <v>1</v>
      </c>
      <c r="L54" s="14" t="s">
        <v>23312</v>
      </c>
      <c r="M54" s="19" t="s">
        <v>370</v>
      </c>
      <c r="N54" s="14" t="s">
        <v>14776</v>
      </c>
      <c r="O54" s="14" t="s">
        <v>23313</v>
      </c>
      <c r="P54" s="14" t="str">
        <f>HYPERLINK("https://photon-sol.tinyastro.io/en/lp/AcqhiLFQL4SNnA2Q2UKMr3KprmVpKQBvesDgs2jhh7dq?handle=676050794bc1b1657a56b", "View")</f>
        <v>View</v>
      </c>
    </row>
    <row r="55" spans="1:16" x14ac:dyDescent="0.25">
      <c r="A55" s="16" t="s">
        <v>23314</v>
      </c>
      <c r="B55" s="17">
        <v>530214</v>
      </c>
      <c r="C55" s="17">
        <v>530214</v>
      </c>
      <c r="D55" s="17" t="s">
        <v>8469</v>
      </c>
      <c r="E55" s="17" t="s">
        <v>4700</v>
      </c>
      <c r="F55" s="17" t="s">
        <v>3320</v>
      </c>
      <c r="G55" s="20" t="s">
        <v>6009</v>
      </c>
      <c r="H55" s="20" t="s">
        <v>23315</v>
      </c>
      <c r="I55" s="17" t="s">
        <v>88</v>
      </c>
      <c r="J55" s="17">
        <v>1</v>
      </c>
      <c r="K55" s="17">
        <v>1</v>
      </c>
      <c r="L55" s="17" t="s">
        <v>23316</v>
      </c>
      <c r="M55" s="19" t="s">
        <v>2486</v>
      </c>
      <c r="N55" s="17" t="s">
        <v>23317</v>
      </c>
      <c r="O55" s="17" t="s">
        <v>23318</v>
      </c>
      <c r="P55" s="17" t="str">
        <f>HYPERLINK("https://photon-sol.tinyastro.io/en/lp/4HusDgHjHUTHUKwjmWcs7v4FQgT1AzL5ocgXBopHGvLn?handle=676050794bc1b1657a56b", "View")</f>
        <v>View</v>
      </c>
    </row>
    <row r="56" spans="1:16" x14ac:dyDescent="0.25">
      <c r="A56" s="13" t="s">
        <v>23319</v>
      </c>
      <c r="B56" s="14">
        <v>1398394</v>
      </c>
      <c r="C56" s="14">
        <v>1398394</v>
      </c>
      <c r="D56" s="14" t="s">
        <v>8469</v>
      </c>
      <c r="E56" s="14" t="s">
        <v>3993</v>
      </c>
      <c r="F56" s="14" t="s">
        <v>1639</v>
      </c>
      <c r="G56" s="22" t="s">
        <v>3765</v>
      </c>
      <c r="H56" s="22" t="s">
        <v>23320</v>
      </c>
      <c r="I56" s="14" t="s">
        <v>88</v>
      </c>
      <c r="J56" s="14">
        <v>1</v>
      </c>
      <c r="K56" s="14">
        <v>1</v>
      </c>
      <c r="L56" s="14" t="s">
        <v>23321</v>
      </c>
      <c r="M56" s="19" t="s">
        <v>2479</v>
      </c>
      <c r="N56" s="14" t="s">
        <v>23322</v>
      </c>
      <c r="O56" s="14" t="s">
        <v>23323</v>
      </c>
      <c r="P56" s="14" t="str">
        <f>HYPERLINK("https://photon-sol.tinyastro.io/en/lp/AEqJdhgVWB9fj3v7mHLvFR3eVcHt3udxAaR3Gk9Kpump?handle=676050794bc1b1657a56b", "View")</f>
        <v>View</v>
      </c>
    </row>
    <row r="57" spans="1:16" x14ac:dyDescent="0.25">
      <c r="A57" s="16" t="s">
        <v>23324</v>
      </c>
      <c r="B57" s="17">
        <v>701733</v>
      </c>
      <c r="C57" s="17">
        <v>701733</v>
      </c>
      <c r="D57" s="17" t="s">
        <v>8469</v>
      </c>
      <c r="E57" s="17" t="s">
        <v>17627</v>
      </c>
      <c r="F57" s="17" t="s">
        <v>4982</v>
      </c>
      <c r="G57" s="22" t="s">
        <v>2661</v>
      </c>
      <c r="H57" s="22" t="s">
        <v>23325</v>
      </c>
      <c r="I57" s="17" t="s">
        <v>88</v>
      </c>
      <c r="J57" s="17">
        <v>1</v>
      </c>
      <c r="K57" s="17">
        <v>1</v>
      </c>
      <c r="L57" s="17" t="s">
        <v>23326</v>
      </c>
      <c r="M57" s="19" t="s">
        <v>2915</v>
      </c>
      <c r="N57" s="17" t="s">
        <v>2231</v>
      </c>
      <c r="O57" s="17" t="s">
        <v>23327</v>
      </c>
      <c r="P57" s="17" t="str">
        <f>HYPERLINK("https://photon-sol.tinyastro.io/en/lp/14V3LMCW8MgyAFSQheqshYJckm3iNDHUVjAQWLzGpump?handle=676050794bc1b1657a56b", "View")</f>
        <v>View</v>
      </c>
    </row>
    <row r="58" spans="1:16" x14ac:dyDescent="0.25">
      <c r="A58" s="13" t="s">
        <v>675</v>
      </c>
      <c r="B58" s="14">
        <v>666145</v>
      </c>
      <c r="C58" s="14">
        <v>666145</v>
      </c>
      <c r="D58" s="14" t="s">
        <v>8469</v>
      </c>
      <c r="E58" s="14" t="s">
        <v>17509</v>
      </c>
      <c r="F58" s="14" t="s">
        <v>1639</v>
      </c>
      <c r="G58" s="22" t="s">
        <v>12202</v>
      </c>
      <c r="H58" s="22" t="s">
        <v>23328</v>
      </c>
      <c r="I58" s="14" t="s">
        <v>88</v>
      </c>
      <c r="J58" s="14">
        <v>1</v>
      </c>
      <c r="K58" s="14">
        <v>1</v>
      </c>
      <c r="L58" s="14" t="s">
        <v>23329</v>
      </c>
      <c r="M58" s="19" t="s">
        <v>3626</v>
      </c>
      <c r="N58" s="14" t="s">
        <v>19521</v>
      </c>
      <c r="O58" s="14" t="s">
        <v>23330</v>
      </c>
      <c r="P58" s="14" t="str">
        <f>HYPERLINK("https://photon-sol.tinyastro.io/en/lp/FHjgpgXEHJMvmEpMBHTSKgsjTGJUMy73k5wnJMvEasrv?handle=676050794bc1b1657a56b", "View")</f>
        <v>View</v>
      </c>
    </row>
    <row r="59" spans="1:16" x14ac:dyDescent="0.25">
      <c r="A59" s="16" t="s">
        <v>23331</v>
      </c>
      <c r="B59" s="17">
        <v>738389</v>
      </c>
      <c r="C59" s="17">
        <v>738389</v>
      </c>
      <c r="D59" s="17" t="s">
        <v>8469</v>
      </c>
      <c r="E59" s="17" t="s">
        <v>17509</v>
      </c>
      <c r="F59" s="17" t="s">
        <v>4108</v>
      </c>
      <c r="G59" s="22" t="s">
        <v>5552</v>
      </c>
      <c r="H59" s="22" t="s">
        <v>23332</v>
      </c>
      <c r="I59" s="17" t="s">
        <v>88</v>
      </c>
      <c r="J59" s="17">
        <v>1</v>
      </c>
      <c r="K59" s="17">
        <v>1</v>
      </c>
      <c r="L59" s="17" t="s">
        <v>23333</v>
      </c>
      <c r="M59" s="17" t="s">
        <v>1434</v>
      </c>
      <c r="N59" s="17" t="s">
        <v>23334</v>
      </c>
      <c r="O59" s="17" t="s">
        <v>23335</v>
      </c>
      <c r="P59" s="17" t="str">
        <f>HYPERLINK("https://photon-sol.tinyastro.io/en/lp/GaNz4TgQHjP1zRvgBHt6emPvonjtagTvXNjbmPAFRDUi?handle=676050794bc1b1657a56b", "View")</f>
        <v>View</v>
      </c>
    </row>
    <row r="60" spans="1:16" x14ac:dyDescent="0.25">
      <c r="A60" s="13" t="s">
        <v>23336</v>
      </c>
      <c r="B60" s="14">
        <v>615018</v>
      </c>
      <c r="C60" s="14">
        <v>615018</v>
      </c>
      <c r="D60" s="14" t="s">
        <v>8469</v>
      </c>
      <c r="E60" s="14" t="s">
        <v>17509</v>
      </c>
      <c r="F60" s="14" t="s">
        <v>12036</v>
      </c>
      <c r="G60" s="20" t="s">
        <v>5364</v>
      </c>
      <c r="H60" s="20" t="s">
        <v>23337</v>
      </c>
      <c r="I60" s="14" t="s">
        <v>88</v>
      </c>
      <c r="J60" s="14">
        <v>1</v>
      </c>
      <c r="K60" s="14">
        <v>1</v>
      </c>
      <c r="L60" s="14" t="s">
        <v>23338</v>
      </c>
      <c r="M60" s="14" t="s">
        <v>1448</v>
      </c>
      <c r="N60" s="14" t="s">
        <v>14776</v>
      </c>
      <c r="O60" s="14" t="s">
        <v>23339</v>
      </c>
      <c r="P60" s="14" t="str">
        <f>HYPERLINK("https://photon-sol.tinyastro.io/en/lp/krsyFUwrHo5ixhEctcpHsony97nEXqWekmJs1e3pump?handle=676050794bc1b1657a56b", "View")</f>
        <v>View</v>
      </c>
    </row>
    <row r="61" spans="1:16" x14ac:dyDescent="0.25">
      <c r="A61" s="16" t="s">
        <v>23340</v>
      </c>
      <c r="B61" s="17">
        <v>757014</v>
      </c>
      <c r="C61" s="17">
        <v>757014</v>
      </c>
      <c r="D61" s="17" t="s">
        <v>8469</v>
      </c>
      <c r="E61" s="17" t="s">
        <v>17627</v>
      </c>
      <c r="F61" s="17" t="s">
        <v>5894</v>
      </c>
      <c r="G61" s="22" t="s">
        <v>3531</v>
      </c>
      <c r="H61" s="22" t="s">
        <v>23341</v>
      </c>
      <c r="I61" s="17" t="s">
        <v>88</v>
      </c>
      <c r="J61" s="17">
        <v>1</v>
      </c>
      <c r="K61" s="17">
        <v>1</v>
      </c>
      <c r="L61" s="17" t="s">
        <v>23342</v>
      </c>
      <c r="M61" s="17" t="s">
        <v>1434</v>
      </c>
      <c r="N61" s="17" t="s">
        <v>14499</v>
      </c>
      <c r="O61" s="17" t="s">
        <v>23343</v>
      </c>
      <c r="P61" s="17" t="str">
        <f>HYPERLINK("https://photon-sol.tinyastro.io/en/lp/AHUsu4KnRmtZ6UvrAZbSLM9qiV6hkU9MTPmv7AKbnk1s?handle=676050794bc1b1657a56b", "View")</f>
        <v>View</v>
      </c>
    </row>
    <row r="62" spans="1:16" x14ac:dyDescent="0.25">
      <c r="A62" s="13" t="s">
        <v>5624</v>
      </c>
      <c r="B62" s="14">
        <v>1139232</v>
      </c>
      <c r="C62" s="14">
        <v>1139232</v>
      </c>
      <c r="D62" s="14" t="s">
        <v>8469</v>
      </c>
      <c r="E62" s="14" t="s">
        <v>4665</v>
      </c>
      <c r="F62" s="14" t="s">
        <v>4042</v>
      </c>
      <c r="G62" s="22" t="s">
        <v>4396</v>
      </c>
      <c r="H62" s="22" t="s">
        <v>23344</v>
      </c>
      <c r="I62" s="14" t="s">
        <v>88</v>
      </c>
      <c r="J62" s="14">
        <v>1</v>
      </c>
      <c r="K62" s="14">
        <v>1</v>
      </c>
      <c r="L62" s="14" t="s">
        <v>23345</v>
      </c>
      <c r="M62" s="19" t="s">
        <v>1721</v>
      </c>
      <c r="N62" s="14" t="s">
        <v>23346</v>
      </c>
      <c r="O62" s="14" t="s">
        <v>5628</v>
      </c>
      <c r="P62" s="14" t="str">
        <f>HYPERLINK("https://dexscreener.com/solana/DMro6sb9KXzRsHo4qqxiTQweTLcapHYFvAeDzqYBpump", "View")</f>
        <v>View</v>
      </c>
    </row>
    <row r="63" spans="1:16" x14ac:dyDescent="0.25">
      <c r="A63" s="16" t="s">
        <v>23347</v>
      </c>
      <c r="B63" s="17">
        <v>640189</v>
      </c>
      <c r="C63" s="17">
        <v>640189</v>
      </c>
      <c r="D63" s="17" t="s">
        <v>8469</v>
      </c>
      <c r="E63" s="17" t="s">
        <v>12036</v>
      </c>
      <c r="F63" s="17" t="s">
        <v>4458</v>
      </c>
      <c r="G63" s="22" t="s">
        <v>17881</v>
      </c>
      <c r="H63" s="22" t="s">
        <v>23348</v>
      </c>
      <c r="I63" s="17" t="s">
        <v>88</v>
      </c>
      <c r="J63" s="17">
        <v>1</v>
      </c>
      <c r="K63" s="17">
        <v>1</v>
      </c>
      <c r="L63" s="17" t="s">
        <v>23349</v>
      </c>
      <c r="M63" s="17" t="s">
        <v>1448</v>
      </c>
      <c r="N63" s="17" t="s">
        <v>11294</v>
      </c>
      <c r="O63" s="17" t="s">
        <v>23350</v>
      </c>
      <c r="P63" s="17" t="str">
        <f>HYPERLINK("https://photon-sol.tinyastro.io/en/lp/GjuZraw3ediq3TNrCWRWg2M1fp8oZdAsiMNmjvgpump?handle=676050794bc1b1657a56b", "View")</f>
        <v>View</v>
      </c>
    </row>
    <row r="64" spans="1:16" x14ac:dyDescent="0.25">
      <c r="A64" s="13" t="s">
        <v>23351</v>
      </c>
      <c r="B64" s="14">
        <v>682605</v>
      </c>
      <c r="C64" s="14">
        <v>682605</v>
      </c>
      <c r="D64" s="14" t="s">
        <v>8469</v>
      </c>
      <c r="E64" s="14" t="s">
        <v>3659</v>
      </c>
      <c r="F64" s="14" t="s">
        <v>12036</v>
      </c>
      <c r="G64" s="22" t="s">
        <v>5248</v>
      </c>
      <c r="H64" s="22" t="s">
        <v>23352</v>
      </c>
      <c r="I64" s="14" t="s">
        <v>88</v>
      </c>
      <c r="J64" s="14">
        <v>1</v>
      </c>
      <c r="K64" s="14">
        <v>1</v>
      </c>
      <c r="L64" s="14" t="s">
        <v>23353</v>
      </c>
      <c r="M64" s="19" t="s">
        <v>2387</v>
      </c>
      <c r="N64" s="14" t="s">
        <v>23354</v>
      </c>
      <c r="O64" s="14" t="s">
        <v>23355</v>
      </c>
      <c r="P64" s="14" t="str">
        <f>HYPERLINK("https://photon-sol.tinyastro.io/en/lp/8ZkGUqsLoxNF6UQHnyCUpx21tBKwqAfgkhAS34VHBocP?handle=676050794bc1b1657a56b", "View")</f>
        <v>View</v>
      </c>
    </row>
    <row r="65" spans="1:16" x14ac:dyDescent="0.25">
      <c r="A65" s="16" t="s">
        <v>23356</v>
      </c>
      <c r="B65" s="17">
        <v>1371480</v>
      </c>
      <c r="C65" s="17">
        <v>1371480</v>
      </c>
      <c r="D65" s="17" t="s">
        <v>8469</v>
      </c>
      <c r="E65" s="17" t="s">
        <v>11856</v>
      </c>
      <c r="F65" s="17" t="s">
        <v>3805</v>
      </c>
      <c r="G65" s="22" t="s">
        <v>4761</v>
      </c>
      <c r="H65" s="22" t="s">
        <v>23357</v>
      </c>
      <c r="I65" s="17" t="s">
        <v>88</v>
      </c>
      <c r="J65" s="17">
        <v>1</v>
      </c>
      <c r="K65" s="17">
        <v>1</v>
      </c>
      <c r="L65" s="17" t="s">
        <v>23358</v>
      </c>
      <c r="M65" s="19" t="s">
        <v>2541</v>
      </c>
      <c r="N65" s="17" t="s">
        <v>23359</v>
      </c>
      <c r="O65" s="17" t="s">
        <v>23360</v>
      </c>
      <c r="P65" s="17" t="str">
        <f>HYPERLINK("https://photon-sol.tinyastro.io/en/lp/GA11jiDsktNgnJn3tjZG1HqwzxashqayfzRpou4gpump?handle=676050794bc1b1657a56b", "View")</f>
        <v>View</v>
      </c>
    </row>
    <row r="66" spans="1:16" x14ac:dyDescent="0.25">
      <c r="A66" s="13" t="s">
        <v>23361</v>
      </c>
      <c r="B66" s="14">
        <v>564468</v>
      </c>
      <c r="C66" s="14">
        <v>564468</v>
      </c>
      <c r="D66" s="14" t="s">
        <v>8469</v>
      </c>
      <c r="E66" s="14" t="s">
        <v>6206</v>
      </c>
      <c r="F66" s="14" t="s">
        <v>3503</v>
      </c>
      <c r="G66" s="20" t="s">
        <v>5535</v>
      </c>
      <c r="H66" s="20" t="s">
        <v>23362</v>
      </c>
      <c r="I66" s="14" t="s">
        <v>88</v>
      </c>
      <c r="J66" s="14">
        <v>1</v>
      </c>
      <c r="K66" s="14">
        <v>1</v>
      </c>
      <c r="L66" s="14" t="s">
        <v>23363</v>
      </c>
      <c r="M66" s="14" t="s">
        <v>602</v>
      </c>
      <c r="N66" s="14" t="s">
        <v>14776</v>
      </c>
      <c r="O66" s="14" t="s">
        <v>23364</v>
      </c>
      <c r="P66" s="14" t="str">
        <f>HYPERLINK("https://photon-sol.tinyastro.io/en/lp/frBELbez8uTULmPRJxGuH5SGAdy17AdXJjvp5vfpump?handle=676050794bc1b1657a56b", "View")</f>
        <v>View</v>
      </c>
    </row>
    <row r="67" spans="1:16" x14ac:dyDescent="0.25">
      <c r="A67" s="16" t="s">
        <v>23365</v>
      </c>
      <c r="B67" s="17">
        <v>554292</v>
      </c>
      <c r="C67" s="17">
        <v>554292</v>
      </c>
      <c r="D67" s="17" t="s">
        <v>8469</v>
      </c>
      <c r="E67" s="17" t="s">
        <v>3503</v>
      </c>
      <c r="F67" s="17" t="s">
        <v>3503</v>
      </c>
      <c r="G67" s="20" t="s">
        <v>5535</v>
      </c>
      <c r="H67" s="20" t="s">
        <v>23366</v>
      </c>
      <c r="I67" s="17" t="s">
        <v>88</v>
      </c>
      <c r="J67" s="17">
        <v>1</v>
      </c>
      <c r="K67" s="17">
        <v>1</v>
      </c>
      <c r="L67" s="17" t="s">
        <v>23367</v>
      </c>
      <c r="M67" s="17" t="s">
        <v>1448</v>
      </c>
      <c r="N67" s="17" t="s">
        <v>23368</v>
      </c>
      <c r="O67" s="17" t="s">
        <v>23369</v>
      </c>
      <c r="P67" s="17" t="str">
        <f>HYPERLINK("https://photon-sol.tinyastro.io/en/lp/gXJCgeRnvMVAv2Kb5zU9Mh1pbCww9h85fe1AKvQpump?handle=676050794bc1b1657a56b", "View")</f>
        <v>View</v>
      </c>
    </row>
    <row r="68" spans="1:16" x14ac:dyDescent="0.25">
      <c r="A68" s="13" t="s">
        <v>23370</v>
      </c>
      <c r="B68" s="14">
        <v>668494</v>
      </c>
      <c r="C68" s="14">
        <v>668494</v>
      </c>
      <c r="D68" s="14" t="s">
        <v>8469</v>
      </c>
      <c r="E68" s="14" t="s">
        <v>3320</v>
      </c>
      <c r="F68" s="14" t="s">
        <v>5006</v>
      </c>
      <c r="G68" s="22" t="s">
        <v>5705</v>
      </c>
      <c r="H68" s="22" t="s">
        <v>23371</v>
      </c>
      <c r="I68" s="14" t="s">
        <v>88</v>
      </c>
      <c r="J68" s="14">
        <v>1</v>
      </c>
      <c r="K68" s="14">
        <v>1</v>
      </c>
      <c r="L68" s="14" t="s">
        <v>23372</v>
      </c>
      <c r="M68" s="19" t="s">
        <v>6781</v>
      </c>
      <c r="N68" s="14" t="s">
        <v>3409</v>
      </c>
      <c r="O68" s="14" t="s">
        <v>23373</v>
      </c>
      <c r="P68" s="14" t="str">
        <f>HYPERLINK("https://photon-sol.tinyastro.io/en/lp/2G6GvvQYD6iLmk5nvDkbiWJ4efVMZRMEVv9rukVJEvLd?handle=676050794bc1b1657a56b", "View")</f>
        <v>View</v>
      </c>
    </row>
    <row r="69" spans="1:16" x14ac:dyDescent="0.25">
      <c r="A69" s="16" t="s">
        <v>23187</v>
      </c>
      <c r="B69" s="17">
        <v>656448</v>
      </c>
      <c r="C69" s="17">
        <v>656448</v>
      </c>
      <c r="D69" s="17" t="s">
        <v>8469</v>
      </c>
      <c r="E69" s="17" t="s">
        <v>3503</v>
      </c>
      <c r="F69" s="17" t="s">
        <v>3126</v>
      </c>
      <c r="G69" s="22" t="s">
        <v>2661</v>
      </c>
      <c r="H69" s="22" t="s">
        <v>23374</v>
      </c>
      <c r="I69" s="17" t="s">
        <v>88</v>
      </c>
      <c r="J69" s="17">
        <v>1</v>
      </c>
      <c r="K69" s="17">
        <v>1</v>
      </c>
      <c r="L69" s="17" t="s">
        <v>23375</v>
      </c>
      <c r="M69" s="17" t="s">
        <v>1434</v>
      </c>
      <c r="N69" s="17" t="s">
        <v>3409</v>
      </c>
      <c r="O69" s="17" t="s">
        <v>23376</v>
      </c>
      <c r="P69" s="17" t="str">
        <f>HYPERLINK("https://photon-sol.tinyastro.io/en/lp/R9qJrw1uksgDr9V2bBeeq85H9jnyjnjvDANLU9Gpump?handle=676050794bc1b1657a56b", "View")</f>
        <v>View</v>
      </c>
    </row>
    <row r="70" spans="1:16" x14ac:dyDescent="0.25">
      <c r="A70" s="13" t="s">
        <v>23377</v>
      </c>
      <c r="B70" s="14">
        <v>495571</v>
      </c>
      <c r="C70" s="14">
        <v>495571</v>
      </c>
      <c r="D70" s="14" t="s">
        <v>8469</v>
      </c>
      <c r="E70" s="14" t="s">
        <v>6206</v>
      </c>
      <c r="F70" s="14" t="s">
        <v>4817</v>
      </c>
      <c r="G70" s="20" t="s">
        <v>5801</v>
      </c>
      <c r="H70" s="20" t="s">
        <v>23378</v>
      </c>
      <c r="I70" s="14" t="s">
        <v>88</v>
      </c>
      <c r="J70" s="14">
        <v>1</v>
      </c>
      <c r="K70" s="14">
        <v>1</v>
      </c>
      <c r="L70" s="14" t="s">
        <v>23379</v>
      </c>
      <c r="M70" s="19" t="s">
        <v>2350</v>
      </c>
      <c r="N70" s="14" t="s">
        <v>23380</v>
      </c>
      <c r="O70" s="14" t="s">
        <v>23381</v>
      </c>
      <c r="P70" s="14" t="str">
        <f>HYPERLINK("https://photon-sol.tinyastro.io/en/lp/r5ngG1oBXa89BM5jpEsrka9GHadiLm93sjY94QVpump?handle=676050794bc1b1657a56b", "View")</f>
        <v>View</v>
      </c>
    </row>
    <row r="71" spans="1:16" x14ac:dyDescent="0.25">
      <c r="A71" s="16" t="s">
        <v>5121</v>
      </c>
      <c r="B71" s="17">
        <v>752242</v>
      </c>
      <c r="C71" s="17">
        <v>752242</v>
      </c>
      <c r="D71" s="17" t="s">
        <v>8469</v>
      </c>
      <c r="E71" s="17" t="s">
        <v>3503</v>
      </c>
      <c r="F71" s="17" t="s">
        <v>3993</v>
      </c>
      <c r="G71" s="22" t="s">
        <v>12237</v>
      </c>
      <c r="H71" s="22" t="s">
        <v>5602</v>
      </c>
      <c r="I71" s="17" t="s">
        <v>88</v>
      </c>
      <c r="J71" s="17">
        <v>1</v>
      </c>
      <c r="K71" s="17">
        <v>1</v>
      </c>
      <c r="L71" s="17" t="s">
        <v>23382</v>
      </c>
      <c r="M71" s="19" t="s">
        <v>7834</v>
      </c>
      <c r="N71" s="17" t="s">
        <v>1966</v>
      </c>
      <c r="O71" s="17" t="s">
        <v>23383</v>
      </c>
      <c r="P71" s="17" t="str">
        <f>HYPERLINK("https://photon-sol.tinyastro.io/en/lp/pGx4uBcFKQ2vd6TzksN1ShxKgtNY3ec8NTBbAdTpump?handle=676050794bc1b1657a56b", "View")</f>
        <v>View</v>
      </c>
    </row>
    <row r="72" spans="1:16" x14ac:dyDescent="0.25">
      <c r="A72" s="13" t="s">
        <v>16438</v>
      </c>
      <c r="B72" s="14">
        <v>515605</v>
      </c>
      <c r="C72" s="14">
        <v>515605</v>
      </c>
      <c r="D72" s="14" t="s">
        <v>8469</v>
      </c>
      <c r="E72" s="14" t="s">
        <v>3503</v>
      </c>
      <c r="F72" s="14" t="s">
        <v>4458</v>
      </c>
      <c r="G72" s="22" t="s">
        <v>12202</v>
      </c>
      <c r="H72" s="22" t="s">
        <v>23384</v>
      </c>
      <c r="I72" s="14" t="s">
        <v>88</v>
      </c>
      <c r="J72" s="14">
        <v>1</v>
      </c>
      <c r="K72" s="14">
        <v>1</v>
      </c>
      <c r="L72" s="14" t="s">
        <v>23385</v>
      </c>
      <c r="M72" s="19" t="s">
        <v>2292</v>
      </c>
      <c r="N72" s="14" t="s">
        <v>23386</v>
      </c>
      <c r="O72" s="14" t="s">
        <v>23387</v>
      </c>
      <c r="P72" s="14" t="str">
        <f>HYPERLINK("https://photon-sol.tinyastro.io/en/lp/3mcoXEcKP17Kuh8z4GPaeNr3W9bPGMJ3atEikqTqzez3?handle=676050794bc1b1657a56b", "View")</f>
        <v>View</v>
      </c>
    </row>
    <row r="73" spans="1:16" x14ac:dyDescent="0.25">
      <c r="A73" s="16" t="s">
        <v>23388</v>
      </c>
      <c r="B73" s="17">
        <v>647087</v>
      </c>
      <c r="C73" s="17">
        <v>647087</v>
      </c>
      <c r="D73" s="17" t="s">
        <v>8469</v>
      </c>
      <c r="E73" s="17" t="s">
        <v>4838</v>
      </c>
      <c r="F73" s="17" t="s">
        <v>18133</v>
      </c>
      <c r="G73" s="22" t="s">
        <v>4924</v>
      </c>
      <c r="H73" s="22" t="s">
        <v>23389</v>
      </c>
      <c r="I73" s="17" t="s">
        <v>88</v>
      </c>
      <c r="J73" s="17">
        <v>1</v>
      </c>
      <c r="K73" s="17">
        <v>1</v>
      </c>
      <c r="L73" s="17" t="s">
        <v>23390</v>
      </c>
      <c r="M73" s="17" t="s">
        <v>1434</v>
      </c>
      <c r="N73" s="17" t="s">
        <v>23391</v>
      </c>
      <c r="O73" s="17" t="s">
        <v>23392</v>
      </c>
      <c r="P73" s="17" t="str">
        <f>HYPERLINK("https://photon-sol.tinyastro.io/en/lp/CMbYsKACLxQC6fhcp2VWM7VbXoMmnWBCmcSaXWVdvs8H?handle=676050794bc1b1657a56b", "View")</f>
        <v>View</v>
      </c>
    </row>
    <row r="74" spans="1:16" x14ac:dyDescent="0.25">
      <c r="A74" s="13" t="s">
        <v>23393</v>
      </c>
      <c r="B74" s="14">
        <v>599306</v>
      </c>
      <c r="C74" s="14">
        <v>0</v>
      </c>
      <c r="D74" s="14" t="s">
        <v>10157</v>
      </c>
      <c r="E74" s="14" t="s">
        <v>4838</v>
      </c>
      <c r="F74" s="14" t="s">
        <v>96</v>
      </c>
      <c r="G74" s="18" t="s">
        <v>4168</v>
      </c>
      <c r="H74" s="18" t="s">
        <v>98</v>
      </c>
      <c r="I74" s="14" t="s">
        <v>23394</v>
      </c>
      <c r="J74" s="14">
        <v>1</v>
      </c>
      <c r="K74" s="14">
        <v>0</v>
      </c>
      <c r="L74" s="14" t="s">
        <v>23395</v>
      </c>
      <c r="M74" s="19" t="s">
        <v>101</v>
      </c>
      <c r="N74" s="14" t="s">
        <v>14776</v>
      </c>
      <c r="O74" s="14" t="s">
        <v>23396</v>
      </c>
      <c r="P74" s="14" t="str">
        <f>HYPERLINK("https://photon-sol.tinyastro.io/en/lp/9mMypdEn6UiQnZAkzKt3KKvj5LvZfuuCPLikCn5pVHPh?handle=676050794bc1b1657a56b", "View")</f>
        <v>View</v>
      </c>
    </row>
    <row r="75" spans="1:16" x14ac:dyDescent="0.25">
      <c r="A75" s="16" t="s">
        <v>12781</v>
      </c>
      <c r="B75" s="17">
        <v>597902</v>
      </c>
      <c r="C75" s="17">
        <v>597902</v>
      </c>
      <c r="D75" s="17" t="s">
        <v>8469</v>
      </c>
      <c r="E75" s="17" t="s">
        <v>3845</v>
      </c>
      <c r="F75" s="17" t="s">
        <v>1970</v>
      </c>
      <c r="G75" s="15" t="s">
        <v>4081</v>
      </c>
      <c r="H75" s="15" t="s">
        <v>23397</v>
      </c>
      <c r="I75" s="17" t="s">
        <v>88</v>
      </c>
      <c r="J75" s="17">
        <v>1</v>
      </c>
      <c r="K75" s="17">
        <v>1</v>
      </c>
      <c r="L75" s="17" t="s">
        <v>23398</v>
      </c>
      <c r="M75" s="19" t="s">
        <v>2292</v>
      </c>
      <c r="N75" s="17" t="s">
        <v>23258</v>
      </c>
      <c r="O75" s="17" t="s">
        <v>23399</v>
      </c>
      <c r="P75" s="17" t="str">
        <f>HYPERLINK("https://photon-sol.tinyastro.io/en/lp/BetoobYP8CrPLahmnUCdbao7YSuEZdJdzVK6kPTcpump?handle=676050794bc1b1657a56b", "View")</f>
        <v>View</v>
      </c>
    </row>
    <row r="76" spans="1:16" x14ac:dyDescent="0.25">
      <c r="A76" s="13" t="s">
        <v>23400</v>
      </c>
      <c r="B76" s="14">
        <v>455204</v>
      </c>
      <c r="C76" s="14">
        <v>455204</v>
      </c>
      <c r="D76" s="14" t="s">
        <v>8469</v>
      </c>
      <c r="E76" s="14" t="s">
        <v>3503</v>
      </c>
      <c r="F76" s="14" t="s">
        <v>11559</v>
      </c>
      <c r="G76" s="22" t="s">
        <v>6161</v>
      </c>
      <c r="H76" s="22" t="s">
        <v>23401</v>
      </c>
      <c r="I76" s="14" t="s">
        <v>88</v>
      </c>
      <c r="J76" s="14">
        <v>1</v>
      </c>
      <c r="K76" s="14">
        <v>1</v>
      </c>
      <c r="L76" s="14" t="s">
        <v>23402</v>
      </c>
      <c r="M76" s="14" t="s">
        <v>1434</v>
      </c>
      <c r="N76" s="14" t="s">
        <v>23403</v>
      </c>
      <c r="O76" s="14" t="s">
        <v>23404</v>
      </c>
      <c r="P76" s="14" t="str">
        <f>HYPERLINK("https://photon-sol.tinyastro.io/en/lp/2jHrSWZHd1WwDVkqBABXYwQKCzv5k5FsRzUU3EQZ7Ao5?handle=676050794bc1b1657a56b", "View")</f>
        <v>View</v>
      </c>
    </row>
    <row r="77" spans="1:16" x14ac:dyDescent="0.25">
      <c r="A77" s="16" t="s">
        <v>23405</v>
      </c>
      <c r="B77" s="17">
        <v>774299</v>
      </c>
      <c r="C77" s="17">
        <v>774299</v>
      </c>
      <c r="D77" s="17" t="s">
        <v>8469</v>
      </c>
      <c r="E77" s="17" t="s">
        <v>3142</v>
      </c>
      <c r="F77" s="17" t="s">
        <v>2904</v>
      </c>
      <c r="G77" s="21" t="s">
        <v>4217</v>
      </c>
      <c r="H77" s="21" t="s">
        <v>23406</v>
      </c>
      <c r="I77" s="17" t="s">
        <v>88</v>
      </c>
      <c r="J77" s="17">
        <v>1</v>
      </c>
      <c r="K77" s="17">
        <v>1</v>
      </c>
      <c r="L77" s="17" t="s">
        <v>23407</v>
      </c>
      <c r="M77" s="17" t="s">
        <v>1434</v>
      </c>
      <c r="N77" s="17" t="s">
        <v>23408</v>
      </c>
      <c r="O77" s="17" t="s">
        <v>23409</v>
      </c>
      <c r="P77" s="17" t="str">
        <f>HYPERLINK("https://photon-sol.tinyastro.io/en/lp/yzYdktJhmAA4kcH3xe1btKNJ8cL8J4M6pdXFfD3pump?handle=676050794bc1b1657a56b", "View")</f>
        <v>View</v>
      </c>
    </row>
    <row r="78" spans="1:16" x14ac:dyDescent="0.25">
      <c r="A78" s="13" t="s">
        <v>3681</v>
      </c>
      <c r="B78" s="14">
        <v>486515</v>
      </c>
      <c r="C78" s="14">
        <v>486515</v>
      </c>
      <c r="D78" s="14" t="s">
        <v>8469</v>
      </c>
      <c r="E78" s="14" t="s">
        <v>6206</v>
      </c>
      <c r="F78" s="14" t="s">
        <v>3320</v>
      </c>
      <c r="G78" s="22" t="s">
        <v>4818</v>
      </c>
      <c r="H78" s="22" t="s">
        <v>23410</v>
      </c>
      <c r="I78" s="14" t="s">
        <v>88</v>
      </c>
      <c r="J78" s="14">
        <v>1</v>
      </c>
      <c r="K78" s="14">
        <v>1</v>
      </c>
      <c r="L78" s="14" t="s">
        <v>23411</v>
      </c>
      <c r="M78" s="19" t="s">
        <v>2509</v>
      </c>
      <c r="N78" s="14" t="s">
        <v>4954</v>
      </c>
      <c r="O78" s="14" t="s">
        <v>23412</v>
      </c>
      <c r="P78" s="14" t="str">
        <f>HYPERLINK("https://photon-sol.tinyastro.io/en/lp/7dHrs6i7s7PEqxzWHrbrfYPsgAAsyj5ZaHaiRhQX6gin?handle=676050794bc1b1657a56b", "View")</f>
        <v>View</v>
      </c>
    </row>
    <row r="79" spans="1:16" x14ac:dyDescent="0.25">
      <c r="A79" s="16" t="s">
        <v>3681</v>
      </c>
      <c r="B79" s="17">
        <v>500421</v>
      </c>
      <c r="C79" s="17">
        <v>500421</v>
      </c>
      <c r="D79" s="17" t="s">
        <v>8469</v>
      </c>
      <c r="E79" s="17" t="s">
        <v>3320</v>
      </c>
      <c r="F79" s="17" t="s">
        <v>3275</v>
      </c>
      <c r="G79" s="20" t="s">
        <v>5535</v>
      </c>
      <c r="H79" s="20" t="s">
        <v>23413</v>
      </c>
      <c r="I79" s="17" t="s">
        <v>88</v>
      </c>
      <c r="J79" s="17">
        <v>1</v>
      </c>
      <c r="K79" s="17">
        <v>1</v>
      </c>
      <c r="L79" s="17" t="s">
        <v>23414</v>
      </c>
      <c r="M79" s="19" t="s">
        <v>1752</v>
      </c>
      <c r="N79" s="17" t="s">
        <v>4954</v>
      </c>
      <c r="O79" s="17" t="s">
        <v>23415</v>
      </c>
      <c r="P79" s="17" t="str">
        <f>HYPERLINK("https://photon-sol.tinyastro.io/en/lp/BhT4dxHYke5jKonfk1cjgC6pmq4bU6Si97nMwiGDauMG?handle=676050794bc1b1657a56b", "View")</f>
        <v>View</v>
      </c>
    </row>
    <row r="80" spans="1:16" x14ac:dyDescent="0.25">
      <c r="A80" s="13" t="s">
        <v>23416</v>
      </c>
      <c r="B80" s="14">
        <v>862737</v>
      </c>
      <c r="C80" s="14">
        <v>862737</v>
      </c>
      <c r="D80" s="14" t="s">
        <v>8469</v>
      </c>
      <c r="E80" s="14" t="s">
        <v>6206</v>
      </c>
      <c r="F80" s="14" t="s">
        <v>5551</v>
      </c>
      <c r="G80" s="22" t="s">
        <v>1970</v>
      </c>
      <c r="H80" s="22" t="s">
        <v>23417</v>
      </c>
      <c r="I80" s="14" t="s">
        <v>88</v>
      </c>
      <c r="J80" s="14">
        <v>1</v>
      </c>
      <c r="K80" s="14">
        <v>1</v>
      </c>
      <c r="L80" s="14" t="s">
        <v>23418</v>
      </c>
      <c r="M80" s="14" t="s">
        <v>602</v>
      </c>
      <c r="N80" s="14" t="s">
        <v>23419</v>
      </c>
      <c r="O80" s="14" t="s">
        <v>23420</v>
      </c>
      <c r="P80" s="14" t="str">
        <f>HYPERLINK("https://photon-sol.tinyastro.io/en/lp/G4q1iubFKZEoPhZ2MGeRTxaVupzjv7wch86cQuEpump?handle=676050794bc1b1657a56b", "View")</f>
        <v>View</v>
      </c>
    </row>
    <row r="81" spans="1:16" x14ac:dyDescent="0.25">
      <c r="A81" s="16" t="s">
        <v>23421</v>
      </c>
      <c r="B81" s="17">
        <v>1024928</v>
      </c>
      <c r="C81" s="17">
        <v>1024928</v>
      </c>
      <c r="D81" s="17" t="s">
        <v>8469</v>
      </c>
      <c r="E81" s="17" t="s">
        <v>6206</v>
      </c>
      <c r="F81" s="17" t="s">
        <v>1639</v>
      </c>
      <c r="G81" s="22" t="s">
        <v>2547</v>
      </c>
      <c r="H81" s="22" t="s">
        <v>23422</v>
      </c>
      <c r="I81" s="17" t="s">
        <v>88</v>
      </c>
      <c r="J81" s="17">
        <v>1</v>
      </c>
      <c r="K81" s="17">
        <v>1</v>
      </c>
      <c r="L81" s="17" t="s">
        <v>23423</v>
      </c>
      <c r="M81" s="17" t="s">
        <v>1434</v>
      </c>
      <c r="N81" s="17" t="s">
        <v>1925</v>
      </c>
      <c r="O81" s="17" t="s">
        <v>23424</v>
      </c>
      <c r="P81" s="17" t="str">
        <f>HYPERLINK("https://photon-sol.tinyastro.io/en/lp/4kXNXTwv9ivPmggPYR2Z4FEYBy4FvRNjCTW5ZbwHcs6m?handle=676050794bc1b1657a56b", "View")</f>
        <v>View</v>
      </c>
    </row>
    <row r="82" spans="1:16" x14ac:dyDescent="0.25">
      <c r="A82" s="13" t="s">
        <v>11318</v>
      </c>
      <c r="B82" s="14">
        <v>880932</v>
      </c>
      <c r="C82" s="14">
        <v>880932</v>
      </c>
      <c r="D82" s="14" t="s">
        <v>8469</v>
      </c>
      <c r="E82" s="14" t="s">
        <v>4482</v>
      </c>
      <c r="F82" s="14" t="s">
        <v>3972</v>
      </c>
      <c r="G82" s="15" t="s">
        <v>5883</v>
      </c>
      <c r="H82" s="15" t="s">
        <v>23425</v>
      </c>
      <c r="I82" s="14" t="s">
        <v>88</v>
      </c>
      <c r="J82" s="14">
        <v>1</v>
      </c>
      <c r="K82" s="14">
        <v>1</v>
      </c>
      <c r="L82" s="14" t="s">
        <v>23426</v>
      </c>
      <c r="M82" s="19" t="s">
        <v>7834</v>
      </c>
      <c r="N82" s="14" t="s">
        <v>15106</v>
      </c>
      <c r="O82" s="14" t="s">
        <v>23427</v>
      </c>
      <c r="P82" s="14" t="str">
        <f>HYPERLINK("https://photon-sol.tinyastro.io/en/lp/Au1HGzBnVAwBboLZ8N7W3BLk6vSYUqzfPsmiavq7pump?handle=676050794bc1b1657a56b", "View")</f>
        <v>View</v>
      </c>
    </row>
    <row r="83" spans="1:16" x14ac:dyDescent="0.25">
      <c r="A83" s="16" t="s">
        <v>23428</v>
      </c>
      <c r="B83" s="17">
        <v>1009721</v>
      </c>
      <c r="C83" s="17">
        <v>1009721</v>
      </c>
      <c r="D83" s="17" t="s">
        <v>8469</v>
      </c>
      <c r="E83" s="17" t="s">
        <v>4838</v>
      </c>
      <c r="F83" s="17" t="s">
        <v>6206</v>
      </c>
      <c r="G83" s="20" t="s">
        <v>5801</v>
      </c>
      <c r="H83" s="20" t="s">
        <v>23429</v>
      </c>
      <c r="I83" s="17" t="s">
        <v>88</v>
      </c>
      <c r="J83" s="17">
        <v>1</v>
      </c>
      <c r="K83" s="17">
        <v>1</v>
      </c>
      <c r="L83" s="17" t="s">
        <v>23430</v>
      </c>
      <c r="M83" s="19" t="s">
        <v>1856</v>
      </c>
      <c r="N83" s="17" t="s">
        <v>5179</v>
      </c>
      <c r="O83" s="17" t="s">
        <v>23431</v>
      </c>
      <c r="P83" s="17" t="str">
        <f>HYPERLINK("https://photon-sol.tinyastro.io/en/lp/6YEssv8wdjm39gVmCjhbhDjRyiunsLVwPmH1th1zpump?handle=676050794bc1b1657a56b", "View")</f>
        <v>View</v>
      </c>
    </row>
    <row r="84" spans="1:16" x14ac:dyDescent="0.25">
      <c r="A84" s="13" t="s">
        <v>23432</v>
      </c>
      <c r="B84" s="14">
        <v>743748</v>
      </c>
      <c r="C84" s="14">
        <v>743748</v>
      </c>
      <c r="D84" s="14" t="s">
        <v>8469</v>
      </c>
      <c r="E84" s="14" t="s">
        <v>17627</v>
      </c>
      <c r="F84" s="14" t="s">
        <v>5551</v>
      </c>
      <c r="G84" s="22" t="s">
        <v>3047</v>
      </c>
      <c r="H84" s="22" t="s">
        <v>2662</v>
      </c>
      <c r="I84" s="14" t="s">
        <v>88</v>
      </c>
      <c r="J84" s="14">
        <v>1</v>
      </c>
      <c r="K84" s="14">
        <v>1</v>
      </c>
      <c r="L84" s="14" t="s">
        <v>23433</v>
      </c>
      <c r="M84" s="19" t="s">
        <v>1827</v>
      </c>
      <c r="N84" s="14" t="s">
        <v>23354</v>
      </c>
      <c r="O84" s="14" t="s">
        <v>23434</v>
      </c>
      <c r="P84" s="14" t="str">
        <f>HYPERLINK("https://photon-sol.tinyastro.io/en/lp/7prdPanUKjdbWqPSEfaWHQ7HZCUAy5cHyz1meetqpump?handle=676050794bc1b1657a56b", "View")</f>
        <v>View</v>
      </c>
    </row>
    <row r="85" spans="1:16" x14ac:dyDescent="0.25">
      <c r="A85" s="16" t="s">
        <v>22069</v>
      </c>
      <c r="B85" s="17">
        <v>1511316</v>
      </c>
      <c r="C85" s="17">
        <v>1511316</v>
      </c>
      <c r="D85" s="17" t="s">
        <v>8469</v>
      </c>
      <c r="E85" s="17" t="s">
        <v>6268</v>
      </c>
      <c r="F85" s="17" t="s">
        <v>18337</v>
      </c>
      <c r="G85" s="22" t="s">
        <v>12202</v>
      </c>
      <c r="H85" s="22" t="s">
        <v>23435</v>
      </c>
      <c r="I85" s="17" t="s">
        <v>88</v>
      </c>
      <c r="J85" s="17">
        <v>1</v>
      </c>
      <c r="K85" s="17">
        <v>1</v>
      </c>
      <c r="L85" s="17" t="s">
        <v>23436</v>
      </c>
      <c r="M85" s="19" t="s">
        <v>3492</v>
      </c>
      <c r="N85" s="17" t="s">
        <v>23354</v>
      </c>
      <c r="O85" s="17" t="s">
        <v>23437</v>
      </c>
      <c r="P85" s="17" t="str">
        <f>HYPERLINK("https://photon-sol.tinyastro.io/en/lp/Cu1r1B19CzZg5uN1q1BYUz1AocufXbNZZJPxCnxzpump?handle=676050794bc1b1657a56b", "View")</f>
        <v>View</v>
      </c>
    </row>
    <row r="86" spans="1:16" x14ac:dyDescent="0.25">
      <c r="A86" s="13" t="s">
        <v>23438</v>
      </c>
      <c r="B86" s="14">
        <v>1798053</v>
      </c>
      <c r="C86" s="14">
        <v>1798053</v>
      </c>
      <c r="D86" s="14" t="s">
        <v>8469</v>
      </c>
      <c r="E86" s="14" t="s">
        <v>4945</v>
      </c>
      <c r="F86" s="14" t="s">
        <v>3759</v>
      </c>
      <c r="G86" s="20" t="s">
        <v>3611</v>
      </c>
      <c r="H86" s="20" t="s">
        <v>23439</v>
      </c>
      <c r="I86" s="14" t="s">
        <v>88</v>
      </c>
      <c r="J86" s="14">
        <v>1</v>
      </c>
      <c r="K86" s="14">
        <v>1</v>
      </c>
      <c r="L86" s="14" t="s">
        <v>23440</v>
      </c>
      <c r="M86" s="14" t="s">
        <v>1434</v>
      </c>
      <c r="N86" s="14" t="s">
        <v>23441</v>
      </c>
      <c r="O86" s="14" t="s">
        <v>23442</v>
      </c>
      <c r="P86" s="14" t="str">
        <f>HYPERLINK("https://photon-sol.tinyastro.io/en/lp/Rm6csmmzaxXWSFm5YWwWhhgv6JxcNs99RkBRjgUpump?handle=676050794bc1b1657a56b", "View")</f>
        <v>View</v>
      </c>
    </row>
    <row r="87" spans="1:16" x14ac:dyDescent="0.25">
      <c r="A87" s="16" t="s">
        <v>23443</v>
      </c>
      <c r="B87" s="17">
        <v>1856311</v>
      </c>
      <c r="C87" s="17">
        <v>1856311</v>
      </c>
      <c r="D87" s="17" t="s">
        <v>8469</v>
      </c>
      <c r="E87" s="17" t="s">
        <v>3845</v>
      </c>
      <c r="F87" s="17" t="s">
        <v>5076</v>
      </c>
      <c r="G87" s="21" t="s">
        <v>3309</v>
      </c>
      <c r="H87" s="21" t="s">
        <v>23444</v>
      </c>
      <c r="I87" s="17" t="s">
        <v>88</v>
      </c>
      <c r="J87" s="17">
        <v>1</v>
      </c>
      <c r="K87" s="17">
        <v>1</v>
      </c>
      <c r="L87" s="17" t="s">
        <v>23445</v>
      </c>
      <c r="M87" s="17" t="s">
        <v>1434</v>
      </c>
      <c r="N87" s="17" t="s">
        <v>20909</v>
      </c>
      <c r="O87" s="17" t="s">
        <v>23446</v>
      </c>
      <c r="P87" s="17" t="str">
        <f>HYPERLINK("https://photon-sol.tinyastro.io/en/lp/6zAt1NsvdmBziZ6BgwfAZNoc7SbWBt2p5STeMYLLpump?handle=676050794bc1b1657a56b", "View")</f>
        <v>View</v>
      </c>
    </row>
    <row r="88" spans="1:16" x14ac:dyDescent="0.25">
      <c r="A88" s="13" t="s">
        <v>23447</v>
      </c>
      <c r="B88" s="14">
        <v>1496750</v>
      </c>
      <c r="C88" s="14">
        <v>1496750</v>
      </c>
      <c r="D88" s="14" t="s">
        <v>8469</v>
      </c>
      <c r="E88" s="14" t="s">
        <v>6206</v>
      </c>
      <c r="F88" s="14" t="s">
        <v>4874</v>
      </c>
      <c r="G88" s="15" t="s">
        <v>4649</v>
      </c>
      <c r="H88" s="15" t="s">
        <v>23448</v>
      </c>
      <c r="I88" s="14" t="s">
        <v>88</v>
      </c>
      <c r="J88" s="14">
        <v>1</v>
      </c>
      <c r="K88" s="14">
        <v>1</v>
      </c>
      <c r="L88" s="14" t="s">
        <v>23449</v>
      </c>
      <c r="M88" s="14" t="s">
        <v>1566</v>
      </c>
      <c r="N88" s="14" t="s">
        <v>2069</v>
      </c>
      <c r="O88" s="14" t="s">
        <v>23450</v>
      </c>
      <c r="P88" s="14" t="str">
        <f>HYPERLINK("https://photon-sol.tinyastro.io/en/lp/48h5enqyTBExbWsoYLumK5uH9Qptnmc7ENzb6Emopump?handle=676050794bc1b1657a56b", "View")</f>
        <v>View</v>
      </c>
    </row>
    <row r="89" spans="1:16" x14ac:dyDescent="0.25">
      <c r="A89" s="16" t="s">
        <v>2406</v>
      </c>
      <c r="B89" s="17">
        <v>600859</v>
      </c>
      <c r="C89" s="17">
        <v>600859</v>
      </c>
      <c r="D89" s="17" t="s">
        <v>8469</v>
      </c>
      <c r="E89" s="17" t="s">
        <v>6206</v>
      </c>
      <c r="F89" s="17" t="s">
        <v>5608</v>
      </c>
      <c r="G89" s="20" t="s">
        <v>3905</v>
      </c>
      <c r="H89" s="20" t="s">
        <v>23451</v>
      </c>
      <c r="I89" s="17" t="s">
        <v>88</v>
      </c>
      <c r="J89" s="17">
        <v>1</v>
      </c>
      <c r="K89" s="17">
        <v>1</v>
      </c>
      <c r="L89" s="17" t="s">
        <v>23452</v>
      </c>
      <c r="M89" s="17" t="s">
        <v>1448</v>
      </c>
      <c r="N89" s="17" t="s">
        <v>23453</v>
      </c>
      <c r="O89" s="17" t="s">
        <v>23454</v>
      </c>
      <c r="P89" s="17" t="str">
        <f>HYPERLINK("https://photon-sol.tinyastro.io/en/lp/9odTJiL7RbBY3EDHhLs9iTsDu4LB81oFJAboLFtFpump?handle=676050794bc1b1657a56b", "View")</f>
        <v>View</v>
      </c>
    </row>
    <row r="90" spans="1:16" x14ac:dyDescent="0.25">
      <c r="A90" s="13" t="s">
        <v>23455</v>
      </c>
      <c r="B90" s="14">
        <v>2047230</v>
      </c>
      <c r="C90" s="14">
        <v>2047230</v>
      </c>
      <c r="D90" s="14" t="s">
        <v>8469</v>
      </c>
      <c r="E90" s="14" t="s">
        <v>4838</v>
      </c>
      <c r="F90" s="14" t="s">
        <v>1884</v>
      </c>
      <c r="G90" s="20" t="s">
        <v>6297</v>
      </c>
      <c r="H90" s="20" t="s">
        <v>751</v>
      </c>
      <c r="I90" s="14" t="s">
        <v>88</v>
      </c>
      <c r="J90" s="14">
        <v>1</v>
      </c>
      <c r="K90" s="14">
        <v>1</v>
      </c>
      <c r="L90" s="14" t="s">
        <v>23456</v>
      </c>
      <c r="M90" s="14" t="s">
        <v>1434</v>
      </c>
      <c r="N90" s="14" t="s">
        <v>1980</v>
      </c>
      <c r="O90" s="14" t="s">
        <v>23457</v>
      </c>
      <c r="P90" s="14" t="str">
        <f>HYPERLINK("https://photon-sol.tinyastro.io/en/lp/HtQTA2fkpUvTQq7gh9uktnyef5ktZFC4c7ToknpYpump?handle=676050794bc1b1657a56b", "View")</f>
        <v>View</v>
      </c>
    </row>
    <row r="91" spans="1:16" x14ac:dyDescent="0.25">
      <c r="A91" s="16" t="s">
        <v>23458</v>
      </c>
      <c r="B91" s="17">
        <v>359277</v>
      </c>
      <c r="C91" s="17">
        <v>359277</v>
      </c>
      <c r="D91" s="17" t="s">
        <v>23459</v>
      </c>
      <c r="E91" s="17" t="s">
        <v>4665</v>
      </c>
      <c r="F91" s="17" t="s">
        <v>21364</v>
      </c>
      <c r="G91" s="21" t="s">
        <v>5635</v>
      </c>
      <c r="H91" s="21" t="s">
        <v>14390</v>
      </c>
      <c r="I91" s="17" t="s">
        <v>88</v>
      </c>
      <c r="J91" s="17">
        <v>2</v>
      </c>
      <c r="K91" s="17">
        <v>2</v>
      </c>
      <c r="L91" s="17" t="s">
        <v>23460</v>
      </c>
      <c r="M91" s="17" t="s">
        <v>5501</v>
      </c>
      <c r="N91" s="17" t="s">
        <v>23461</v>
      </c>
      <c r="O91" s="17" t="s">
        <v>23462</v>
      </c>
      <c r="P91" s="17" t="str">
        <f>HYPERLINK("https://dexscreener.com/solana/BQxwZBj89qsnhP26sbWUTd6HoUeTLKqm8h75vHs5XPnB", "View")</f>
        <v>View</v>
      </c>
    </row>
    <row r="92" spans="1:16" x14ac:dyDescent="0.25">
      <c r="A92" s="13" t="s">
        <v>23463</v>
      </c>
      <c r="B92" s="14">
        <v>2775594</v>
      </c>
      <c r="C92" s="14">
        <v>2775594</v>
      </c>
      <c r="D92" s="14" t="s">
        <v>8469</v>
      </c>
      <c r="E92" s="14" t="s">
        <v>6206</v>
      </c>
      <c r="F92" s="14" t="s">
        <v>1884</v>
      </c>
      <c r="G92" s="20" t="s">
        <v>3611</v>
      </c>
      <c r="H92" s="20" t="s">
        <v>23464</v>
      </c>
      <c r="I92" s="14" t="s">
        <v>88</v>
      </c>
      <c r="J92" s="14">
        <v>1</v>
      </c>
      <c r="K92" s="14">
        <v>1</v>
      </c>
      <c r="L92" s="14" t="s">
        <v>23465</v>
      </c>
      <c r="M92" s="14" t="s">
        <v>1448</v>
      </c>
      <c r="N92" s="14" t="s">
        <v>2585</v>
      </c>
      <c r="O92" s="14" t="s">
        <v>23466</v>
      </c>
      <c r="P92" s="14" t="str">
        <f>HYPERLINK("https://photon-sol.tinyastro.io/en/lp/EfBhTSVCp1q4ka6MnCxirDbAXGTSwfQmQ5vVeTuppump?handle=676050794bc1b1657a56b", "View")</f>
        <v>View</v>
      </c>
    </row>
    <row r="93" spans="1:16" x14ac:dyDescent="0.25">
      <c r="A93" s="16" t="s">
        <v>23467</v>
      </c>
      <c r="B93" s="17">
        <v>20813692</v>
      </c>
      <c r="C93" s="17">
        <v>20813692</v>
      </c>
      <c r="D93" s="17" t="s">
        <v>19880</v>
      </c>
      <c r="E93" s="17" t="s">
        <v>23468</v>
      </c>
      <c r="F93" s="17" t="s">
        <v>3758</v>
      </c>
      <c r="G93" s="15" t="s">
        <v>23469</v>
      </c>
      <c r="H93" s="15" t="s">
        <v>23470</v>
      </c>
      <c r="I93" s="17" t="s">
        <v>88</v>
      </c>
      <c r="J93" s="17">
        <v>2</v>
      </c>
      <c r="K93" s="17">
        <v>1</v>
      </c>
      <c r="L93" s="17" t="s">
        <v>23471</v>
      </c>
      <c r="M93" s="17" t="s">
        <v>6183</v>
      </c>
      <c r="N93" s="17" t="s">
        <v>507</v>
      </c>
      <c r="O93" s="17" t="s">
        <v>23472</v>
      </c>
      <c r="P93" s="17" t="str">
        <f>HYPERLINK("https://photon-sol.tinyastro.io/en/lp/EF4hfG3Jb7tHc7VcUqvn6FjM3ZNsWqD4Mn3FqzUppump?handle=676050794bc1b1657a56b", "View")</f>
        <v>View</v>
      </c>
    </row>
    <row r="94" spans="1:16" x14ac:dyDescent="0.25">
      <c r="A94" s="13" t="s">
        <v>10943</v>
      </c>
      <c r="B94" s="14">
        <v>16021748</v>
      </c>
      <c r="C94" s="14">
        <v>16021748</v>
      </c>
      <c r="D94" s="14" t="s">
        <v>7948</v>
      </c>
      <c r="E94" s="14" t="s">
        <v>23473</v>
      </c>
      <c r="F94" s="14" t="s">
        <v>23474</v>
      </c>
      <c r="G94" s="21" t="s">
        <v>23475</v>
      </c>
      <c r="H94" s="21" t="s">
        <v>23476</v>
      </c>
      <c r="I94" s="14" t="s">
        <v>88</v>
      </c>
      <c r="J94" s="14">
        <v>5</v>
      </c>
      <c r="K94" s="14">
        <v>3</v>
      </c>
      <c r="L94" s="14" t="s">
        <v>23477</v>
      </c>
      <c r="M94" s="14" t="s">
        <v>160</v>
      </c>
      <c r="N94" s="14" t="s">
        <v>23478</v>
      </c>
      <c r="O94" s="14" t="s">
        <v>10947</v>
      </c>
      <c r="P94" s="14" t="str">
        <f>HYPERLINK("https://photon-sol.tinyastro.io/en/lp/D2WgVsM5YycKd9w8oxf7zCDvwYCcYCvhmuj29SWgpump?handle=676050794bc1b1657a56b", "View")</f>
        <v>View</v>
      </c>
    </row>
    <row r="95" spans="1:16" x14ac:dyDescent="0.25">
      <c r="A95" s="16" t="s">
        <v>23479</v>
      </c>
      <c r="B95" s="17">
        <v>33129893</v>
      </c>
      <c r="C95" s="17">
        <v>33129893</v>
      </c>
      <c r="D95" s="17" t="s">
        <v>8469</v>
      </c>
      <c r="E95" s="17" t="s">
        <v>13588</v>
      </c>
      <c r="F95" s="17" t="s">
        <v>23480</v>
      </c>
      <c r="G95" s="20" t="s">
        <v>5706</v>
      </c>
      <c r="H95" s="20" t="s">
        <v>23481</v>
      </c>
      <c r="I95" s="17" t="s">
        <v>88</v>
      </c>
      <c r="J95" s="17">
        <v>1</v>
      </c>
      <c r="K95" s="17">
        <v>1</v>
      </c>
      <c r="L95" s="17" t="s">
        <v>23482</v>
      </c>
      <c r="M95" s="17" t="s">
        <v>1448</v>
      </c>
      <c r="N95" s="17" t="s">
        <v>507</v>
      </c>
      <c r="O95" s="17" t="s">
        <v>23483</v>
      </c>
      <c r="P95" s="17" t="str">
        <f>HYPERLINK("https://photon-sol.tinyastro.io/en/lp/GZoyGUpkj6mPVZAE5NPsgBMQeL1qMnqr4qEPgZEcpump?handle=676050794bc1b1657a56b", "View")</f>
        <v>View</v>
      </c>
    </row>
    <row r="96" spans="1:16" x14ac:dyDescent="0.25">
      <c r="A96" s="13" t="s">
        <v>23484</v>
      </c>
      <c r="B96" s="14">
        <v>33216670</v>
      </c>
      <c r="C96" s="14">
        <v>33216670</v>
      </c>
      <c r="D96" s="14" t="s">
        <v>8469</v>
      </c>
      <c r="E96" s="14" t="s">
        <v>12762</v>
      </c>
      <c r="F96" s="14" t="s">
        <v>20352</v>
      </c>
      <c r="G96" s="20" t="s">
        <v>5883</v>
      </c>
      <c r="H96" s="20" t="s">
        <v>23485</v>
      </c>
      <c r="I96" s="14" t="s">
        <v>88</v>
      </c>
      <c r="J96" s="14">
        <v>1</v>
      </c>
      <c r="K96" s="14">
        <v>1</v>
      </c>
      <c r="L96" s="14" t="s">
        <v>23486</v>
      </c>
      <c r="M96" s="14" t="s">
        <v>1957</v>
      </c>
      <c r="N96" s="14" t="s">
        <v>507</v>
      </c>
      <c r="O96" s="14" t="s">
        <v>23487</v>
      </c>
      <c r="P96" s="14" t="str">
        <f>HYPERLINK("https://photon-sol.tinyastro.io/en/lp/6Bn3Bn2rUxKWjfHdQuCTGP3kVNpCt9Fis2StNMpnpump?handle=676050794bc1b1657a56b", "View")</f>
        <v>View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BA53-A7F1-4FE9-A6A5-980038B97D3C}">
  <dimension ref="A1:P81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HYPERLINK("https://gmgn.ai/sol/address/DAy1KPX8wiiTT33zSuaLTyFtbA4WNcBHRaSGYqvYKet8", "GMGN")</f>
        <v>GMGN</v>
      </c>
    </row>
    <row r="2" spans="1:14" x14ac:dyDescent="0.25">
      <c r="A2" s="3" t="s">
        <v>23488</v>
      </c>
      <c r="B2" s="3" t="s">
        <v>23489</v>
      </c>
      <c r="C2" s="3" t="s">
        <v>14693</v>
      </c>
      <c r="D2" s="3" t="s">
        <v>21192</v>
      </c>
      <c r="E2" s="3" t="s">
        <v>23490</v>
      </c>
      <c r="F2" s="3" t="s">
        <v>18</v>
      </c>
      <c r="G2" s="3" t="s">
        <v>18</v>
      </c>
      <c r="H2" s="3">
        <v>62</v>
      </c>
      <c r="I2" s="3">
        <v>7</v>
      </c>
      <c r="J2" s="3" t="s">
        <v>13641</v>
      </c>
      <c r="K2" s="3" t="s">
        <v>23491</v>
      </c>
      <c r="L2" s="3">
        <v>23</v>
      </c>
      <c r="M2" s="3">
        <v>170</v>
      </c>
      <c r="N2" s="3" t="str">
        <f>HYPERLINK("https://solscan.io/account/DAy1KPX8wiiTT33zSuaLTyFtbA4WNcBHRaSGYqvYKet8", "Solscan")</f>
        <v>Solscan</v>
      </c>
    </row>
    <row r="3" spans="1:14" x14ac:dyDescent="0.25">
      <c r="A3" s="1" t="s">
        <v>21</v>
      </c>
      <c r="B3" s="4" t="s">
        <v>3722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HYPERLINK("https://birdeye.so/profile/DAy1KPX8wiiTT33zSuaLTyFtbA4WNcBHRaSGYqvYKet8", "Birdeye")</f>
        <v>Birdeye</v>
      </c>
    </row>
    <row r="4" spans="1:14" x14ac:dyDescent="0.25">
      <c r="A4" s="1" t="s">
        <v>25</v>
      </c>
      <c r="B4" s="3" t="s">
        <v>21192</v>
      </c>
      <c r="C4" s="3"/>
      <c r="D4" s="3" t="s">
        <v>8594</v>
      </c>
      <c r="E4" s="3" t="s">
        <v>23492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4735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15</v>
      </c>
      <c r="D10" s="1">
        <v>3</v>
      </c>
      <c r="E10" s="1">
        <v>8</v>
      </c>
      <c r="F10" s="1">
        <v>12</v>
      </c>
      <c r="G10" s="1">
        <v>24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20570</v>
      </c>
      <c r="D11" s="1" t="s">
        <v>4123</v>
      </c>
      <c r="E11" s="1" t="s">
        <v>23493</v>
      </c>
      <c r="F11" s="1" t="s">
        <v>23494</v>
      </c>
      <c r="G11" s="1" t="s">
        <v>23495</v>
      </c>
      <c r="H11" s="3"/>
      <c r="I11" s="3" t="s">
        <v>50</v>
      </c>
      <c r="J11" s="3" t="s">
        <v>8467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23496</v>
      </c>
      <c r="D12" s="1" t="s">
        <v>20034</v>
      </c>
      <c r="E12" s="1" t="s">
        <v>20034</v>
      </c>
      <c r="F12" s="1" t="s">
        <v>9495</v>
      </c>
      <c r="G12" s="1" t="s">
        <v>15660</v>
      </c>
      <c r="H12" s="3"/>
      <c r="I12" s="3" t="s">
        <v>59</v>
      </c>
      <c r="J12" s="3" t="s">
        <v>15661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2023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8467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23497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3589</v>
      </c>
      <c r="B20" s="14">
        <v>1697000</v>
      </c>
      <c r="C20" s="14">
        <v>0</v>
      </c>
      <c r="D20" s="14" t="s">
        <v>13664</v>
      </c>
      <c r="E20" s="14" t="s">
        <v>5472</v>
      </c>
      <c r="F20" s="14" t="s">
        <v>96</v>
      </c>
      <c r="G20" s="18" t="s">
        <v>2739</v>
      </c>
      <c r="H20" s="18" t="s">
        <v>98</v>
      </c>
      <c r="I20" s="14" t="s">
        <v>23498</v>
      </c>
      <c r="J20" s="14">
        <v>1</v>
      </c>
      <c r="K20" s="14">
        <v>0</v>
      </c>
      <c r="L20" s="14" t="s">
        <v>23499</v>
      </c>
      <c r="M20" s="19" t="s">
        <v>101</v>
      </c>
      <c r="N20" s="14" t="s">
        <v>21867</v>
      </c>
      <c r="O20" s="14" t="s">
        <v>21295</v>
      </c>
      <c r="P20" s="14" t="str">
        <f>HYPERLINK("https://photon-sol.tinyastro.io/en/lp/CeyrR2WKghUTPgA1y29ja3q2MsZxdvUfzXCq4Dp9pump?handle=676050794bc1b1657a56b", "View")</f>
        <v>View</v>
      </c>
    </row>
    <row r="21" spans="1:16" x14ac:dyDescent="0.25">
      <c r="A21" s="16" t="s">
        <v>22716</v>
      </c>
      <c r="B21" s="17">
        <v>1709188</v>
      </c>
      <c r="C21" s="17">
        <v>1709188</v>
      </c>
      <c r="D21" s="17" t="s">
        <v>717</v>
      </c>
      <c r="E21" s="17" t="s">
        <v>5472</v>
      </c>
      <c r="F21" s="17" t="s">
        <v>22894</v>
      </c>
      <c r="G21" s="22" t="s">
        <v>4086</v>
      </c>
      <c r="H21" s="22" t="s">
        <v>23500</v>
      </c>
      <c r="I21" s="17" t="s">
        <v>88</v>
      </c>
      <c r="J21" s="17">
        <v>1</v>
      </c>
      <c r="K21" s="17">
        <v>1</v>
      </c>
      <c r="L21" s="17" t="s">
        <v>23501</v>
      </c>
      <c r="M21" s="17" t="s">
        <v>364</v>
      </c>
      <c r="N21" s="17" t="s">
        <v>21867</v>
      </c>
      <c r="O21" s="17" t="s">
        <v>22720</v>
      </c>
      <c r="P21" s="17" t="str">
        <f>HYPERLINK("https://photon-sol.tinyastro.io/en/lp/2sAeTUeDoAUCb7wwLMBXuqxBsaCGMRs84H4itrxopump?handle=676050794bc1b1657a56b", "View")</f>
        <v>View</v>
      </c>
    </row>
    <row r="22" spans="1:16" x14ac:dyDescent="0.25">
      <c r="A22" s="13" t="s">
        <v>23502</v>
      </c>
      <c r="B22" s="14">
        <v>5807726</v>
      </c>
      <c r="C22" s="14">
        <v>5807726</v>
      </c>
      <c r="D22" s="14" t="s">
        <v>717</v>
      </c>
      <c r="E22" s="14" t="s">
        <v>5472</v>
      </c>
      <c r="F22" s="14" t="s">
        <v>4224</v>
      </c>
      <c r="G22" s="20" t="s">
        <v>2172</v>
      </c>
      <c r="H22" s="20" t="s">
        <v>23503</v>
      </c>
      <c r="I22" s="14" t="s">
        <v>88</v>
      </c>
      <c r="J22" s="14">
        <v>1</v>
      </c>
      <c r="K22" s="14">
        <v>1</v>
      </c>
      <c r="L22" s="14" t="s">
        <v>23504</v>
      </c>
      <c r="M22" s="14" t="s">
        <v>1434</v>
      </c>
      <c r="N22" s="14" t="s">
        <v>1667</v>
      </c>
      <c r="O22" s="14" t="s">
        <v>23505</v>
      </c>
      <c r="P22" s="14" t="str">
        <f>HYPERLINK("https://photon-sol.tinyastro.io/en/lp/3hAd7Vqn2CoXsgAzdfmdZ3QvFM7fwbDASJDpejrhU4sM?handle=676050794bc1b1657a56b", "View")</f>
        <v>View</v>
      </c>
    </row>
    <row r="23" spans="1:16" x14ac:dyDescent="0.25">
      <c r="A23" s="16" t="s">
        <v>23506</v>
      </c>
      <c r="B23" s="17">
        <v>2983870</v>
      </c>
      <c r="C23" s="17">
        <v>0</v>
      </c>
      <c r="D23" s="17" t="s">
        <v>13664</v>
      </c>
      <c r="E23" s="17" t="s">
        <v>5472</v>
      </c>
      <c r="F23" s="17" t="s">
        <v>96</v>
      </c>
      <c r="G23" s="18" t="s">
        <v>2739</v>
      </c>
      <c r="H23" s="18" t="s">
        <v>98</v>
      </c>
      <c r="I23" s="17" t="s">
        <v>23507</v>
      </c>
      <c r="J23" s="17">
        <v>1</v>
      </c>
      <c r="K23" s="17">
        <v>0</v>
      </c>
      <c r="L23" s="17" t="s">
        <v>23508</v>
      </c>
      <c r="M23" s="19" t="s">
        <v>101</v>
      </c>
      <c r="N23" s="17" t="s">
        <v>8391</v>
      </c>
      <c r="O23" s="17" t="s">
        <v>23509</v>
      </c>
      <c r="P23" s="17" t="str">
        <f>HYPERLINK("https://photon-sol.tinyastro.io/en/lp/7QeKw8PM6TqgEp6snSjgr4ihSz5vXkPWD6XSCHk6pump?handle=676050794bc1b1657a56b", "View")</f>
        <v>View</v>
      </c>
    </row>
    <row r="24" spans="1:16" x14ac:dyDescent="0.25">
      <c r="A24" s="13" t="s">
        <v>12455</v>
      </c>
      <c r="B24" s="14">
        <v>1886911</v>
      </c>
      <c r="C24" s="14">
        <v>1886911</v>
      </c>
      <c r="D24" s="14" t="s">
        <v>717</v>
      </c>
      <c r="E24" s="14" t="s">
        <v>4665</v>
      </c>
      <c r="F24" s="14" t="s">
        <v>4665</v>
      </c>
      <c r="G24" s="20" t="s">
        <v>5535</v>
      </c>
      <c r="H24" s="20" t="s">
        <v>5419</v>
      </c>
      <c r="I24" s="14" t="s">
        <v>88</v>
      </c>
      <c r="J24" s="14">
        <v>1</v>
      </c>
      <c r="K24" s="14">
        <v>1</v>
      </c>
      <c r="L24" s="14" t="s">
        <v>23510</v>
      </c>
      <c r="M24" s="14" t="s">
        <v>1957</v>
      </c>
      <c r="N24" s="14" t="s">
        <v>2411</v>
      </c>
      <c r="O24" s="14" t="s">
        <v>12459</v>
      </c>
      <c r="P24" s="14" t="str">
        <f>HYPERLINK("https://dexscreener.com/solana/8aH2DfVqRojQJQFXE1V5Ai5XxBxWU6v92PzrA9XHpump", "View")</f>
        <v>View</v>
      </c>
    </row>
    <row r="25" spans="1:16" x14ac:dyDescent="0.25">
      <c r="A25" s="16" t="s">
        <v>22738</v>
      </c>
      <c r="B25" s="17">
        <v>3428919</v>
      </c>
      <c r="C25" s="17">
        <v>3428919</v>
      </c>
      <c r="D25" s="17" t="s">
        <v>717</v>
      </c>
      <c r="E25" s="17" t="s">
        <v>3562</v>
      </c>
      <c r="F25" s="17" t="s">
        <v>21184</v>
      </c>
      <c r="G25" s="21" t="s">
        <v>16188</v>
      </c>
      <c r="H25" s="21" t="s">
        <v>23511</v>
      </c>
      <c r="I25" s="17" t="s">
        <v>88</v>
      </c>
      <c r="J25" s="17">
        <v>1</v>
      </c>
      <c r="K25" s="17">
        <v>1</v>
      </c>
      <c r="L25" s="17" t="s">
        <v>23512</v>
      </c>
      <c r="M25" s="17" t="s">
        <v>3695</v>
      </c>
      <c r="N25" s="17" t="s">
        <v>23513</v>
      </c>
      <c r="O25" s="17" t="s">
        <v>22745</v>
      </c>
      <c r="P25" s="17" t="str">
        <f>HYPERLINK("https://photon-sol.tinyastro.io/en/lp/A9Fie1WTbEzY6xTTUXB5hhGXkbqsNrRqbfxyRCs3pump?handle=676050794bc1b1657a56b", "View")</f>
        <v>View</v>
      </c>
    </row>
    <row r="26" spans="1:16" x14ac:dyDescent="0.25">
      <c r="A26" s="13" t="s">
        <v>22746</v>
      </c>
      <c r="B26" s="14">
        <v>858610</v>
      </c>
      <c r="C26" s="14">
        <v>858610</v>
      </c>
      <c r="D26" s="14" t="s">
        <v>23514</v>
      </c>
      <c r="E26" s="14" t="s">
        <v>8966</v>
      </c>
      <c r="F26" s="14" t="s">
        <v>4240</v>
      </c>
      <c r="G26" s="21" t="s">
        <v>6125</v>
      </c>
      <c r="H26" s="21" t="s">
        <v>23515</v>
      </c>
      <c r="I26" s="14" t="s">
        <v>88</v>
      </c>
      <c r="J26" s="14">
        <v>1</v>
      </c>
      <c r="K26" s="14">
        <v>4</v>
      </c>
      <c r="L26" s="14" t="s">
        <v>23516</v>
      </c>
      <c r="M26" s="14" t="s">
        <v>304</v>
      </c>
      <c r="N26" s="14" t="s">
        <v>23517</v>
      </c>
      <c r="O26" s="14" t="s">
        <v>22750</v>
      </c>
      <c r="P26" s="14" t="str">
        <f>HYPERLINK("https://photon-sol.tinyastro.io/en/lp/BDFNionGZKEMy2p3yiTgXwDr14iQ7dE5xnbgzsmTpump?handle=676050794bc1b1657a56b", "View")</f>
        <v>View</v>
      </c>
    </row>
    <row r="27" spans="1:16" x14ac:dyDescent="0.25">
      <c r="A27" s="16" t="s">
        <v>3117</v>
      </c>
      <c r="B27" s="17">
        <v>3097731</v>
      </c>
      <c r="C27" s="17">
        <v>3097731</v>
      </c>
      <c r="D27" s="17" t="s">
        <v>16872</v>
      </c>
      <c r="E27" s="17" t="s">
        <v>23518</v>
      </c>
      <c r="F27" s="17" t="s">
        <v>21789</v>
      </c>
      <c r="G27" s="21" t="s">
        <v>6575</v>
      </c>
      <c r="H27" s="21" t="s">
        <v>23519</v>
      </c>
      <c r="I27" s="17" t="s">
        <v>88</v>
      </c>
      <c r="J27" s="17">
        <v>1</v>
      </c>
      <c r="K27" s="17">
        <v>4</v>
      </c>
      <c r="L27" s="17" t="s">
        <v>23520</v>
      </c>
      <c r="M27" s="17" t="s">
        <v>117</v>
      </c>
      <c r="N27" s="17" t="s">
        <v>23521</v>
      </c>
      <c r="O27" s="17" t="s">
        <v>3123</v>
      </c>
      <c r="P27" s="17" t="str">
        <f>HYPERLINK("https://photon-sol.tinyastro.io/en/lp/878WGwJXoRAfuZcWv1fQD2iuo2Phvy8VJFkenDgbpump?handle=676050794bc1b1657a56b", "View")</f>
        <v>View</v>
      </c>
    </row>
    <row r="28" spans="1:16" x14ac:dyDescent="0.25">
      <c r="A28" s="13" t="s">
        <v>5247</v>
      </c>
      <c r="B28" s="14">
        <v>316941</v>
      </c>
      <c r="C28" s="14">
        <v>0</v>
      </c>
      <c r="D28" s="14" t="s">
        <v>13664</v>
      </c>
      <c r="E28" s="14" t="s">
        <v>4679</v>
      </c>
      <c r="F28" s="14" t="s">
        <v>96</v>
      </c>
      <c r="G28" s="18" t="s">
        <v>5436</v>
      </c>
      <c r="H28" s="18" t="s">
        <v>98</v>
      </c>
      <c r="I28" s="14" t="s">
        <v>23522</v>
      </c>
      <c r="J28" s="14">
        <v>1</v>
      </c>
      <c r="K28" s="14">
        <v>0</v>
      </c>
      <c r="L28" s="14" t="s">
        <v>23523</v>
      </c>
      <c r="M28" s="19" t="s">
        <v>101</v>
      </c>
      <c r="N28" s="14" t="s">
        <v>23524</v>
      </c>
      <c r="O28" s="14" t="s">
        <v>5252</v>
      </c>
      <c r="P28" s="14" t="str">
        <f>HYPERLINK("https://dexscreener.com/solana/AJLLXE78sr7uYXM1JSFdMMJ8UdxiXutGGqsK6eZ3pump", "View")</f>
        <v>View</v>
      </c>
    </row>
    <row r="29" spans="1:16" x14ac:dyDescent="0.25">
      <c r="A29" s="16" t="s">
        <v>22756</v>
      </c>
      <c r="B29" s="17">
        <v>234666</v>
      </c>
      <c r="C29" s="17">
        <v>0</v>
      </c>
      <c r="D29" s="17" t="s">
        <v>13664</v>
      </c>
      <c r="E29" s="17" t="s">
        <v>4679</v>
      </c>
      <c r="F29" s="17" t="s">
        <v>96</v>
      </c>
      <c r="G29" s="18" t="s">
        <v>5436</v>
      </c>
      <c r="H29" s="18" t="s">
        <v>98</v>
      </c>
      <c r="I29" s="17" t="s">
        <v>23525</v>
      </c>
      <c r="J29" s="17">
        <v>1</v>
      </c>
      <c r="K29" s="17">
        <v>0</v>
      </c>
      <c r="L29" s="17" t="s">
        <v>23526</v>
      </c>
      <c r="M29" s="19" t="s">
        <v>101</v>
      </c>
      <c r="N29" s="17" t="s">
        <v>23527</v>
      </c>
      <c r="O29" s="17" t="s">
        <v>22760</v>
      </c>
      <c r="P29" s="17" t="str">
        <f>HYPERLINK("https://dexscreener.com/solana/9koJWK1JQRsvTCgMH9X3txrbjVfSMvzrzFa8uRyzpump", "View")</f>
        <v>View</v>
      </c>
    </row>
    <row r="30" spans="1:16" x14ac:dyDescent="0.25">
      <c r="A30" s="13" t="s">
        <v>9957</v>
      </c>
      <c r="B30" s="14">
        <v>323686</v>
      </c>
      <c r="C30" s="14">
        <v>323686</v>
      </c>
      <c r="D30" s="14" t="s">
        <v>23528</v>
      </c>
      <c r="E30" s="14" t="s">
        <v>4665</v>
      </c>
      <c r="F30" s="14" t="s">
        <v>21129</v>
      </c>
      <c r="G30" s="21" t="s">
        <v>23529</v>
      </c>
      <c r="H30" s="21" t="s">
        <v>23530</v>
      </c>
      <c r="I30" s="14" t="s">
        <v>88</v>
      </c>
      <c r="J30" s="14">
        <v>1</v>
      </c>
      <c r="K30" s="14">
        <v>4</v>
      </c>
      <c r="L30" s="14" t="s">
        <v>23531</v>
      </c>
      <c r="M30" s="14" t="s">
        <v>150</v>
      </c>
      <c r="N30" s="14" t="s">
        <v>23532</v>
      </c>
      <c r="O30" s="14" t="s">
        <v>9964</v>
      </c>
      <c r="P30" s="14" t="str">
        <f>HYPERLINK("https://dexscreener.com/solana/ABHQGzXNoRbJ1sjUsCJ2TmTAo1uMx4EUpV1qYiSVpump", "View")</f>
        <v>View</v>
      </c>
    </row>
    <row r="31" spans="1:16" x14ac:dyDescent="0.25">
      <c r="A31" s="16" t="s">
        <v>22765</v>
      </c>
      <c r="B31" s="17">
        <v>635404</v>
      </c>
      <c r="C31" s="17">
        <v>0</v>
      </c>
      <c r="D31" s="17" t="s">
        <v>13664</v>
      </c>
      <c r="E31" s="17" t="s">
        <v>2200</v>
      </c>
      <c r="F31" s="17" t="s">
        <v>96</v>
      </c>
      <c r="G31" s="18" t="s">
        <v>16753</v>
      </c>
      <c r="H31" s="18" t="s">
        <v>98</v>
      </c>
      <c r="I31" s="17" t="s">
        <v>23533</v>
      </c>
      <c r="J31" s="17">
        <v>1</v>
      </c>
      <c r="K31" s="17">
        <v>0</v>
      </c>
      <c r="L31" s="17" t="s">
        <v>23534</v>
      </c>
      <c r="M31" s="19" t="s">
        <v>101</v>
      </c>
      <c r="N31" s="17" t="s">
        <v>23535</v>
      </c>
      <c r="O31" s="17" t="s">
        <v>22768</v>
      </c>
      <c r="P31" s="17" t="str">
        <f>HYPERLINK("https://dexscreener.com/solana/Bg6CZaEfPj6UK2V2dYDn48vonKWBwEMq6B3ysWLUpump", "View")</f>
        <v>View</v>
      </c>
    </row>
    <row r="32" spans="1:16" x14ac:dyDescent="0.25">
      <c r="A32" s="13" t="s">
        <v>8163</v>
      </c>
      <c r="B32" s="14">
        <v>1057318</v>
      </c>
      <c r="C32" s="14">
        <v>0</v>
      </c>
      <c r="D32" s="14" t="s">
        <v>13664</v>
      </c>
      <c r="E32" s="14" t="s">
        <v>4679</v>
      </c>
      <c r="F32" s="14" t="s">
        <v>96</v>
      </c>
      <c r="G32" s="18" t="s">
        <v>5436</v>
      </c>
      <c r="H32" s="18" t="s">
        <v>98</v>
      </c>
      <c r="I32" s="14" t="s">
        <v>23536</v>
      </c>
      <c r="J32" s="14">
        <v>1</v>
      </c>
      <c r="K32" s="14">
        <v>0</v>
      </c>
      <c r="L32" s="14" t="s">
        <v>23537</v>
      </c>
      <c r="M32" s="19" t="s">
        <v>101</v>
      </c>
      <c r="N32" s="14" t="s">
        <v>18756</v>
      </c>
      <c r="O32" s="14" t="s">
        <v>8170</v>
      </c>
      <c r="P32" s="14" t="str">
        <f>HYPERLINK("https://dexscreener.com/solana/EY1Q2sHznXkQZ3iJSTwEai6q4p9SWHxTLkytonrnpump", "View")</f>
        <v>View</v>
      </c>
    </row>
    <row r="33" spans="1:16" x14ac:dyDescent="0.25">
      <c r="A33" s="16" t="s">
        <v>5331</v>
      </c>
      <c r="B33" s="17">
        <v>932690</v>
      </c>
      <c r="C33" s="17">
        <v>0</v>
      </c>
      <c r="D33" s="17" t="s">
        <v>13664</v>
      </c>
      <c r="E33" s="17" t="s">
        <v>4679</v>
      </c>
      <c r="F33" s="17" t="s">
        <v>96</v>
      </c>
      <c r="G33" s="18" t="s">
        <v>5436</v>
      </c>
      <c r="H33" s="18" t="s">
        <v>98</v>
      </c>
      <c r="I33" s="17" t="s">
        <v>23538</v>
      </c>
      <c r="J33" s="17">
        <v>1</v>
      </c>
      <c r="K33" s="17">
        <v>0</v>
      </c>
      <c r="L33" s="17" t="s">
        <v>23539</v>
      </c>
      <c r="M33" s="19" t="s">
        <v>101</v>
      </c>
      <c r="N33" s="17" t="s">
        <v>15749</v>
      </c>
      <c r="O33" s="17" t="s">
        <v>5335</v>
      </c>
      <c r="P33" s="17" t="str">
        <f>HYPERLINK("https://dexscreener.com/solana/FaK5G1HPUDxs5guJoQnfDa64R3EMwTJ6qAByoymbpump", "View")</f>
        <v>View</v>
      </c>
    </row>
    <row r="34" spans="1:16" x14ac:dyDescent="0.25">
      <c r="A34" s="13" t="s">
        <v>144</v>
      </c>
      <c r="B34" s="14">
        <v>13443</v>
      </c>
      <c r="C34" s="14">
        <v>13443</v>
      </c>
      <c r="D34" s="14" t="s">
        <v>12685</v>
      </c>
      <c r="E34" s="14" t="s">
        <v>4679</v>
      </c>
      <c r="F34" s="14" t="s">
        <v>13680</v>
      </c>
      <c r="G34" s="22" t="s">
        <v>2661</v>
      </c>
      <c r="H34" s="22" t="s">
        <v>23540</v>
      </c>
      <c r="I34" s="14" t="s">
        <v>88</v>
      </c>
      <c r="J34" s="14">
        <v>1</v>
      </c>
      <c r="K34" s="14">
        <v>1</v>
      </c>
      <c r="L34" s="14" t="s">
        <v>23541</v>
      </c>
      <c r="M34" s="14" t="s">
        <v>132</v>
      </c>
      <c r="N34" s="14" t="s">
        <v>23542</v>
      </c>
      <c r="O34" s="14" t="s">
        <v>152</v>
      </c>
      <c r="P34" s="14" t="str">
        <f>HYPERLINK("https://dexscreener.com/solana/66gsTs88mXJ5L4AtJnWqFW6H2L5YQDRy4W41y6zbpump", "View")</f>
        <v>View</v>
      </c>
    </row>
    <row r="35" spans="1:16" x14ac:dyDescent="0.25">
      <c r="A35" s="16" t="s">
        <v>5877</v>
      </c>
      <c r="B35" s="17">
        <v>126721</v>
      </c>
      <c r="C35" s="17">
        <v>126721</v>
      </c>
      <c r="D35" s="17" t="s">
        <v>23543</v>
      </c>
      <c r="E35" s="17" t="s">
        <v>4665</v>
      </c>
      <c r="F35" s="17" t="s">
        <v>5036</v>
      </c>
      <c r="G35" s="15" t="s">
        <v>4161</v>
      </c>
      <c r="H35" s="15" t="s">
        <v>23544</v>
      </c>
      <c r="I35" s="17" t="s">
        <v>88</v>
      </c>
      <c r="J35" s="17">
        <v>1</v>
      </c>
      <c r="K35" s="17">
        <v>1</v>
      </c>
      <c r="L35" s="17" t="s">
        <v>23545</v>
      </c>
      <c r="M35" s="17" t="s">
        <v>2145</v>
      </c>
      <c r="N35" s="17" t="s">
        <v>23546</v>
      </c>
      <c r="O35" s="17" t="s">
        <v>5881</v>
      </c>
      <c r="P35" s="17" t="str">
        <f>HYPERLINK("https://dexscreener.com/solana/BmoisRvhTBiFWuPLNrtEPZEAkdeDNyZgTmQ9jg1Bpump", "View")</f>
        <v>View</v>
      </c>
    </row>
    <row r="36" spans="1:16" x14ac:dyDescent="0.25">
      <c r="A36" s="13" t="s">
        <v>23547</v>
      </c>
      <c r="B36" s="14">
        <v>98654</v>
      </c>
      <c r="C36" s="14">
        <v>98654</v>
      </c>
      <c r="D36" s="14" t="s">
        <v>12753</v>
      </c>
      <c r="E36" s="14" t="s">
        <v>4665</v>
      </c>
      <c r="F36" s="14" t="s">
        <v>6058</v>
      </c>
      <c r="G36" s="15" t="s">
        <v>23548</v>
      </c>
      <c r="H36" s="15" t="s">
        <v>23549</v>
      </c>
      <c r="I36" s="14" t="s">
        <v>88</v>
      </c>
      <c r="J36" s="14">
        <v>1</v>
      </c>
      <c r="K36" s="14">
        <v>1</v>
      </c>
      <c r="L36" s="14" t="s">
        <v>23550</v>
      </c>
      <c r="M36" s="14" t="s">
        <v>150</v>
      </c>
      <c r="N36" s="14" t="s">
        <v>23551</v>
      </c>
      <c r="O36" s="14" t="s">
        <v>23552</v>
      </c>
      <c r="P36" s="14" t="str">
        <f>HYPERLINK("https://dexscreener.com/solana/C2LuB5y5AJ1pZvsPihwfL52x9q9MaVQeWB4bQacnpump", "View")</f>
        <v>View</v>
      </c>
    </row>
    <row r="37" spans="1:16" x14ac:dyDescent="0.25">
      <c r="A37" s="16" t="s">
        <v>3998</v>
      </c>
      <c r="B37" s="17">
        <v>208104</v>
      </c>
      <c r="C37" s="17">
        <v>208104</v>
      </c>
      <c r="D37" s="17" t="s">
        <v>16977</v>
      </c>
      <c r="E37" s="17" t="s">
        <v>4665</v>
      </c>
      <c r="F37" s="17" t="s">
        <v>11226</v>
      </c>
      <c r="G37" s="20" t="s">
        <v>5133</v>
      </c>
      <c r="H37" s="20" t="s">
        <v>23553</v>
      </c>
      <c r="I37" s="17" t="s">
        <v>88</v>
      </c>
      <c r="J37" s="17">
        <v>1</v>
      </c>
      <c r="K37" s="17">
        <v>2</v>
      </c>
      <c r="L37" s="17" t="s">
        <v>23554</v>
      </c>
      <c r="M37" s="17" t="s">
        <v>356</v>
      </c>
      <c r="N37" s="17" t="s">
        <v>23555</v>
      </c>
      <c r="O37" s="17" t="s">
        <v>4004</v>
      </c>
      <c r="P37" s="17" t="str">
        <f>HYPERLINK("https://dexscreener.com/solana/mAhve2iAaV6XXixNXZdwRGDTTHBUp2sb8tD41rHpump", "View")</f>
        <v>View</v>
      </c>
    </row>
    <row r="38" spans="1:16" x14ac:dyDescent="0.25">
      <c r="A38" s="13" t="s">
        <v>8230</v>
      </c>
      <c r="B38" s="14">
        <v>120376</v>
      </c>
      <c r="C38" s="14">
        <v>120376</v>
      </c>
      <c r="D38" s="14" t="s">
        <v>9682</v>
      </c>
      <c r="E38" s="14" t="s">
        <v>4679</v>
      </c>
      <c r="F38" s="14" t="s">
        <v>4216</v>
      </c>
      <c r="G38" s="21" t="s">
        <v>12252</v>
      </c>
      <c r="H38" s="21" t="s">
        <v>23556</v>
      </c>
      <c r="I38" s="14" t="s">
        <v>88</v>
      </c>
      <c r="J38" s="14">
        <v>1</v>
      </c>
      <c r="K38" s="14">
        <v>2</v>
      </c>
      <c r="L38" s="14" t="s">
        <v>23557</v>
      </c>
      <c r="M38" s="14" t="s">
        <v>680</v>
      </c>
      <c r="N38" s="14" t="s">
        <v>23558</v>
      </c>
      <c r="O38" s="14" t="s">
        <v>18385</v>
      </c>
      <c r="P38" s="14" t="str">
        <f>HYPERLINK("https://dexscreener.com/solana/8SgNwESovnbG1oNEaPVhg6CR9mTMSK7jPvcYRe3wpump", "View")</f>
        <v>View</v>
      </c>
    </row>
    <row r="39" spans="1:16" x14ac:dyDescent="0.25">
      <c r="A39" s="16" t="s">
        <v>5658</v>
      </c>
      <c r="B39" s="17">
        <v>60646</v>
      </c>
      <c r="C39" s="17">
        <v>60646</v>
      </c>
      <c r="D39" s="17" t="s">
        <v>23559</v>
      </c>
      <c r="E39" s="17" t="s">
        <v>8343</v>
      </c>
      <c r="F39" s="17" t="s">
        <v>23560</v>
      </c>
      <c r="G39" s="22" t="s">
        <v>2882</v>
      </c>
      <c r="H39" s="22" t="s">
        <v>12701</v>
      </c>
      <c r="I39" s="17" t="s">
        <v>88</v>
      </c>
      <c r="J39" s="17">
        <v>5</v>
      </c>
      <c r="K39" s="17">
        <v>3</v>
      </c>
      <c r="L39" s="17" t="s">
        <v>23561</v>
      </c>
      <c r="M39" s="17" t="s">
        <v>4550</v>
      </c>
      <c r="N39" s="17" t="s">
        <v>23562</v>
      </c>
      <c r="O39" s="17" t="s">
        <v>15135</v>
      </c>
      <c r="P39" s="17" t="str">
        <f>HYPERLINK("https://dexscreener.com/solana/HUdqc5MR5h3FssESabPnQ1GTgTcPvnNudAuLj5J6a9sU", "View")</f>
        <v>View</v>
      </c>
    </row>
    <row r="40" spans="1:16" x14ac:dyDescent="0.25">
      <c r="A40" s="13" t="s">
        <v>22761</v>
      </c>
      <c r="B40" s="14">
        <v>335909</v>
      </c>
      <c r="C40" s="14">
        <v>335909</v>
      </c>
      <c r="D40" s="14" t="s">
        <v>8624</v>
      </c>
      <c r="E40" s="14" t="s">
        <v>4679</v>
      </c>
      <c r="F40" s="14" t="s">
        <v>23563</v>
      </c>
      <c r="G40" s="22" t="s">
        <v>3993</v>
      </c>
      <c r="H40" s="22" t="s">
        <v>23564</v>
      </c>
      <c r="I40" s="14" t="s">
        <v>88</v>
      </c>
      <c r="J40" s="14">
        <v>1</v>
      </c>
      <c r="K40" s="14">
        <v>3</v>
      </c>
      <c r="L40" s="14" t="s">
        <v>23565</v>
      </c>
      <c r="M40" s="14" t="s">
        <v>179</v>
      </c>
      <c r="N40" s="14" t="s">
        <v>23566</v>
      </c>
      <c r="O40" s="14" t="s">
        <v>22764</v>
      </c>
      <c r="P40" s="14" t="str">
        <f>HYPERLINK("https://dexscreener.com/solana/4pmzgjkwyFdxbfxQseYHvpu1twBR8PGZNx2SuvTto7kj", "View")</f>
        <v>View</v>
      </c>
    </row>
    <row r="41" spans="1:16" x14ac:dyDescent="0.25">
      <c r="A41" s="16" t="s">
        <v>7715</v>
      </c>
      <c r="B41" s="17">
        <v>67320</v>
      </c>
      <c r="C41" s="17">
        <v>67320</v>
      </c>
      <c r="D41" s="17" t="s">
        <v>1691</v>
      </c>
      <c r="E41" s="17" t="s">
        <v>4665</v>
      </c>
      <c r="F41" s="17" t="s">
        <v>3637</v>
      </c>
      <c r="G41" s="21" t="s">
        <v>22820</v>
      </c>
      <c r="H41" s="21" t="s">
        <v>23567</v>
      </c>
      <c r="I41" s="17" t="s">
        <v>88</v>
      </c>
      <c r="J41" s="17">
        <v>1</v>
      </c>
      <c r="K41" s="17">
        <v>3</v>
      </c>
      <c r="L41" s="17" t="s">
        <v>23568</v>
      </c>
      <c r="M41" s="17" t="s">
        <v>160</v>
      </c>
      <c r="N41" s="17" t="s">
        <v>23569</v>
      </c>
      <c r="O41" s="17" t="s">
        <v>7721</v>
      </c>
      <c r="P41" s="17" t="str">
        <f>HYPERLINK("https://dexscreener.com/solana/E7MzhPoCdDZuLUmwckqVkCtyWNpP1q3iEnn3vE3npump", "View")</f>
        <v>View</v>
      </c>
    </row>
    <row r="42" spans="1:16" x14ac:dyDescent="0.25">
      <c r="A42" s="13" t="s">
        <v>23570</v>
      </c>
      <c r="B42" s="14">
        <v>8052799</v>
      </c>
      <c r="C42" s="14">
        <v>8052799</v>
      </c>
      <c r="D42" s="14" t="s">
        <v>16375</v>
      </c>
      <c r="E42" s="14" t="s">
        <v>6107</v>
      </c>
      <c r="F42" s="14" t="s">
        <v>11759</v>
      </c>
      <c r="G42" s="20" t="s">
        <v>5364</v>
      </c>
      <c r="H42" s="20" t="s">
        <v>23571</v>
      </c>
      <c r="I42" s="14" t="s">
        <v>88</v>
      </c>
      <c r="J42" s="14">
        <v>1</v>
      </c>
      <c r="K42" s="14">
        <v>1</v>
      </c>
      <c r="L42" s="14" t="s">
        <v>23572</v>
      </c>
      <c r="M42" s="14" t="s">
        <v>4922</v>
      </c>
      <c r="N42" s="14" t="s">
        <v>1011</v>
      </c>
      <c r="O42" s="14" t="s">
        <v>23573</v>
      </c>
      <c r="P42" s="14" t="str">
        <f>HYPERLINK("https://photon-sol.tinyastro.io/en/lp/6MRjQ4svWEa13GhKiSWFDKddaSV4nya6F9TDnyB1pump?handle=676050794bc1b1657a56b", "View")</f>
        <v>View</v>
      </c>
    </row>
    <row r="43" spans="1:16" x14ac:dyDescent="0.25">
      <c r="A43" s="16" t="s">
        <v>23574</v>
      </c>
      <c r="B43" s="17">
        <v>106531</v>
      </c>
      <c r="C43" s="17">
        <v>106531</v>
      </c>
      <c r="D43" s="17" t="s">
        <v>23575</v>
      </c>
      <c r="E43" s="17" t="s">
        <v>4665</v>
      </c>
      <c r="F43" s="17" t="s">
        <v>7541</v>
      </c>
      <c r="G43" s="22" t="s">
        <v>4459</v>
      </c>
      <c r="H43" s="22" t="s">
        <v>23576</v>
      </c>
      <c r="I43" s="17" t="s">
        <v>88</v>
      </c>
      <c r="J43" s="17">
        <v>1</v>
      </c>
      <c r="K43" s="17">
        <v>2</v>
      </c>
      <c r="L43" s="17" t="s">
        <v>23577</v>
      </c>
      <c r="M43" s="17" t="s">
        <v>150</v>
      </c>
      <c r="N43" s="17" t="s">
        <v>23578</v>
      </c>
      <c r="O43" s="17" t="s">
        <v>23579</v>
      </c>
      <c r="P43" s="17" t="str">
        <f>HYPERLINK("https://dexscreener.com/solana/4GULMPKBJLruChBZWksZzukAg1AjSCmCTMn9ny2Xpump", "View")</f>
        <v>View</v>
      </c>
    </row>
    <row r="44" spans="1:16" x14ac:dyDescent="0.25">
      <c r="A44" s="13" t="s">
        <v>23580</v>
      </c>
      <c r="B44" s="14">
        <v>27768</v>
      </c>
      <c r="C44" s="14">
        <v>27768</v>
      </c>
      <c r="D44" s="14" t="s">
        <v>9913</v>
      </c>
      <c r="E44" s="14" t="s">
        <v>4679</v>
      </c>
      <c r="F44" s="14" t="s">
        <v>9395</v>
      </c>
      <c r="G44" s="20" t="s">
        <v>4246</v>
      </c>
      <c r="H44" s="20" t="s">
        <v>23581</v>
      </c>
      <c r="I44" s="14" t="s">
        <v>88</v>
      </c>
      <c r="J44" s="14">
        <v>1</v>
      </c>
      <c r="K44" s="14">
        <v>1</v>
      </c>
      <c r="L44" s="14" t="s">
        <v>23582</v>
      </c>
      <c r="M44" s="14" t="s">
        <v>656</v>
      </c>
      <c r="N44" s="14" t="s">
        <v>23583</v>
      </c>
      <c r="O44" s="14" t="s">
        <v>23584</v>
      </c>
      <c r="P44" s="14" t="str">
        <f>HYPERLINK("https://dexscreener.com/solana/FabjHjc1druUQoHVtudpNiCpnf73rtLzMkRM1b5NSbb6", "View")</f>
        <v>View</v>
      </c>
    </row>
    <row r="45" spans="1:16" x14ac:dyDescent="0.25">
      <c r="A45" s="16" t="s">
        <v>23585</v>
      </c>
      <c r="B45" s="17">
        <v>943409</v>
      </c>
      <c r="C45" s="17">
        <v>0</v>
      </c>
      <c r="D45" s="17" t="s">
        <v>864</v>
      </c>
      <c r="E45" s="17" t="s">
        <v>13680</v>
      </c>
      <c r="F45" s="17" t="s">
        <v>96</v>
      </c>
      <c r="G45" s="18" t="s">
        <v>23586</v>
      </c>
      <c r="H45" s="18" t="s">
        <v>98</v>
      </c>
      <c r="I45" s="17" t="s">
        <v>23587</v>
      </c>
      <c r="J45" s="17">
        <v>1</v>
      </c>
      <c r="K45" s="17">
        <v>0</v>
      </c>
      <c r="L45" s="17" t="s">
        <v>23588</v>
      </c>
      <c r="M45" s="19" t="s">
        <v>101</v>
      </c>
      <c r="N45" s="17" t="s">
        <v>10970</v>
      </c>
      <c r="O45" s="17" t="s">
        <v>23589</v>
      </c>
      <c r="P45" s="17" t="str">
        <f>HYPERLINK("https://photon-sol.tinyastro.io/en/lp/HGA9S9V9vpG2qN7NVKazU8H1N7UFh6XLG9QZc1UGpump?handle=676050794bc1b1657a56b", "View")</f>
        <v>View</v>
      </c>
    </row>
    <row r="46" spans="1:16" x14ac:dyDescent="0.25">
      <c r="A46" s="13" t="s">
        <v>18596</v>
      </c>
      <c r="B46" s="14">
        <v>5631</v>
      </c>
      <c r="C46" s="14">
        <v>0</v>
      </c>
      <c r="D46" s="14" t="s">
        <v>10230</v>
      </c>
      <c r="E46" s="14" t="s">
        <v>4679</v>
      </c>
      <c r="F46" s="14" t="s">
        <v>96</v>
      </c>
      <c r="G46" s="18" t="s">
        <v>16139</v>
      </c>
      <c r="H46" s="18" t="s">
        <v>98</v>
      </c>
      <c r="I46" s="14" t="s">
        <v>23590</v>
      </c>
      <c r="J46" s="14">
        <v>1</v>
      </c>
      <c r="K46" s="14">
        <v>0</v>
      </c>
      <c r="L46" s="14" t="s">
        <v>23591</v>
      </c>
      <c r="M46" s="19" t="s">
        <v>101</v>
      </c>
      <c r="N46" s="14" t="s">
        <v>23592</v>
      </c>
      <c r="O46" s="14" t="s">
        <v>18602</v>
      </c>
      <c r="P46" s="14" t="str">
        <f>HYPERLINK("https://dexscreener.com/solana/8Z2h8VsYqUoExZNwrtGQ1LQiHru6nnUsPSpvCwNapump", "View")</f>
        <v>View</v>
      </c>
    </row>
    <row r="47" spans="1:16" x14ac:dyDescent="0.25">
      <c r="A47" s="16" t="s">
        <v>23593</v>
      </c>
      <c r="B47" s="17">
        <v>5209588</v>
      </c>
      <c r="C47" s="17">
        <v>5209588</v>
      </c>
      <c r="D47" s="17" t="s">
        <v>23594</v>
      </c>
      <c r="E47" s="17" t="s">
        <v>21364</v>
      </c>
      <c r="F47" s="17" t="s">
        <v>5353</v>
      </c>
      <c r="G47" s="21" t="s">
        <v>17952</v>
      </c>
      <c r="H47" s="21" t="s">
        <v>23595</v>
      </c>
      <c r="I47" s="17" t="s">
        <v>88</v>
      </c>
      <c r="J47" s="17">
        <v>1</v>
      </c>
      <c r="K47" s="17">
        <v>4</v>
      </c>
      <c r="L47" s="17" t="s">
        <v>23596</v>
      </c>
      <c r="M47" s="17" t="s">
        <v>3136</v>
      </c>
      <c r="N47" s="17" t="s">
        <v>507</v>
      </c>
      <c r="O47" s="17" t="s">
        <v>23597</v>
      </c>
      <c r="P47" s="17" t="str">
        <f>HYPERLINK("https://photon-sol.tinyastro.io/en/lp/97HqLiRKZJAswENMuDJJAjWmpkEoxKAhwePqU1kwpump?handle=676050794bc1b1657a56b", "View")</f>
        <v>View</v>
      </c>
    </row>
    <row r="48" spans="1:16" x14ac:dyDescent="0.25">
      <c r="A48" s="13" t="s">
        <v>22788</v>
      </c>
      <c r="B48" s="14">
        <v>1384042</v>
      </c>
      <c r="C48" s="14">
        <v>1384042</v>
      </c>
      <c r="D48" s="14" t="s">
        <v>23598</v>
      </c>
      <c r="E48" s="14" t="s">
        <v>4679</v>
      </c>
      <c r="F48" s="14" t="s">
        <v>12920</v>
      </c>
      <c r="G48" s="21" t="s">
        <v>12492</v>
      </c>
      <c r="H48" s="21" t="s">
        <v>23599</v>
      </c>
      <c r="I48" s="14" t="s">
        <v>88</v>
      </c>
      <c r="J48" s="14">
        <v>1</v>
      </c>
      <c r="K48" s="14">
        <v>4</v>
      </c>
      <c r="L48" s="14" t="s">
        <v>23600</v>
      </c>
      <c r="M48" s="14" t="s">
        <v>179</v>
      </c>
      <c r="N48" s="14" t="s">
        <v>23601</v>
      </c>
      <c r="O48" s="14" t="s">
        <v>22793</v>
      </c>
      <c r="P48" s="14" t="str">
        <f>HYPERLINK("https://dexscreener.com/solana/BpBHdYW5YY2hM6f3mJk197U6LTpQujCC43iaVMhXpump", "View")</f>
        <v>View</v>
      </c>
    </row>
    <row r="49" spans="1:16" x14ac:dyDescent="0.25">
      <c r="A49" s="16" t="s">
        <v>15055</v>
      </c>
      <c r="B49" s="17">
        <v>991429</v>
      </c>
      <c r="C49" s="17">
        <v>991429</v>
      </c>
      <c r="D49" s="17" t="s">
        <v>23602</v>
      </c>
      <c r="E49" s="17" t="s">
        <v>17061</v>
      </c>
      <c r="F49" s="17" t="s">
        <v>7625</v>
      </c>
      <c r="G49" s="21" t="s">
        <v>23603</v>
      </c>
      <c r="H49" s="21" t="s">
        <v>23604</v>
      </c>
      <c r="I49" s="17" t="s">
        <v>88</v>
      </c>
      <c r="J49" s="17">
        <v>1</v>
      </c>
      <c r="K49" s="17">
        <v>4</v>
      </c>
      <c r="L49" s="17" t="s">
        <v>23605</v>
      </c>
      <c r="M49" s="17" t="s">
        <v>132</v>
      </c>
      <c r="N49" s="17" t="s">
        <v>23606</v>
      </c>
      <c r="O49" s="17" t="s">
        <v>15059</v>
      </c>
      <c r="P49" s="17" t="str">
        <f>HYPERLINK("https://photon-sol.tinyastro.io/en/lp/EzGU8goEqZdpVQucDSboMqtWXE91Yvvqyc9dqWTWpump?handle=676050794bc1b1657a56b", "View")</f>
        <v>View</v>
      </c>
    </row>
    <row r="50" spans="1:16" x14ac:dyDescent="0.25">
      <c r="A50" s="13" t="s">
        <v>20665</v>
      </c>
      <c r="B50" s="14">
        <v>113408</v>
      </c>
      <c r="C50" s="14">
        <v>113408</v>
      </c>
      <c r="D50" s="14" t="s">
        <v>19607</v>
      </c>
      <c r="E50" s="14" t="s">
        <v>4665</v>
      </c>
      <c r="F50" s="14" t="s">
        <v>22081</v>
      </c>
      <c r="G50" s="21" t="s">
        <v>3126</v>
      </c>
      <c r="H50" s="21" t="s">
        <v>23607</v>
      </c>
      <c r="I50" s="14" t="s">
        <v>88</v>
      </c>
      <c r="J50" s="14">
        <v>1</v>
      </c>
      <c r="K50" s="14">
        <v>3</v>
      </c>
      <c r="L50" s="14" t="s">
        <v>23608</v>
      </c>
      <c r="M50" s="14" t="s">
        <v>132</v>
      </c>
      <c r="N50" s="14" t="s">
        <v>23609</v>
      </c>
      <c r="O50" s="14" t="s">
        <v>20670</v>
      </c>
      <c r="P50" s="14" t="str">
        <f>HYPERLINK("https://dexscreener.com/solana/33ihhsv2zxE1uxRQTpKKkLzFq1gL514G11brfgqGpump", "View")</f>
        <v>View</v>
      </c>
    </row>
    <row r="51" spans="1:16" x14ac:dyDescent="0.25">
      <c r="A51" s="16" t="s">
        <v>23610</v>
      </c>
      <c r="B51" s="17">
        <v>494329</v>
      </c>
      <c r="C51" s="17">
        <v>494329</v>
      </c>
      <c r="D51" s="17" t="s">
        <v>23611</v>
      </c>
      <c r="E51" s="17" t="s">
        <v>4665</v>
      </c>
      <c r="F51" s="17" t="s">
        <v>3425</v>
      </c>
      <c r="G51" s="21" t="s">
        <v>3645</v>
      </c>
      <c r="H51" s="21" t="s">
        <v>23612</v>
      </c>
      <c r="I51" s="17" t="s">
        <v>88</v>
      </c>
      <c r="J51" s="17">
        <v>1</v>
      </c>
      <c r="K51" s="17">
        <v>3</v>
      </c>
      <c r="L51" s="17" t="s">
        <v>23613</v>
      </c>
      <c r="M51" s="17" t="s">
        <v>414</v>
      </c>
      <c r="N51" s="17" t="s">
        <v>23614</v>
      </c>
      <c r="O51" s="17" t="s">
        <v>23615</v>
      </c>
      <c r="P51" s="17" t="str">
        <f>HYPERLINK("https://dexscreener.com/solana/DZiLacApyuzuyeaeGTsaLxDhk1n23VFJNgGmjoi2pump", "View")</f>
        <v>View</v>
      </c>
    </row>
    <row r="52" spans="1:16" x14ac:dyDescent="0.25">
      <c r="A52" s="13" t="s">
        <v>23616</v>
      </c>
      <c r="B52" s="14">
        <v>1747152</v>
      </c>
      <c r="C52" s="14">
        <v>1747152</v>
      </c>
      <c r="D52" s="14" t="s">
        <v>23617</v>
      </c>
      <c r="E52" s="14" t="s">
        <v>12098</v>
      </c>
      <c r="F52" s="14" t="s">
        <v>2234</v>
      </c>
      <c r="G52" s="21" t="s">
        <v>19354</v>
      </c>
      <c r="H52" s="21" t="s">
        <v>23618</v>
      </c>
      <c r="I52" s="14" t="s">
        <v>88</v>
      </c>
      <c r="J52" s="14">
        <v>1</v>
      </c>
      <c r="K52" s="14">
        <v>6</v>
      </c>
      <c r="L52" s="14" t="s">
        <v>23619</v>
      </c>
      <c r="M52" s="14" t="s">
        <v>4413</v>
      </c>
      <c r="N52" s="14" t="s">
        <v>23620</v>
      </c>
      <c r="O52" s="14" t="s">
        <v>23621</v>
      </c>
      <c r="P52" s="14" t="str">
        <f>HYPERLINK("https://photon-sol.tinyastro.io/en/lp/9jbP9Ff3MEoYoXQsA2P418p2BTCXAmZKkXAp1TzLpump?handle=676050794bc1b1657a56b", "View")</f>
        <v>View</v>
      </c>
    </row>
    <row r="53" spans="1:16" x14ac:dyDescent="0.25">
      <c r="A53" s="16" t="s">
        <v>5836</v>
      </c>
      <c r="B53" s="17">
        <v>258274</v>
      </c>
      <c r="C53" s="17">
        <v>258274</v>
      </c>
      <c r="D53" s="17" t="s">
        <v>23622</v>
      </c>
      <c r="E53" s="17" t="s">
        <v>4665</v>
      </c>
      <c r="F53" s="17" t="s">
        <v>3819</v>
      </c>
      <c r="G53" s="21" t="s">
        <v>16263</v>
      </c>
      <c r="H53" s="21" t="s">
        <v>23623</v>
      </c>
      <c r="I53" s="17" t="s">
        <v>88</v>
      </c>
      <c r="J53" s="17">
        <v>1</v>
      </c>
      <c r="K53" s="17">
        <v>4</v>
      </c>
      <c r="L53" s="17" t="s">
        <v>23624</v>
      </c>
      <c r="M53" s="17" t="s">
        <v>699</v>
      </c>
      <c r="N53" s="17" t="s">
        <v>23625</v>
      </c>
      <c r="O53" s="17" t="s">
        <v>22868</v>
      </c>
      <c r="P53" s="17" t="str">
        <f>HYPERLINK("https://dexscreener.com/solana/EJMNLsLodt9ytfE5E8oKksdgnkDdU8gGYCKFpSUMpump", "View")</f>
        <v>View</v>
      </c>
    </row>
    <row r="54" spans="1:16" x14ac:dyDescent="0.25">
      <c r="A54" s="13" t="s">
        <v>22811</v>
      </c>
      <c r="B54" s="14">
        <v>889789</v>
      </c>
      <c r="C54" s="14">
        <v>889789</v>
      </c>
      <c r="D54" s="14" t="s">
        <v>23626</v>
      </c>
      <c r="E54" s="14" t="s">
        <v>9683</v>
      </c>
      <c r="F54" s="14" t="s">
        <v>9676</v>
      </c>
      <c r="G54" s="20" t="s">
        <v>4032</v>
      </c>
      <c r="H54" s="20" t="s">
        <v>23627</v>
      </c>
      <c r="I54" s="14" t="s">
        <v>88</v>
      </c>
      <c r="J54" s="14">
        <v>1</v>
      </c>
      <c r="K54" s="14">
        <v>2</v>
      </c>
      <c r="L54" s="14" t="s">
        <v>23628</v>
      </c>
      <c r="M54" s="14" t="s">
        <v>379</v>
      </c>
      <c r="N54" s="14" t="s">
        <v>5875</v>
      </c>
      <c r="O54" s="14" t="s">
        <v>22814</v>
      </c>
      <c r="P54" s="14" t="str">
        <f>HYPERLINK("https://photon-sol.tinyastro.io/en/lp/76SyDGE161gDnTLqrzHhuzQVAueHSshYHdsuMtLApump?handle=676050794bc1b1657a56b", "View")</f>
        <v>View</v>
      </c>
    </row>
    <row r="55" spans="1:16" x14ac:dyDescent="0.25">
      <c r="A55" s="16" t="s">
        <v>22869</v>
      </c>
      <c r="B55" s="17">
        <v>150027</v>
      </c>
      <c r="C55" s="17">
        <v>150027</v>
      </c>
      <c r="D55" s="17" t="s">
        <v>23629</v>
      </c>
      <c r="E55" s="17" t="s">
        <v>4665</v>
      </c>
      <c r="F55" s="17" t="s">
        <v>19894</v>
      </c>
      <c r="G55" s="22" t="s">
        <v>6398</v>
      </c>
      <c r="H55" s="22" t="s">
        <v>17575</v>
      </c>
      <c r="I55" s="17" t="s">
        <v>88</v>
      </c>
      <c r="J55" s="17">
        <v>1</v>
      </c>
      <c r="K55" s="17">
        <v>2</v>
      </c>
      <c r="L55" s="17" t="s">
        <v>23630</v>
      </c>
      <c r="M55" s="17" t="s">
        <v>699</v>
      </c>
      <c r="N55" s="17" t="s">
        <v>23631</v>
      </c>
      <c r="O55" s="17" t="s">
        <v>22873</v>
      </c>
      <c r="P55" s="17" t="str">
        <f>HYPERLINK("https://dexscreener.com/solana/82jE2mJaHvkUruxzkkyiVFSs2qWeHengLv6Qmycmpump", "View")</f>
        <v>View</v>
      </c>
    </row>
    <row r="56" spans="1:16" x14ac:dyDescent="0.25">
      <c r="A56" s="13" t="s">
        <v>17931</v>
      </c>
      <c r="B56" s="14">
        <v>1021504</v>
      </c>
      <c r="C56" s="14">
        <v>510752</v>
      </c>
      <c r="D56" s="14" t="s">
        <v>13992</v>
      </c>
      <c r="E56" s="14" t="s">
        <v>17061</v>
      </c>
      <c r="F56" s="14" t="s">
        <v>10636</v>
      </c>
      <c r="G56" s="20" t="s">
        <v>20316</v>
      </c>
      <c r="H56" s="20" t="s">
        <v>23632</v>
      </c>
      <c r="I56" s="14" t="s">
        <v>88</v>
      </c>
      <c r="J56" s="14">
        <v>1</v>
      </c>
      <c r="K56" s="14">
        <v>1</v>
      </c>
      <c r="L56" s="14" t="s">
        <v>22805</v>
      </c>
      <c r="M56" s="14" t="s">
        <v>980</v>
      </c>
      <c r="N56" s="14" t="s">
        <v>23633</v>
      </c>
      <c r="O56" s="14" t="s">
        <v>22806</v>
      </c>
      <c r="P56" s="14" t="str">
        <f>HYPERLINK("https://photon-sol.tinyastro.io/en/lp/FeA3cqWpMaBeL2R3yvm64U8C7NWvXrV5JmFgc6G4pump?handle=676050794bc1b1657a56b", "View")</f>
        <v>View</v>
      </c>
    </row>
    <row r="57" spans="1:16" x14ac:dyDescent="0.25">
      <c r="A57" s="16" t="s">
        <v>17647</v>
      </c>
      <c r="B57" s="17">
        <v>15978176</v>
      </c>
      <c r="C57" s="17">
        <v>15978176</v>
      </c>
      <c r="D57" s="17" t="s">
        <v>23634</v>
      </c>
      <c r="E57" s="17" t="s">
        <v>23635</v>
      </c>
      <c r="F57" s="17" t="s">
        <v>3911</v>
      </c>
      <c r="G57" s="20" t="s">
        <v>22187</v>
      </c>
      <c r="H57" s="20" t="s">
        <v>23636</v>
      </c>
      <c r="I57" s="17" t="s">
        <v>88</v>
      </c>
      <c r="J57" s="17">
        <v>3</v>
      </c>
      <c r="K57" s="17">
        <v>1</v>
      </c>
      <c r="L57" s="17" t="s">
        <v>23637</v>
      </c>
      <c r="M57" s="17" t="s">
        <v>414</v>
      </c>
      <c r="N57" s="17" t="s">
        <v>2640</v>
      </c>
      <c r="O57" s="17" t="s">
        <v>23638</v>
      </c>
      <c r="P57" s="17" t="str">
        <f>HYPERLINK("https://photon-sol.tinyastro.io/en/lp/59NrqSzBr34tvMKKyMyM7AMsoM3dcme11A6vkTbhpump?handle=676050794bc1b1657a56b", "View")</f>
        <v>View</v>
      </c>
    </row>
    <row r="58" spans="1:16" x14ac:dyDescent="0.25">
      <c r="A58" s="13" t="s">
        <v>16820</v>
      </c>
      <c r="B58" s="14">
        <v>30621</v>
      </c>
      <c r="C58" s="14">
        <v>30621</v>
      </c>
      <c r="D58" s="14" t="s">
        <v>23639</v>
      </c>
      <c r="E58" s="14" t="s">
        <v>4665</v>
      </c>
      <c r="F58" s="14" t="s">
        <v>23640</v>
      </c>
      <c r="G58" s="21" t="s">
        <v>11792</v>
      </c>
      <c r="H58" s="21" t="s">
        <v>23641</v>
      </c>
      <c r="I58" s="14" t="s">
        <v>88</v>
      </c>
      <c r="J58" s="14">
        <v>1</v>
      </c>
      <c r="K58" s="14">
        <v>4</v>
      </c>
      <c r="L58" s="14" t="s">
        <v>23642</v>
      </c>
      <c r="M58" s="14" t="s">
        <v>356</v>
      </c>
      <c r="N58" s="14" t="s">
        <v>23643</v>
      </c>
      <c r="O58" s="14" t="s">
        <v>16824</v>
      </c>
      <c r="P58" s="14" t="str">
        <f>HYPERLINK("https://dexscreener.com/solana/2Z6TocWzKtddxVe9kxCB3j3A339Z6CDiut5k3a9Apump", "View")</f>
        <v>View</v>
      </c>
    </row>
    <row r="59" spans="1:16" x14ac:dyDescent="0.25">
      <c r="A59" s="16" t="s">
        <v>82</v>
      </c>
      <c r="B59" s="17">
        <v>580236</v>
      </c>
      <c r="C59" s="17">
        <v>580236</v>
      </c>
      <c r="D59" s="17" t="s">
        <v>19348</v>
      </c>
      <c r="E59" s="17" t="s">
        <v>4679</v>
      </c>
      <c r="F59" s="17" t="s">
        <v>2108</v>
      </c>
      <c r="G59" s="21" t="s">
        <v>7392</v>
      </c>
      <c r="H59" s="21" t="s">
        <v>23644</v>
      </c>
      <c r="I59" s="17" t="s">
        <v>88</v>
      </c>
      <c r="J59" s="17">
        <v>1</v>
      </c>
      <c r="K59" s="17">
        <v>4</v>
      </c>
      <c r="L59" s="17" t="s">
        <v>23645</v>
      </c>
      <c r="M59" s="17" t="s">
        <v>179</v>
      </c>
      <c r="N59" s="17" t="s">
        <v>23646</v>
      </c>
      <c r="O59" s="17" t="s">
        <v>10251</v>
      </c>
      <c r="P59" s="17" t="str">
        <f>HYPERLINK("https://dexscreener.com/solana/AU6z1iY7Jt8kLzybWvSzj6jFEqVvXBZaA8VJmK83pump", "View")</f>
        <v>View</v>
      </c>
    </row>
    <row r="60" spans="1:16" x14ac:dyDescent="0.25">
      <c r="A60" s="13" t="s">
        <v>23647</v>
      </c>
      <c r="B60" s="14">
        <v>5070562</v>
      </c>
      <c r="C60" s="14">
        <v>0</v>
      </c>
      <c r="D60" s="14" t="s">
        <v>10098</v>
      </c>
      <c r="E60" s="14" t="s">
        <v>4665</v>
      </c>
      <c r="F60" s="14" t="s">
        <v>96</v>
      </c>
      <c r="G60" s="18" t="s">
        <v>11238</v>
      </c>
      <c r="H60" s="18" t="s">
        <v>98</v>
      </c>
      <c r="I60" s="14" t="s">
        <v>23648</v>
      </c>
      <c r="J60" s="14">
        <v>1</v>
      </c>
      <c r="K60" s="14">
        <v>0</v>
      </c>
      <c r="L60" s="14" t="s">
        <v>23649</v>
      </c>
      <c r="M60" s="19" t="s">
        <v>101</v>
      </c>
      <c r="N60" s="14" t="s">
        <v>4634</v>
      </c>
      <c r="O60" s="14" t="s">
        <v>23650</v>
      </c>
      <c r="P60" s="14" t="str">
        <f>HYPERLINK("https://dexscreener.com/solana/8H9iCo578WWwpkwkTX1hBafF1bjMV4XPneohUEuSpump", "View")</f>
        <v>View</v>
      </c>
    </row>
    <row r="61" spans="1:16" x14ac:dyDescent="0.25">
      <c r="A61" s="16" t="s">
        <v>22837</v>
      </c>
      <c r="B61" s="17">
        <v>445704</v>
      </c>
      <c r="C61" s="17">
        <v>222852</v>
      </c>
      <c r="D61" s="17" t="s">
        <v>20588</v>
      </c>
      <c r="E61" s="17" t="s">
        <v>4665</v>
      </c>
      <c r="F61" s="17" t="s">
        <v>3275</v>
      </c>
      <c r="G61" s="20" t="s">
        <v>5299</v>
      </c>
      <c r="H61" s="20" t="s">
        <v>23651</v>
      </c>
      <c r="I61" s="17" t="s">
        <v>88</v>
      </c>
      <c r="J61" s="17">
        <v>1</v>
      </c>
      <c r="K61" s="17">
        <v>1</v>
      </c>
      <c r="L61" s="17" t="s">
        <v>23652</v>
      </c>
      <c r="M61" s="17" t="s">
        <v>179</v>
      </c>
      <c r="N61" s="17" t="s">
        <v>23653</v>
      </c>
      <c r="O61" s="17" t="s">
        <v>22841</v>
      </c>
      <c r="P61" s="17" t="str">
        <f>HYPERLINK("https://dexscreener.com/solana/DXG751S7qe2GYKdR655FXZeaDNsLfJiw4nkvvFGvpump", "View")</f>
        <v>View</v>
      </c>
    </row>
    <row r="62" spans="1:16" x14ac:dyDescent="0.25">
      <c r="A62" s="13" t="s">
        <v>23654</v>
      </c>
      <c r="B62" s="14">
        <v>158789</v>
      </c>
      <c r="C62" s="14">
        <v>158789</v>
      </c>
      <c r="D62" s="14" t="s">
        <v>913</v>
      </c>
      <c r="E62" s="14" t="s">
        <v>4665</v>
      </c>
      <c r="F62" s="14" t="s">
        <v>6107</v>
      </c>
      <c r="G62" s="22" t="s">
        <v>2531</v>
      </c>
      <c r="H62" s="22" t="s">
        <v>23655</v>
      </c>
      <c r="I62" s="14" t="s">
        <v>88</v>
      </c>
      <c r="J62" s="14">
        <v>1</v>
      </c>
      <c r="K62" s="14">
        <v>2</v>
      </c>
      <c r="L62" s="14" t="s">
        <v>23656</v>
      </c>
      <c r="M62" s="14" t="s">
        <v>132</v>
      </c>
      <c r="N62" s="14" t="s">
        <v>23657</v>
      </c>
      <c r="O62" s="14" t="s">
        <v>23658</v>
      </c>
      <c r="P62" s="14" t="str">
        <f>HYPERLINK("https://dexscreener.com/solana/8YSTt9qbkMD1gboEnRmTrscVoZ8i8CDh8vf1XBcdpump", "View")</f>
        <v>View</v>
      </c>
    </row>
    <row r="63" spans="1:16" x14ac:dyDescent="0.25">
      <c r="A63" s="16" t="s">
        <v>23659</v>
      </c>
      <c r="B63" s="17">
        <v>853915</v>
      </c>
      <c r="C63" s="17">
        <v>0</v>
      </c>
      <c r="D63" s="17" t="s">
        <v>10098</v>
      </c>
      <c r="E63" s="17" t="s">
        <v>10641</v>
      </c>
      <c r="F63" s="17" t="s">
        <v>96</v>
      </c>
      <c r="G63" s="18" t="s">
        <v>11319</v>
      </c>
      <c r="H63" s="18" t="s">
        <v>98</v>
      </c>
      <c r="I63" s="17" t="s">
        <v>23660</v>
      </c>
      <c r="J63" s="17">
        <v>1</v>
      </c>
      <c r="K63" s="17">
        <v>0</v>
      </c>
      <c r="L63" s="17" t="s">
        <v>23661</v>
      </c>
      <c r="M63" s="19" t="s">
        <v>101</v>
      </c>
      <c r="N63" s="17" t="s">
        <v>591</v>
      </c>
      <c r="O63" s="17" t="s">
        <v>23662</v>
      </c>
      <c r="P63" s="17" t="str">
        <f>HYPERLINK("https://photon-sol.tinyastro.io/en/lp/89mDJ6WpKq6jxn5XkZEspGnmBtFqR1CnxcCubBvkpump?handle=676050794bc1b1657a56b", "View")</f>
        <v>View</v>
      </c>
    </row>
    <row r="64" spans="1:16" x14ac:dyDescent="0.25">
      <c r="A64" s="13" t="s">
        <v>23663</v>
      </c>
      <c r="B64" s="14">
        <v>1329922</v>
      </c>
      <c r="C64" s="14">
        <v>0</v>
      </c>
      <c r="D64" s="14" t="s">
        <v>864</v>
      </c>
      <c r="E64" s="14" t="s">
        <v>7925</v>
      </c>
      <c r="F64" s="14" t="s">
        <v>96</v>
      </c>
      <c r="G64" s="18" t="s">
        <v>14214</v>
      </c>
      <c r="H64" s="18" t="s">
        <v>98</v>
      </c>
      <c r="I64" s="14" t="s">
        <v>23664</v>
      </c>
      <c r="J64" s="14">
        <v>1</v>
      </c>
      <c r="K64" s="14">
        <v>0</v>
      </c>
      <c r="L64" s="14" t="s">
        <v>23665</v>
      </c>
      <c r="M64" s="19" t="s">
        <v>101</v>
      </c>
      <c r="N64" s="14" t="s">
        <v>10850</v>
      </c>
      <c r="O64" s="14" t="s">
        <v>23666</v>
      </c>
      <c r="P64" s="14" t="str">
        <f>HYPERLINK("https://photon-sol.tinyastro.io/en/lp/EyPksrs2baWDWMYsjUfnQJtYMdLM27ZB5mgp8LkLpump?handle=676050794bc1b1657a56b", "View")</f>
        <v>View</v>
      </c>
    </row>
    <row r="65" spans="1:16" x14ac:dyDescent="0.25">
      <c r="A65" s="16" t="s">
        <v>5827</v>
      </c>
      <c r="B65" s="17">
        <v>249469</v>
      </c>
      <c r="C65" s="17">
        <v>0</v>
      </c>
      <c r="D65" s="17" t="s">
        <v>864</v>
      </c>
      <c r="E65" s="17" t="s">
        <v>4665</v>
      </c>
      <c r="F65" s="17" t="s">
        <v>96</v>
      </c>
      <c r="G65" s="18" t="s">
        <v>4929</v>
      </c>
      <c r="H65" s="18" t="s">
        <v>98</v>
      </c>
      <c r="I65" s="17" t="s">
        <v>23667</v>
      </c>
      <c r="J65" s="17">
        <v>1</v>
      </c>
      <c r="K65" s="17">
        <v>0</v>
      </c>
      <c r="L65" s="17" t="s">
        <v>23668</v>
      </c>
      <c r="M65" s="19" t="s">
        <v>101</v>
      </c>
      <c r="N65" s="17" t="s">
        <v>23669</v>
      </c>
      <c r="O65" s="17" t="s">
        <v>5831</v>
      </c>
      <c r="P65" s="17" t="str">
        <f>HYPERLINK("https://dexscreener.com/solana/Dn7xPGxiVwWvau9Qyb129WGtqQQm3XwNEURZhpCEpump", "View")</f>
        <v>View</v>
      </c>
    </row>
    <row r="66" spans="1:16" x14ac:dyDescent="0.25">
      <c r="A66" s="13" t="s">
        <v>23670</v>
      </c>
      <c r="B66" s="14">
        <v>3825076</v>
      </c>
      <c r="C66" s="14">
        <v>3825076</v>
      </c>
      <c r="D66" s="14" t="s">
        <v>1372</v>
      </c>
      <c r="E66" s="14" t="s">
        <v>3260</v>
      </c>
      <c r="F66" s="14" t="s">
        <v>3432</v>
      </c>
      <c r="G66" s="21" t="s">
        <v>18315</v>
      </c>
      <c r="H66" s="21" t="s">
        <v>23671</v>
      </c>
      <c r="I66" s="14" t="s">
        <v>88</v>
      </c>
      <c r="J66" s="14">
        <v>1</v>
      </c>
      <c r="K66" s="14">
        <v>4</v>
      </c>
      <c r="L66" s="14" t="s">
        <v>23672</v>
      </c>
      <c r="M66" s="14" t="s">
        <v>7248</v>
      </c>
      <c r="N66" s="14" t="s">
        <v>507</v>
      </c>
      <c r="O66" s="14" t="s">
        <v>23673</v>
      </c>
      <c r="P66" s="14" t="str">
        <f>HYPERLINK("https://photon-sol.tinyastro.io/en/lp/AC3vtNmm1jkyZGXYECCCiZ7TvzurXyc9vLEUuz7PFMmz?handle=676050794bc1b1657a56b", "View")</f>
        <v>View</v>
      </c>
    </row>
    <row r="67" spans="1:16" x14ac:dyDescent="0.25">
      <c r="A67" s="16" t="s">
        <v>23674</v>
      </c>
      <c r="B67" s="17">
        <v>117030</v>
      </c>
      <c r="C67" s="17">
        <v>0</v>
      </c>
      <c r="D67" s="17" t="s">
        <v>864</v>
      </c>
      <c r="E67" s="17" t="s">
        <v>4665</v>
      </c>
      <c r="F67" s="17" t="s">
        <v>96</v>
      </c>
      <c r="G67" s="18" t="s">
        <v>4929</v>
      </c>
      <c r="H67" s="18" t="s">
        <v>98</v>
      </c>
      <c r="I67" s="17" t="s">
        <v>23675</v>
      </c>
      <c r="J67" s="17">
        <v>1</v>
      </c>
      <c r="K67" s="17">
        <v>0</v>
      </c>
      <c r="L67" s="17" t="s">
        <v>23676</v>
      </c>
      <c r="M67" s="19" t="s">
        <v>101</v>
      </c>
      <c r="N67" s="17" t="s">
        <v>17694</v>
      </c>
      <c r="O67" s="17" t="s">
        <v>23677</v>
      </c>
      <c r="P67" s="17" t="str">
        <f>HYPERLINK("https://dexscreener.com/solana/2wJjD9DKJqwpajx2X7XMWyYNLNMEgopaQkwxy1LDGp43", "View")</f>
        <v>View</v>
      </c>
    </row>
    <row r="68" spans="1:16" x14ac:dyDescent="0.25">
      <c r="A68" s="13" t="s">
        <v>23678</v>
      </c>
      <c r="B68" s="14">
        <v>2965339</v>
      </c>
      <c r="C68" s="14">
        <v>2965339</v>
      </c>
      <c r="D68" s="14" t="s">
        <v>883</v>
      </c>
      <c r="E68" s="14" t="s">
        <v>2200</v>
      </c>
      <c r="F68" s="14" t="s">
        <v>13680</v>
      </c>
      <c r="G68" s="20" t="s">
        <v>16985</v>
      </c>
      <c r="H68" s="20" t="s">
        <v>23679</v>
      </c>
      <c r="I68" s="14" t="s">
        <v>88</v>
      </c>
      <c r="J68" s="14">
        <v>1</v>
      </c>
      <c r="K68" s="14">
        <v>1</v>
      </c>
      <c r="L68" s="14" t="s">
        <v>23680</v>
      </c>
      <c r="M68" s="14" t="s">
        <v>1610</v>
      </c>
      <c r="N68" s="14" t="s">
        <v>23681</v>
      </c>
      <c r="O68" s="14" t="s">
        <v>23682</v>
      </c>
      <c r="P68" s="14" t="str">
        <f>HYPERLINK("https://dexscreener.com/solana/8VYKWRmn78thYQefc9K7cM1chQdojpABn2u4sCc1pump", "View")</f>
        <v>View</v>
      </c>
    </row>
    <row r="69" spans="1:16" x14ac:dyDescent="0.25">
      <c r="A69" s="16" t="s">
        <v>11577</v>
      </c>
      <c r="B69" s="17">
        <v>314654</v>
      </c>
      <c r="C69" s="17">
        <v>314654</v>
      </c>
      <c r="D69" s="17" t="s">
        <v>8191</v>
      </c>
      <c r="E69" s="17" t="s">
        <v>4679</v>
      </c>
      <c r="F69" s="17" t="s">
        <v>14394</v>
      </c>
      <c r="G69" s="21" t="s">
        <v>10388</v>
      </c>
      <c r="H69" s="21" t="s">
        <v>23683</v>
      </c>
      <c r="I69" s="17" t="s">
        <v>88</v>
      </c>
      <c r="J69" s="17">
        <v>1</v>
      </c>
      <c r="K69" s="17">
        <v>4</v>
      </c>
      <c r="L69" s="17" t="s">
        <v>23684</v>
      </c>
      <c r="M69" s="17" t="s">
        <v>1986</v>
      </c>
      <c r="N69" s="17" t="s">
        <v>23685</v>
      </c>
      <c r="O69" s="17" t="s">
        <v>11581</v>
      </c>
      <c r="P69" s="17" t="str">
        <f>HYPERLINK("https://dexscreener.com/solana/GJAFwWjJ3vnTsrQVabjBVK2TYB1YtRCQXRDfDgUnpump", "View")</f>
        <v>View</v>
      </c>
    </row>
    <row r="70" spans="1:16" x14ac:dyDescent="0.25">
      <c r="A70" s="13" t="s">
        <v>23686</v>
      </c>
      <c r="B70" s="14">
        <v>261117</v>
      </c>
      <c r="C70" s="14">
        <v>261117</v>
      </c>
      <c r="D70" s="14" t="s">
        <v>1372</v>
      </c>
      <c r="E70" s="14" t="s">
        <v>4665</v>
      </c>
      <c r="F70" s="14" t="s">
        <v>12694</v>
      </c>
      <c r="G70" s="21" t="s">
        <v>20292</v>
      </c>
      <c r="H70" s="21" t="s">
        <v>23687</v>
      </c>
      <c r="I70" s="14" t="s">
        <v>88</v>
      </c>
      <c r="J70" s="14">
        <v>1</v>
      </c>
      <c r="K70" s="14">
        <v>4</v>
      </c>
      <c r="L70" s="14" t="s">
        <v>23688</v>
      </c>
      <c r="M70" s="14" t="s">
        <v>9534</v>
      </c>
      <c r="N70" s="14" t="s">
        <v>23689</v>
      </c>
      <c r="O70" s="14" t="s">
        <v>23690</v>
      </c>
      <c r="P70" s="14" t="str">
        <f>HYPERLINK("https://dexscreener.com/solana/28xPA7ZER19fNTWQpZ8xHJUMbyoxegpT6mHxzMdtFZCW", "View")</f>
        <v>View</v>
      </c>
    </row>
    <row r="71" spans="1:16" x14ac:dyDescent="0.25">
      <c r="A71" s="16" t="s">
        <v>23691</v>
      </c>
      <c r="B71" s="17">
        <v>2225945</v>
      </c>
      <c r="C71" s="17">
        <v>0</v>
      </c>
      <c r="D71" s="17" t="s">
        <v>864</v>
      </c>
      <c r="E71" s="17" t="s">
        <v>5472</v>
      </c>
      <c r="F71" s="17" t="s">
        <v>96</v>
      </c>
      <c r="G71" s="18" t="s">
        <v>2739</v>
      </c>
      <c r="H71" s="18" t="s">
        <v>98</v>
      </c>
      <c r="I71" s="17" t="s">
        <v>23692</v>
      </c>
      <c r="J71" s="17">
        <v>1</v>
      </c>
      <c r="K71" s="17">
        <v>0</v>
      </c>
      <c r="L71" s="17" t="s">
        <v>23693</v>
      </c>
      <c r="M71" s="19" t="s">
        <v>101</v>
      </c>
      <c r="N71" s="17" t="s">
        <v>16939</v>
      </c>
      <c r="O71" s="17" t="s">
        <v>23694</v>
      </c>
      <c r="P71" s="17" t="str">
        <f>HYPERLINK("https://photon-sol.tinyastro.io/en/lp/51g8szUwF5XQ9gS9zTATQkEWys4sb8dwsgyCzRM6pump?handle=676050794bc1b1657a56b", "View")</f>
        <v>View</v>
      </c>
    </row>
    <row r="72" spans="1:16" x14ac:dyDescent="0.25">
      <c r="A72" s="13" t="s">
        <v>13347</v>
      </c>
      <c r="B72" s="14">
        <v>472187</v>
      </c>
      <c r="C72" s="14">
        <v>0</v>
      </c>
      <c r="D72" s="14" t="s">
        <v>864</v>
      </c>
      <c r="E72" s="14" t="s">
        <v>4665</v>
      </c>
      <c r="F72" s="14" t="s">
        <v>96</v>
      </c>
      <c r="G72" s="18" t="s">
        <v>4929</v>
      </c>
      <c r="H72" s="18" t="s">
        <v>98</v>
      </c>
      <c r="I72" s="14" t="s">
        <v>23695</v>
      </c>
      <c r="J72" s="14">
        <v>1</v>
      </c>
      <c r="K72" s="14">
        <v>0</v>
      </c>
      <c r="L72" s="14" t="s">
        <v>23696</v>
      </c>
      <c r="M72" s="19" t="s">
        <v>101</v>
      </c>
      <c r="N72" s="14" t="s">
        <v>23697</v>
      </c>
      <c r="O72" s="14" t="s">
        <v>13353</v>
      </c>
      <c r="P72" s="14" t="str">
        <f>HYPERLINK("https://dexscreener.com/solana/F2GVPgWyN4yBSv8zmSw9TmgunQcv7K7MzceFVZzxpump", "View")</f>
        <v>View</v>
      </c>
    </row>
    <row r="73" spans="1:16" x14ac:dyDescent="0.25">
      <c r="A73" s="16" t="s">
        <v>23698</v>
      </c>
      <c r="B73" s="17">
        <v>489539</v>
      </c>
      <c r="C73" s="17">
        <v>0</v>
      </c>
      <c r="D73" s="17" t="s">
        <v>10098</v>
      </c>
      <c r="E73" s="17" t="s">
        <v>4396</v>
      </c>
      <c r="F73" s="17" t="s">
        <v>96</v>
      </c>
      <c r="G73" s="18" t="s">
        <v>14118</v>
      </c>
      <c r="H73" s="18" t="s">
        <v>98</v>
      </c>
      <c r="I73" s="17" t="s">
        <v>23699</v>
      </c>
      <c r="J73" s="17">
        <v>1</v>
      </c>
      <c r="K73" s="17">
        <v>0</v>
      </c>
      <c r="L73" s="17" t="s">
        <v>23700</v>
      </c>
      <c r="M73" s="19" t="s">
        <v>101</v>
      </c>
      <c r="N73" s="17" t="s">
        <v>968</v>
      </c>
      <c r="O73" s="17" t="s">
        <v>23701</v>
      </c>
      <c r="P73" s="17" t="str">
        <f>HYPERLINK("https://dexscreener.com/solana/Bb4WRUs4neUtUZimpDb1jMaqYYtpnX3ce24oJu9Ppump", "View")</f>
        <v>View</v>
      </c>
    </row>
    <row r="74" spans="1:16" x14ac:dyDescent="0.25">
      <c r="A74" s="13" t="s">
        <v>23702</v>
      </c>
      <c r="B74" s="14">
        <v>161072</v>
      </c>
      <c r="C74" s="14">
        <v>0</v>
      </c>
      <c r="D74" s="14" t="s">
        <v>864</v>
      </c>
      <c r="E74" s="14" t="s">
        <v>4665</v>
      </c>
      <c r="F74" s="14" t="s">
        <v>96</v>
      </c>
      <c r="G74" s="18" t="s">
        <v>4929</v>
      </c>
      <c r="H74" s="18" t="s">
        <v>98</v>
      </c>
      <c r="I74" s="14" t="s">
        <v>23703</v>
      </c>
      <c r="J74" s="14">
        <v>1</v>
      </c>
      <c r="K74" s="14">
        <v>0</v>
      </c>
      <c r="L74" s="14" t="s">
        <v>23704</v>
      </c>
      <c r="M74" s="19" t="s">
        <v>101</v>
      </c>
      <c r="N74" s="14" t="s">
        <v>23705</v>
      </c>
      <c r="O74" s="14" t="s">
        <v>23706</v>
      </c>
      <c r="P74" s="14" t="str">
        <f>HYPERLINK("https://dexscreener.com/solana/A81qTXocKRLrqFfRXFFxaR3kb3Pq1fdpD984Raepump", "View")</f>
        <v>View</v>
      </c>
    </row>
    <row r="75" spans="1:16" x14ac:dyDescent="0.25">
      <c r="A75" s="16" t="s">
        <v>23707</v>
      </c>
      <c r="B75" s="17">
        <v>2445885</v>
      </c>
      <c r="C75" s="17">
        <v>2445885</v>
      </c>
      <c r="D75" s="17" t="s">
        <v>883</v>
      </c>
      <c r="E75" s="17" t="s">
        <v>3645</v>
      </c>
      <c r="F75" s="17" t="s">
        <v>3320</v>
      </c>
      <c r="G75" s="20" t="s">
        <v>2172</v>
      </c>
      <c r="H75" s="20" t="s">
        <v>23708</v>
      </c>
      <c r="I75" s="17" t="s">
        <v>88</v>
      </c>
      <c r="J75" s="17">
        <v>1</v>
      </c>
      <c r="K75" s="17">
        <v>1</v>
      </c>
      <c r="L75" s="17" t="s">
        <v>23709</v>
      </c>
      <c r="M75" s="17" t="s">
        <v>1434</v>
      </c>
      <c r="N75" s="17" t="s">
        <v>507</v>
      </c>
      <c r="O75" s="17" t="s">
        <v>23710</v>
      </c>
      <c r="P75" s="17" t="str">
        <f>HYPERLINK("https://photon-sol.tinyastro.io/en/lp/BfMZUMAKeRayyz9LywcVGGuy6dgusqVJjRSzJzwLpump?handle=676050794bc1b1657a56b", "View")</f>
        <v>View</v>
      </c>
    </row>
    <row r="76" spans="1:16" x14ac:dyDescent="0.25">
      <c r="A76" s="13" t="s">
        <v>23711</v>
      </c>
      <c r="B76" s="14">
        <v>1199689</v>
      </c>
      <c r="C76" s="14">
        <v>599844</v>
      </c>
      <c r="D76" s="14" t="s">
        <v>1289</v>
      </c>
      <c r="E76" s="14" t="s">
        <v>5653</v>
      </c>
      <c r="F76" s="14" t="s">
        <v>10121</v>
      </c>
      <c r="G76" s="20" t="s">
        <v>4373</v>
      </c>
      <c r="H76" s="20" t="s">
        <v>23712</v>
      </c>
      <c r="I76" s="14" t="s">
        <v>88</v>
      </c>
      <c r="J76" s="14">
        <v>1</v>
      </c>
      <c r="K76" s="14">
        <v>1</v>
      </c>
      <c r="L76" s="14" t="s">
        <v>23713</v>
      </c>
      <c r="M76" s="14" t="s">
        <v>3695</v>
      </c>
      <c r="N76" s="14" t="s">
        <v>23714</v>
      </c>
      <c r="O76" s="14" t="s">
        <v>23715</v>
      </c>
      <c r="P76" s="14" t="str">
        <f>HYPERLINK("https://photon-sol.tinyastro.io/en/lp/81wFRjTpFL6vAEsjTD9TZW4G82EtkdNUyDJXyqSApump?handle=676050794bc1b1657a56b", "View")</f>
        <v>View</v>
      </c>
    </row>
    <row r="77" spans="1:16" x14ac:dyDescent="0.25">
      <c r="A77" s="16" t="s">
        <v>22913</v>
      </c>
      <c r="B77" s="17">
        <v>665756</v>
      </c>
      <c r="C77" s="17">
        <v>0</v>
      </c>
      <c r="D77" s="17" t="s">
        <v>864</v>
      </c>
      <c r="E77" s="17" t="s">
        <v>16182</v>
      </c>
      <c r="F77" s="17" t="s">
        <v>96</v>
      </c>
      <c r="G77" s="18" t="s">
        <v>11022</v>
      </c>
      <c r="H77" s="18" t="s">
        <v>98</v>
      </c>
      <c r="I77" s="17" t="s">
        <v>23716</v>
      </c>
      <c r="J77" s="17">
        <v>1</v>
      </c>
      <c r="K77" s="17">
        <v>0</v>
      </c>
      <c r="L77" s="17" t="s">
        <v>23717</v>
      </c>
      <c r="M77" s="19" t="s">
        <v>101</v>
      </c>
      <c r="N77" s="17" t="s">
        <v>1233</v>
      </c>
      <c r="O77" s="17" t="s">
        <v>22917</v>
      </c>
      <c r="P77" s="17" t="str">
        <f>HYPERLINK("https://photon-sol.tinyastro.io/en/lp/A5jwvxkTSFT4uhtqkmZ5dxtWHSevB6i2CQuAHvAc2scH?handle=676050794bc1b1657a56b", "View")</f>
        <v>View</v>
      </c>
    </row>
    <row r="78" spans="1:16" x14ac:dyDescent="0.25">
      <c r="A78" s="13" t="s">
        <v>22918</v>
      </c>
      <c r="B78" s="14">
        <v>321851</v>
      </c>
      <c r="C78" s="14">
        <v>0</v>
      </c>
      <c r="D78" s="14" t="s">
        <v>864</v>
      </c>
      <c r="E78" s="14" t="s">
        <v>4665</v>
      </c>
      <c r="F78" s="14" t="s">
        <v>96</v>
      </c>
      <c r="G78" s="18" t="s">
        <v>4929</v>
      </c>
      <c r="H78" s="18" t="s">
        <v>98</v>
      </c>
      <c r="I78" s="14" t="s">
        <v>23718</v>
      </c>
      <c r="J78" s="14">
        <v>1</v>
      </c>
      <c r="K78" s="14">
        <v>0</v>
      </c>
      <c r="L78" s="14" t="s">
        <v>23719</v>
      </c>
      <c r="M78" s="19" t="s">
        <v>101</v>
      </c>
      <c r="N78" s="14" t="s">
        <v>23720</v>
      </c>
      <c r="O78" s="14" t="s">
        <v>22921</v>
      </c>
      <c r="P78" s="14" t="str">
        <f>HYPERLINK("https://dexscreener.com/solana/72XUGRRzuSoLRch3QPpSPHkuZ8F58rvtCNF4QSosLb4H", "View")</f>
        <v>View</v>
      </c>
    </row>
    <row r="79" spans="1:16" x14ac:dyDescent="0.25">
      <c r="A79" s="16" t="s">
        <v>15161</v>
      </c>
      <c r="B79" s="17">
        <v>568436</v>
      </c>
      <c r="C79" s="17">
        <v>0</v>
      </c>
      <c r="D79" s="17" t="s">
        <v>864</v>
      </c>
      <c r="E79" s="17" t="s">
        <v>4665</v>
      </c>
      <c r="F79" s="17" t="s">
        <v>96</v>
      </c>
      <c r="G79" s="18" t="s">
        <v>4929</v>
      </c>
      <c r="H79" s="18" t="s">
        <v>98</v>
      </c>
      <c r="I79" s="17" t="s">
        <v>23721</v>
      </c>
      <c r="J79" s="17">
        <v>1</v>
      </c>
      <c r="K79" s="17">
        <v>0</v>
      </c>
      <c r="L79" s="17" t="s">
        <v>23722</v>
      </c>
      <c r="M79" s="19" t="s">
        <v>101</v>
      </c>
      <c r="N79" s="17" t="s">
        <v>5875</v>
      </c>
      <c r="O79" s="17" t="s">
        <v>15165</v>
      </c>
      <c r="P79" s="17" t="str">
        <f>HYPERLINK("https://dexscreener.com/solana/HxvyzyFVbq1KHyNhhvtjmWM69q3gR2WFW5F9622vpump", "View")</f>
        <v>View</v>
      </c>
    </row>
    <row r="80" spans="1:16" x14ac:dyDescent="0.25">
      <c r="A80" s="13" t="s">
        <v>22928</v>
      </c>
      <c r="B80" s="14">
        <v>2277152</v>
      </c>
      <c r="C80" s="14">
        <v>2277152</v>
      </c>
      <c r="D80" s="14" t="s">
        <v>883</v>
      </c>
      <c r="E80" s="14" t="s">
        <v>2605</v>
      </c>
      <c r="F80" s="14" t="s">
        <v>12272</v>
      </c>
      <c r="G80" s="15" t="s">
        <v>3537</v>
      </c>
      <c r="H80" s="15" t="s">
        <v>23723</v>
      </c>
      <c r="I80" s="14" t="s">
        <v>88</v>
      </c>
      <c r="J80" s="14">
        <v>1</v>
      </c>
      <c r="K80" s="14">
        <v>1</v>
      </c>
      <c r="L80" s="14" t="s">
        <v>23724</v>
      </c>
      <c r="M80" s="14" t="s">
        <v>5922</v>
      </c>
      <c r="N80" s="14" t="s">
        <v>507</v>
      </c>
      <c r="O80" s="14" t="s">
        <v>22931</v>
      </c>
      <c r="P80" s="14" t="str">
        <f>HYPERLINK("https://photon-sol.tinyastro.io/en/lp/3zmeFfnCHrE8byXqDz1asmUMt8w7XCL4pCeJQQ4Rpump?handle=676050794bc1b1657a56b", "View")</f>
        <v>View</v>
      </c>
    </row>
    <row r="81" spans="1:16" x14ac:dyDescent="0.25">
      <c r="A81" s="16" t="s">
        <v>22923</v>
      </c>
      <c r="B81" s="17">
        <v>906922</v>
      </c>
      <c r="C81" s="17">
        <v>906922</v>
      </c>
      <c r="D81" s="17" t="s">
        <v>883</v>
      </c>
      <c r="E81" s="17" t="s">
        <v>4665</v>
      </c>
      <c r="F81" s="17" t="s">
        <v>9517</v>
      </c>
      <c r="G81" s="22" t="s">
        <v>5380</v>
      </c>
      <c r="H81" s="22" t="s">
        <v>23725</v>
      </c>
      <c r="I81" s="17" t="s">
        <v>88</v>
      </c>
      <c r="J81" s="17">
        <v>1</v>
      </c>
      <c r="K81" s="17">
        <v>1</v>
      </c>
      <c r="L81" s="17" t="s">
        <v>23726</v>
      </c>
      <c r="M81" s="17" t="s">
        <v>9534</v>
      </c>
      <c r="N81" s="17" t="s">
        <v>23727</v>
      </c>
      <c r="O81" s="17" t="s">
        <v>22927</v>
      </c>
      <c r="P81" s="17" t="str">
        <f>HYPERLINK("https://dexscreener.com/solana/jKUo4bdgLggxhimCYuVZK1kx8faVsQBjG9sQ4oBpump", "View")</f>
        <v>View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D578-8A71-4623-A21A-8CF795CAF9F4}">
  <dimension ref="A1:P8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HYPERLINK("https://gmgn.ai/sol/address/3bw7vPnuVnh6A7P1endYkFSk2oN6gVxrNe1es5qN8drM", "GMGN")</f>
        <v>GMGN</v>
      </c>
    </row>
    <row r="2" spans="1:14" x14ac:dyDescent="0.25">
      <c r="A2" s="3" t="s">
        <v>23728</v>
      </c>
      <c r="B2" s="3" t="s">
        <v>23729</v>
      </c>
      <c r="C2" s="3" t="s">
        <v>8323</v>
      </c>
      <c r="D2" s="3" t="s">
        <v>23730</v>
      </c>
      <c r="E2" s="3" t="s">
        <v>23731</v>
      </c>
      <c r="F2" s="3" t="s">
        <v>18</v>
      </c>
      <c r="G2" s="3" t="s">
        <v>18</v>
      </c>
      <c r="H2" s="3">
        <v>67</v>
      </c>
      <c r="I2" s="3">
        <v>41</v>
      </c>
      <c r="J2" s="3" t="s">
        <v>16073</v>
      </c>
      <c r="K2" s="3" t="s">
        <v>20</v>
      </c>
      <c r="L2" s="3">
        <v>4</v>
      </c>
      <c r="M2" s="3">
        <v>21</v>
      </c>
      <c r="N2" s="3" t="str">
        <f>HYPERLINK("https://solscan.io/account/3bw7vPnuVnh6A7P1endYkFSk2oN6gVxrNe1es5qN8drM",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HYPERLINK("https://birdeye.so/profile/3bw7vPnuVnh6A7P1endYkFSk2oN6gVxrNe1es5qN8drM", "Birdeye")</f>
        <v>Birdeye</v>
      </c>
    </row>
    <row r="4" spans="1:14" x14ac:dyDescent="0.25">
      <c r="A4" s="1" t="s">
        <v>25</v>
      </c>
      <c r="B4" s="3" t="s">
        <v>18969</v>
      </c>
      <c r="C4" s="3"/>
      <c r="D4" s="3" t="s">
        <v>2005</v>
      </c>
      <c r="E4" s="3" t="s">
        <v>23732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23733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1778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2</v>
      </c>
      <c r="E10" s="1">
        <v>6</v>
      </c>
      <c r="F10" s="1">
        <v>7</v>
      </c>
      <c r="G10" s="1">
        <v>49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8596</v>
      </c>
      <c r="C11" s="1" t="s">
        <v>47</v>
      </c>
      <c r="D11" s="1" t="s">
        <v>47</v>
      </c>
      <c r="E11" s="1" t="s">
        <v>15654</v>
      </c>
      <c r="F11" s="1" t="s">
        <v>12324</v>
      </c>
      <c r="G11" s="1" t="s">
        <v>23734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23735</v>
      </c>
      <c r="C12" s="1" t="s">
        <v>8458</v>
      </c>
      <c r="D12" s="1" t="s">
        <v>8327</v>
      </c>
      <c r="E12" s="1" t="s">
        <v>20034</v>
      </c>
      <c r="F12" s="1" t="s">
        <v>17860</v>
      </c>
      <c r="G12" s="1" t="s">
        <v>23736</v>
      </c>
      <c r="H12" s="3"/>
      <c r="I12" s="3" t="s">
        <v>59</v>
      </c>
      <c r="J12" s="3" t="s">
        <v>8461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8467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23176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23737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23136</v>
      </c>
      <c r="B20" s="14">
        <v>1296736</v>
      </c>
      <c r="C20" s="14">
        <v>0</v>
      </c>
      <c r="D20" s="14" t="s">
        <v>4389</v>
      </c>
      <c r="E20" s="14" t="s">
        <v>3404</v>
      </c>
      <c r="F20" s="14" t="s">
        <v>96</v>
      </c>
      <c r="G20" s="18" t="s">
        <v>15162</v>
      </c>
      <c r="H20" s="18" t="s">
        <v>98</v>
      </c>
      <c r="I20" s="14" t="s">
        <v>23738</v>
      </c>
      <c r="J20" s="14">
        <v>2</v>
      </c>
      <c r="K20" s="14">
        <v>0</v>
      </c>
      <c r="L20" s="14" t="s">
        <v>23739</v>
      </c>
      <c r="M20" s="14" t="s">
        <v>1434</v>
      </c>
      <c r="N20" s="14" t="s">
        <v>23740</v>
      </c>
      <c r="O20" s="14" t="s">
        <v>23143</v>
      </c>
      <c r="P20" s="14" t="str">
        <f>HYPERLINK("https://dexscreener.com/solana/75gTkoZ1gEJXcA2Qqpqm8bes6QZVTEwnzQ3Xvz5tpump", "View")</f>
        <v>View</v>
      </c>
    </row>
    <row r="21" spans="1:16" x14ac:dyDescent="0.25">
      <c r="A21" s="16" t="s">
        <v>23741</v>
      </c>
      <c r="B21" s="17">
        <v>241822</v>
      </c>
      <c r="C21" s="17">
        <v>0</v>
      </c>
      <c r="D21" s="17" t="s">
        <v>4372</v>
      </c>
      <c r="E21" s="17" t="s">
        <v>5573</v>
      </c>
      <c r="F21" s="17" t="s">
        <v>96</v>
      </c>
      <c r="G21" s="18" t="s">
        <v>2522</v>
      </c>
      <c r="H21" s="18" t="s">
        <v>98</v>
      </c>
      <c r="I21" s="17" t="s">
        <v>23742</v>
      </c>
      <c r="J21" s="17">
        <v>1</v>
      </c>
      <c r="K21" s="17">
        <v>0</v>
      </c>
      <c r="L21" s="17" t="s">
        <v>23743</v>
      </c>
      <c r="M21" s="19" t="s">
        <v>101</v>
      </c>
      <c r="N21" s="17" t="s">
        <v>23744</v>
      </c>
      <c r="O21" s="17" t="s">
        <v>23745</v>
      </c>
      <c r="P21" s="17" t="str">
        <f>HYPERLINK("https://dexscreener.com/solana/7RyiZd3wrQiMpmF7CY6prrTTKCfcHwMHqNakHPBvpump", "View")</f>
        <v>View</v>
      </c>
    </row>
    <row r="22" spans="1:16" x14ac:dyDescent="0.25">
      <c r="A22" s="13" t="s">
        <v>3392</v>
      </c>
      <c r="B22" s="14">
        <v>440964</v>
      </c>
      <c r="C22" s="14">
        <v>220482</v>
      </c>
      <c r="D22" s="14" t="s">
        <v>4389</v>
      </c>
      <c r="E22" s="14" t="s">
        <v>5573</v>
      </c>
      <c r="F22" s="14" t="s">
        <v>3706</v>
      </c>
      <c r="G22" s="20" t="s">
        <v>4032</v>
      </c>
      <c r="H22" s="20" t="s">
        <v>23746</v>
      </c>
      <c r="I22" s="14" t="s">
        <v>88</v>
      </c>
      <c r="J22" s="14">
        <v>1</v>
      </c>
      <c r="K22" s="14">
        <v>1</v>
      </c>
      <c r="L22" s="14" t="s">
        <v>23747</v>
      </c>
      <c r="M22" s="14" t="s">
        <v>4297</v>
      </c>
      <c r="N22" s="14" t="s">
        <v>23748</v>
      </c>
      <c r="O22" s="14" t="s">
        <v>3398</v>
      </c>
      <c r="P22" s="14" t="str">
        <f>HYPERLINK("https://dexscreener.com/solana/9AovuJog1VyUcwRXhCheay2NsnyDwnq2tNqozvdMpump", "View")</f>
        <v>View</v>
      </c>
    </row>
    <row r="23" spans="1:16" x14ac:dyDescent="0.25">
      <c r="A23" s="16" t="s">
        <v>23749</v>
      </c>
      <c r="B23" s="17">
        <v>161437</v>
      </c>
      <c r="C23" s="17">
        <v>161437</v>
      </c>
      <c r="D23" s="17" t="s">
        <v>4379</v>
      </c>
      <c r="E23" s="17" t="s">
        <v>5572</v>
      </c>
      <c r="F23" s="17" t="s">
        <v>7626</v>
      </c>
      <c r="G23" s="21" t="s">
        <v>22442</v>
      </c>
      <c r="H23" s="21" t="s">
        <v>23750</v>
      </c>
      <c r="I23" s="17" t="s">
        <v>88</v>
      </c>
      <c r="J23" s="17">
        <v>1</v>
      </c>
      <c r="K23" s="17">
        <v>3</v>
      </c>
      <c r="L23" s="17" t="s">
        <v>23751</v>
      </c>
      <c r="M23" s="17" t="s">
        <v>680</v>
      </c>
      <c r="N23" s="17" t="s">
        <v>23752</v>
      </c>
      <c r="O23" s="17" t="s">
        <v>23753</v>
      </c>
      <c r="P23" s="17" t="str">
        <f>HYPERLINK("https://dexscreener.com/solana/CXfErCqD2ufoZZ7791sRetSiMkeFSH6oKAjW7ERdpump", "View")</f>
        <v>View</v>
      </c>
    </row>
    <row r="24" spans="1:16" x14ac:dyDescent="0.25">
      <c r="A24" s="13" t="s">
        <v>23057</v>
      </c>
      <c r="B24" s="14">
        <v>20344</v>
      </c>
      <c r="C24" s="14">
        <v>0</v>
      </c>
      <c r="D24" s="14" t="s">
        <v>4372</v>
      </c>
      <c r="E24" s="14" t="s">
        <v>5573</v>
      </c>
      <c r="F24" s="14" t="s">
        <v>96</v>
      </c>
      <c r="G24" s="18" t="s">
        <v>2522</v>
      </c>
      <c r="H24" s="18" t="s">
        <v>98</v>
      </c>
      <c r="I24" s="14" t="s">
        <v>23754</v>
      </c>
      <c r="J24" s="14">
        <v>1</v>
      </c>
      <c r="K24" s="14">
        <v>0</v>
      </c>
      <c r="L24" s="14" t="s">
        <v>23755</v>
      </c>
      <c r="M24" s="19" t="s">
        <v>101</v>
      </c>
      <c r="N24" s="14" t="s">
        <v>23756</v>
      </c>
      <c r="O24" s="14" t="s">
        <v>23757</v>
      </c>
      <c r="P24" s="14" t="str">
        <f>HYPERLINK("https://dexscreener.com/solana/6ehL2VqmPAtn4c3pLkAJd2ah4sAzKEL4nmwxh2b7pump", "View")</f>
        <v>View</v>
      </c>
    </row>
    <row r="25" spans="1:16" x14ac:dyDescent="0.25">
      <c r="A25" s="16" t="s">
        <v>23758</v>
      </c>
      <c r="B25" s="17">
        <v>103465</v>
      </c>
      <c r="C25" s="17">
        <v>0</v>
      </c>
      <c r="D25" s="17" t="s">
        <v>4372</v>
      </c>
      <c r="E25" s="17" t="s">
        <v>2200</v>
      </c>
      <c r="F25" s="17" t="s">
        <v>96</v>
      </c>
      <c r="G25" s="18" t="s">
        <v>4464</v>
      </c>
      <c r="H25" s="18" t="s">
        <v>98</v>
      </c>
      <c r="I25" s="17" t="s">
        <v>23759</v>
      </c>
      <c r="J25" s="17">
        <v>1</v>
      </c>
      <c r="K25" s="17">
        <v>0</v>
      </c>
      <c r="L25" s="17" t="s">
        <v>23760</v>
      </c>
      <c r="M25" s="19" t="s">
        <v>101</v>
      </c>
      <c r="N25" s="17" t="s">
        <v>23761</v>
      </c>
      <c r="O25" s="17" t="s">
        <v>23762</v>
      </c>
      <c r="P25" s="17" t="str">
        <f>HYPERLINK("https://dexscreener.com/solana/AZYZzjn535iJMeNWiTVEdxBzx5bjBsBFMJrPELY8G4Mp", "View")</f>
        <v>View</v>
      </c>
    </row>
    <row r="26" spans="1:16" x14ac:dyDescent="0.25">
      <c r="A26" s="13" t="s">
        <v>16914</v>
      </c>
      <c r="B26" s="14">
        <v>267686</v>
      </c>
      <c r="C26" s="14">
        <v>200764</v>
      </c>
      <c r="D26" s="14" t="s">
        <v>14207</v>
      </c>
      <c r="E26" s="14" t="s">
        <v>2200</v>
      </c>
      <c r="F26" s="14" t="s">
        <v>9218</v>
      </c>
      <c r="G26" s="21" t="s">
        <v>4679</v>
      </c>
      <c r="H26" s="21" t="s">
        <v>23763</v>
      </c>
      <c r="I26" s="14" t="s">
        <v>88</v>
      </c>
      <c r="J26" s="14">
        <v>1</v>
      </c>
      <c r="K26" s="14">
        <v>2</v>
      </c>
      <c r="L26" s="14" t="s">
        <v>23764</v>
      </c>
      <c r="M26" s="14" t="s">
        <v>1714</v>
      </c>
      <c r="N26" s="14" t="s">
        <v>23765</v>
      </c>
      <c r="O26" s="14" t="s">
        <v>16918</v>
      </c>
      <c r="P26" s="14" t="str">
        <f>HYPERLINK("https://dexscreener.com/solana/TrUPjEqGpUph6sMJX8C3yYja9u4RcVUGTCkGG4xLrjG", "View")</f>
        <v>View</v>
      </c>
    </row>
    <row r="27" spans="1:16" x14ac:dyDescent="0.25">
      <c r="A27" s="16" t="s">
        <v>22837</v>
      </c>
      <c r="B27" s="17">
        <v>483800</v>
      </c>
      <c r="C27" s="17">
        <v>241900</v>
      </c>
      <c r="D27" s="17" t="s">
        <v>14207</v>
      </c>
      <c r="E27" s="17" t="s">
        <v>2200</v>
      </c>
      <c r="F27" s="17" t="s">
        <v>16968</v>
      </c>
      <c r="G27" s="15" t="s">
        <v>15254</v>
      </c>
      <c r="H27" s="15" t="s">
        <v>23766</v>
      </c>
      <c r="I27" s="17" t="s">
        <v>88</v>
      </c>
      <c r="J27" s="17">
        <v>2</v>
      </c>
      <c r="K27" s="17">
        <v>1</v>
      </c>
      <c r="L27" s="17" t="s">
        <v>23767</v>
      </c>
      <c r="M27" s="17" t="s">
        <v>132</v>
      </c>
      <c r="N27" s="17" t="s">
        <v>23768</v>
      </c>
      <c r="O27" s="17" t="s">
        <v>22841</v>
      </c>
      <c r="P27" s="17" t="str">
        <f>HYPERLINK("https://dexscreener.com/solana/DXG751S7qe2GYKdR655FXZeaDNsLfJiw4nkvvFGvpump", "View")</f>
        <v>View</v>
      </c>
    </row>
    <row r="28" spans="1:16" x14ac:dyDescent="0.25">
      <c r="A28" s="13" t="s">
        <v>3971</v>
      </c>
      <c r="B28" s="14">
        <v>52538</v>
      </c>
      <c r="C28" s="14">
        <v>0</v>
      </c>
      <c r="D28" s="14" t="s">
        <v>4389</v>
      </c>
      <c r="E28" s="14" t="s">
        <v>2200</v>
      </c>
      <c r="F28" s="14" t="s">
        <v>96</v>
      </c>
      <c r="G28" s="18" t="s">
        <v>12282</v>
      </c>
      <c r="H28" s="18" t="s">
        <v>98</v>
      </c>
      <c r="I28" s="14" t="s">
        <v>23769</v>
      </c>
      <c r="J28" s="14">
        <v>2</v>
      </c>
      <c r="K28" s="14">
        <v>0</v>
      </c>
      <c r="L28" s="14" t="s">
        <v>23770</v>
      </c>
      <c r="M28" s="14" t="s">
        <v>6393</v>
      </c>
      <c r="N28" s="14" t="s">
        <v>23771</v>
      </c>
      <c r="O28" s="14" t="s">
        <v>3976</v>
      </c>
      <c r="P28" s="14" t="str">
        <f>HYPERLINK("https://dexscreener.com/solana/CUots31KNMDbswxamS4fYQD3g4L3i4g2smT1djitpump", "View")</f>
        <v>View</v>
      </c>
    </row>
    <row r="29" spans="1:16" x14ac:dyDescent="0.25">
      <c r="A29" s="16" t="s">
        <v>10297</v>
      </c>
      <c r="B29" s="17">
        <v>24395</v>
      </c>
      <c r="C29" s="17">
        <v>0</v>
      </c>
      <c r="D29" s="17" t="s">
        <v>4372</v>
      </c>
      <c r="E29" s="17" t="s">
        <v>5573</v>
      </c>
      <c r="F29" s="17" t="s">
        <v>96</v>
      </c>
      <c r="G29" s="18" t="s">
        <v>2522</v>
      </c>
      <c r="H29" s="18" t="s">
        <v>98</v>
      </c>
      <c r="I29" s="17" t="s">
        <v>23772</v>
      </c>
      <c r="J29" s="17">
        <v>1</v>
      </c>
      <c r="K29" s="17">
        <v>0</v>
      </c>
      <c r="L29" s="17" t="s">
        <v>23773</v>
      </c>
      <c r="M29" s="19" t="s">
        <v>101</v>
      </c>
      <c r="N29" s="17" t="s">
        <v>23774</v>
      </c>
      <c r="O29" s="17" t="s">
        <v>10301</v>
      </c>
      <c r="P29" s="17" t="str">
        <f>HYPERLINK("https://dexscreener.com/solana/6WSppYPevaDEZxdmW2WoHLoSnJMeVyqz8Rqkm8MCpump", "View")</f>
        <v>View</v>
      </c>
    </row>
    <row r="30" spans="1:16" x14ac:dyDescent="0.25">
      <c r="A30" s="13" t="s">
        <v>10480</v>
      </c>
      <c r="B30" s="14">
        <v>456436</v>
      </c>
      <c r="C30" s="14">
        <v>342327</v>
      </c>
      <c r="D30" s="14" t="s">
        <v>14207</v>
      </c>
      <c r="E30" s="14" t="s">
        <v>5573</v>
      </c>
      <c r="F30" s="14" t="s">
        <v>13822</v>
      </c>
      <c r="G30" s="21" t="s">
        <v>23775</v>
      </c>
      <c r="H30" s="21" t="s">
        <v>23776</v>
      </c>
      <c r="I30" s="14" t="s">
        <v>88</v>
      </c>
      <c r="J30" s="14">
        <v>1</v>
      </c>
      <c r="K30" s="14">
        <v>2</v>
      </c>
      <c r="L30" s="14" t="s">
        <v>23777</v>
      </c>
      <c r="M30" s="14" t="s">
        <v>117</v>
      </c>
      <c r="N30" s="14" t="s">
        <v>23778</v>
      </c>
      <c r="O30" s="14" t="s">
        <v>10484</v>
      </c>
      <c r="P30" s="14" t="str">
        <f>HYPERLINK("https://dexscreener.com/solana/4ytpWfVCpJ2nSjahbioPkejnLVBsc7FGZi2hCojppump", "View")</f>
        <v>View</v>
      </c>
    </row>
    <row r="31" spans="1:16" x14ac:dyDescent="0.25">
      <c r="A31" s="16" t="s">
        <v>10470</v>
      </c>
      <c r="B31" s="17">
        <v>136587</v>
      </c>
      <c r="C31" s="17">
        <v>0</v>
      </c>
      <c r="D31" s="17" t="s">
        <v>4372</v>
      </c>
      <c r="E31" s="17" t="s">
        <v>5573</v>
      </c>
      <c r="F31" s="17" t="s">
        <v>96</v>
      </c>
      <c r="G31" s="18" t="s">
        <v>2522</v>
      </c>
      <c r="H31" s="18" t="s">
        <v>98</v>
      </c>
      <c r="I31" s="17" t="s">
        <v>23779</v>
      </c>
      <c r="J31" s="17">
        <v>1</v>
      </c>
      <c r="K31" s="17">
        <v>0</v>
      </c>
      <c r="L31" s="17" t="s">
        <v>23780</v>
      </c>
      <c r="M31" s="19" t="s">
        <v>101</v>
      </c>
      <c r="N31" s="17" t="s">
        <v>23781</v>
      </c>
      <c r="O31" s="17" t="s">
        <v>10474</v>
      </c>
      <c r="P31" s="17" t="str">
        <f>HYPERLINK("https://dexscreener.com/solana/EAJwKJz2zPqvHdvfFfQ8o2Fa57G82UuZ9ZTnkMYPpump", "View")</f>
        <v>View</v>
      </c>
    </row>
    <row r="32" spans="1:16" x14ac:dyDescent="0.25">
      <c r="A32" s="13" t="s">
        <v>10697</v>
      </c>
      <c r="B32" s="14">
        <v>2852</v>
      </c>
      <c r="C32" s="14">
        <v>0</v>
      </c>
      <c r="D32" s="14" t="s">
        <v>14207</v>
      </c>
      <c r="E32" s="14" t="s">
        <v>23782</v>
      </c>
      <c r="F32" s="14" t="s">
        <v>96</v>
      </c>
      <c r="G32" s="18" t="s">
        <v>18200</v>
      </c>
      <c r="H32" s="18" t="s">
        <v>98</v>
      </c>
      <c r="I32" s="14" t="s">
        <v>23783</v>
      </c>
      <c r="J32" s="14">
        <v>3</v>
      </c>
      <c r="K32" s="14">
        <v>0</v>
      </c>
      <c r="L32" s="14" t="s">
        <v>23784</v>
      </c>
      <c r="M32" s="14" t="s">
        <v>3180</v>
      </c>
      <c r="N32" s="14" t="s">
        <v>23785</v>
      </c>
      <c r="O32" s="14" t="s">
        <v>10702</v>
      </c>
      <c r="P32" s="14" t="str">
        <f>HYPERLINK("https://dexscreener.com/solana/92EcDYWSA9YRhtmPWzUFqPyzDfkjF7AkF8AxVJt5LXYM", "View")</f>
        <v>View</v>
      </c>
    </row>
    <row r="33" spans="1:16" x14ac:dyDescent="0.25">
      <c r="A33" s="16" t="s">
        <v>4540</v>
      </c>
      <c r="B33" s="17">
        <v>15200</v>
      </c>
      <c r="C33" s="17">
        <v>0</v>
      </c>
      <c r="D33" s="17" t="s">
        <v>4389</v>
      </c>
      <c r="E33" s="17" t="s">
        <v>9597</v>
      </c>
      <c r="F33" s="17" t="s">
        <v>96</v>
      </c>
      <c r="G33" s="18" t="s">
        <v>21730</v>
      </c>
      <c r="H33" s="18" t="s">
        <v>98</v>
      </c>
      <c r="I33" s="17" t="s">
        <v>23786</v>
      </c>
      <c r="J33" s="17">
        <v>2</v>
      </c>
      <c r="K33" s="17">
        <v>0</v>
      </c>
      <c r="L33" s="17" t="s">
        <v>23787</v>
      </c>
      <c r="M33" s="17" t="s">
        <v>3180</v>
      </c>
      <c r="N33" s="17" t="s">
        <v>23788</v>
      </c>
      <c r="O33" s="17" t="s">
        <v>4544</v>
      </c>
      <c r="P33" s="17" t="str">
        <f>HYPERLINK("https://dexscreener.com/solana/5AFpf9H8CPpmHe9gmwZYQPtup3MDZ887PUxvY1yapump", "View")</f>
        <v>View</v>
      </c>
    </row>
    <row r="34" spans="1:16" x14ac:dyDescent="0.25">
      <c r="A34" s="13" t="s">
        <v>10509</v>
      </c>
      <c r="B34" s="14">
        <v>1614225</v>
      </c>
      <c r="C34" s="14">
        <v>1513336</v>
      </c>
      <c r="D34" s="14" t="s">
        <v>4519</v>
      </c>
      <c r="E34" s="14" t="s">
        <v>5572</v>
      </c>
      <c r="F34" s="14" t="s">
        <v>23789</v>
      </c>
      <c r="G34" s="21" t="s">
        <v>10997</v>
      </c>
      <c r="H34" s="21" t="s">
        <v>23790</v>
      </c>
      <c r="I34" s="14" t="s">
        <v>88</v>
      </c>
      <c r="J34" s="14">
        <v>1</v>
      </c>
      <c r="K34" s="14">
        <v>4</v>
      </c>
      <c r="L34" s="14" t="s">
        <v>23791</v>
      </c>
      <c r="M34" s="14" t="s">
        <v>5729</v>
      </c>
      <c r="N34" s="14" t="s">
        <v>23792</v>
      </c>
      <c r="O34" s="14" t="s">
        <v>10515</v>
      </c>
      <c r="P34" s="14" t="str">
        <f>HYPERLINK("https://dexscreener.com/solana/8XgSvP4iMbBeQDnC9i4odSGeG4h3QoLJ58avjLBnpump", "View")</f>
        <v>View</v>
      </c>
    </row>
    <row r="35" spans="1:16" x14ac:dyDescent="0.25">
      <c r="A35" s="16" t="s">
        <v>10585</v>
      </c>
      <c r="B35" s="17">
        <v>416975</v>
      </c>
      <c r="C35" s="17">
        <v>0</v>
      </c>
      <c r="D35" s="17" t="s">
        <v>4372</v>
      </c>
      <c r="E35" s="17" t="s">
        <v>5572</v>
      </c>
      <c r="F35" s="17" t="s">
        <v>96</v>
      </c>
      <c r="G35" s="18" t="s">
        <v>23793</v>
      </c>
      <c r="H35" s="18" t="s">
        <v>98</v>
      </c>
      <c r="I35" s="17" t="s">
        <v>23794</v>
      </c>
      <c r="J35" s="17">
        <v>1</v>
      </c>
      <c r="K35" s="17">
        <v>0</v>
      </c>
      <c r="L35" s="17" t="s">
        <v>23795</v>
      </c>
      <c r="M35" s="19" t="s">
        <v>101</v>
      </c>
      <c r="N35" s="17" t="s">
        <v>23796</v>
      </c>
      <c r="O35" s="17" t="s">
        <v>10591</v>
      </c>
      <c r="P35" s="17" t="str">
        <f>HYPERLINK("https://dexscreener.com/solana/BfUfnLMCNwKYamhJXzaxgUmFjrGFHdkjRLAxeaxqpump", "View")</f>
        <v>View</v>
      </c>
    </row>
    <row r="36" spans="1:16" x14ac:dyDescent="0.25">
      <c r="A36" s="13" t="s">
        <v>23797</v>
      </c>
      <c r="B36" s="14">
        <v>102789</v>
      </c>
      <c r="C36" s="14">
        <v>0</v>
      </c>
      <c r="D36" s="14" t="s">
        <v>4372</v>
      </c>
      <c r="E36" s="14" t="s">
        <v>2200</v>
      </c>
      <c r="F36" s="14" t="s">
        <v>96</v>
      </c>
      <c r="G36" s="18" t="s">
        <v>4464</v>
      </c>
      <c r="H36" s="18" t="s">
        <v>98</v>
      </c>
      <c r="I36" s="14" t="s">
        <v>23798</v>
      </c>
      <c r="J36" s="14">
        <v>1</v>
      </c>
      <c r="K36" s="14">
        <v>0</v>
      </c>
      <c r="L36" s="14" t="s">
        <v>23799</v>
      </c>
      <c r="M36" s="19" t="s">
        <v>101</v>
      </c>
      <c r="N36" s="14" t="s">
        <v>23800</v>
      </c>
      <c r="O36" s="14" t="s">
        <v>23801</v>
      </c>
      <c r="P36" s="14" t="str">
        <f>HYPERLINK("https://dexscreener.com/solana/DuxiyDpEPM4y5cDxUiX81mST8W82XVS5i8N6AnsWYiUe", "View")</f>
        <v>View</v>
      </c>
    </row>
    <row r="37" spans="1:16" x14ac:dyDescent="0.25">
      <c r="A37" s="16" t="s">
        <v>18850</v>
      </c>
      <c r="B37" s="17">
        <v>360844</v>
      </c>
      <c r="C37" s="17">
        <v>0</v>
      </c>
      <c r="D37" s="17" t="s">
        <v>4372</v>
      </c>
      <c r="E37" s="17" t="s">
        <v>1007</v>
      </c>
      <c r="F37" s="17" t="s">
        <v>96</v>
      </c>
      <c r="G37" s="18" t="s">
        <v>4469</v>
      </c>
      <c r="H37" s="18" t="s">
        <v>98</v>
      </c>
      <c r="I37" s="17" t="s">
        <v>23802</v>
      </c>
      <c r="J37" s="17">
        <v>1</v>
      </c>
      <c r="K37" s="17">
        <v>0</v>
      </c>
      <c r="L37" s="17" t="s">
        <v>23803</v>
      </c>
      <c r="M37" s="19" t="s">
        <v>101</v>
      </c>
      <c r="N37" s="17" t="s">
        <v>23804</v>
      </c>
      <c r="O37" s="17" t="s">
        <v>18854</v>
      </c>
      <c r="P37" s="17" t="str">
        <f>HYPERLINK("https://dexscreener.com/solana/D389xMs9JUEsPA1w4itsT6cN3vFwYmpQSmsvvdj2g1jX", "View")</f>
        <v>View</v>
      </c>
    </row>
    <row r="38" spans="1:16" x14ac:dyDescent="0.25">
      <c r="A38" s="13" t="s">
        <v>21109</v>
      </c>
      <c r="B38" s="14">
        <v>5322355</v>
      </c>
      <c r="C38" s="14">
        <v>5322355</v>
      </c>
      <c r="D38" s="14" t="s">
        <v>4389</v>
      </c>
      <c r="E38" s="14" t="s">
        <v>15038</v>
      </c>
      <c r="F38" s="14" t="s">
        <v>5752</v>
      </c>
      <c r="G38" s="20" t="s">
        <v>3537</v>
      </c>
      <c r="H38" s="20" t="s">
        <v>23805</v>
      </c>
      <c r="I38" s="14" t="s">
        <v>88</v>
      </c>
      <c r="J38" s="14">
        <v>1</v>
      </c>
      <c r="K38" s="14">
        <v>1</v>
      </c>
      <c r="L38" s="14" t="s">
        <v>23806</v>
      </c>
      <c r="M38" s="14" t="s">
        <v>179</v>
      </c>
      <c r="N38" s="14" t="s">
        <v>507</v>
      </c>
      <c r="O38" s="14" t="s">
        <v>23807</v>
      </c>
      <c r="P38" s="14" t="str">
        <f>HYPERLINK("https://photon-sol.tinyastro.io/en/lp/FiSH52XZpp6hvd2rTf4hAhczAWeTH2czPCaE8Fyppump?handle=676050794bc1b1657a56b", "View")</f>
        <v>View</v>
      </c>
    </row>
    <row r="39" spans="1:16" x14ac:dyDescent="0.25">
      <c r="A39" s="16" t="s">
        <v>23808</v>
      </c>
      <c r="B39" s="17">
        <v>12058</v>
      </c>
      <c r="C39" s="17">
        <v>12058</v>
      </c>
      <c r="D39" s="17" t="s">
        <v>4389</v>
      </c>
      <c r="E39" s="17" t="s">
        <v>1007</v>
      </c>
      <c r="F39" s="17" t="s">
        <v>3184</v>
      </c>
      <c r="G39" s="22" t="s">
        <v>15950</v>
      </c>
      <c r="H39" s="22" t="s">
        <v>23809</v>
      </c>
      <c r="I39" s="17" t="s">
        <v>88</v>
      </c>
      <c r="J39" s="17">
        <v>1</v>
      </c>
      <c r="K39" s="17">
        <v>1</v>
      </c>
      <c r="L39" s="17" t="s">
        <v>23810</v>
      </c>
      <c r="M39" s="17" t="s">
        <v>479</v>
      </c>
      <c r="N39" s="17" t="s">
        <v>23811</v>
      </c>
      <c r="O39" s="17" t="s">
        <v>23812</v>
      </c>
      <c r="P39" s="17" t="str">
        <f>HYPERLINK("https://dexscreener.com/solana/8WnQQRbuEZ3CCDbH5MCVioBbw6o75NKANq9WdPhBDsWo", "View")</f>
        <v>View</v>
      </c>
    </row>
    <row r="40" spans="1:16" x14ac:dyDescent="0.25">
      <c r="A40" s="13" t="s">
        <v>4498</v>
      </c>
      <c r="B40" s="14">
        <v>87415</v>
      </c>
      <c r="C40" s="14">
        <v>0</v>
      </c>
      <c r="D40" s="14" t="s">
        <v>4389</v>
      </c>
      <c r="E40" s="14" t="s">
        <v>3404</v>
      </c>
      <c r="F40" s="14" t="s">
        <v>96</v>
      </c>
      <c r="G40" s="18" t="s">
        <v>15162</v>
      </c>
      <c r="H40" s="18" t="s">
        <v>98</v>
      </c>
      <c r="I40" s="14" t="s">
        <v>23813</v>
      </c>
      <c r="J40" s="14">
        <v>2</v>
      </c>
      <c r="K40" s="14">
        <v>0</v>
      </c>
      <c r="L40" s="14" t="s">
        <v>23814</v>
      </c>
      <c r="M40" s="14" t="s">
        <v>1957</v>
      </c>
      <c r="N40" s="14" t="s">
        <v>507</v>
      </c>
      <c r="O40" s="14" t="s">
        <v>23815</v>
      </c>
      <c r="P40" s="14" t="str">
        <f>HYPERLINK("https://dexscreener.com/solana/moocsmf9ZJ2UYg6ShNQSrQNBChWqCNAenGuebFBZ6Hq", "View")</f>
        <v>View</v>
      </c>
    </row>
    <row r="41" spans="1:16" x14ac:dyDescent="0.25">
      <c r="A41" s="16" t="s">
        <v>23816</v>
      </c>
      <c r="B41" s="17">
        <v>93819</v>
      </c>
      <c r="C41" s="17">
        <v>93819</v>
      </c>
      <c r="D41" s="17" t="s">
        <v>4389</v>
      </c>
      <c r="E41" s="17" t="s">
        <v>1007</v>
      </c>
      <c r="F41" s="17" t="s">
        <v>23817</v>
      </c>
      <c r="G41" s="22" t="s">
        <v>4982</v>
      </c>
      <c r="H41" s="22" t="s">
        <v>23818</v>
      </c>
      <c r="I41" s="17" t="s">
        <v>88</v>
      </c>
      <c r="J41" s="17">
        <v>1</v>
      </c>
      <c r="K41" s="17">
        <v>1</v>
      </c>
      <c r="L41" s="17" t="s">
        <v>23819</v>
      </c>
      <c r="M41" s="17" t="s">
        <v>823</v>
      </c>
      <c r="N41" s="17" t="s">
        <v>23820</v>
      </c>
      <c r="O41" s="17" t="s">
        <v>23821</v>
      </c>
      <c r="P41" s="17" t="str">
        <f>HYPERLINK("https://dexscreener.com/solana/GVmFmB4KW8uXRfjiwbh9JcCRCBFtKy5SQ2BFvdoipump", "View")</f>
        <v>View</v>
      </c>
    </row>
    <row r="42" spans="1:16" x14ac:dyDescent="0.25">
      <c r="A42" s="13" t="s">
        <v>23822</v>
      </c>
      <c r="B42" s="14">
        <v>391579</v>
      </c>
      <c r="C42" s="14">
        <v>391579</v>
      </c>
      <c r="D42" s="14" t="s">
        <v>4379</v>
      </c>
      <c r="E42" s="14" t="s">
        <v>4499</v>
      </c>
      <c r="F42" s="14" t="s">
        <v>23823</v>
      </c>
      <c r="G42" s="22" t="s">
        <v>5705</v>
      </c>
      <c r="H42" s="22" t="s">
        <v>23824</v>
      </c>
      <c r="I42" s="14" t="s">
        <v>88</v>
      </c>
      <c r="J42" s="14">
        <v>2</v>
      </c>
      <c r="K42" s="14">
        <v>2</v>
      </c>
      <c r="L42" s="14" t="s">
        <v>23825</v>
      </c>
      <c r="M42" s="14" t="s">
        <v>414</v>
      </c>
      <c r="N42" s="14" t="s">
        <v>23826</v>
      </c>
      <c r="O42" s="14" t="s">
        <v>23827</v>
      </c>
      <c r="P42" s="14" t="str">
        <f>HYPERLINK("https://dexscreener.com/solana/3Sx6ZuHGbzi24mhR8QfRNyXQXgJFH5H295rzELwRpump", "View")</f>
        <v>View</v>
      </c>
    </row>
    <row r="43" spans="1:16" x14ac:dyDescent="0.25">
      <c r="A43" s="16" t="s">
        <v>23828</v>
      </c>
      <c r="B43" s="17">
        <v>2725026</v>
      </c>
      <c r="C43" s="17">
        <v>2725026</v>
      </c>
      <c r="D43" s="17" t="s">
        <v>4389</v>
      </c>
      <c r="E43" s="17" t="s">
        <v>2200</v>
      </c>
      <c r="F43" s="17" t="s">
        <v>21364</v>
      </c>
      <c r="G43" s="20" t="s">
        <v>1945</v>
      </c>
      <c r="H43" s="20" t="s">
        <v>23829</v>
      </c>
      <c r="I43" s="17" t="s">
        <v>88</v>
      </c>
      <c r="J43" s="17">
        <v>1</v>
      </c>
      <c r="K43" s="17">
        <v>1</v>
      </c>
      <c r="L43" s="17" t="s">
        <v>23830</v>
      </c>
      <c r="M43" s="17" t="s">
        <v>1986</v>
      </c>
      <c r="N43" s="17" t="s">
        <v>23831</v>
      </c>
      <c r="O43" s="17" t="s">
        <v>23832</v>
      </c>
      <c r="P43" s="17" t="str">
        <f>HYPERLINK("https://dexscreener.com/solana/BPVsFydrR15TKG2cojUmihkBEgRBJSTT51yV3XxVpump", "View")</f>
        <v>View</v>
      </c>
    </row>
    <row r="44" spans="1:16" x14ac:dyDescent="0.25">
      <c r="A44" s="13" t="s">
        <v>23833</v>
      </c>
      <c r="B44" s="14">
        <v>28587</v>
      </c>
      <c r="C44" s="14">
        <v>0</v>
      </c>
      <c r="D44" s="14" t="s">
        <v>4389</v>
      </c>
      <c r="E44" s="14" t="s">
        <v>1457</v>
      </c>
      <c r="F44" s="14" t="s">
        <v>96</v>
      </c>
      <c r="G44" s="18" t="s">
        <v>952</v>
      </c>
      <c r="H44" s="18" t="s">
        <v>98</v>
      </c>
      <c r="I44" s="14" t="s">
        <v>23834</v>
      </c>
      <c r="J44" s="14">
        <v>2</v>
      </c>
      <c r="K44" s="14">
        <v>0</v>
      </c>
      <c r="L44" s="14" t="s">
        <v>23835</v>
      </c>
      <c r="M44" s="14" t="s">
        <v>745</v>
      </c>
      <c r="N44" s="14" t="s">
        <v>23836</v>
      </c>
      <c r="O44" s="14" t="s">
        <v>23837</v>
      </c>
      <c r="P44" s="14" t="str">
        <f>HYPERLINK("https://dexscreener.com/solana/DUp2qMMGuACziKeyZRtH9cuKyqtYpqJ24iZg6tVLpump", "View")</f>
        <v>View</v>
      </c>
    </row>
    <row r="45" spans="1:16" x14ac:dyDescent="0.25">
      <c r="A45" s="16" t="s">
        <v>23838</v>
      </c>
      <c r="B45" s="17">
        <v>19665</v>
      </c>
      <c r="C45" s="17">
        <v>0</v>
      </c>
      <c r="D45" s="17" t="s">
        <v>4389</v>
      </c>
      <c r="E45" s="17" t="s">
        <v>5346</v>
      </c>
      <c r="F45" s="17" t="s">
        <v>96</v>
      </c>
      <c r="G45" s="18" t="s">
        <v>1977</v>
      </c>
      <c r="H45" s="18" t="s">
        <v>98</v>
      </c>
      <c r="I45" s="17" t="s">
        <v>23839</v>
      </c>
      <c r="J45" s="17">
        <v>2</v>
      </c>
      <c r="K45" s="17">
        <v>0</v>
      </c>
      <c r="L45" s="17" t="s">
        <v>23840</v>
      </c>
      <c r="M45" s="17" t="s">
        <v>602</v>
      </c>
      <c r="N45" s="17" t="s">
        <v>23841</v>
      </c>
      <c r="O45" s="17" t="s">
        <v>23842</v>
      </c>
      <c r="P45" s="17" t="str">
        <f>HYPERLINK("https://dexscreener.com/solana/AEkR2P2DyhLCaWCk9geHBoQXq7Chv2K6Mnb8S9yTpump", "View")</f>
        <v>View</v>
      </c>
    </row>
    <row r="46" spans="1:16" x14ac:dyDescent="0.25">
      <c r="A46" s="13" t="s">
        <v>15388</v>
      </c>
      <c r="B46" s="14">
        <v>379381</v>
      </c>
      <c r="C46" s="14">
        <v>189690</v>
      </c>
      <c r="D46" s="14" t="s">
        <v>14207</v>
      </c>
      <c r="E46" s="14" t="s">
        <v>1007</v>
      </c>
      <c r="F46" s="14" t="s">
        <v>21715</v>
      </c>
      <c r="G46" s="22" t="s">
        <v>5837</v>
      </c>
      <c r="H46" s="22" t="s">
        <v>23843</v>
      </c>
      <c r="I46" s="14" t="s">
        <v>88</v>
      </c>
      <c r="J46" s="14">
        <v>2</v>
      </c>
      <c r="K46" s="14">
        <v>1</v>
      </c>
      <c r="L46" s="14" t="s">
        <v>23844</v>
      </c>
      <c r="M46" s="14" t="s">
        <v>680</v>
      </c>
      <c r="N46" s="14" t="s">
        <v>23845</v>
      </c>
      <c r="O46" s="14" t="s">
        <v>23846</v>
      </c>
      <c r="P46" s="14" t="str">
        <f>HYPERLINK("https://dexscreener.com/solana/123fJ8eJ3KeMaAsSXAaCE1B17xjAYHuGa3Wt7cwkpump", "View")</f>
        <v>View</v>
      </c>
    </row>
    <row r="47" spans="1:16" x14ac:dyDescent="0.25">
      <c r="A47" s="16" t="s">
        <v>4498</v>
      </c>
      <c r="B47" s="17">
        <v>2651</v>
      </c>
      <c r="C47" s="17">
        <v>2651</v>
      </c>
      <c r="D47" s="17" t="s">
        <v>14207</v>
      </c>
      <c r="E47" s="17" t="s">
        <v>1007</v>
      </c>
      <c r="F47" s="17" t="s">
        <v>23847</v>
      </c>
      <c r="G47" s="21" t="s">
        <v>23848</v>
      </c>
      <c r="H47" s="21" t="s">
        <v>23849</v>
      </c>
      <c r="I47" s="17" t="s">
        <v>88</v>
      </c>
      <c r="J47" s="17">
        <v>1</v>
      </c>
      <c r="K47" s="17">
        <v>2</v>
      </c>
      <c r="L47" s="17" t="s">
        <v>23850</v>
      </c>
      <c r="M47" s="17" t="s">
        <v>2145</v>
      </c>
      <c r="N47" s="17" t="s">
        <v>23851</v>
      </c>
      <c r="O47" s="17" t="s">
        <v>4505</v>
      </c>
      <c r="P47" s="17" t="str">
        <f>HYPERLINK("https://dexscreener.com/solana/ED5nyyWEzpPPiWimP8vYm7sD7TD3LAt3Q3gRTWHzPJBY", "View")</f>
        <v>View</v>
      </c>
    </row>
    <row r="48" spans="1:16" x14ac:dyDescent="0.25">
      <c r="A48" s="13" t="s">
        <v>23852</v>
      </c>
      <c r="B48" s="14">
        <v>58403</v>
      </c>
      <c r="C48" s="14">
        <v>0</v>
      </c>
      <c r="D48" s="14" t="s">
        <v>4372</v>
      </c>
      <c r="E48" s="14" t="s">
        <v>4679</v>
      </c>
      <c r="F48" s="14" t="s">
        <v>96</v>
      </c>
      <c r="G48" s="18" t="s">
        <v>23853</v>
      </c>
      <c r="H48" s="18" t="s">
        <v>98</v>
      </c>
      <c r="I48" s="14" t="s">
        <v>23854</v>
      </c>
      <c r="J48" s="14">
        <v>1</v>
      </c>
      <c r="K48" s="14">
        <v>0</v>
      </c>
      <c r="L48" s="14" t="s">
        <v>23855</v>
      </c>
      <c r="M48" s="19" t="s">
        <v>101</v>
      </c>
      <c r="N48" s="14" t="s">
        <v>23856</v>
      </c>
      <c r="O48" s="14" t="s">
        <v>23857</v>
      </c>
      <c r="P48" s="14" t="str">
        <f>HYPERLINK("https://dexscreener.com/solana/CZcArp1tnaw6NJ6pquyCA2c7RygRRBeN1PkA2bGPpump", "View")</f>
        <v>View</v>
      </c>
    </row>
    <row r="49" spans="1:16" x14ac:dyDescent="0.25">
      <c r="A49" s="16" t="s">
        <v>23858</v>
      </c>
      <c r="B49" s="17">
        <v>28241</v>
      </c>
      <c r="C49" s="17">
        <v>0</v>
      </c>
      <c r="D49" s="17" t="s">
        <v>4372</v>
      </c>
      <c r="E49" s="17" t="s">
        <v>2200</v>
      </c>
      <c r="F49" s="17" t="s">
        <v>96</v>
      </c>
      <c r="G49" s="18" t="s">
        <v>4464</v>
      </c>
      <c r="H49" s="18" t="s">
        <v>98</v>
      </c>
      <c r="I49" s="17" t="s">
        <v>23859</v>
      </c>
      <c r="J49" s="17">
        <v>1</v>
      </c>
      <c r="K49" s="17">
        <v>0</v>
      </c>
      <c r="L49" s="17" t="s">
        <v>23860</v>
      </c>
      <c r="M49" s="19" t="s">
        <v>101</v>
      </c>
      <c r="N49" s="17" t="s">
        <v>23861</v>
      </c>
      <c r="O49" s="17" t="s">
        <v>23862</v>
      </c>
      <c r="P49" s="17" t="str">
        <f>HYPERLINK("https://dexscreener.com/solana/8Lqgcs9hhbu49iwwFReDhNWQVJfnENpG4JGx9Afvpump", "View")</f>
        <v>View</v>
      </c>
    </row>
    <row r="50" spans="1:16" x14ac:dyDescent="0.25">
      <c r="A50" s="13" t="s">
        <v>23863</v>
      </c>
      <c r="B50" s="14">
        <v>43376</v>
      </c>
      <c r="C50" s="14">
        <v>0</v>
      </c>
      <c r="D50" s="14" t="s">
        <v>4389</v>
      </c>
      <c r="E50" s="14" t="s">
        <v>2200</v>
      </c>
      <c r="F50" s="14" t="s">
        <v>96</v>
      </c>
      <c r="G50" s="18" t="s">
        <v>12282</v>
      </c>
      <c r="H50" s="18" t="s">
        <v>98</v>
      </c>
      <c r="I50" s="14" t="s">
        <v>23864</v>
      </c>
      <c r="J50" s="14">
        <v>2</v>
      </c>
      <c r="K50" s="14">
        <v>0</v>
      </c>
      <c r="L50" s="14" t="s">
        <v>23865</v>
      </c>
      <c r="M50" s="14" t="s">
        <v>788</v>
      </c>
      <c r="N50" s="14" t="s">
        <v>23866</v>
      </c>
      <c r="O50" s="14" t="s">
        <v>23867</v>
      </c>
      <c r="P50" s="14" t="str">
        <f>HYPERLINK("https://dexscreener.com/solana/H52CAqEJXY9dmPJChvi86cUR3vLEobUhu7B9wBMppump", "View")</f>
        <v>View</v>
      </c>
    </row>
    <row r="51" spans="1:16" x14ac:dyDescent="0.25">
      <c r="A51" s="16" t="s">
        <v>23868</v>
      </c>
      <c r="B51" s="17">
        <v>28943</v>
      </c>
      <c r="C51" s="17">
        <v>0</v>
      </c>
      <c r="D51" s="17" t="s">
        <v>4372</v>
      </c>
      <c r="E51" s="17" t="s">
        <v>2200</v>
      </c>
      <c r="F51" s="17" t="s">
        <v>96</v>
      </c>
      <c r="G51" s="18" t="s">
        <v>4464</v>
      </c>
      <c r="H51" s="18" t="s">
        <v>98</v>
      </c>
      <c r="I51" s="17" t="s">
        <v>23869</v>
      </c>
      <c r="J51" s="17">
        <v>1</v>
      </c>
      <c r="K51" s="17">
        <v>0</v>
      </c>
      <c r="L51" s="17" t="s">
        <v>23870</v>
      </c>
      <c r="M51" s="19" t="s">
        <v>101</v>
      </c>
      <c r="N51" s="17" t="s">
        <v>23871</v>
      </c>
      <c r="O51" s="17" t="s">
        <v>23872</v>
      </c>
      <c r="P51" s="17" t="str">
        <f>HYPERLINK("https://dexscreener.com/solana/8V4RtPRHdAjuSE5cPijYoAnTEUk3NHJp3RoxCCqppump", "View")</f>
        <v>View</v>
      </c>
    </row>
    <row r="52" spans="1:16" x14ac:dyDescent="0.25">
      <c r="A52" s="13" t="s">
        <v>4561</v>
      </c>
      <c r="B52" s="14">
        <v>20113197</v>
      </c>
      <c r="C52" s="14">
        <v>20113197</v>
      </c>
      <c r="D52" s="14" t="s">
        <v>4389</v>
      </c>
      <c r="E52" s="14" t="s">
        <v>2200</v>
      </c>
      <c r="F52" s="14" t="s">
        <v>10587</v>
      </c>
      <c r="G52" s="20" t="s">
        <v>4880</v>
      </c>
      <c r="H52" s="20" t="s">
        <v>15195</v>
      </c>
      <c r="I52" s="14" t="s">
        <v>88</v>
      </c>
      <c r="J52" s="14">
        <v>1</v>
      </c>
      <c r="K52" s="14">
        <v>1</v>
      </c>
      <c r="L52" s="14" t="s">
        <v>23873</v>
      </c>
      <c r="M52" s="14" t="s">
        <v>1714</v>
      </c>
      <c r="N52" s="14" t="s">
        <v>23874</v>
      </c>
      <c r="O52" s="14" t="s">
        <v>4567</v>
      </c>
      <c r="P52" s="14" t="str">
        <f>HYPERLINK("https://dexscreener.com/solana/GinNabffZL4fUj9Vactxha74GDAW8kDPGaHqMtMzps2f", "View")</f>
        <v>View</v>
      </c>
    </row>
    <row r="53" spans="1:16" x14ac:dyDescent="0.25">
      <c r="A53" s="16" t="s">
        <v>1529</v>
      </c>
      <c r="B53" s="17">
        <v>29813</v>
      </c>
      <c r="C53" s="17">
        <v>0</v>
      </c>
      <c r="D53" s="17" t="s">
        <v>4389</v>
      </c>
      <c r="E53" s="17" t="s">
        <v>8978</v>
      </c>
      <c r="F53" s="17" t="s">
        <v>96</v>
      </c>
      <c r="G53" s="18" t="s">
        <v>23853</v>
      </c>
      <c r="H53" s="18" t="s">
        <v>98</v>
      </c>
      <c r="I53" s="17" t="s">
        <v>23875</v>
      </c>
      <c r="J53" s="17">
        <v>2</v>
      </c>
      <c r="K53" s="17">
        <v>0</v>
      </c>
      <c r="L53" s="17" t="s">
        <v>23876</v>
      </c>
      <c r="M53" s="17" t="s">
        <v>1434</v>
      </c>
      <c r="N53" s="17" t="s">
        <v>23877</v>
      </c>
      <c r="O53" s="17" t="s">
        <v>1535</v>
      </c>
      <c r="P53" s="17" t="str">
        <f>HYPERLINK("https://dexscreener.com/solana/aeAFefDk8CZeyjvP3nZ5yRutB6oAfQnhvoh9jZMpump", "View")</f>
        <v>View</v>
      </c>
    </row>
    <row r="54" spans="1:16" x14ac:dyDescent="0.25">
      <c r="A54" s="13" t="s">
        <v>23878</v>
      </c>
      <c r="B54" s="14">
        <v>200427</v>
      </c>
      <c r="C54" s="14">
        <v>0</v>
      </c>
      <c r="D54" s="14" t="s">
        <v>4372</v>
      </c>
      <c r="E54" s="14" t="s">
        <v>5572</v>
      </c>
      <c r="F54" s="14" t="s">
        <v>96</v>
      </c>
      <c r="G54" s="18" t="s">
        <v>23793</v>
      </c>
      <c r="H54" s="18" t="s">
        <v>98</v>
      </c>
      <c r="I54" s="14" t="s">
        <v>23879</v>
      </c>
      <c r="J54" s="14">
        <v>1</v>
      </c>
      <c r="K54" s="14">
        <v>0</v>
      </c>
      <c r="L54" s="14" t="s">
        <v>23880</v>
      </c>
      <c r="M54" s="19" t="s">
        <v>101</v>
      </c>
      <c r="N54" s="14" t="s">
        <v>23881</v>
      </c>
      <c r="O54" s="14" t="s">
        <v>23882</v>
      </c>
      <c r="P54" s="14" t="str">
        <f>HYPERLINK("https://dexscreener.com/solana/D1NuwvG2rtM5Z7bCSsVemiMD2Kiz5jcrhF6qUjeFpump", "View")</f>
        <v>View</v>
      </c>
    </row>
    <row r="55" spans="1:16" x14ac:dyDescent="0.25">
      <c r="A55" s="16" t="s">
        <v>23883</v>
      </c>
      <c r="B55" s="17">
        <v>88825</v>
      </c>
      <c r="C55" s="17">
        <v>0</v>
      </c>
      <c r="D55" s="17" t="s">
        <v>4389</v>
      </c>
      <c r="E55" s="17" t="s">
        <v>2200</v>
      </c>
      <c r="F55" s="17" t="s">
        <v>96</v>
      </c>
      <c r="G55" s="18" t="s">
        <v>12282</v>
      </c>
      <c r="H55" s="18" t="s">
        <v>98</v>
      </c>
      <c r="I55" s="17" t="s">
        <v>23884</v>
      </c>
      <c r="J55" s="17">
        <v>2</v>
      </c>
      <c r="K55" s="17">
        <v>0</v>
      </c>
      <c r="L55" s="17" t="s">
        <v>23885</v>
      </c>
      <c r="M55" s="17" t="s">
        <v>1610</v>
      </c>
      <c r="N55" s="17" t="s">
        <v>23886</v>
      </c>
      <c r="O55" s="17" t="s">
        <v>23887</v>
      </c>
      <c r="P55" s="17" t="str">
        <f>HYPERLINK("https://dexscreener.com/solana/LZ1kBxMEtGiwfv3u1YFvkgHibcndUXQ74Tagq6cpump", "View")</f>
        <v>View</v>
      </c>
    </row>
    <row r="56" spans="1:16" x14ac:dyDescent="0.25">
      <c r="A56" s="13" t="s">
        <v>23888</v>
      </c>
      <c r="B56" s="14">
        <v>186</v>
      </c>
      <c r="C56" s="14">
        <v>0</v>
      </c>
      <c r="D56" s="14" t="s">
        <v>4372</v>
      </c>
      <c r="E56" s="14" t="s">
        <v>3765</v>
      </c>
      <c r="F56" s="14" t="s">
        <v>96</v>
      </c>
      <c r="G56" s="18" t="s">
        <v>23889</v>
      </c>
      <c r="H56" s="18" t="s">
        <v>98</v>
      </c>
      <c r="I56" s="14" t="s">
        <v>23890</v>
      </c>
      <c r="J56" s="14">
        <v>1</v>
      </c>
      <c r="K56" s="14">
        <v>0</v>
      </c>
      <c r="L56" s="14" t="s">
        <v>23891</v>
      </c>
      <c r="M56" s="19" t="s">
        <v>101</v>
      </c>
      <c r="N56" s="14" t="s">
        <v>23892</v>
      </c>
      <c r="O56" s="14" t="s">
        <v>23893</v>
      </c>
      <c r="P56" s="14" t="str">
        <f>HYPERLINK("https://dexscreener.com/solana/8RtMwBUXyZsPhe13YYCrz8yGheX7XBVdVVFDKzo5fGQU", "View")</f>
        <v>View</v>
      </c>
    </row>
    <row r="57" spans="1:16" x14ac:dyDescent="0.25">
      <c r="A57" s="16" t="s">
        <v>22977</v>
      </c>
      <c r="B57" s="17">
        <v>1985917</v>
      </c>
      <c r="C57" s="17">
        <v>0</v>
      </c>
      <c r="D57" s="17" t="s">
        <v>4372</v>
      </c>
      <c r="E57" s="17" t="s">
        <v>3480</v>
      </c>
      <c r="F57" s="17" t="s">
        <v>96</v>
      </c>
      <c r="G57" s="18" t="s">
        <v>20918</v>
      </c>
      <c r="H57" s="18" t="s">
        <v>98</v>
      </c>
      <c r="I57" s="17" t="s">
        <v>23894</v>
      </c>
      <c r="J57" s="17">
        <v>1</v>
      </c>
      <c r="K57" s="17">
        <v>0</v>
      </c>
      <c r="L57" s="17" t="s">
        <v>23895</v>
      </c>
      <c r="M57" s="19" t="s">
        <v>101</v>
      </c>
      <c r="N57" s="17" t="s">
        <v>507</v>
      </c>
      <c r="O57" s="17" t="s">
        <v>23896</v>
      </c>
      <c r="P57" s="17" t="str">
        <f>HYPERLINK("https://photon-sol.tinyastro.io/en/lp/2YK7PrhNt6xkYeQkMimmStsPCZr5Z3Q1tU6j33EXpump?handle=676050794bc1b1657a56b", "View")</f>
        <v>View</v>
      </c>
    </row>
    <row r="58" spans="1:16" x14ac:dyDescent="0.25">
      <c r="A58" s="13" t="s">
        <v>23897</v>
      </c>
      <c r="B58" s="14">
        <v>35075</v>
      </c>
      <c r="C58" s="14">
        <v>35075</v>
      </c>
      <c r="D58" s="14" t="s">
        <v>4389</v>
      </c>
      <c r="E58" s="14" t="s">
        <v>2200</v>
      </c>
      <c r="F58" s="14" t="s">
        <v>4166</v>
      </c>
      <c r="G58" s="22" t="s">
        <v>5687</v>
      </c>
      <c r="H58" s="22" t="s">
        <v>23898</v>
      </c>
      <c r="I58" s="14" t="s">
        <v>88</v>
      </c>
      <c r="J58" s="14">
        <v>1</v>
      </c>
      <c r="K58" s="14">
        <v>1</v>
      </c>
      <c r="L58" s="14" t="s">
        <v>23899</v>
      </c>
      <c r="M58" s="14" t="s">
        <v>364</v>
      </c>
      <c r="N58" s="14" t="s">
        <v>15910</v>
      </c>
      <c r="O58" s="14" t="s">
        <v>23900</v>
      </c>
      <c r="P58" s="14" t="str">
        <f>HYPERLINK("https://dexscreener.com/solana/9b8jL2wcVjBFpieC5TUR76BDJ6sW8Eghd3fyq5VJmzir", "View")</f>
        <v>View</v>
      </c>
    </row>
    <row r="59" spans="1:16" x14ac:dyDescent="0.25">
      <c r="A59" s="16" t="s">
        <v>23901</v>
      </c>
      <c r="B59" s="17">
        <v>196366</v>
      </c>
      <c r="C59" s="17">
        <v>0</v>
      </c>
      <c r="D59" s="17" t="s">
        <v>14207</v>
      </c>
      <c r="E59" s="17" t="s">
        <v>569</v>
      </c>
      <c r="F59" s="17" t="s">
        <v>96</v>
      </c>
      <c r="G59" s="18" t="s">
        <v>504</v>
      </c>
      <c r="H59" s="18" t="s">
        <v>98</v>
      </c>
      <c r="I59" s="17" t="s">
        <v>23902</v>
      </c>
      <c r="J59" s="17">
        <v>3</v>
      </c>
      <c r="K59" s="17">
        <v>0</v>
      </c>
      <c r="L59" s="17" t="s">
        <v>23903</v>
      </c>
      <c r="M59" s="17" t="s">
        <v>132</v>
      </c>
      <c r="N59" s="17" t="s">
        <v>23904</v>
      </c>
      <c r="O59" s="17" t="s">
        <v>23905</v>
      </c>
      <c r="P59" s="17" t="str">
        <f>HYPERLINK("https://dexscreener.com/solana/AFivsHqtajxcbQmyuZ7TQymx1ypSs6S74dLEY4BGRxXf", "View")</f>
        <v>View</v>
      </c>
    </row>
    <row r="60" spans="1:16" x14ac:dyDescent="0.25">
      <c r="A60" s="13" t="s">
        <v>23906</v>
      </c>
      <c r="B60" s="14">
        <v>12536</v>
      </c>
      <c r="C60" s="14">
        <v>0</v>
      </c>
      <c r="D60" s="14" t="s">
        <v>4372</v>
      </c>
      <c r="E60" s="14" t="s">
        <v>5705</v>
      </c>
      <c r="F60" s="14" t="s">
        <v>96</v>
      </c>
      <c r="G60" s="18" t="s">
        <v>5031</v>
      </c>
      <c r="H60" s="18" t="s">
        <v>98</v>
      </c>
      <c r="I60" s="14" t="s">
        <v>23907</v>
      </c>
      <c r="J60" s="14">
        <v>1</v>
      </c>
      <c r="K60" s="14">
        <v>0</v>
      </c>
      <c r="L60" s="14" t="s">
        <v>23908</v>
      </c>
      <c r="M60" s="19" t="s">
        <v>101</v>
      </c>
      <c r="N60" s="14" t="s">
        <v>23909</v>
      </c>
      <c r="O60" s="14" t="s">
        <v>23910</v>
      </c>
      <c r="P60" s="14" t="str">
        <f>HYPERLINK("https://dexscreener.com/solana/3UuatzSZX8JcAbKtz6NHtSXoZLtbjcdDEoAqNjx8pump", "View")</f>
        <v>View</v>
      </c>
    </row>
    <row r="61" spans="1:16" x14ac:dyDescent="0.25">
      <c r="A61" s="16" t="s">
        <v>23911</v>
      </c>
      <c r="B61" s="17">
        <v>17038</v>
      </c>
      <c r="C61" s="17">
        <v>0</v>
      </c>
      <c r="D61" s="17" t="s">
        <v>4372</v>
      </c>
      <c r="E61" s="17" t="s">
        <v>2077</v>
      </c>
      <c r="F61" s="17" t="s">
        <v>96</v>
      </c>
      <c r="G61" s="18" t="s">
        <v>7533</v>
      </c>
      <c r="H61" s="18" t="s">
        <v>98</v>
      </c>
      <c r="I61" s="17" t="s">
        <v>23912</v>
      </c>
      <c r="J61" s="17">
        <v>1</v>
      </c>
      <c r="K61" s="17">
        <v>0</v>
      </c>
      <c r="L61" s="17" t="s">
        <v>23913</v>
      </c>
      <c r="M61" s="19" t="s">
        <v>101</v>
      </c>
      <c r="N61" s="17" t="s">
        <v>23914</v>
      </c>
      <c r="O61" s="17" t="s">
        <v>23915</v>
      </c>
      <c r="P61" s="17" t="str">
        <f>HYPERLINK("https://dexscreener.com/solana/HEE6uKwN6maVYu7MpJfmJcTM2PxRjBz52STpuyYwWcMB", "View")</f>
        <v>View</v>
      </c>
    </row>
    <row r="62" spans="1:16" x14ac:dyDescent="0.25">
      <c r="A62" s="13" t="s">
        <v>23916</v>
      </c>
      <c r="B62" s="14">
        <v>2606617</v>
      </c>
      <c r="C62" s="14">
        <v>2606617</v>
      </c>
      <c r="D62" s="14" t="s">
        <v>4389</v>
      </c>
      <c r="E62" s="14" t="s">
        <v>3522</v>
      </c>
      <c r="F62" s="14" t="s">
        <v>3659</v>
      </c>
      <c r="G62" s="15" t="s">
        <v>23917</v>
      </c>
      <c r="H62" s="15" t="s">
        <v>4708</v>
      </c>
      <c r="I62" s="14" t="s">
        <v>88</v>
      </c>
      <c r="J62" s="14">
        <v>1</v>
      </c>
      <c r="K62" s="14">
        <v>1</v>
      </c>
      <c r="L62" s="14" t="s">
        <v>23918</v>
      </c>
      <c r="M62" s="14" t="s">
        <v>1159</v>
      </c>
      <c r="N62" s="14" t="s">
        <v>507</v>
      </c>
      <c r="O62" s="14" t="s">
        <v>23919</v>
      </c>
      <c r="P62" s="14" t="str">
        <f>HYPERLINK("https://photon-sol.tinyastro.io/en/lp/9aTVXMwDJt374go6vt28e6c8NgjEW4Xvh2tmJKKBpump?handle=676050794bc1b1657a56b", "View")</f>
        <v>View</v>
      </c>
    </row>
    <row r="63" spans="1:16" x14ac:dyDescent="0.25">
      <c r="A63" s="16" t="s">
        <v>23920</v>
      </c>
      <c r="B63" s="17">
        <v>8859</v>
      </c>
      <c r="C63" s="17">
        <v>0</v>
      </c>
      <c r="D63" s="17" t="s">
        <v>4372</v>
      </c>
      <c r="E63" s="17" t="s">
        <v>13788</v>
      </c>
      <c r="F63" s="17" t="s">
        <v>96</v>
      </c>
      <c r="G63" s="18" t="s">
        <v>4348</v>
      </c>
      <c r="H63" s="18" t="s">
        <v>98</v>
      </c>
      <c r="I63" s="17" t="s">
        <v>23921</v>
      </c>
      <c r="J63" s="17">
        <v>1</v>
      </c>
      <c r="K63" s="17">
        <v>0</v>
      </c>
      <c r="L63" s="17" t="s">
        <v>23922</v>
      </c>
      <c r="M63" s="19" t="s">
        <v>101</v>
      </c>
      <c r="N63" s="17" t="s">
        <v>23923</v>
      </c>
      <c r="O63" s="17" t="s">
        <v>23924</v>
      </c>
      <c r="P63" s="17" t="str">
        <f>HYPERLINK("https://dexscreener.com/solana/ASNoTS4cYopuUbmDMWM4AU9xdCQnb5zPe3gBWfTUsLTE", "View")</f>
        <v>View</v>
      </c>
    </row>
    <row r="64" spans="1:16" x14ac:dyDescent="0.25">
      <c r="A64" s="13" t="s">
        <v>23925</v>
      </c>
      <c r="B64" s="14">
        <v>588174</v>
      </c>
      <c r="C64" s="14">
        <v>588174</v>
      </c>
      <c r="D64" s="14" t="s">
        <v>14207</v>
      </c>
      <c r="E64" s="14" t="s">
        <v>4180</v>
      </c>
      <c r="F64" s="14" t="s">
        <v>23926</v>
      </c>
      <c r="G64" s="22" t="s">
        <v>5132</v>
      </c>
      <c r="H64" s="22" t="s">
        <v>23927</v>
      </c>
      <c r="I64" s="14" t="s">
        <v>88</v>
      </c>
      <c r="J64" s="14">
        <v>2</v>
      </c>
      <c r="K64" s="14">
        <v>1</v>
      </c>
      <c r="L64" s="14" t="s">
        <v>23928</v>
      </c>
      <c r="M64" s="14" t="s">
        <v>9948</v>
      </c>
      <c r="N64" s="14" t="s">
        <v>23929</v>
      </c>
      <c r="O64" s="14" t="s">
        <v>23930</v>
      </c>
      <c r="P64" s="14" t="str">
        <f>HYPERLINK("https://dexscreener.com/solana/3heCeKrsD5wunvxDLZaqF91Tu1ZaihdXMe6PEueQpump", "View")</f>
        <v>View</v>
      </c>
    </row>
    <row r="65" spans="1:16" x14ac:dyDescent="0.25">
      <c r="A65" s="16" t="s">
        <v>23931</v>
      </c>
      <c r="B65" s="17">
        <v>182795</v>
      </c>
      <c r="C65" s="17">
        <v>0</v>
      </c>
      <c r="D65" s="17" t="s">
        <v>4389</v>
      </c>
      <c r="E65" s="17" t="s">
        <v>10197</v>
      </c>
      <c r="F65" s="17" t="s">
        <v>96</v>
      </c>
      <c r="G65" s="18" t="s">
        <v>8131</v>
      </c>
      <c r="H65" s="18" t="s">
        <v>98</v>
      </c>
      <c r="I65" s="17" t="s">
        <v>23932</v>
      </c>
      <c r="J65" s="17">
        <v>2</v>
      </c>
      <c r="K65" s="17">
        <v>0</v>
      </c>
      <c r="L65" s="17" t="s">
        <v>23933</v>
      </c>
      <c r="M65" s="17" t="s">
        <v>788</v>
      </c>
      <c r="N65" s="17" t="s">
        <v>23934</v>
      </c>
      <c r="O65" s="17" t="s">
        <v>23935</v>
      </c>
      <c r="P65" s="17" t="str">
        <f>HYPERLINK("https://dexscreener.com/solana/8rj17o5qu5PbrAZX7YY2JEdEeFbLoe4u9Jx2g3dRjDB", "View")</f>
        <v>View</v>
      </c>
    </row>
    <row r="66" spans="1:16" x14ac:dyDescent="0.25">
      <c r="A66" s="13" t="s">
        <v>23936</v>
      </c>
      <c r="B66" s="14">
        <v>230457</v>
      </c>
      <c r="C66" s="14">
        <v>0</v>
      </c>
      <c r="D66" s="14" t="s">
        <v>14207</v>
      </c>
      <c r="E66" s="14" t="s">
        <v>17610</v>
      </c>
      <c r="F66" s="14" t="s">
        <v>96</v>
      </c>
      <c r="G66" s="18" t="s">
        <v>4327</v>
      </c>
      <c r="H66" s="18" t="s">
        <v>98</v>
      </c>
      <c r="I66" s="14" t="s">
        <v>23937</v>
      </c>
      <c r="J66" s="14">
        <v>3</v>
      </c>
      <c r="K66" s="14">
        <v>0</v>
      </c>
      <c r="L66" s="14" t="s">
        <v>23938</v>
      </c>
      <c r="M66" s="14" t="s">
        <v>5501</v>
      </c>
      <c r="N66" s="14" t="s">
        <v>23939</v>
      </c>
      <c r="O66" s="14" t="s">
        <v>23940</v>
      </c>
      <c r="P66" s="14" t="str">
        <f>HYPERLINK("https://dexscreener.com/solana/8s2kPYQ4Eiuy8kTQrownWYcRAXxbouYSQveVGFXRpump", "View")</f>
        <v>View</v>
      </c>
    </row>
    <row r="67" spans="1:16" x14ac:dyDescent="0.25">
      <c r="A67" s="16" t="s">
        <v>23941</v>
      </c>
      <c r="B67" s="17">
        <v>129489</v>
      </c>
      <c r="C67" s="17">
        <v>0</v>
      </c>
      <c r="D67" s="17" t="s">
        <v>4372</v>
      </c>
      <c r="E67" s="17" t="s">
        <v>5573</v>
      </c>
      <c r="F67" s="17" t="s">
        <v>96</v>
      </c>
      <c r="G67" s="18" t="s">
        <v>2522</v>
      </c>
      <c r="H67" s="18" t="s">
        <v>98</v>
      </c>
      <c r="I67" s="17" t="s">
        <v>23942</v>
      </c>
      <c r="J67" s="17">
        <v>1</v>
      </c>
      <c r="K67" s="17">
        <v>0</v>
      </c>
      <c r="L67" s="17" t="s">
        <v>23943</v>
      </c>
      <c r="M67" s="19" t="s">
        <v>101</v>
      </c>
      <c r="N67" s="17" t="s">
        <v>23944</v>
      </c>
      <c r="O67" s="17" t="s">
        <v>23945</v>
      </c>
      <c r="P67" s="17" t="str">
        <f>HYPERLINK("https://dexscreener.com/solana/DgcL4dELAnGidC546PSjP9mY6tzh63o8qPModL29pump", "View")</f>
        <v>View</v>
      </c>
    </row>
    <row r="68" spans="1:16" x14ac:dyDescent="0.25">
      <c r="A68" s="13" t="s">
        <v>23946</v>
      </c>
      <c r="B68" s="14">
        <v>140419</v>
      </c>
      <c r="C68" s="14">
        <v>0</v>
      </c>
      <c r="D68" s="14" t="s">
        <v>4372</v>
      </c>
      <c r="E68" s="14" t="s">
        <v>4665</v>
      </c>
      <c r="F68" s="14" t="s">
        <v>96</v>
      </c>
      <c r="G68" s="18" t="s">
        <v>1945</v>
      </c>
      <c r="H68" s="18" t="s">
        <v>98</v>
      </c>
      <c r="I68" s="14" t="s">
        <v>23947</v>
      </c>
      <c r="J68" s="14">
        <v>1</v>
      </c>
      <c r="K68" s="14">
        <v>0</v>
      </c>
      <c r="L68" s="14" t="s">
        <v>23948</v>
      </c>
      <c r="M68" s="19" t="s">
        <v>101</v>
      </c>
      <c r="N68" s="14" t="s">
        <v>23949</v>
      </c>
      <c r="O68" s="14" t="s">
        <v>23950</v>
      </c>
      <c r="P68" s="14" t="str">
        <f>HYPERLINK("https://dexscreener.com/solana/EEUbuZ9byfrXki1fYJB4yzVWnF3PsBShRZXEy7eUpump", "View")</f>
        <v>View</v>
      </c>
    </row>
    <row r="69" spans="1:16" x14ac:dyDescent="0.25">
      <c r="A69" s="16" t="s">
        <v>23951</v>
      </c>
      <c r="B69" s="17">
        <v>13062</v>
      </c>
      <c r="C69" s="17">
        <v>0</v>
      </c>
      <c r="D69" s="17" t="s">
        <v>4372</v>
      </c>
      <c r="E69" s="17" t="s">
        <v>5573</v>
      </c>
      <c r="F69" s="17" t="s">
        <v>96</v>
      </c>
      <c r="G69" s="18" t="s">
        <v>2522</v>
      </c>
      <c r="H69" s="18" t="s">
        <v>98</v>
      </c>
      <c r="I69" s="17" t="s">
        <v>23952</v>
      </c>
      <c r="J69" s="17">
        <v>1</v>
      </c>
      <c r="K69" s="17">
        <v>0</v>
      </c>
      <c r="L69" s="17" t="s">
        <v>23953</v>
      </c>
      <c r="M69" s="19" t="s">
        <v>101</v>
      </c>
      <c r="N69" s="17" t="s">
        <v>23954</v>
      </c>
      <c r="O69" s="17" t="s">
        <v>23955</v>
      </c>
      <c r="P69" s="17" t="str">
        <f>HYPERLINK("https://dexscreener.com/solana/FiBSKnRpjNHChN1BANpr3dsVFQuuHhETMen4xUDgpump", "View")</f>
        <v>View</v>
      </c>
    </row>
    <row r="70" spans="1:16" x14ac:dyDescent="0.25">
      <c r="A70" s="13" t="s">
        <v>23956</v>
      </c>
      <c r="B70" s="14">
        <v>21405</v>
      </c>
      <c r="C70" s="14">
        <v>0</v>
      </c>
      <c r="D70" s="14" t="s">
        <v>4372</v>
      </c>
      <c r="E70" s="14" t="s">
        <v>3320</v>
      </c>
      <c r="F70" s="14" t="s">
        <v>96</v>
      </c>
      <c r="G70" s="18" t="s">
        <v>7351</v>
      </c>
      <c r="H70" s="18" t="s">
        <v>98</v>
      </c>
      <c r="I70" s="14" t="s">
        <v>23957</v>
      </c>
      <c r="J70" s="14">
        <v>1</v>
      </c>
      <c r="K70" s="14">
        <v>0</v>
      </c>
      <c r="L70" s="14" t="s">
        <v>23958</v>
      </c>
      <c r="M70" s="19" t="s">
        <v>101</v>
      </c>
      <c r="N70" s="14" t="s">
        <v>23959</v>
      </c>
      <c r="O70" s="14" t="s">
        <v>23960</v>
      </c>
      <c r="P70" s="14" t="str">
        <f>HYPERLINK("https://dexscreener.com/solana/37ADKuBtg7C3i1qWmeUgfsUnHuReLG78fg4SUfRqCv7e", "View")</f>
        <v>View</v>
      </c>
    </row>
    <row r="71" spans="1:16" x14ac:dyDescent="0.25">
      <c r="A71" s="16" t="s">
        <v>23961</v>
      </c>
      <c r="B71" s="17">
        <v>29366</v>
      </c>
      <c r="C71" s="17">
        <v>0</v>
      </c>
      <c r="D71" s="17" t="s">
        <v>4372</v>
      </c>
      <c r="E71" s="17" t="s">
        <v>5573</v>
      </c>
      <c r="F71" s="17" t="s">
        <v>96</v>
      </c>
      <c r="G71" s="18" t="s">
        <v>2522</v>
      </c>
      <c r="H71" s="18" t="s">
        <v>98</v>
      </c>
      <c r="I71" s="17" t="s">
        <v>23962</v>
      </c>
      <c r="J71" s="17">
        <v>1</v>
      </c>
      <c r="K71" s="17">
        <v>0</v>
      </c>
      <c r="L71" s="17" t="s">
        <v>23963</v>
      </c>
      <c r="M71" s="19" t="s">
        <v>101</v>
      </c>
      <c r="N71" s="17" t="s">
        <v>507</v>
      </c>
      <c r="O71" s="17" t="s">
        <v>23964</v>
      </c>
      <c r="P71" s="17" t="str">
        <f>HYPERLINK("https://dexscreener.com/solana/nMLCZ4CUGypT1T3DzDwXmWwcdvpxD5FJG4sa2Uypump", "View")</f>
        <v>View</v>
      </c>
    </row>
    <row r="72" spans="1:16" x14ac:dyDescent="0.25">
      <c r="A72" s="13" t="s">
        <v>23965</v>
      </c>
      <c r="B72" s="14">
        <v>850602</v>
      </c>
      <c r="C72" s="14">
        <v>0</v>
      </c>
      <c r="D72" s="14" t="s">
        <v>4372</v>
      </c>
      <c r="E72" s="14" t="s">
        <v>8978</v>
      </c>
      <c r="F72" s="14" t="s">
        <v>96</v>
      </c>
      <c r="G72" s="18" t="s">
        <v>5436</v>
      </c>
      <c r="H72" s="18" t="s">
        <v>98</v>
      </c>
      <c r="I72" s="14" t="s">
        <v>23966</v>
      </c>
      <c r="J72" s="14">
        <v>1</v>
      </c>
      <c r="K72" s="14">
        <v>0</v>
      </c>
      <c r="L72" s="14" t="s">
        <v>23967</v>
      </c>
      <c r="M72" s="19" t="s">
        <v>101</v>
      </c>
      <c r="N72" s="14" t="s">
        <v>507</v>
      </c>
      <c r="O72" s="14" t="s">
        <v>23968</v>
      </c>
      <c r="P72" s="14" t="str">
        <f>HYPERLINK("https://photon-sol.tinyastro.io/en/lp/4Zvs4vdSeijR2mnrXakurnw9u4K3DgrocT6ukQqJdcTR?handle=676050794bc1b1657a56b", "View")</f>
        <v>View</v>
      </c>
    </row>
    <row r="73" spans="1:16" x14ac:dyDescent="0.25">
      <c r="A73" s="16" t="s">
        <v>23969</v>
      </c>
      <c r="B73" s="17">
        <v>43969</v>
      </c>
      <c r="C73" s="17">
        <v>21984</v>
      </c>
      <c r="D73" s="17" t="s">
        <v>4389</v>
      </c>
      <c r="E73" s="17" t="s">
        <v>5573</v>
      </c>
      <c r="F73" s="17" t="s">
        <v>18490</v>
      </c>
      <c r="G73" s="20" t="s">
        <v>6249</v>
      </c>
      <c r="H73" s="20" t="s">
        <v>8730</v>
      </c>
      <c r="I73" s="17" t="s">
        <v>88</v>
      </c>
      <c r="J73" s="17">
        <v>1</v>
      </c>
      <c r="K73" s="17">
        <v>1</v>
      </c>
      <c r="L73" s="17" t="s">
        <v>23970</v>
      </c>
      <c r="M73" s="17" t="s">
        <v>680</v>
      </c>
      <c r="N73" s="17" t="s">
        <v>23971</v>
      </c>
      <c r="O73" s="17" t="s">
        <v>23972</v>
      </c>
      <c r="P73" s="17" t="str">
        <f>HYPERLINK("https://dexscreener.com/solana/457PbiajA8Tsh7FqS2Y68ncdXcGobkeLT7GP4mYQpump", "View")</f>
        <v>View</v>
      </c>
    </row>
    <row r="74" spans="1:16" x14ac:dyDescent="0.25">
      <c r="A74" s="13" t="s">
        <v>23973</v>
      </c>
      <c r="B74" s="14">
        <v>153327</v>
      </c>
      <c r="C74" s="14">
        <v>0</v>
      </c>
      <c r="D74" s="14" t="s">
        <v>4372</v>
      </c>
      <c r="E74" s="14" t="s">
        <v>5822</v>
      </c>
      <c r="F74" s="14" t="s">
        <v>96</v>
      </c>
      <c r="G74" s="18" t="s">
        <v>3866</v>
      </c>
      <c r="H74" s="18" t="s">
        <v>98</v>
      </c>
      <c r="I74" s="14" t="s">
        <v>23974</v>
      </c>
      <c r="J74" s="14">
        <v>1</v>
      </c>
      <c r="K74" s="14">
        <v>0</v>
      </c>
      <c r="L74" s="14" t="s">
        <v>23975</v>
      </c>
      <c r="M74" s="19" t="s">
        <v>101</v>
      </c>
      <c r="N74" s="14" t="s">
        <v>23705</v>
      </c>
      <c r="O74" s="14" t="s">
        <v>23976</v>
      </c>
      <c r="P74" s="14" t="str">
        <f>HYPERLINK("https://dexscreener.com/solana/FavWa31qwUcQWu5jr6Atq58d9qKzR4YKW8ySqXi2DJFV", "View")</f>
        <v>View</v>
      </c>
    </row>
    <row r="75" spans="1:16" x14ac:dyDescent="0.25">
      <c r="A75" s="16" t="s">
        <v>23977</v>
      </c>
      <c r="B75" s="17">
        <v>18422144</v>
      </c>
      <c r="C75" s="17">
        <v>9211072</v>
      </c>
      <c r="D75" s="17" t="s">
        <v>4389</v>
      </c>
      <c r="E75" s="17" t="s">
        <v>4665</v>
      </c>
      <c r="F75" s="17" t="s">
        <v>4381</v>
      </c>
      <c r="G75" s="20" t="s">
        <v>9401</v>
      </c>
      <c r="H75" s="20" t="s">
        <v>23978</v>
      </c>
      <c r="I75" s="17" t="s">
        <v>88</v>
      </c>
      <c r="J75" s="17">
        <v>1</v>
      </c>
      <c r="K75" s="17">
        <v>1</v>
      </c>
      <c r="L75" s="17" t="s">
        <v>23979</v>
      </c>
      <c r="M75" s="17" t="s">
        <v>160</v>
      </c>
      <c r="N75" s="17" t="s">
        <v>23980</v>
      </c>
      <c r="O75" s="17" t="s">
        <v>23981</v>
      </c>
      <c r="P75" s="17" t="str">
        <f>HYPERLINK("https://dexscreener.com/solana/FmmEZCz8JEQP2RsueVV2XNGdTHt8RQMQH6mjjFWAJyAP", "View")</f>
        <v>View</v>
      </c>
    </row>
    <row r="76" spans="1:16" x14ac:dyDescent="0.25">
      <c r="A76" s="13" t="s">
        <v>23982</v>
      </c>
      <c r="B76" s="14">
        <v>35725</v>
      </c>
      <c r="C76" s="14">
        <v>0</v>
      </c>
      <c r="D76" s="14" t="s">
        <v>4372</v>
      </c>
      <c r="E76" s="14" t="s">
        <v>6212</v>
      </c>
      <c r="F76" s="14" t="s">
        <v>96</v>
      </c>
      <c r="G76" s="18" t="s">
        <v>1977</v>
      </c>
      <c r="H76" s="18" t="s">
        <v>98</v>
      </c>
      <c r="I76" s="14" t="s">
        <v>23983</v>
      </c>
      <c r="J76" s="14">
        <v>1</v>
      </c>
      <c r="K76" s="14">
        <v>0</v>
      </c>
      <c r="L76" s="14" t="s">
        <v>23984</v>
      </c>
      <c r="M76" s="19" t="s">
        <v>101</v>
      </c>
      <c r="N76" s="14" t="s">
        <v>23985</v>
      </c>
      <c r="O76" s="14" t="s">
        <v>23986</v>
      </c>
      <c r="P76" s="14" t="str">
        <f>HYPERLINK("https://dexscreener.com/solana/Dc3V65K1LexvLHpqVTZD6a57Qj9dAD16TNnc82A2iDfs", "View")</f>
        <v>View</v>
      </c>
    </row>
    <row r="77" spans="1:16" x14ac:dyDescent="0.25">
      <c r="A77" s="16" t="s">
        <v>15494</v>
      </c>
      <c r="B77" s="17">
        <v>6740</v>
      </c>
      <c r="C77" s="17">
        <v>0</v>
      </c>
      <c r="D77" s="17" t="s">
        <v>4372</v>
      </c>
      <c r="E77" s="17" t="s">
        <v>4665</v>
      </c>
      <c r="F77" s="17" t="s">
        <v>96</v>
      </c>
      <c r="G77" s="18" t="s">
        <v>1945</v>
      </c>
      <c r="H77" s="18" t="s">
        <v>98</v>
      </c>
      <c r="I77" s="17" t="s">
        <v>23987</v>
      </c>
      <c r="J77" s="17">
        <v>1</v>
      </c>
      <c r="K77" s="17">
        <v>0</v>
      </c>
      <c r="L77" s="17" t="s">
        <v>23988</v>
      </c>
      <c r="M77" s="19" t="s">
        <v>101</v>
      </c>
      <c r="N77" s="17" t="s">
        <v>23989</v>
      </c>
      <c r="O77" s="17" t="s">
        <v>15501</v>
      </c>
      <c r="P77" s="17" t="str">
        <f>HYPERLINK("https://dexscreener.com/solana/4BRummYdfvoEGQwYzTSmn5F6RyAFdrHUTFkeagobpump", "View")</f>
        <v>View</v>
      </c>
    </row>
    <row r="78" spans="1:16" x14ac:dyDescent="0.25">
      <c r="A78" s="13" t="s">
        <v>23990</v>
      </c>
      <c r="B78" s="14">
        <v>113146</v>
      </c>
      <c r="C78" s="14">
        <v>0</v>
      </c>
      <c r="D78" s="14" t="s">
        <v>4372</v>
      </c>
      <c r="E78" s="14" t="s">
        <v>4665</v>
      </c>
      <c r="F78" s="14" t="s">
        <v>96</v>
      </c>
      <c r="G78" s="18" t="s">
        <v>1945</v>
      </c>
      <c r="H78" s="18" t="s">
        <v>98</v>
      </c>
      <c r="I78" s="14" t="s">
        <v>23991</v>
      </c>
      <c r="J78" s="14">
        <v>1</v>
      </c>
      <c r="K78" s="14">
        <v>0</v>
      </c>
      <c r="L78" s="14" t="s">
        <v>23992</v>
      </c>
      <c r="M78" s="19" t="s">
        <v>101</v>
      </c>
      <c r="N78" s="14" t="s">
        <v>23993</v>
      </c>
      <c r="O78" s="14" t="s">
        <v>23994</v>
      </c>
      <c r="P78" s="14" t="str">
        <f>HYPERLINK("https://dexscreener.com/solana/EHgaf5i9f1q8aVugUKjpaYbf1ncnfn7gP9Sv8JLVpump", "View")</f>
        <v>View</v>
      </c>
    </row>
    <row r="79" spans="1:16" x14ac:dyDescent="0.25">
      <c r="A79" s="16" t="s">
        <v>23995</v>
      </c>
      <c r="B79" s="17">
        <v>44590</v>
      </c>
      <c r="C79" s="17">
        <v>0</v>
      </c>
      <c r="D79" s="17" t="s">
        <v>4372</v>
      </c>
      <c r="E79" s="17" t="s">
        <v>6212</v>
      </c>
      <c r="F79" s="17" t="s">
        <v>96</v>
      </c>
      <c r="G79" s="18" t="s">
        <v>1977</v>
      </c>
      <c r="H79" s="18" t="s">
        <v>98</v>
      </c>
      <c r="I79" s="17" t="s">
        <v>23996</v>
      </c>
      <c r="J79" s="17">
        <v>1</v>
      </c>
      <c r="K79" s="17">
        <v>0</v>
      </c>
      <c r="L79" s="17" t="s">
        <v>23997</v>
      </c>
      <c r="M79" s="19" t="s">
        <v>101</v>
      </c>
      <c r="N79" s="17" t="s">
        <v>23998</v>
      </c>
      <c r="O79" s="17" t="s">
        <v>23999</v>
      </c>
      <c r="P79" s="17" t="str">
        <f>HYPERLINK("https://dexscreener.com/solana/GkkGTNF5F4Ad1vbiw1pLc91JQXtoqCGSDe3RjnPTpump", "View")</f>
        <v>View</v>
      </c>
    </row>
    <row r="80" spans="1:16" x14ac:dyDescent="0.25">
      <c r="A80" s="13" t="s">
        <v>24000</v>
      </c>
      <c r="B80" s="14">
        <v>50231</v>
      </c>
      <c r="C80" s="14">
        <v>25116</v>
      </c>
      <c r="D80" s="14" t="s">
        <v>14207</v>
      </c>
      <c r="E80" s="14" t="s">
        <v>5098</v>
      </c>
      <c r="F80" s="14" t="s">
        <v>17326</v>
      </c>
      <c r="G80" s="20" t="s">
        <v>5589</v>
      </c>
      <c r="H80" s="20" t="s">
        <v>24001</v>
      </c>
      <c r="I80" s="14" t="s">
        <v>88</v>
      </c>
      <c r="J80" s="14">
        <v>2</v>
      </c>
      <c r="K80" s="14">
        <v>1</v>
      </c>
      <c r="L80" s="14" t="s">
        <v>24002</v>
      </c>
      <c r="M80" s="14" t="s">
        <v>160</v>
      </c>
      <c r="N80" s="14" t="s">
        <v>24003</v>
      </c>
      <c r="O80" s="14" t="s">
        <v>24004</v>
      </c>
      <c r="P80" s="14" t="str">
        <f>HYPERLINK("https://dexscreener.com/solana/CbUBfV9KnkJFUKT3jTL7s5UpcrSsFtRznfYb92HNpump", "View")</f>
        <v>View</v>
      </c>
    </row>
    <row r="81" spans="1:16" x14ac:dyDescent="0.25">
      <c r="A81" s="16" t="s">
        <v>24005</v>
      </c>
      <c r="B81" s="17">
        <v>33035</v>
      </c>
      <c r="C81" s="17">
        <v>0</v>
      </c>
      <c r="D81" s="17" t="s">
        <v>4372</v>
      </c>
      <c r="E81" s="17" t="s">
        <v>6212</v>
      </c>
      <c r="F81" s="17" t="s">
        <v>96</v>
      </c>
      <c r="G81" s="18" t="s">
        <v>1977</v>
      </c>
      <c r="H81" s="18" t="s">
        <v>98</v>
      </c>
      <c r="I81" s="17" t="s">
        <v>24006</v>
      </c>
      <c r="J81" s="17">
        <v>1</v>
      </c>
      <c r="K81" s="17">
        <v>0</v>
      </c>
      <c r="L81" s="17" t="s">
        <v>24007</v>
      </c>
      <c r="M81" s="19" t="s">
        <v>101</v>
      </c>
      <c r="N81" s="17" t="s">
        <v>24008</v>
      </c>
      <c r="O81" s="17" t="s">
        <v>24009</v>
      </c>
      <c r="P81" s="17" t="str">
        <f>HYPERLINK("https://dexscreener.com/solana/7SV7rAj9CLPvZ1Kc8aMWDdDozwRincPMktjRfTErpump", "View")</f>
        <v>View</v>
      </c>
    </row>
    <row r="82" spans="1:16" x14ac:dyDescent="0.25">
      <c r="A82" s="13" t="s">
        <v>24010</v>
      </c>
      <c r="B82" s="14">
        <v>28879</v>
      </c>
      <c r="C82" s="14">
        <v>0</v>
      </c>
      <c r="D82" s="14" t="s">
        <v>4372</v>
      </c>
      <c r="E82" s="14" t="s">
        <v>6212</v>
      </c>
      <c r="F82" s="14" t="s">
        <v>96</v>
      </c>
      <c r="G82" s="18" t="s">
        <v>1977</v>
      </c>
      <c r="H82" s="18" t="s">
        <v>98</v>
      </c>
      <c r="I82" s="14" t="s">
        <v>24011</v>
      </c>
      <c r="J82" s="14">
        <v>1</v>
      </c>
      <c r="K82" s="14">
        <v>0</v>
      </c>
      <c r="L82" s="14" t="s">
        <v>24012</v>
      </c>
      <c r="M82" s="19" t="s">
        <v>101</v>
      </c>
      <c r="N82" s="14" t="s">
        <v>24013</v>
      </c>
      <c r="O82" s="14" t="s">
        <v>24014</v>
      </c>
      <c r="P82" s="14" t="str">
        <f>HYPERLINK("https://dexscreener.com/solana/4drdawrzjEhfEtuH8CT8mSVsyMZvGm87vghpCFffpump", "View")</f>
        <v>View</v>
      </c>
    </row>
    <row r="83" spans="1:16" x14ac:dyDescent="0.25">
      <c r="A83" s="16" t="s">
        <v>15545</v>
      </c>
      <c r="B83" s="17">
        <v>10148</v>
      </c>
      <c r="C83" s="17">
        <v>0</v>
      </c>
      <c r="D83" s="17" t="s">
        <v>4372</v>
      </c>
      <c r="E83" s="17" t="s">
        <v>4665</v>
      </c>
      <c r="F83" s="17" t="s">
        <v>96</v>
      </c>
      <c r="G83" s="18" t="s">
        <v>1945</v>
      </c>
      <c r="H83" s="18" t="s">
        <v>98</v>
      </c>
      <c r="I83" s="17" t="s">
        <v>24015</v>
      </c>
      <c r="J83" s="17">
        <v>1</v>
      </c>
      <c r="K83" s="17">
        <v>0</v>
      </c>
      <c r="L83" s="17" t="s">
        <v>24016</v>
      </c>
      <c r="M83" s="19" t="s">
        <v>101</v>
      </c>
      <c r="N83" s="17" t="s">
        <v>22477</v>
      </c>
      <c r="O83" s="17" t="s">
        <v>24017</v>
      </c>
      <c r="P83" s="17" t="str">
        <f>HYPERLINK("https://dexscreener.com/solana/71e74Ko5bxJ2v4FvS7Mr1yZfF8t9W9DkxwKdiHz4wkPz", "View")</f>
        <v>View</v>
      </c>
    </row>
    <row r="84" spans="1:16" x14ac:dyDescent="0.25">
      <c r="A84" s="13" t="s">
        <v>24018</v>
      </c>
      <c r="B84" s="14">
        <v>168728</v>
      </c>
      <c r="C84" s="14">
        <v>0</v>
      </c>
      <c r="D84" s="14" t="s">
        <v>4372</v>
      </c>
      <c r="E84" s="14" t="s">
        <v>5098</v>
      </c>
      <c r="F84" s="14" t="s">
        <v>96</v>
      </c>
      <c r="G84" s="18" t="s">
        <v>4929</v>
      </c>
      <c r="H84" s="18" t="s">
        <v>98</v>
      </c>
      <c r="I84" s="14" t="s">
        <v>24019</v>
      </c>
      <c r="J84" s="14">
        <v>1</v>
      </c>
      <c r="K84" s="14">
        <v>0</v>
      </c>
      <c r="L84" s="14" t="s">
        <v>24020</v>
      </c>
      <c r="M84" s="19" t="s">
        <v>101</v>
      </c>
      <c r="N84" s="14" t="s">
        <v>24021</v>
      </c>
      <c r="O84" s="14" t="s">
        <v>24022</v>
      </c>
      <c r="P84" s="14" t="str">
        <f>HYPERLINK("https://dexscreener.com/solana/FvBD7M1Nf63jY3Sy3oJTSy13Z1gSZeLUXocdEdC9pump", "View")</f>
        <v>View</v>
      </c>
    </row>
    <row r="85" spans="1:16" x14ac:dyDescent="0.25">
      <c r="A85" s="16" t="s">
        <v>24023</v>
      </c>
      <c r="B85" s="17">
        <v>2748907</v>
      </c>
      <c r="C85" s="17">
        <v>0</v>
      </c>
      <c r="D85" s="17" t="s">
        <v>4372</v>
      </c>
      <c r="E85" s="17" t="s">
        <v>4396</v>
      </c>
      <c r="F85" s="17" t="s">
        <v>96</v>
      </c>
      <c r="G85" s="18" t="s">
        <v>4397</v>
      </c>
      <c r="H85" s="18" t="s">
        <v>98</v>
      </c>
      <c r="I85" s="17" t="s">
        <v>24024</v>
      </c>
      <c r="J85" s="17">
        <v>1</v>
      </c>
      <c r="K85" s="17">
        <v>0</v>
      </c>
      <c r="L85" s="17" t="s">
        <v>24025</v>
      </c>
      <c r="M85" s="19" t="s">
        <v>101</v>
      </c>
      <c r="N85" s="17" t="s">
        <v>507</v>
      </c>
      <c r="O85" s="17" t="s">
        <v>24026</v>
      </c>
      <c r="P85" s="17" t="str">
        <f>HYPERLINK("https://dexscreener.com/solana/4HwJvwtKwxVmuwHcGNd7TpTEbumQtN5AC1Tb3FPSWvGj", "View")</f>
        <v>View</v>
      </c>
    </row>
    <row r="86" spans="1:16" x14ac:dyDescent="0.25">
      <c r="A86" s="13" t="s">
        <v>10619</v>
      </c>
      <c r="B86" s="14">
        <v>277341073</v>
      </c>
      <c r="C86" s="14">
        <v>0</v>
      </c>
      <c r="D86" s="14" t="s">
        <v>4372</v>
      </c>
      <c r="E86" s="14" t="s">
        <v>5573</v>
      </c>
      <c r="F86" s="14" t="s">
        <v>96</v>
      </c>
      <c r="G86" s="18" t="s">
        <v>2522</v>
      </c>
      <c r="H86" s="18" t="s">
        <v>98</v>
      </c>
      <c r="I86" s="14" t="s">
        <v>24027</v>
      </c>
      <c r="J86" s="14">
        <v>1</v>
      </c>
      <c r="K86" s="14">
        <v>0</v>
      </c>
      <c r="L86" s="14" t="s">
        <v>24028</v>
      </c>
      <c r="M86" s="19" t="s">
        <v>101</v>
      </c>
      <c r="N86" s="14" t="s">
        <v>507</v>
      </c>
      <c r="O86" s="14" t="s">
        <v>24029</v>
      </c>
      <c r="P86" s="14" t="str">
        <f>HYPERLINK("https://dexscreener.com/solana/8ybLMuk31UHQUyc6GXa3NUrxjuW9xxsNPy1qS3Q73ycx", "View")</f>
        <v>View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7F95-5E64-463B-900B-692DC8778C39}">
  <dimension ref="A1:P2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HYPERLINK("https://gmgn.ai/sol/address/2ybKtC2BpZzvp7YuJ6rFQ3toxG8ZmJWgBUPsXTiEyf7T", "GMGN")</f>
        <v>GMGN</v>
      </c>
    </row>
    <row r="2" spans="1:14" x14ac:dyDescent="0.25">
      <c r="A2" s="3" t="s">
        <v>24030</v>
      </c>
      <c r="B2" s="3" t="s">
        <v>24031</v>
      </c>
      <c r="C2" s="3" t="s">
        <v>21597</v>
      </c>
      <c r="D2" s="3" t="s">
        <v>24032</v>
      </c>
      <c r="E2" s="3" t="s">
        <v>24033</v>
      </c>
      <c r="F2" s="3" t="s">
        <v>23132</v>
      </c>
      <c r="G2" s="3" t="s">
        <v>18</v>
      </c>
      <c r="H2" s="3">
        <v>6</v>
      </c>
      <c r="I2" s="3">
        <v>0</v>
      </c>
      <c r="J2" s="3" t="s">
        <v>356</v>
      </c>
      <c r="K2" s="3" t="s">
        <v>602</v>
      </c>
      <c r="L2" s="3">
        <v>2</v>
      </c>
      <c r="M2" s="3">
        <v>19</v>
      </c>
      <c r="N2" s="3" t="str">
        <f>HYPERLINK("https://solscan.io/account/2ybKtC2BpZzvp7YuJ6rFQ3toxG8ZmJWgBUPsXTiEyf7T", "Solscan")</f>
        <v>Solscan</v>
      </c>
    </row>
    <row r="3" spans="1:14" x14ac:dyDescent="0.25">
      <c r="A3" s="1" t="s">
        <v>21</v>
      </c>
      <c r="B3" s="23" t="s">
        <v>24034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HYPERLINK("https://birdeye.so/profile/2ybKtC2BpZzvp7YuJ6rFQ3toxG8ZmJWgBUPsXTiEyf7T", "Birdeye")</f>
        <v>Birdeye</v>
      </c>
    </row>
    <row r="4" spans="1:14" x14ac:dyDescent="0.25">
      <c r="A4" s="1" t="s">
        <v>25</v>
      </c>
      <c r="B4" s="3" t="s">
        <v>15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1792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7498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0</v>
      </c>
      <c r="D10" s="1">
        <v>0</v>
      </c>
      <c r="E10" s="1">
        <v>3</v>
      </c>
      <c r="F10" s="1">
        <v>2</v>
      </c>
      <c r="G10" s="1">
        <v>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4363</v>
      </c>
      <c r="C11" s="1" t="s">
        <v>1779</v>
      </c>
      <c r="D11" s="1" t="s">
        <v>1779</v>
      </c>
      <c r="E11" s="1" t="s">
        <v>9643</v>
      </c>
      <c r="F11" s="1" t="s">
        <v>9642</v>
      </c>
      <c r="G11" s="1" t="s">
        <v>1779</v>
      </c>
      <c r="H11" s="3"/>
      <c r="I11" s="3" t="s">
        <v>50</v>
      </c>
      <c r="J11" s="3" t="s">
        <v>1570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24035</v>
      </c>
      <c r="C12" s="1" t="s">
        <v>1786</v>
      </c>
      <c r="D12" s="1" t="s">
        <v>1786</v>
      </c>
      <c r="E12" s="1" t="s">
        <v>4730</v>
      </c>
      <c r="F12" s="1" t="s">
        <v>9495</v>
      </c>
      <c r="G12" s="1" t="s">
        <v>1786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24036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24037</v>
      </c>
      <c r="B20" s="14">
        <v>13090404</v>
      </c>
      <c r="C20" s="14">
        <v>13090404</v>
      </c>
      <c r="D20" s="14" t="s">
        <v>374</v>
      </c>
      <c r="E20" s="14" t="s">
        <v>569</v>
      </c>
      <c r="F20" s="14" t="s">
        <v>24038</v>
      </c>
      <c r="G20" s="20" t="s">
        <v>9755</v>
      </c>
      <c r="H20" s="20" t="s">
        <v>24039</v>
      </c>
      <c r="I20" s="14" t="s">
        <v>88</v>
      </c>
      <c r="J20" s="14">
        <v>5</v>
      </c>
      <c r="K20" s="14">
        <v>5</v>
      </c>
      <c r="L20" s="14" t="s">
        <v>24040</v>
      </c>
      <c r="M20" s="14" t="s">
        <v>1642</v>
      </c>
      <c r="N20" s="14" t="s">
        <v>24041</v>
      </c>
      <c r="O20" s="14" t="s">
        <v>24042</v>
      </c>
      <c r="P20" s="14" t="str">
        <f>HYPERLINK("https://dexscreener.com/solana/F9xszLBRu8YoaN5hr1x2e1GQ47aK59jbne5SEepdpump", "View")</f>
        <v>View</v>
      </c>
    </row>
    <row r="21" spans="1:16" x14ac:dyDescent="0.25">
      <c r="A21" s="16" t="s">
        <v>12466</v>
      </c>
      <c r="B21" s="17">
        <v>63693834</v>
      </c>
      <c r="C21" s="17">
        <v>63693834</v>
      </c>
      <c r="D21" s="17" t="s">
        <v>24043</v>
      </c>
      <c r="E21" s="17" t="s">
        <v>2856</v>
      </c>
      <c r="F21" s="17" t="s">
        <v>24044</v>
      </c>
      <c r="G21" s="21" t="s">
        <v>24045</v>
      </c>
      <c r="H21" s="21" t="s">
        <v>24046</v>
      </c>
      <c r="I21" s="17" t="s">
        <v>88</v>
      </c>
      <c r="J21" s="17">
        <v>1</v>
      </c>
      <c r="K21" s="17">
        <v>7</v>
      </c>
      <c r="L21" s="17" t="s">
        <v>24047</v>
      </c>
      <c r="M21" s="17" t="s">
        <v>1566</v>
      </c>
      <c r="N21" s="17" t="s">
        <v>24048</v>
      </c>
      <c r="O21" s="17" t="s">
        <v>12469</v>
      </c>
      <c r="P21" s="17" t="str">
        <f>HYPERLINK("https://photon-sol.tinyastro.io/en/lp/6PH51qTL3zvydA9KiULt9e1quagubxxJKXtWErdCpump?handle=676050794bc1b1657a56b", "View")</f>
        <v>View</v>
      </c>
    </row>
    <row r="22" spans="1:16" x14ac:dyDescent="0.25">
      <c r="A22" s="13" t="s">
        <v>24049</v>
      </c>
      <c r="B22" s="14">
        <v>2955077</v>
      </c>
      <c r="C22" s="14">
        <v>2955077</v>
      </c>
      <c r="D22" s="14" t="s">
        <v>94</v>
      </c>
      <c r="E22" s="14" t="s">
        <v>15066</v>
      </c>
      <c r="F22" s="14" t="s">
        <v>11112</v>
      </c>
      <c r="G22" s="22" t="s">
        <v>4919</v>
      </c>
      <c r="H22" s="22" t="s">
        <v>24050</v>
      </c>
      <c r="I22" s="14" t="s">
        <v>88</v>
      </c>
      <c r="J22" s="14">
        <v>1</v>
      </c>
      <c r="K22" s="14">
        <v>1</v>
      </c>
      <c r="L22" s="14" t="s">
        <v>24051</v>
      </c>
      <c r="M22" s="19" t="s">
        <v>1940</v>
      </c>
      <c r="N22" s="14" t="s">
        <v>24052</v>
      </c>
      <c r="O22" s="14" t="s">
        <v>24053</v>
      </c>
      <c r="P22" s="14" t="str">
        <f>HYPERLINK("https://dexscreener.com/solana/GWC7TY587JiftDF7EwbQLsJ7pWMVi5f53WAZ9Td7pump", "View")</f>
        <v>View</v>
      </c>
    </row>
    <row r="23" spans="1:16" x14ac:dyDescent="0.25">
      <c r="A23" s="16" t="s">
        <v>24054</v>
      </c>
      <c r="B23" s="17">
        <v>3366585</v>
      </c>
      <c r="C23" s="17">
        <v>3366585</v>
      </c>
      <c r="D23" s="17" t="s">
        <v>94</v>
      </c>
      <c r="E23" s="17" t="s">
        <v>9376</v>
      </c>
      <c r="F23" s="17" t="s">
        <v>12435</v>
      </c>
      <c r="G23" s="22" t="s">
        <v>14793</v>
      </c>
      <c r="H23" s="22" t="s">
        <v>24055</v>
      </c>
      <c r="I23" s="17" t="s">
        <v>88</v>
      </c>
      <c r="J23" s="17">
        <v>1</v>
      </c>
      <c r="K23" s="17">
        <v>1</v>
      </c>
      <c r="L23" s="17" t="s">
        <v>24056</v>
      </c>
      <c r="M23" s="17" t="s">
        <v>1448</v>
      </c>
      <c r="N23" s="17" t="s">
        <v>24057</v>
      </c>
      <c r="O23" s="17" t="s">
        <v>24058</v>
      </c>
      <c r="P23" s="17" t="str">
        <f>HYPERLINK("https://dexscreener.com/solana/7sR9ZaziDpgcZ5HJ19CH4JfGpuYuCDbdwsrWuoBRpump", "View")</f>
        <v>View</v>
      </c>
    </row>
    <row r="24" spans="1:16" x14ac:dyDescent="0.25">
      <c r="A24" s="13" t="s">
        <v>24059</v>
      </c>
      <c r="B24" s="14">
        <v>5512659</v>
      </c>
      <c r="C24" s="14">
        <v>5512659</v>
      </c>
      <c r="D24" s="14" t="s">
        <v>8478</v>
      </c>
      <c r="E24" s="14" t="s">
        <v>24060</v>
      </c>
      <c r="F24" s="14" t="s">
        <v>7148</v>
      </c>
      <c r="G24" s="22" t="s">
        <v>24061</v>
      </c>
      <c r="H24" s="22" t="s">
        <v>24062</v>
      </c>
      <c r="I24" s="14" t="s">
        <v>88</v>
      </c>
      <c r="J24" s="14">
        <v>1</v>
      </c>
      <c r="K24" s="14">
        <v>3</v>
      </c>
      <c r="L24" s="14" t="s">
        <v>24063</v>
      </c>
      <c r="M24" s="14" t="s">
        <v>1932</v>
      </c>
      <c r="N24" s="14" t="s">
        <v>24064</v>
      </c>
      <c r="O24" s="14" t="s">
        <v>24065</v>
      </c>
      <c r="P24" s="14" t="str">
        <f>HYPERLINK("https://photon-sol.tinyastro.io/en/lp/Ewjz1hdu6hvA2DeiLoXGWKdcufgCxFjEVSCJmy15pump?handle=676050794bc1b1657a56b", "View")</f>
        <v>View</v>
      </c>
    </row>
    <row r="25" spans="1:16" x14ac:dyDescent="0.25">
      <c r="A25" s="16" t="s">
        <v>24066</v>
      </c>
      <c r="B25" s="17">
        <v>2275536</v>
      </c>
      <c r="C25" s="17">
        <v>2275536</v>
      </c>
      <c r="D25" s="17" t="s">
        <v>94</v>
      </c>
      <c r="E25" s="17" t="s">
        <v>16873</v>
      </c>
      <c r="F25" s="17" t="s">
        <v>8540</v>
      </c>
      <c r="G25" s="20" t="s">
        <v>5347</v>
      </c>
      <c r="H25" s="20" t="s">
        <v>24067</v>
      </c>
      <c r="I25" s="17" t="s">
        <v>88</v>
      </c>
      <c r="J25" s="17">
        <v>1</v>
      </c>
      <c r="K25" s="17">
        <v>1</v>
      </c>
      <c r="L25" s="17" t="s">
        <v>24068</v>
      </c>
      <c r="M25" s="19" t="s">
        <v>2826</v>
      </c>
      <c r="N25" s="17" t="s">
        <v>24069</v>
      </c>
      <c r="O25" s="17" t="s">
        <v>24070</v>
      </c>
      <c r="P25" s="17" t="str">
        <f>HYPERLINK("https://dexscreener.com/solana/HzJBiAkYCxkmLksFHAL1TzRnWCDwyDD8haGL5psfpump", "View")</f>
        <v>View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86BF-8549-4A60-AC12-4BA7EC5BE127}">
  <dimension ref="A1:P6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HYPERLINK("https://gmgn.ai/sol/address/F3CPySBRWpa6kXGbzCV6Wz8uw2atMJZdcT6SE3p8o85W", "GMGN")</f>
        <v>GMGN</v>
      </c>
    </row>
    <row r="2" spans="1:14" x14ac:dyDescent="0.25">
      <c r="A2" s="3" t="s">
        <v>24071</v>
      </c>
      <c r="B2" s="3" t="s">
        <v>24072</v>
      </c>
      <c r="C2" s="3" t="s">
        <v>20470</v>
      </c>
      <c r="D2" s="3" t="s">
        <v>6309</v>
      </c>
      <c r="E2" s="3" t="s">
        <v>24073</v>
      </c>
      <c r="F2" s="3" t="s">
        <v>24074</v>
      </c>
      <c r="G2" s="3" t="s">
        <v>18</v>
      </c>
      <c r="H2" s="3">
        <v>49</v>
      </c>
      <c r="I2" s="3">
        <v>0</v>
      </c>
      <c r="J2" s="3" t="s">
        <v>4550</v>
      </c>
      <c r="K2" s="3" t="s">
        <v>1827</v>
      </c>
      <c r="L2" s="3">
        <v>12</v>
      </c>
      <c r="M2" s="3">
        <v>33</v>
      </c>
      <c r="N2" s="3" t="str">
        <f>HYPERLINK("https://solscan.io/account/F3CPySBRWpa6kXGbzCV6Wz8uw2atMJZdcT6SE3p8o85W", "Solscan")</f>
        <v>Solscan</v>
      </c>
    </row>
    <row r="3" spans="1:14" x14ac:dyDescent="0.25">
      <c r="A3" s="1" t="s">
        <v>21</v>
      </c>
      <c r="B3" s="23" t="s">
        <v>24075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HYPERLINK("https://birdeye.so/profile/F3CPySBRWpa6kXGbzCV6Wz8uw2atMJZdcT6SE3p8o85W", "Birdeye")</f>
        <v>Birdeye</v>
      </c>
    </row>
    <row r="4" spans="1:14" x14ac:dyDescent="0.25">
      <c r="A4" s="1" t="s">
        <v>25</v>
      </c>
      <c r="B4" s="3" t="s">
        <v>17990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7497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22699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4</v>
      </c>
      <c r="D10" s="1">
        <v>3</v>
      </c>
      <c r="E10" s="1">
        <v>19</v>
      </c>
      <c r="F10" s="1">
        <v>19</v>
      </c>
      <c r="G10" s="1">
        <v>4</v>
      </c>
      <c r="H10" s="3"/>
      <c r="I10" s="3" t="s">
        <v>42</v>
      </c>
      <c r="J10" s="3" t="s">
        <v>1777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24076</v>
      </c>
      <c r="D11" s="1" t="s">
        <v>24077</v>
      </c>
      <c r="E11" s="1" t="s">
        <v>24078</v>
      </c>
      <c r="F11" s="1" t="s">
        <v>24078</v>
      </c>
      <c r="G11" s="1" t="s">
        <v>24076</v>
      </c>
      <c r="H11" s="3"/>
      <c r="I11" s="3" t="s">
        <v>50</v>
      </c>
      <c r="J11" s="3" t="s">
        <v>22701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24079</v>
      </c>
      <c r="D12" s="1" t="s">
        <v>24080</v>
      </c>
      <c r="E12" s="1" t="s">
        <v>24081</v>
      </c>
      <c r="F12" s="1" t="s">
        <v>1791</v>
      </c>
      <c r="G12" s="1" t="s">
        <v>24082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8608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20150</v>
      </c>
      <c r="B20" s="14">
        <v>32885806</v>
      </c>
      <c r="C20" s="14">
        <v>32885806</v>
      </c>
      <c r="D20" s="14" t="s">
        <v>4401</v>
      </c>
      <c r="E20" s="14" t="s">
        <v>1007</v>
      </c>
      <c r="F20" s="14" t="s">
        <v>2408</v>
      </c>
      <c r="G20" s="20" t="s">
        <v>15970</v>
      </c>
      <c r="H20" s="20" t="s">
        <v>24083</v>
      </c>
      <c r="I20" s="14" t="s">
        <v>88</v>
      </c>
      <c r="J20" s="14">
        <v>1</v>
      </c>
      <c r="K20" s="14">
        <v>1</v>
      </c>
      <c r="L20" s="14" t="s">
        <v>24084</v>
      </c>
      <c r="M20" s="19" t="s">
        <v>7834</v>
      </c>
      <c r="N20" s="14" t="s">
        <v>4769</v>
      </c>
      <c r="O20" s="14" t="s">
        <v>20154</v>
      </c>
      <c r="P20" s="14" t="str">
        <f>HYPERLINK("https://dexscreener.com/solana/Hck5e8vDC8xEVNtwofYXPgQ19T5nWa4k8joELwQDpump", "View")</f>
        <v>View</v>
      </c>
    </row>
    <row r="21" spans="1:16" x14ac:dyDescent="0.25">
      <c r="A21" s="16" t="s">
        <v>2544</v>
      </c>
      <c r="B21" s="17">
        <v>2248227</v>
      </c>
      <c r="C21" s="17">
        <v>2248227</v>
      </c>
      <c r="D21" s="17" t="s">
        <v>4401</v>
      </c>
      <c r="E21" s="17" t="s">
        <v>1007</v>
      </c>
      <c r="F21" s="17" t="s">
        <v>2581</v>
      </c>
      <c r="G21" s="15" t="s">
        <v>24085</v>
      </c>
      <c r="H21" s="15" t="s">
        <v>24086</v>
      </c>
      <c r="I21" s="17" t="s">
        <v>88</v>
      </c>
      <c r="J21" s="17">
        <v>1</v>
      </c>
      <c r="K21" s="17">
        <v>1</v>
      </c>
      <c r="L21" s="17" t="s">
        <v>24087</v>
      </c>
      <c r="M21" s="17" t="s">
        <v>3180</v>
      </c>
      <c r="N21" s="17" t="s">
        <v>507</v>
      </c>
      <c r="O21" s="17" t="s">
        <v>20158</v>
      </c>
      <c r="P21" s="17" t="str">
        <f>HYPERLINK("https://dexscreener.com/solana/A94MAPA9AAskSmKT2j6pGjdGEcZU4P4R5m6WEiogpump", "View")</f>
        <v>View</v>
      </c>
    </row>
    <row r="22" spans="1:16" x14ac:dyDescent="0.25">
      <c r="A22" s="13" t="s">
        <v>6432</v>
      </c>
      <c r="B22" s="14">
        <v>3290968</v>
      </c>
      <c r="C22" s="14">
        <v>3290968</v>
      </c>
      <c r="D22" s="14" t="s">
        <v>4401</v>
      </c>
      <c r="E22" s="14" t="s">
        <v>24088</v>
      </c>
      <c r="F22" s="14" t="s">
        <v>3439</v>
      </c>
      <c r="G22" s="15" t="s">
        <v>20159</v>
      </c>
      <c r="H22" s="15" t="s">
        <v>24089</v>
      </c>
      <c r="I22" s="14" t="s">
        <v>88</v>
      </c>
      <c r="J22" s="14">
        <v>1</v>
      </c>
      <c r="K22" s="14">
        <v>1</v>
      </c>
      <c r="L22" s="14" t="s">
        <v>20160</v>
      </c>
      <c r="M22" s="14" t="s">
        <v>1610</v>
      </c>
      <c r="N22" s="14" t="s">
        <v>24090</v>
      </c>
      <c r="O22" s="14" t="s">
        <v>6439</v>
      </c>
      <c r="P22" s="14" t="str">
        <f>HYPERLINK("https://photon-sol.tinyastro.io/en/lp/8WxmZnV1aqNbNBjWvpjhZwmFp4teNzs94A9RUNKSpump?handle=676050794bc1b1657a56b", "View")</f>
        <v>View</v>
      </c>
    </row>
    <row r="23" spans="1:16" x14ac:dyDescent="0.25">
      <c r="A23" s="16" t="s">
        <v>20161</v>
      </c>
      <c r="B23" s="17">
        <v>1933681</v>
      </c>
      <c r="C23" s="17">
        <v>1933681</v>
      </c>
      <c r="D23" s="17" t="s">
        <v>4401</v>
      </c>
      <c r="E23" s="17" t="s">
        <v>402</v>
      </c>
      <c r="F23" s="17" t="s">
        <v>24091</v>
      </c>
      <c r="G23" s="20" t="s">
        <v>24092</v>
      </c>
      <c r="H23" s="20" t="s">
        <v>8946</v>
      </c>
      <c r="I23" s="17" t="s">
        <v>88</v>
      </c>
      <c r="J23" s="17">
        <v>1</v>
      </c>
      <c r="K23" s="17">
        <v>1</v>
      </c>
      <c r="L23" s="17" t="s">
        <v>20165</v>
      </c>
      <c r="M23" s="17" t="s">
        <v>117</v>
      </c>
      <c r="N23" s="17" t="s">
        <v>24093</v>
      </c>
      <c r="O23" s="17" t="s">
        <v>20167</v>
      </c>
      <c r="P23" s="17" t="str">
        <f>HYPERLINK("https://dexscreener.com/solana/D8kgv5BRyfxUgTJGhkPJcw1Neo1eaneENC5XxC99pump", "View")</f>
        <v>View</v>
      </c>
    </row>
    <row r="24" spans="1:16" x14ac:dyDescent="0.25">
      <c r="A24" s="13" t="s">
        <v>20168</v>
      </c>
      <c r="B24" s="14">
        <v>20216484</v>
      </c>
      <c r="C24" s="14">
        <v>20216484</v>
      </c>
      <c r="D24" s="14" t="s">
        <v>24094</v>
      </c>
      <c r="E24" s="14" t="s">
        <v>24095</v>
      </c>
      <c r="F24" s="14" t="s">
        <v>24096</v>
      </c>
      <c r="G24" s="21" t="s">
        <v>1839</v>
      </c>
      <c r="H24" s="21" t="s">
        <v>24097</v>
      </c>
      <c r="I24" s="14" t="s">
        <v>88</v>
      </c>
      <c r="J24" s="14">
        <v>1</v>
      </c>
      <c r="K24" s="14">
        <v>5</v>
      </c>
      <c r="L24" s="14" t="s">
        <v>24098</v>
      </c>
      <c r="M24" s="14" t="s">
        <v>745</v>
      </c>
      <c r="N24" s="14" t="s">
        <v>874</v>
      </c>
      <c r="O24" s="14" t="s">
        <v>20176</v>
      </c>
      <c r="P24" s="14" t="str">
        <f>HYPERLINK("https://photon-sol.tinyastro.io/en/lp/FDdEAQ77Eo5VzDMJVsnVRxkKid91eQUatXyvpdxRpump?handle=676050794bc1b1657a56b", "View")</f>
        <v>View</v>
      </c>
    </row>
    <row r="25" spans="1:16" x14ac:dyDescent="0.25">
      <c r="A25" s="16" t="s">
        <v>20177</v>
      </c>
      <c r="B25" s="17">
        <v>2922421</v>
      </c>
      <c r="C25" s="17">
        <v>2922421</v>
      </c>
      <c r="D25" s="17" t="s">
        <v>24099</v>
      </c>
      <c r="E25" s="17" t="s">
        <v>1655</v>
      </c>
      <c r="F25" s="17" t="s">
        <v>24100</v>
      </c>
      <c r="G25" s="20" t="s">
        <v>24101</v>
      </c>
      <c r="H25" s="20" t="s">
        <v>24102</v>
      </c>
      <c r="I25" s="17" t="s">
        <v>88</v>
      </c>
      <c r="J25" s="17">
        <v>5</v>
      </c>
      <c r="K25" s="17">
        <v>6</v>
      </c>
      <c r="L25" s="17" t="s">
        <v>24103</v>
      </c>
      <c r="M25" s="17" t="s">
        <v>117</v>
      </c>
      <c r="N25" s="17" t="s">
        <v>20184</v>
      </c>
      <c r="O25" s="17" t="s">
        <v>20185</v>
      </c>
      <c r="P25" s="17" t="str">
        <f>HYPERLINK("https://dexscreener.com/solana/8SuMAjoZeLGaaekNHP235Dv4soXsrcseFXefT3A9pump", "View")</f>
        <v>View</v>
      </c>
    </row>
    <row r="26" spans="1:16" x14ac:dyDescent="0.25">
      <c r="A26" s="13" t="s">
        <v>5082</v>
      </c>
      <c r="B26" s="14">
        <v>36504145</v>
      </c>
      <c r="C26" s="14">
        <v>36504145</v>
      </c>
      <c r="D26" s="14" t="s">
        <v>1813</v>
      </c>
      <c r="E26" s="14" t="s">
        <v>1007</v>
      </c>
      <c r="F26" s="14" t="s">
        <v>1868</v>
      </c>
      <c r="G26" s="20" t="s">
        <v>4252</v>
      </c>
      <c r="H26" s="20" t="s">
        <v>24104</v>
      </c>
      <c r="I26" s="14" t="s">
        <v>88</v>
      </c>
      <c r="J26" s="14">
        <v>1</v>
      </c>
      <c r="K26" s="14">
        <v>1</v>
      </c>
      <c r="L26" s="14" t="s">
        <v>24105</v>
      </c>
      <c r="M26" s="19" t="s">
        <v>1849</v>
      </c>
      <c r="N26" s="14" t="s">
        <v>4769</v>
      </c>
      <c r="O26" s="14" t="s">
        <v>5086</v>
      </c>
      <c r="P26" s="14" t="str">
        <f>HYPERLINK("https://dexscreener.com/solana/7n1y1dwSQdfZLH45t3LqbYfK74Ewn1s1eL2ozDgupump", "View")</f>
        <v>View</v>
      </c>
    </row>
    <row r="27" spans="1:16" x14ac:dyDescent="0.25">
      <c r="A27" s="16" t="s">
        <v>20188</v>
      </c>
      <c r="B27" s="17">
        <v>188889075</v>
      </c>
      <c r="C27" s="17">
        <v>188889075</v>
      </c>
      <c r="D27" s="17" t="s">
        <v>24106</v>
      </c>
      <c r="E27" s="17" t="s">
        <v>1605</v>
      </c>
      <c r="F27" s="17" t="s">
        <v>24107</v>
      </c>
      <c r="G27" s="22" t="s">
        <v>2856</v>
      </c>
      <c r="H27" s="22" t="s">
        <v>24108</v>
      </c>
      <c r="I27" s="17" t="s">
        <v>88</v>
      </c>
      <c r="J27" s="17">
        <v>4</v>
      </c>
      <c r="K27" s="17">
        <v>3</v>
      </c>
      <c r="L27" s="17" t="s">
        <v>20193</v>
      </c>
      <c r="M27" s="17" t="s">
        <v>2145</v>
      </c>
      <c r="N27" s="17" t="s">
        <v>24109</v>
      </c>
      <c r="O27" s="17" t="s">
        <v>20195</v>
      </c>
      <c r="P27" s="17" t="str">
        <f>HYPERLINK("https://photon-sol.tinyastro.io/en/lp/5no2E6m23bsRukeXVghCSgAYRXuav74sfGgPTaW7pump?handle=676050794bc1b1657a56b", "View")</f>
        <v>View</v>
      </c>
    </row>
    <row r="28" spans="1:16" x14ac:dyDescent="0.25">
      <c r="A28" s="13" t="s">
        <v>20196</v>
      </c>
      <c r="B28" s="14">
        <v>67939550</v>
      </c>
      <c r="C28" s="14">
        <v>67939550</v>
      </c>
      <c r="D28" s="14" t="s">
        <v>20197</v>
      </c>
      <c r="E28" s="14" t="s">
        <v>7357</v>
      </c>
      <c r="F28" s="14" t="s">
        <v>24110</v>
      </c>
      <c r="G28" s="21" t="s">
        <v>24111</v>
      </c>
      <c r="H28" s="21" t="s">
        <v>24112</v>
      </c>
      <c r="I28" s="14" t="s">
        <v>88</v>
      </c>
      <c r="J28" s="14">
        <v>2</v>
      </c>
      <c r="K28" s="14">
        <v>2</v>
      </c>
      <c r="L28" s="14" t="s">
        <v>24113</v>
      </c>
      <c r="M28" s="14" t="s">
        <v>132</v>
      </c>
      <c r="N28" s="14" t="s">
        <v>507</v>
      </c>
      <c r="O28" s="14" t="s">
        <v>20202</v>
      </c>
      <c r="P28" s="14" t="str">
        <f>HYPERLINK("https://photon-sol.tinyastro.io/en/lp/7xWjG1AmjFKcjo8ebAQdv3mUbe4p6exZHHUSGkfPpump?handle=676050794bc1b1657a56b", "View")</f>
        <v>View</v>
      </c>
    </row>
    <row r="29" spans="1:16" x14ac:dyDescent="0.25">
      <c r="A29" s="16" t="s">
        <v>7416</v>
      </c>
      <c r="B29" s="17">
        <v>83753543</v>
      </c>
      <c r="C29" s="17">
        <v>83753543</v>
      </c>
      <c r="D29" s="17" t="s">
        <v>20203</v>
      </c>
      <c r="E29" s="17" t="s">
        <v>24114</v>
      </c>
      <c r="F29" s="17" t="s">
        <v>24115</v>
      </c>
      <c r="G29" s="21" t="s">
        <v>14901</v>
      </c>
      <c r="H29" s="21" t="s">
        <v>24116</v>
      </c>
      <c r="I29" s="17" t="s">
        <v>88</v>
      </c>
      <c r="J29" s="17">
        <v>9</v>
      </c>
      <c r="K29" s="17">
        <v>20</v>
      </c>
      <c r="L29" s="17" t="s">
        <v>24117</v>
      </c>
      <c r="M29" s="17" t="s">
        <v>117</v>
      </c>
      <c r="N29" s="17" t="s">
        <v>24118</v>
      </c>
      <c r="O29" s="17" t="s">
        <v>20210</v>
      </c>
      <c r="P29" s="17" t="str">
        <f>HYPERLINK("https://photon-sol.tinyastro.io/en/lp/FrbTvy9eRBHzCGNyuc3KqwGKYx9vk2soDTzBAafNpump?handle=676050794bc1b1657a56b", "View")</f>
        <v>View</v>
      </c>
    </row>
    <row r="30" spans="1:16" x14ac:dyDescent="0.25">
      <c r="A30" s="13" t="s">
        <v>12549</v>
      </c>
      <c r="B30" s="14">
        <v>59863018</v>
      </c>
      <c r="C30" s="14">
        <v>59863018</v>
      </c>
      <c r="D30" s="14" t="s">
        <v>20211</v>
      </c>
      <c r="E30" s="14" t="s">
        <v>3404</v>
      </c>
      <c r="F30" s="14" t="s">
        <v>24119</v>
      </c>
      <c r="G30" s="20" t="s">
        <v>2590</v>
      </c>
      <c r="H30" s="20" t="s">
        <v>3389</v>
      </c>
      <c r="I30" s="14" t="s">
        <v>88</v>
      </c>
      <c r="J30" s="14">
        <v>1</v>
      </c>
      <c r="K30" s="14">
        <v>1</v>
      </c>
      <c r="L30" s="14" t="s">
        <v>24120</v>
      </c>
      <c r="M30" s="19" t="s">
        <v>2387</v>
      </c>
      <c r="N30" s="14" t="s">
        <v>4769</v>
      </c>
      <c r="O30" s="14" t="s">
        <v>12555</v>
      </c>
      <c r="P30" s="14" t="str">
        <f>HYPERLINK("https://dexscreener.com/solana/78C9NN1MsavMdAjiLSY9Sh1EmfxGhvxPedtV322npump", "View")</f>
        <v>View</v>
      </c>
    </row>
    <row r="31" spans="1:16" x14ac:dyDescent="0.25">
      <c r="A31" s="16" t="s">
        <v>20214</v>
      </c>
      <c r="B31" s="17">
        <v>39844946</v>
      </c>
      <c r="C31" s="17">
        <v>39844946</v>
      </c>
      <c r="D31" s="17" t="s">
        <v>20211</v>
      </c>
      <c r="E31" s="17" t="s">
        <v>3404</v>
      </c>
      <c r="F31" s="17" t="s">
        <v>24121</v>
      </c>
      <c r="G31" s="20" t="s">
        <v>14444</v>
      </c>
      <c r="H31" s="20" t="s">
        <v>13168</v>
      </c>
      <c r="I31" s="17" t="s">
        <v>88</v>
      </c>
      <c r="J31" s="17">
        <v>1</v>
      </c>
      <c r="K31" s="17">
        <v>1</v>
      </c>
      <c r="L31" s="17" t="s">
        <v>24122</v>
      </c>
      <c r="M31" s="19" t="s">
        <v>3000</v>
      </c>
      <c r="N31" s="17" t="s">
        <v>8871</v>
      </c>
      <c r="O31" s="17" t="s">
        <v>20218</v>
      </c>
      <c r="P31" s="17" t="str">
        <f>HYPERLINK("https://dexscreener.com/solana/gXWNN1nTWKjhqLcM9HpEr6UHdn3sSbC6VLx7XXvpump", "View")</f>
        <v>View</v>
      </c>
    </row>
    <row r="32" spans="1:16" x14ac:dyDescent="0.25">
      <c r="A32" s="13" t="s">
        <v>18943</v>
      </c>
      <c r="B32" s="14">
        <v>39301982</v>
      </c>
      <c r="C32" s="14">
        <v>39301982</v>
      </c>
      <c r="D32" s="14" t="s">
        <v>20211</v>
      </c>
      <c r="E32" s="14" t="s">
        <v>1457</v>
      </c>
      <c r="F32" s="14" t="s">
        <v>24123</v>
      </c>
      <c r="G32" s="20" t="s">
        <v>12883</v>
      </c>
      <c r="H32" s="20" t="s">
        <v>4135</v>
      </c>
      <c r="I32" s="14" t="s">
        <v>88</v>
      </c>
      <c r="J32" s="14">
        <v>1</v>
      </c>
      <c r="K32" s="14">
        <v>1</v>
      </c>
      <c r="L32" s="14" t="s">
        <v>24124</v>
      </c>
      <c r="M32" s="19" t="s">
        <v>2379</v>
      </c>
      <c r="N32" s="14" t="s">
        <v>9157</v>
      </c>
      <c r="O32" s="14" t="s">
        <v>24125</v>
      </c>
      <c r="P32" s="14" t="str">
        <f>HYPERLINK("https://dexscreener.com/solana/FeytGW9NWz4UTej6T5WT8JCZs7RFUjqeH25AcZ7Npump", "View")</f>
        <v>View</v>
      </c>
    </row>
    <row r="33" spans="1:16" x14ac:dyDescent="0.25">
      <c r="A33" s="16" t="s">
        <v>20219</v>
      </c>
      <c r="B33" s="17">
        <v>23005917</v>
      </c>
      <c r="C33" s="17">
        <v>23005917</v>
      </c>
      <c r="D33" s="17" t="s">
        <v>20220</v>
      </c>
      <c r="E33" s="17" t="s">
        <v>2704</v>
      </c>
      <c r="F33" s="17" t="s">
        <v>3523</v>
      </c>
      <c r="G33" s="15" t="s">
        <v>24126</v>
      </c>
      <c r="H33" s="15" t="s">
        <v>24127</v>
      </c>
      <c r="I33" s="17" t="s">
        <v>88</v>
      </c>
      <c r="J33" s="17">
        <v>3</v>
      </c>
      <c r="K33" s="17">
        <v>1</v>
      </c>
      <c r="L33" s="17" t="s">
        <v>24128</v>
      </c>
      <c r="M33" s="17" t="s">
        <v>179</v>
      </c>
      <c r="N33" s="17" t="s">
        <v>24129</v>
      </c>
      <c r="O33" s="17" t="s">
        <v>20226</v>
      </c>
      <c r="P33" s="17" t="str">
        <f>HYPERLINK("https://dexscreener.com/solana/ZR6df31VQDG9gEoHPJFxgdrZY6KwZh4tAWWq7kApump", "View")</f>
        <v>View</v>
      </c>
    </row>
    <row r="34" spans="1:16" x14ac:dyDescent="0.25">
      <c r="A34" s="13" t="s">
        <v>3052</v>
      </c>
      <c r="B34" s="14">
        <v>26015075</v>
      </c>
      <c r="C34" s="14">
        <v>26015075</v>
      </c>
      <c r="D34" s="14" t="s">
        <v>20211</v>
      </c>
      <c r="E34" s="14" t="s">
        <v>1457</v>
      </c>
      <c r="F34" s="14" t="s">
        <v>22482</v>
      </c>
      <c r="G34" s="22" t="s">
        <v>10011</v>
      </c>
      <c r="H34" s="22" t="s">
        <v>24130</v>
      </c>
      <c r="I34" s="14" t="s">
        <v>88</v>
      </c>
      <c r="J34" s="14">
        <v>1</v>
      </c>
      <c r="K34" s="14">
        <v>1</v>
      </c>
      <c r="L34" s="14" t="s">
        <v>24131</v>
      </c>
      <c r="M34" s="19" t="s">
        <v>3158</v>
      </c>
      <c r="N34" s="14" t="s">
        <v>13098</v>
      </c>
      <c r="O34" s="14" t="s">
        <v>3058</v>
      </c>
      <c r="P34" s="14" t="str">
        <f>HYPERLINK("https://dexscreener.com/solana/Ce1j33dgs1fnuQ9PN5VrvG8Urp1R8rTrXr2y7nQipump", "View")</f>
        <v>View</v>
      </c>
    </row>
    <row r="35" spans="1:16" x14ac:dyDescent="0.25">
      <c r="A35" s="16" t="s">
        <v>6732</v>
      </c>
      <c r="B35" s="17">
        <v>27668796</v>
      </c>
      <c r="C35" s="17">
        <v>27668796</v>
      </c>
      <c r="D35" s="17" t="s">
        <v>20211</v>
      </c>
      <c r="E35" s="17" t="s">
        <v>1007</v>
      </c>
      <c r="F35" s="17" t="s">
        <v>24132</v>
      </c>
      <c r="G35" s="22" t="s">
        <v>2809</v>
      </c>
      <c r="H35" s="22" t="s">
        <v>24133</v>
      </c>
      <c r="I35" s="17" t="s">
        <v>88</v>
      </c>
      <c r="J35" s="17">
        <v>1</v>
      </c>
      <c r="K35" s="17">
        <v>1</v>
      </c>
      <c r="L35" s="17" t="s">
        <v>20231</v>
      </c>
      <c r="M35" s="19" t="s">
        <v>1940</v>
      </c>
      <c r="N35" s="17" t="s">
        <v>8871</v>
      </c>
      <c r="O35" s="17" t="s">
        <v>6737</v>
      </c>
      <c r="P35" s="17" t="str">
        <f>HYPERLINK("https://dexscreener.com/solana/DVsEuAZrPWwuBZHMe71QpFQ6bbbUMjNWs8RASwXFpump", "View")</f>
        <v>View</v>
      </c>
    </row>
    <row r="36" spans="1:16" x14ac:dyDescent="0.25">
      <c r="A36" s="13" t="s">
        <v>8115</v>
      </c>
      <c r="B36" s="14">
        <v>62943917</v>
      </c>
      <c r="C36" s="14">
        <v>62943917</v>
      </c>
      <c r="D36" s="14" t="s">
        <v>20211</v>
      </c>
      <c r="E36" s="14" t="s">
        <v>1457</v>
      </c>
      <c r="F36" s="14" t="s">
        <v>13494</v>
      </c>
      <c r="G36" s="20" t="s">
        <v>24134</v>
      </c>
      <c r="H36" s="20" t="s">
        <v>24135</v>
      </c>
      <c r="I36" s="14" t="s">
        <v>88</v>
      </c>
      <c r="J36" s="14">
        <v>1</v>
      </c>
      <c r="K36" s="14">
        <v>1</v>
      </c>
      <c r="L36" s="14" t="s">
        <v>24136</v>
      </c>
      <c r="M36" s="19" t="s">
        <v>1688</v>
      </c>
      <c r="N36" s="14" t="s">
        <v>4769</v>
      </c>
      <c r="O36" s="14" t="s">
        <v>20235</v>
      </c>
      <c r="P36" s="14" t="str">
        <f>HYPERLINK("https://dexscreener.com/solana/DnQ8XWr3QdhcNw5ZEc6iko7bZSHfqszjTLNxyoCwpump", "View")</f>
        <v>View</v>
      </c>
    </row>
    <row r="37" spans="1:16" x14ac:dyDescent="0.25">
      <c r="A37" s="16" t="s">
        <v>18067</v>
      </c>
      <c r="B37" s="17">
        <v>77844083</v>
      </c>
      <c r="C37" s="17">
        <v>77844083</v>
      </c>
      <c r="D37" s="17" t="s">
        <v>20211</v>
      </c>
      <c r="E37" s="17" t="s">
        <v>1457</v>
      </c>
      <c r="F37" s="17" t="s">
        <v>24137</v>
      </c>
      <c r="G37" s="22" t="s">
        <v>3890</v>
      </c>
      <c r="H37" s="22" t="s">
        <v>24075</v>
      </c>
      <c r="I37" s="17" t="s">
        <v>88</v>
      </c>
      <c r="J37" s="17">
        <v>1</v>
      </c>
      <c r="K37" s="17">
        <v>1</v>
      </c>
      <c r="L37" s="17" t="s">
        <v>24138</v>
      </c>
      <c r="M37" s="19" t="s">
        <v>2486</v>
      </c>
      <c r="N37" s="17" t="s">
        <v>12852</v>
      </c>
      <c r="O37" s="17" t="s">
        <v>24139</v>
      </c>
      <c r="P37" s="17" t="str">
        <f>HYPERLINK("https://dexscreener.com/solana/2Bzq638eqXMYvT7KXkQvEvqCidv19hVb1koA4KGKpump", "View")</f>
        <v>View</v>
      </c>
    </row>
    <row r="38" spans="1:16" x14ac:dyDescent="0.25">
      <c r="A38" s="13" t="s">
        <v>20236</v>
      </c>
      <c r="B38" s="14">
        <v>34960406</v>
      </c>
      <c r="C38" s="14">
        <v>34960406</v>
      </c>
      <c r="D38" s="14" t="s">
        <v>20211</v>
      </c>
      <c r="E38" s="14" t="s">
        <v>1007</v>
      </c>
      <c r="F38" s="14" t="s">
        <v>2537</v>
      </c>
      <c r="G38" s="20" t="s">
        <v>18265</v>
      </c>
      <c r="H38" s="20" t="s">
        <v>24140</v>
      </c>
      <c r="I38" s="14" t="s">
        <v>88</v>
      </c>
      <c r="J38" s="14">
        <v>1</v>
      </c>
      <c r="K38" s="14">
        <v>1</v>
      </c>
      <c r="L38" s="14" t="s">
        <v>20238</v>
      </c>
      <c r="M38" s="19" t="s">
        <v>3000</v>
      </c>
      <c r="N38" s="14" t="s">
        <v>19345</v>
      </c>
      <c r="O38" s="14" t="s">
        <v>20239</v>
      </c>
      <c r="P38" s="14" t="str">
        <f>HYPERLINK("https://dexscreener.com/solana/8xS4arKak6fv3TMnFeojkjqG7HaRjGcxwHkDih3YQQu9", "View")</f>
        <v>View</v>
      </c>
    </row>
    <row r="39" spans="1:16" x14ac:dyDescent="0.25">
      <c r="A39" s="16" t="s">
        <v>24141</v>
      </c>
      <c r="B39" s="17">
        <v>83247517</v>
      </c>
      <c r="C39" s="17">
        <v>83247517</v>
      </c>
      <c r="D39" s="17" t="s">
        <v>20211</v>
      </c>
      <c r="E39" s="17" t="s">
        <v>1457</v>
      </c>
      <c r="F39" s="17" t="s">
        <v>24142</v>
      </c>
      <c r="G39" s="20" t="s">
        <v>13461</v>
      </c>
      <c r="H39" s="20" t="s">
        <v>6120</v>
      </c>
      <c r="I39" s="17" t="s">
        <v>88</v>
      </c>
      <c r="J39" s="17">
        <v>1</v>
      </c>
      <c r="K39" s="17">
        <v>1</v>
      </c>
      <c r="L39" s="17" t="s">
        <v>24143</v>
      </c>
      <c r="M39" s="19" t="s">
        <v>2189</v>
      </c>
      <c r="N39" s="17" t="s">
        <v>12746</v>
      </c>
      <c r="O39" s="17" t="s">
        <v>24144</v>
      </c>
      <c r="P39" s="17" t="str">
        <f>HYPERLINK("https://dexscreener.com/solana/GL2HKofGcvV5hUaaDmZ9G25FwgmYokCRWTg4M8ikmzzx", "View")</f>
        <v>View</v>
      </c>
    </row>
    <row r="40" spans="1:16" x14ac:dyDescent="0.25">
      <c r="A40" s="13" t="s">
        <v>20240</v>
      </c>
      <c r="B40" s="14">
        <v>30158406</v>
      </c>
      <c r="C40" s="14">
        <v>30158406</v>
      </c>
      <c r="D40" s="14" t="s">
        <v>20211</v>
      </c>
      <c r="E40" s="14" t="s">
        <v>1457</v>
      </c>
      <c r="F40" s="14" t="s">
        <v>24145</v>
      </c>
      <c r="G40" s="20" t="s">
        <v>24146</v>
      </c>
      <c r="H40" s="20" t="s">
        <v>22559</v>
      </c>
      <c r="I40" s="14" t="s">
        <v>88</v>
      </c>
      <c r="J40" s="14">
        <v>1</v>
      </c>
      <c r="K40" s="14">
        <v>1</v>
      </c>
      <c r="L40" s="14" t="s">
        <v>24147</v>
      </c>
      <c r="M40" s="19" t="s">
        <v>2323</v>
      </c>
      <c r="N40" s="14" t="s">
        <v>24148</v>
      </c>
      <c r="O40" s="14" t="s">
        <v>20245</v>
      </c>
      <c r="P40" s="14" t="str">
        <f>HYPERLINK("https://dexscreener.com/solana/DJfrje1JscN1fJMB3aUTBh8SsYxiDZ88GJDPStMbpump", "View")</f>
        <v>View</v>
      </c>
    </row>
    <row r="41" spans="1:16" x14ac:dyDescent="0.25">
      <c r="A41" s="16" t="s">
        <v>11703</v>
      </c>
      <c r="B41" s="17">
        <v>18521784</v>
      </c>
      <c r="C41" s="17">
        <v>18521784</v>
      </c>
      <c r="D41" s="17" t="s">
        <v>20211</v>
      </c>
      <c r="E41" s="17" t="s">
        <v>2390</v>
      </c>
      <c r="F41" s="17" t="s">
        <v>22351</v>
      </c>
      <c r="G41" s="20" t="s">
        <v>24149</v>
      </c>
      <c r="H41" s="20" t="s">
        <v>24150</v>
      </c>
      <c r="I41" s="17" t="s">
        <v>88</v>
      </c>
      <c r="J41" s="17">
        <v>1</v>
      </c>
      <c r="K41" s="17">
        <v>1</v>
      </c>
      <c r="L41" s="17" t="s">
        <v>24151</v>
      </c>
      <c r="M41" s="19" t="s">
        <v>3158</v>
      </c>
      <c r="N41" s="17" t="s">
        <v>24152</v>
      </c>
      <c r="O41" s="17" t="s">
        <v>11707</v>
      </c>
      <c r="P41" s="17" t="str">
        <f>HYPERLINK("https://dexscreener.com/solana/9Q8BNPzujkGcrGnybA2BqB5xh3Q3cYUGYmfnz2bYpump", "View")</f>
        <v>View</v>
      </c>
    </row>
    <row r="42" spans="1:16" x14ac:dyDescent="0.25">
      <c r="A42" s="13" t="s">
        <v>20250</v>
      </c>
      <c r="B42" s="14">
        <v>51455386</v>
      </c>
      <c r="C42" s="14">
        <v>51455386</v>
      </c>
      <c r="D42" s="14" t="s">
        <v>20211</v>
      </c>
      <c r="E42" s="14" t="s">
        <v>3404</v>
      </c>
      <c r="F42" s="14" t="s">
        <v>24153</v>
      </c>
      <c r="G42" s="22" t="s">
        <v>20640</v>
      </c>
      <c r="H42" s="22" t="s">
        <v>24154</v>
      </c>
      <c r="I42" s="14" t="s">
        <v>88</v>
      </c>
      <c r="J42" s="14">
        <v>1</v>
      </c>
      <c r="K42" s="14">
        <v>1</v>
      </c>
      <c r="L42" s="14" t="s">
        <v>20252</v>
      </c>
      <c r="M42" s="19" t="s">
        <v>2993</v>
      </c>
      <c r="N42" s="14" t="s">
        <v>2223</v>
      </c>
      <c r="O42" s="14" t="s">
        <v>20253</v>
      </c>
      <c r="P42" s="14" t="str">
        <f>HYPERLINK("https://dexscreener.com/solana/3cKryQr5NfBD12gE3r3MAiGvARUY7SA9pWqtyRb1pump", "View")</f>
        <v>View</v>
      </c>
    </row>
    <row r="43" spans="1:16" x14ac:dyDescent="0.25">
      <c r="A43" s="16" t="s">
        <v>20254</v>
      </c>
      <c r="B43" s="17">
        <v>17770761</v>
      </c>
      <c r="C43" s="17">
        <v>17770761</v>
      </c>
      <c r="D43" s="17" t="s">
        <v>20211</v>
      </c>
      <c r="E43" s="17" t="s">
        <v>1007</v>
      </c>
      <c r="F43" s="17" t="s">
        <v>6752</v>
      </c>
      <c r="G43" s="22" t="s">
        <v>5248</v>
      </c>
      <c r="H43" s="22" t="s">
        <v>24155</v>
      </c>
      <c r="I43" s="17" t="s">
        <v>88</v>
      </c>
      <c r="J43" s="17">
        <v>1</v>
      </c>
      <c r="K43" s="17">
        <v>1</v>
      </c>
      <c r="L43" s="17" t="s">
        <v>20256</v>
      </c>
      <c r="M43" s="19" t="s">
        <v>2937</v>
      </c>
      <c r="N43" s="17" t="s">
        <v>3908</v>
      </c>
      <c r="O43" s="17" t="s">
        <v>20257</v>
      </c>
      <c r="P43" s="17" t="str">
        <f>HYPERLINK("https://dexscreener.com/solana/DLkvHmHi3caM6gKtkShBhnYGXGbGkhfND3sAQ1Jupump", "View")</f>
        <v>View</v>
      </c>
    </row>
    <row r="44" spans="1:16" x14ac:dyDescent="0.25">
      <c r="A44" s="13" t="s">
        <v>20258</v>
      </c>
      <c r="B44" s="14">
        <v>57222114</v>
      </c>
      <c r="C44" s="14">
        <v>57222114</v>
      </c>
      <c r="D44" s="14" t="s">
        <v>20211</v>
      </c>
      <c r="E44" s="14" t="s">
        <v>1457</v>
      </c>
      <c r="F44" s="14" t="s">
        <v>10430</v>
      </c>
      <c r="G44" s="20" t="s">
        <v>15420</v>
      </c>
      <c r="H44" s="20" t="s">
        <v>3822</v>
      </c>
      <c r="I44" s="14" t="s">
        <v>88</v>
      </c>
      <c r="J44" s="14">
        <v>1</v>
      </c>
      <c r="K44" s="14">
        <v>1</v>
      </c>
      <c r="L44" s="14" t="s">
        <v>24156</v>
      </c>
      <c r="M44" s="19" t="s">
        <v>7601</v>
      </c>
      <c r="N44" s="14" t="s">
        <v>12669</v>
      </c>
      <c r="O44" s="14" t="s">
        <v>20262</v>
      </c>
      <c r="P44" s="14" t="str">
        <f>HYPERLINK("https://dexscreener.com/solana/1avW39hv8D247STn9AVyCxe7KiP69JzVXJy3nnwpump", "View")</f>
        <v>View</v>
      </c>
    </row>
    <row r="45" spans="1:16" x14ac:dyDescent="0.25">
      <c r="A45" s="16" t="s">
        <v>20263</v>
      </c>
      <c r="B45" s="17">
        <v>67676217</v>
      </c>
      <c r="C45" s="17">
        <v>67676217</v>
      </c>
      <c r="D45" s="17" t="s">
        <v>20211</v>
      </c>
      <c r="E45" s="17" t="s">
        <v>1457</v>
      </c>
      <c r="F45" s="17" t="s">
        <v>9382</v>
      </c>
      <c r="G45" s="20" t="s">
        <v>3885</v>
      </c>
      <c r="H45" s="20" t="s">
        <v>24157</v>
      </c>
      <c r="I45" s="17" t="s">
        <v>88</v>
      </c>
      <c r="J45" s="17">
        <v>1</v>
      </c>
      <c r="K45" s="17">
        <v>1</v>
      </c>
      <c r="L45" s="17" t="s">
        <v>20265</v>
      </c>
      <c r="M45" s="19" t="s">
        <v>1827</v>
      </c>
      <c r="N45" s="17" t="s">
        <v>12852</v>
      </c>
      <c r="O45" s="17" t="s">
        <v>20267</v>
      </c>
      <c r="P45" s="17" t="str">
        <f>HYPERLINK("https://dexscreener.com/solana/17MC7PZ3FYV4iFwhUicX9ETtZHeFAQnnWPKL38ppump", "View")</f>
        <v>View</v>
      </c>
    </row>
    <row r="46" spans="1:16" x14ac:dyDescent="0.25">
      <c r="A46" s="13" t="s">
        <v>12752</v>
      </c>
      <c r="B46" s="14">
        <v>26744889</v>
      </c>
      <c r="C46" s="14">
        <v>26744889</v>
      </c>
      <c r="D46" s="14" t="s">
        <v>24158</v>
      </c>
      <c r="E46" s="14" t="s">
        <v>24159</v>
      </c>
      <c r="F46" s="14" t="s">
        <v>24160</v>
      </c>
      <c r="G46" s="21" t="s">
        <v>24161</v>
      </c>
      <c r="H46" s="21" t="s">
        <v>24162</v>
      </c>
      <c r="I46" s="14" t="s">
        <v>88</v>
      </c>
      <c r="J46" s="14">
        <v>3</v>
      </c>
      <c r="K46" s="14">
        <v>5</v>
      </c>
      <c r="L46" s="14" t="s">
        <v>20271</v>
      </c>
      <c r="M46" s="14" t="s">
        <v>2145</v>
      </c>
      <c r="N46" s="14" t="s">
        <v>24163</v>
      </c>
      <c r="O46" s="14" t="s">
        <v>12758</v>
      </c>
      <c r="P46" s="14" t="str">
        <f>HYPERLINK("https://dexscreener.com/solana/92wuGwwgHHNCXMCxrPsWHsCsECcDAdxQzXeLq5rNpump", "View")</f>
        <v>View</v>
      </c>
    </row>
    <row r="47" spans="1:16" x14ac:dyDescent="0.25">
      <c r="A47" s="16" t="s">
        <v>20273</v>
      </c>
      <c r="B47" s="17">
        <v>123435639</v>
      </c>
      <c r="C47" s="17">
        <v>123435639</v>
      </c>
      <c r="D47" s="17" t="s">
        <v>20197</v>
      </c>
      <c r="E47" s="17" t="s">
        <v>13487</v>
      </c>
      <c r="F47" s="17" t="s">
        <v>24164</v>
      </c>
      <c r="G47" s="22" t="s">
        <v>2856</v>
      </c>
      <c r="H47" s="22" t="s">
        <v>24165</v>
      </c>
      <c r="I47" s="17" t="s">
        <v>88</v>
      </c>
      <c r="J47" s="17">
        <v>2</v>
      </c>
      <c r="K47" s="17">
        <v>2</v>
      </c>
      <c r="L47" s="17" t="s">
        <v>24166</v>
      </c>
      <c r="M47" s="17" t="s">
        <v>1986</v>
      </c>
      <c r="N47" s="17" t="s">
        <v>507</v>
      </c>
      <c r="O47" s="17" t="s">
        <v>20277</v>
      </c>
      <c r="P47" s="17" t="str">
        <f>HYPERLINK("https://photon-sol.tinyastro.io/en/lp/13kgoNWyqxnDrs3UfWjzVwTy5h8UEEZrRsQjXGy7pump?handle=676050794bc1b1657a56b", "View")</f>
        <v>View</v>
      </c>
    </row>
    <row r="48" spans="1:16" x14ac:dyDescent="0.25">
      <c r="A48" s="13" t="s">
        <v>20278</v>
      </c>
      <c r="B48" s="14">
        <v>89932260</v>
      </c>
      <c r="C48" s="14">
        <v>89932260</v>
      </c>
      <c r="D48" s="14" t="s">
        <v>20197</v>
      </c>
      <c r="E48" s="14" t="s">
        <v>569</v>
      </c>
      <c r="F48" s="14" t="s">
        <v>24167</v>
      </c>
      <c r="G48" s="20" t="s">
        <v>24168</v>
      </c>
      <c r="H48" s="20" t="s">
        <v>24169</v>
      </c>
      <c r="I48" s="14" t="s">
        <v>88</v>
      </c>
      <c r="J48" s="14">
        <v>2</v>
      </c>
      <c r="K48" s="14">
        <v>2</v>
      </c>
      <c r="L48" s="14" t="s">
        <v>20281</v>
      </c>
      <c r="M48" s="14" t="s">
        <v>1448</v>
      </c>
      <c r="N48" s="14" t="s">
        <v>16657</v>
      </c>
      <c r="O48" s="14" t="s">
        <v>20282</v>
      </c>
      <c r="P48" s="14" t="str">
        <f>HYPERLINK("https://dexscreener.com/solana/7kQRpzVjbQrBPnkebRDt5Zcwg4ynxQ7c6QohWjeDpump", "View")</f>
        <v>View</v>
      </c>
    </row>
    <row r="49" spans="1:16" x14ac:dyDescent="0.25">
      <c r="A49" s="16" t="s">
        <v>24170</v>
      </c>
      <c r="B49" s="17">
        <v>48604041</v>
      </c>
      <c r="C49" s="17">
        <v>48604041</v>
      </c>
      <c r="D49" s="17" t="s">
        <v>20211</v>
      </c>
      <c r="E49" s="17" t="s">
        <v>402</v>
      </c>
      <c r="F49" s="17" t="s">
        <v>19176</v>
      </c>
      <c r="G49" s="22" t="s">
        <v>5608</v>
      </c>
      <c r="H49" s="22" t="s">
        <v>24171</v>
      </c>
      <c r="I49" s="17" t="s">
        <v>88</v>
      </c>
      <c r="J49" s="17">
        <v>1</v>
      </c>
      <c r="K49" s="17">
        <v>1</v>
      </c>
      <c r="L49" s="17" t="s">
        <v>24172</v>
      </c>
      <c r="M49" s="19" t="s">
        <v>2937</v>
      </c>
      <c r="N49" s="17" t="s">
        <v>2211</v>
      </c>
      <c r="O49" s="17" t="s">
        <v>24173</v>
      </c>
      <c r="P49" s="17" t="str">
        <f>HYPERLINK("https://dexscreener.com/solana/Bw78g256vrpoqYbL7LyGYZHRoDbHtXFL7FBAgLpSP1bc", "View")</f>
        <v>View</v>
      </c>
    </row>
    <row r="50" spans="1:16" x14ac:dyDescent="0.25">
      <c r="A50" s="13" t="s">
        <v>20286</v>
      </c>
      <c r="B50" s="14">
        <v>21659103</v>
      </c>
      <c r="C50" s="14">
        <v>21659103</v>
      </c>
      <c r="D50" s="14" t="s">
        <v>20211</v>
      </c>
      <c r="E50" s="14" t="s">
        <v>1007</v>
      </c>
      <c r="F50" s="14" t="s">
        <v>19782</v>
      </c>
      <c r="G50" s="22" t="s">
        <v>6111</v>
      </c>
      <c r="H50" s="22" t="s">
        <v>5385</v>
      </c>
      <c r="I50" s="14" t="s">
        <v>88</v>
      </c>
      <c r="J50" s="14">
        <v>1</v>
      </c>
      <c r="K50" s="14">
        <v>1</v>
      </c>
      <c r="L50" s="14" t="s">
        <v>24174</v>
      </c>
      <c r="M50" s="19" t="s">
        <v>2955</v>
      </c>
      <c r="N50" s="14" t="s">
        <v>12453</v>
      </c>
      <c r="O50" s="14" t="s">
        <v>20290</v>
      </c>
      <c r="P50" s="14" t="str">
        <f>HYPERLINK("https://dexscreener.com/solana/64zRGSHxDoEd7vXvgUrZPEW21sMGQbaDFoX29BG3eFi1", "View")</f>
        <v>View</v>
      </c>
    </row>
    <row r="51" spans="1:16" x14ac:dyDescent="0.25">
      <c r="A51" s="16" t="s">
        <v>20291</v>
      </c>
      <c r="B51" s="17">
        <v>481055</v>
      </c>
      <c r="C51" s="17">
        <v>481055</v>
      </c>
      <c r="D51" s="17" t="s">
        <v>20211</v>
      </c>
      <c r="E51" s="17" t="s">
        <v>1007</v>
      </c>
      <c r="F51" s="17" t="s">
        <v>24175</v>
      </c>
      <c r="G51" s="20" t="s">
        <v>1523</v>
      </c>
      <c r="H51" s="20" t="s">
        <v>24176</v>
      </c>
      <c r="I51" s="17" t="s">
        <v>88</v>
      </c>
      <c r="J51" s="17">
        <v>1</v>
      </c>
      <c r="K51" s="17">
        <v>1</v>
      </c>
      <c r="L51" s="17" t="s">
        <v>24177</v>
      </c>
      <c r="M51" s="19" t="s">
        <v>2937</v>
      </c>
      <c r="N51" s="17" t="s">
        <v>507</v>
      </c>
      <c r="O51" s="17" t="s">
        <v>20295</v>
      </c>
      <c r="P51" s="17" t="str">
        <f>HYPERLINK("https://dexscreener.com/solana/66Qk1MK4uJGoxwmGrPKX4Uvssb3xYgjck4vPvne3shKv", "View")</f>
        <v>View</v>
      </c>
    </row>
    <row r="52" spans="1:16" x14ac:dyDescent="0.25">
      <c r="A52" s="13" t="s">
        <v>20296</v>
      </c>
      <c r="B52" s="14">
        <v>153663873</v>
      </c>
      <c r="C52" s="14">
        <v>153663873</v>
      </c>
      <c r="D52" s="14" t="s">
        <v>20259</v>
      </c>
      <c r="E52" s="14" t="s">
        <v>1457</v>
      </c>
      <c r="F52" s="14" t="s">
        <v>24178</v>
      </c>
      <c r="G52" s="20" t="s">
        <v>2684</v>
      </c>
      <c r="H52" s="20" t="s">
        <v>24179</v>
      </c>
      <c r="I52" s="14" t="s">
        <v>88</v>
      </c>
      <c r="J52" s="14">
        <v>2</v>
      </c>
      <c r="K52" s="14">
        <v>1</v>
      </c>
      <c r="L52" s="14" t="s">
        <v>24180</v>
      </c>
      <c r="M52" s="19" t="s">
        <v>2517</v>
      </c>
      <c r="N52" s="14" t="s">
        <v>507</v>
      </c>
      <c r="O52" s="14" t="s">
        <v>20299</v>
      </c>
      <c r="P52" s="14" t="str">
        <f>HYPERLINK("https://dexscreener.com/solana/H5xeU8yPnBVNwgv5ChHhv74rkbDTG99rXDH4ydc4XwX2", "View")</f>
        <v>View</v>
      </c>
    </row>
    <row r="53" spans="1:16" x14ac:dyDescent="0.25">
      <c r="A53" s="16" t="s">
        <v>20300</v>
      </c>
      <c r="B53" s="17">
        <v>82719752</v>
      </c>
      <c r="C53" s="17">
        <v>82719752</v>
      </c>
      <c r="D53" s="17" t="s">
        <v>20211</v>
      </c>
      <c r="E53" s="17" t="s">
        <v>24181</v>
      </c>
      <c r="F53" s="17" t="s">
        <v>24182</v>
      </c>
      <c r="G53" s="22" t="s">
        <v>3993</v>
      </c>
      <c r="H53" s="22" t="s">
        <v>24183</v>
      </c>
      <c r="I53" s="17" t="s">
        <v>88</v>
      </c>
      <c r="J53" s="17">
        <v>1</v>
      </c>
      <c r="K53" s="17">
        <v>1</v>
      </c>
      <c r="L53" s="17" t="s">
        <v>20305</v>
      </c>
      <c r="M53" s="19" t="s">
        <v>2486</v>
      </c>
      <c r="N53" s="17" t="s">
        <v>507</v>
      </c>
      <c r="O53" s="17" t="s">
        <v>20306</v>
      </c>
      <c r="P53" s="17" t="str">
        <f>HYPERLINK("https://photon-sol.tinyastro.io/en/lp/1265m4Q8ACgg6yfn896oX7xA3HVu3HafkosL8xmApump?handle=676050794bc1b1657a56b", "View")</f>
        <v>View</v>
      </c>
    </row>
    <row r="54" spans="1:16" x14ac:dyDescent="0.25">
      <c r="A54" s="13" t="s">
        <v>20300</v>
      </c>
      <c r="B54" s="14">
        <v>66999624</v>
      </c>
      <c r="C54" s="14">
        <v>66999624</v>
      </c>
      <c r="D54" s="14" t="s">
        <v>20211</v>
      </c>
      <c r="E54" s="14" t="s">
        <v>24184</v>
      </c>
      <c r="F54" s="14" t="s">
        <v>24185</v>
      </c>
      <c r="G54" s="22" t="s">
        <v>17072</v>
      </c>
      <c r="H54" s="22" t="s">
        <v>24186</v>
      </c>
      <c r="I54" s="14" t="s">
        <v>88</v>
      </c>
      <c r="J54" s="14">
        <v>1</v>
      </c>
      <c r="K54" s="14">
        <v>1</v>
      </c>
      <c r="L54" s="14" t="s">
        <v>20309</v>
      </c>
      <c r="M54" s="19" t="s">
        <v>4171</v>
      </c>
      <c r="N54" s="14" t="s">
        <v>507</v>
      </c>
      <c r="O54" s="14" t="s">
        <v>20310</v>
      </c>
      <c r="P54" s="14" t="str">
        <f>HYPERLINK("https://photon-sol.tinyastro.io/en/lp/9TfYwLqYXuNNBo2yorgFXpK8Z7XZ2QjVzMaNRdKypump?handle=676050794bc1b1657a56b", "View")</f>
        <v>View</v>
      </c>
    </row>
    <row r="55" spans="1:16" x14ac:dyDescent="0.25">
      <c r="A55" s="16" t="s">
        <v>15136</v>
      </c>
      <c r="B55" s="17">
        <v>66831909</v>
      </c>
      <c r="C55" s="17">
        <v>66831909</v>
      </c>
      <c r="D55" s="17" t="s">
        <v>20211</v>
      </c>
      <c r="E55" s="17" t="s">
        <v>24187</v>
      </c>
      <c r="F55" s="17" t="s">
        <v>23102</v>
      </c>
      <c r="G55" s="20" t="s">
        <v>22829</v>
      </c>
      <c r="H55" s="20" t="s">
        <v>24188</v>
      </c>
      <c r="I55" s="17" t="s">
        <v>88</v>
      </c>
      <c r="J55" s="17">
        <v>1</v>
      </c>
      <c r="K55" s="17">
        <v>1</v>
      </c>
      <c r="L55" s="17" t="s">
        <v>24189</v>
      </c>
      <c r="M55" s="19" t="s">
        <v>3076</v>
      </c>
      <c r="N55" s="17" t="s">
        <v>507</v>
      </c>
      <c r="O55" s="17" t="s">
        <v>20314</v>
      </c>
      <c r="P55" s="17" t="str">
        <f>HYPERLINK("https://photon-sol.tinyastro.io/en/lp/128UJtR2e4Y3k8vZ51uTuoDPpE6Hca8H6Ht6hcEJpump?handle=676050794bc1b1657a56b", "View")</f>
        <v>View</v>
      </c>
    </row>
    <row r="56" spans="1:16" x14ac:dyDescent="0.25">
      <c r="A56" s="13" t="s">
        <v>12970</v>
      </c>
      <c r="B56" s="14">
        <v>147158299</v>
      </c>
      <c r="C56" s="14">
        <v>147158299</v>
      </c>
      <c r="D56" s="14" t="s">
        <v>20197</v>
      </c>
      <c r="E56" s="14" t="s">
        <v>24190</v>
      </c>
      <c r="F56" s="14" t="s">
        <v>24191</v>
      </c>
      <c r="G56" s="22" t="s">
        <v>2463</v>
      </c>
      <c r="H56" s="22" t="s">
        <v>24192</v>
      </c>
      <c r="I56" s="14" t="s">
        <v>88</v>
      </c>
      <c r="J56" s="14">
        <v>2</v>
      </c>
      <c r="K56" s="14">
        <v>2</v>
      </c>
      <c r="L56" s="14" t="s">
        <v>24193</v>
      </c>
      <c r="M56" s="14" t="s">
        <v>1448</v>
      </c>
      <c r="N56" s="14" t="s">
        <v>12229</v>
      </c>
      <c r="O56" s="14" t="s">
        <v>20323</v>
      </c>
      <c r="P56" s="14" t="str">
        <f>HYPERLINK("https://dexscreener.com/solana/CwkGWGF6k2ZTtvbVeQgobUFmYQCL1AnBZi3BYFSzpump", "View")</f>
        <v>View</v>
      </c>
    </row>
    <row r="57" spans="1:16" x14ac:dyDescent="0.25">
      <c r="A57" s="16" t="s">
        <v>20315</v>
      </c>
      <c r="B57" s="17">
        <v>33359681</v>
      </c>
      <c r="C57" s="17">
        <v>33359681</v>
      </c>
      <c r="D57" s="17" t="s">
        <v>20211</v>
      </c>
      <c r="E57" s="17" t="s">
        <v>1457</v>
      </c>
      <c r="F57" s="17" t="s">
        <v>9237</v>
      </c>
      <c r="G57" s="20" t="s">
        <v>2066</v>
      </c>
      <c r="H57" s="20" t="s">
        <v>24194</v>
      </c>
      <c r="I57" s="17" t="s">
        <v>88</v>
      </c>
      <c r="J57" s="17">
        <v>1</v>
      </c>
      <c r="K57" s="17">
        <v>1</v>
      </c>
      <c r="L57" s="17" t="s">
        <v>20318</v>
      </c>
      <c r="M57" s="19" t="s">
        <v>2486</v>
      </c>
      <c r="N57" s="17" t="s">
        <v>24195</v>
      </c>
      <c r="O57" s="17" t="s">
        <v>20320</v>
      </c>
      <c r="P57" s="17" t="str">
        <f>HYPERLINK("https://dexscreener.com/solana/HBWrm4TsXbo5rKJySTCYSpw1L2fyQZPS6DPVUpwxGEzt", "View")</f>
        <v>View</v>
      </c>
    </row>
    <row r="58" spans="1:16" x14ac:dyDescent="0.25">
      <c r="A58" s="13" t="s">
        <v>20286</v>
      </c>
      <c r="B58" s="14">
        <v>50283901</v>
      </c>
      <c r="C58" s="14">
        <v>50283901</v>
      </c>
      <c r="D58" s="14" t="s">
        <v>20211</v>
      </c>
      <c r="E58" s="14" t="s">
        <v>1457</v>
      </c>
      <c r="F58" s="14" t="s">
        <v>24196</v>
      </c>
      <c r="G58" s="22" t="s">
        <v>5358</v>
      </c>
      <c r="H58" s="22" t="s">
        <v>15017</v>
      </c>
      <c r="I58" s="14" t="s">
        <v>88</v>
      </c>
      <c r="J58" s="14">
        <v>1</v>
      </c>
      <c r="K58" s="14">
        <v>1</v>
      </c>
      <c r="L58" s="14" t="s">
        <v>24197</v>
      </c>
      <c r="M58" s="19" t="s">
        <v>3076</v>
      </c>
      <c r="N58" s="14" t="s">
        <v>21143</v>
      </c>
      <c r="O58" s="14" t="s">
        <v>24198</v>
      </c>
      <c r="P58" s="14" t="str">
        <f>HYPERLINK("https://dexscreener.com/solana/HhssSpg5Pe77YjUKNFYayo1cQUdNh2w2juddPQ7npump", "View")</f>
        <v>View</v>
      </c>
    </row>
    <row r="59" spans="1:16" x14ac:dyDescent="0.25">
      <c r="A59" s="16" t="s">
        <v>20324</v>
      </c>
      <c r="B59" s="17">
        <v>167846601</v>
      </c>
      <c r="C59" s="17">
        <v>167846601</v>
      </c>
      <c r="D59" s="17" t="s">
        <v>20197</v>
      </c>
      <c r="E59" s="17" t="s">
        <v>19587</v>
      </c>
      <c r="F59" s="17" t="s">
        <v>24199</v>
      </c>
      <c r="G59" s="22" t="s">
        <v>1639</v>
      </c>
      <c r="H59" s="22" t="s">
        <v>24200</v>
      </c>
      <c r="I59" s="17" t="s">
        <v>88</v>
      </c>
      <c r="J59" s="17">
        <v>2</v>
      </c>
      <c r="K59" s="17">
        <v>2</v>
      </c>
      <c r="L59" s="17" t="s">
        <v>24201</v>
      </c>
      <c r="M59" s="19" t="s">
        <v>9152</v>
      </c>
      <c r="N59" s="17" t="s">
        <v>12746</v>
      </c>
      <c r="O59" s="17" t="s">
        <v>20326</v>
      </c>
      <c r="P59" s="17" t="str">
        <f>HYPERLINK("https://dexscreener.com/solana/J4TqJkCe9naGFvoyfj8mMzC2gznzFQKras4PBUdnpump", "View")</f>
        <v>View</v>
      </c>
    </row>
    <row r="60" spans="1:16" x14ac:dyDescent="0.25">
      <c r="A60" s="13" t="s">
        <v>11147</v>
      </c>
      <c r="B60" s="14">
        <v>20420491</v>
      </c>
      <c r="C60" s="14">
        <v>20420491</v>
      </c>
      <c r="D60" s="14" t="s">
        <v>20211</v>
      </c>
      <c r="E60" s="14" t="s">
        <v>1457</v>
      </c>
      <c r="F60" s="14" t="s">
        <v>24202</v>
      </c>
      <c r="G60" s="22" t="s">
        <v>3563</v>
      </c>
      <c r="H60" s="22" t="s">
        <v>15701</v>
      </c>
      <c r="I60" s="14" t="s">
        <v>88</v>
      </c>
      <c r="J60" s="14">
        <v>1</v>
      </c>
      <c r="K60" s="14">
        <v>1</v>
      </c>
      <c r="L60" s="14" t="s">
        <v>20334</v>
      </c>
      <c r="M60" s="19" t="s">
        <v>2937</v>
      </c>
      <c r="N60" s="14" t="s">
        <v>24203</v>
      </c>
      <c r="O60" s="14" t="s">
        <v>11153</v>
      </c>
      <c r="P60" s="14" t="str">
        <f>HYPERLINK("https://dexscreener.com/solana/s88MQrEmdBgaFMskQW2jKvm1Spfoe1bVyYMKbc1pump", "View")</f>
        <v>View</v>
      </c>
    </row>
    <row r="61" spans="1:16" x14ac:dyDescent="0.25">
      <c r="A61" s="16" t="s">
        <v>20336</v>
      </c>
      <c r="B61" s="17">
        <v>73832218</v>
      </c>
      <c r="C61" s="17">
        <v>73832218</v>
      </c>
      <c r="D61" s="17" t="s">
        <v>20211</v>
      </c>
      <c r="E61" s="17" t="s">
        <v>1457</v>
      </c>
      <c r="F61" s="17" t="s">
        <v>24204</v>
      </c>
      <c r="G61" s="22" t="s">
        <v>2773</v>
      </c>
      <c r="H61" s="22" t="s">
        <v>24205</v>
      </c>
      <c r="I61" s="17" t="s">
        <v>88</v>
      </c>
      <c r="J61" s="17">
        <v>1</v>
      </c>
      <c r="K61" s="17">
        <v>1</v>
      </c>
      <c r="L61" s="17" t="s">
        <v>20338</v>
      </c>
      <c r="M61" s="19" t="s">
        <v>2323</v>
      </c>
      <c r="N61" s="17" t="s">
        <v>12519</v>
      </c>
      <c r="O61" s="17" t="s">
        <v>20339</v>
      </c>
      <c r="P61" s="17" t="str">
        <f>HYPERLINK("https://dexscreener.com/solana/2Y45y3GcpywHbaDPZcyT79oSEEgsw1V4LJEwrLoHpump", "View")</f>
        <v>View</v>
      </c>
    </row>
    <row r="62" spans="1:16" x14ac:dyDescent="0.25">
      <c r="A62" s="13" t="s">
        <v>24206</v>
      </c>
      <c r="B62" s="14">
        <v>76164581</v>
      </c>
      <c r="C62" s="14">
        <v>76164581</v>
      </c>
      <c r="D62" s="14" t="s">
        <v>21792</v>
      </c>
      <c r="E62" s="14" t="s">
        <v>3404</v>
      </c>
      <c r="F62" s="14" t="s">
        <v>24207</v>
      </c>
      <c r="G62" s="21" t="s">
        <v>11760</v>
      </c>
      <c r="H62" s="21" t="s">
        <v>24208</v>
      </c>
      <c r="I62" s="14" t="s">
        <v>88</v>
      </c>
      <c r="J62" s="14">
        <v>1</v>
      </c>
      <c r="K62" s="14">
        <v>1</v>
      </c>
      <c r="L62" s="14" t="s">
        <v>24209</v>
      </c>
      <c r="M62" s="19" t="s">
        <v>3158</v>
      </c>
      <c r="N62" s="14" t="s">
        <v>12554</v>
      </c>
      <c r="O62" s="14" t="s">
        <v>24210</v>
      </c>
      <c r="P62" s="14" t="str">
        <f>HYPERLINK("https://dexscreener.com/solana/9D43HxnRpY9yk4LrQbmPMp6KN9fnpHFqMYWq8kzJpump", "View")</f>
        <v>View</v>
      </c>
    </row>
    <row r="63" spans="1:16" x14ac:dyDescent="0.25">
      <c r="A63" s="16" t="s">
        <v>24211</v>
      </c>
      <c r="B63" s="17">
        <v>84509136</v>
      </c>
      <c r="C63" s="17">
        <v>84509136</v>
      </c>
      <c r="D63" s="17" t="s">
        <v>21792</v>
      </c>
      <c r="E63" s="17" t="s">
        <v>1457</v>
      </c>
      <c r="F63" s="17" t="s">
        <v>24212</v>
      </c>
      <c r="G63" s="22" t="s">
        <v>2085</v>
      </c>
      <c r="H63" s="22" t="s">
        <v>24213</v>
      </c>
      <c r="I63" s="17" t="s">
        <v>88</v>
      </c>
      <c r="J63" s="17">
        <v>1</v>
      </c>
      <c r="K63" s="17">
        <v>1</v>
      </c>
      <c r="L63" s="17" t="s">
        <v>24214</v>
      </c>
      <c r="M63" s="19" t="s">
        <v>1940</v>
      </c>
      <c r="N63" s="17" t="s">
        <v>3224</v>
      </c>
      <c r="O63" s="17" t="s">
        <v>24215</v>
      </c>
      <c r="P63" s="17" t="str">
        <f>HYPERLINK("https://dexscreener.com/solana/FM6RT2HJ5V17uesP5eAoU829gjicGRFkKLEWgVfWpump", "View")</f>
        <v>View</v>
      </c>
    </row>
    <row r="64" spans="1:16" x14ac:dyDescent="0.25">
      <c r="A64" s="13" t="s">
        <v>20340</v>
      </c>
      <c r="B64" s="14">
        <v>17437719</v>
      </c>
      <c r="C64" s="14">
        <v>17437719</v>
      </c>
      <c r="D64" s="14" t="s">
        <v>14207</v>
      </c>
      <c r="E64" s="14" t="s">
        <v>17611</v>
      </c>
      <c r="F64" s="14" t="s">
        <v>7197</v>
      </c>
      <c r="G64" s="22" t="s">
        <v>2200</v>
      </c>
      <c r="H64" s="22" t="s">
        <v>24216</v>
      </c>
      <c r="I64" s="14" t="s">
        <v>88</v>
      </c>
      <c r="J64" s="14">
        <v>1</v>
      </c>
      <c r="K64" s="14">
        <v>1</v>
      </c>
      <c r="L64" s="14" t="s">
        <v>20343</v>
      </c>
      <c r="M64" s="19" t="s">
        <v>2486</v>
      </c>
      <c r="N64" s="14" t="s">
        <v>24217</v>
      </c>
      <c r="O64" s="14" t="s">
        <v>20345</v>
      </c>
      <c r="P64" s="14" t="str">
        <f>HYPERLINK("https://photon-sol.tinyastro.io/en/lp/7mGhojefHezMUUr8J3hyuH7QfqyTXRKhRyTFQtc8pump?handle=676050794bc1b1657a56b", "View")</f>
        <v>View</v>
      </c>
    </row>
    <row r="65" spans="1:16" x14ac:dyDescent="0.25">
      <c r="A65" s="16" t="s">
        <v>20346</v>
      </c>
      <c r="B65" s="17">
        <v>9603454</v>
      </c>
      <c r="C65" s="17">
        <v>9603454</v>
      </c>
      <c r="D65" s="17" t="s">
        <v>14207</v>
      </c>
      <c r="E65" s="17" t="s">
        <v>1638</v>
      </c>
      <c r="F65" s="17" t="s">
        <v>24218</v>
      </c>
      <c r="G65" s="15" t="s">
        <v>24219</v>
      </c>
      <c r="H65" s="15" t="s">
        <v>23723</v>
      </c>
      <c r="I65" s="17" t="s">
        <v>88</v>
      </c>
      <c r="J65" s="17">
        <v>1</v>
      </c>
      <c r="K65" s="17">
        <v>1</v>
      </c>
      <c r="L65" s="17" t="s">
        <v>20349</v>
      </c>
      <c r="M65" s="17" t="s">
        <v>7381</v>
      </c>
      <c r="N65" s="17" t="s">
        <v>24220</v>
      </c>
      <c r="O65" s="17" t="s">
        <v>20350</v>
      </c>
      <c r="P65" s="17" t="str">
        <f>HYPERLINK("https://photon-sol.tinyastro.io/en/lp/EfMVLH9LyZLE7iyB1oM5RkiwQ8GMduRsWRXFkEhdpump?handle=676050794bc1b1657a56b", "View")</f>
        <v>View</v>
      </c>
    </row>
    <row r="66" spans="1:16" x14ac:dyDescent="0.25">
      <c r="A66" s="13" t="s">
        <v>20351</v>
      </c>
      <c r="B66" s="14">
        <v>39059256</v>
      </c>
      <c r="C66" s="14">
        <v>39059256</v>
      </c>
      <c r="D66" s="14" t="s">
        <v>14207</v>
      </c>
      <c r="E66" s="14" t="s">
        <v>2200</v>
      </c>
      <c r="F66" s="14" t="s">
        <v>19722</v>
      </c>
      <c r="G66" s="21" t="s">
        <v>24221</v>
      </c>
      <c r="H66" s="21" t="s">
        <v>24222</v>
      </c>
      <c r="I66" s="14" t="s">
        <v>88</v>
      </c>
      <c r="J66" s="14">
        <v>1</v>
      </c>
      <c r="K66" s="14">
        <v>1</v>
      </c>
      <c r="L66" s="14" t="s">
        <v>24223</v>
      </c>
      <c r="M66" s="14" t="s">
        <v>1434</v>
      </c>
      <c r="N66" s="14" t="s">
        <v>507</v>
      </c>
      <c r="O66" s="14" t="s">
        <v>20355</v>
      </c>
      <c r="P66" s="14" t="str">
        <f>HYPERLINK("https://dexscreener.com/solana/5ua1oPedsjTPEf7X58PFyoQ7KvJFpMgQ4SUET6hT18Ff", "View")</f>
        <v>View</v>
      </c>
    </row>
    <row r="67" spans="1:16" x14ac:dyDescent="0.25">
      <c r="A67" s="16" t="s">
        <v>20360</v>
      </c>
      <c r="B67" s="17">
        <v>28505312</v>
      </c>
      <c r="C67" s="17">
        <v>28505312</v>
      </c>
      <c r="D67" s="17" t="s">
        <v>24224</v>
      </c>
      <c r="E67" s="17" t="s">
        <v>24225</v>
      </c>
      <c r="F67" s="17" t="s">
        <v>24226</v>
      </c>
      <c r="G67" s="21" t="s">
        <v>24227</v>
      </c>
      <c r="H67" s="21" t="s">
        <v>24228</v>
      </c>
      <c r="I67" s="17" t="s">
        <v>88</v>
      </c>
      <c r="J67" s="17">
        <v>4</v>
      </c>
      <c r="K67" s="17">
        <v>26</v>
      </c>
      <c r="L67" s="17" t="s">
        <v>24229</v>
      </c>
      <c r="M67" s="17" t="s">
        <v>5702</v>
      </c>
      <c r="N67" s="17" t="s">
        <v>24230</v>
      </c>
      <c r="O67" s="17" t="s">
        <v>20368</v>
      </c>
      <c r="P67" s="17" t="str">
        <f>HYPERLINK("https://photon-sol.tinyastro.io/en/lp/pNiRivfUujP5uafVU5oKJCLkHxQnt4jttXZKz74pump?handle=676050794bc1b1657a56b", "View")</f>
        <v>View</v>
      </c>
    </row>
    <row r="68" spans="1:16" x14ac:dyDescent="0.25">
      <c r="A68" s="13" t="s">
        <v>11659</v>
      </c>
      <c r="B68" s="14">
        <v>11818184</v>
      </c>
      <c r="C68" s="14">
        <v>11818184</v>
      </c>
      <c r="D68" s="14" t="s">
        <v>9537</v>
      </c>
      <c r="E68" s="14" t="s">
        <v>2375</v>
      </c>
      <c r="F68" s="14" t="s">
        <v>24231</v>
      </c>
      <c r="G68" s="22" t="s">
        <v>24232</v>
      </c>
      <c r="H68" s="22" t="s">
        <v>24233</v>
      </c>
      <c r="I68" s="14" t="s">
        <v>88</v>
      </c>
      <c r="J68" s="14">
        <v>3</v>
      </c>
      <c r="K68" s="14">
        <v>2</v>
      </c>
      <c r="L68" s="14" t="s">
        <v>20371</v>
      </c>
      <c r="M68" s="14" t="s">
        <v>132</v>
      </c>
      <c r="N68" s="14" t="s">
        <v>24234</v>
      </c>
      <c r="O68" s="14" t="s">
        <v>11664</v>
      </c>
      <c r="P68" s="14" t="str">
        <f>HYPERLINK("https://dexscreener.com/solana/4zdAbkyoYoT2F8ZSt6va4WZrmAwgFCfQsTEUo8zNpump", "View")</f>
        <v>View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A876-1752-4DE9-A996-FE9DCA5F284D}">
  <dimension ref="A1:P3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HYPERLINK("https://gmgn.ai/sol/address/Dp9oCL6JkMR1WM42Vc3zLjMiaCfuWYx8UcfxQXDdUsYu", "GMGN")</f>
        <v>GMGN</v>
      </c>
    </row>
    <row r="2" spans="1:14" x14ac:dyDescent="0.25">
      <c r="A2" s="3" t="s">
        <v>24235</v>
      </c>
      <c r="B2" s="3" t="s">
        <v>24236</v>
      </c>
      <c r="C2" s="3" t="s">
        <v>9638</v>
      </c>
      <c r="D2" s="3" t="s">
        <v>12315</v>
      </c>
      <c r="E2" s="3" t="s">
        <v>24237</v>
      </c>
      <c r="F2" s="3" t="s">
        <v>24238</v>
      </c>
      <c r="G2" s="3" t="s">
        <v>18</v>
      </c>
      <c r="H2" s="3">
        <v>16</v>
      </c>
      <c r="I2" s="3">
        <v>1</v>
      </c>
      <c r="J2" s="3" t="s">
        <v>479</v>
      </c>
      <c r="K2" s="3" t="s">
        <v>1566</v>
      </c>
      <c r="L2" s="3">
        <v>5</v>
      </c>
      <c r="M2" s="3">
        <v>7</v>
      </c>
      <c r="N2" s="3" t="str">
        <f>HYPERLINK("https://solscan.io/account/Dp9oCL6JkMR1WM42Vc3zLjMiaCfuWYx8UcfxQXDdUsYu", "Solscan")</f>
        <v>Solscan</v>
      </c>
    </row>
    <row r="3" spans="1:14" x14ac:dyDescent="0.25">
      <c r="A3" s="1" t="s">
        <v>21</v>
      </c>
      <c r="B3" s="23" t="s">
        <v>23410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HYPERLINK("https://birdeye.so/profile/Dp9oCL6JkMR1WM42Vc3zLjMiaCfuWYx8UcfxQXDdUsYu", "Birdeye")</f>
        <v>Birdeye</v>
      </c>
    </row>
    <row r="4" spans="1:14" x14ac:dyDescent="0.25">
      <c r="A4" s="1" t="s">
        <v>25</v>
      </c>
      <c r="B4" s="3" t="s">
        <v>16590</v>
      </c>
      <c r="C4" s="3"/>
      <c r="D4" s="3" t="s">
        <v>1568</v>
      </c>
      <c r="E4" s="3" t="s">
        <v>24239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15564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0</v>
      </c>
      <c r="E10" s="1">
        <v>4</v>
      </c>
      <c r="F10" s="1">
        <v>3</v>
      </c>
      <c r="G10" s="1">
        <v>5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24240</v>
      </c>
      <c r="C11" s="1" t="s">
        <v>24241</v>
      </c>
      <c r="D11" s="1" t="s">
        <v>1779</v>
      </c>
      <c r="E11" s="1" t="s">
        <v>24242</v>
      </c>
      <c r="F11" s="1" t="s">
        <v>24241</v>
      </c>
      <c r="G11" s="1" t="s">
        <v>20728</v>
      </c>
      <c r="H11" s="3"/>
      <c r="I11" s="3" t="s">
        <v>50</v>
      </c>
      <c r="J11" s="3" t="s">
        <v>8326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24243</v>
      </c>
      <c r="C12" s="1" t="s">
        <v>24244</v>
      </c>
      <c r="D12" s="1" t="s">
        <v>1786</v>
      </c>
      <c r="E12" s="1" t="s">
        <v>4730</v>
      </c>
      <c r="F12" s="1" t="s">
        <v>21605</v>
      </c>
      <c r="G12" s="1" t="s">
        <v>24245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12318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24246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1699</v>
      </c>
      <c r="B20" s="14">
        <v>2188842</v>
      </c>
      <c r="C20" s="14">
        <v>2188842</v>
      </c>
      <c r="D20" s="14" t="s">
        <v>24247</v>
      </c>
      <c r="E20" s="14" t="s">
        <v>1007</v>
      </c>
      <c r="F20" s="14" t="s">
        <v>1007</v>
      </c>
      <c r="G20" s="20" t="s">
        <v>8279</v>
      </c>
      <c r="H20" s="20" t="s">
        <v>8446</v>
      </c>
      <c r="I20" s="14" t="s">
        <v>88</v>
      </c>
      <c r="J20" s="14">
        <v>1</v>
      </c>
      <c r="K20" s="14">
        <v>1</v>
      </c>
      <c r="L20" s="14" t="s">
        <v>24248</v>
      </c>
      <c r="M20" s="19" t="s">
        <v>370</v>
      </c>
      <c r="N20" s="14" t="s">
        <v>24249</v>
      </c>
      <c r="O20" s="14" t="s">
        <v>8476</v>
      </c>
      <c r="P20" s="14" t="str">
        <f>HYPERLINK("https://dexscreener.com/solana/4ujouAR7AWi3z6r795C5m1WhdTZuN86tsxndL3yapump", "View")</f>
        <v>View</v>
      </c>
    </row>
    <row r="21" spans="1:16" x14ac:dyDescent="0.25">
      <c r="A21" s="16" t="s">
        <v>14108</v>
      </c>
      <c r="B21" s="17">
        <v>1029486</v>
      </c>
      <c r="C21" s="17">
        <v>1029486</v>
      </c>
      <c r="D21" s="17" t="s">
        <v>24250</v>
      </c>
      <c r="E21" s="17" t="s">
        <v>569</v>
      </c>
      <c r="F21" s="17" t="s">
        <v>24061</v>
      </c>
      <c r="G21" s="15" t="s">
        <v>24251</v>
      </c>
      <c r="H21" s="15" t="s">
        <v>24252</v>
      </c>
      <c r="I21" s="17" t="s">
        <v>88</v>
      </c>
      <c r="J21" s="17">
        <v>3</v>
      </c>
      <c r="K21" s="17">
        <v>1</v>
      </c>
      <c r="L21" s="17" t="s">
        <v>24253</v>
      </c>
      <c r="M21" s="17" t="s">
        <v>788</v>
      </c>
      <c r="N21" s="17" t="s">
        <v>24254</v>
      </c>
      <c r="O21" s="17" t="s">
        <v>24255</v>
      </c>
      <c r="P21" s="17" t="str">
        <f>HYPERLINK("https://dexscreener.com/solana/2XNttS6pkEHjz2xUL6MpTgsBXTAEMaMhjqiwKEg7pump", "View")</f>
        <v>View</v>
      </c>
    </row>
    <row r="22" spans="1:16" x14ac:dyDescent="0.25">
      <c r="A22" s="13" t="s">
        <v>4760</v>
      </c>
      <c r="B22" s="14">
        <v>990489</v>
      </c>
      <c r="C22" s="14">
        <v>990489</v>
      </c>
      <c r="D22" s="14" t="s">
        <v>24256</v>
      </c>
      <c r="E22" s="14" t="s">
        <v>1007</v>
      </c>
      <c r="F22" s="14" t="s">
        <v>2108</v>
      </c>
      <c r="G22" s="22" t="s">
        <v>2429</v>
      </c>
      <c r="H22" s="22" t="s">
        <v>21512</v>
      </c>
      <c r="I22" s="14" t="s">
        <v>88</v>
      </c>
      <c r="J22" s="14">
        <v>1</v>
      </c>
      <c r="K22" s="14">
        <v>1</v>
      </c>
      <c r="L22" s="14" t="s">
        <v>24257</v>
      </c>
      <c r="M22" s="19" t="s">
        <v>2541</v>
      </c>
      <c r="N22" s="14" t="s">
        <v>24258</v>
      </c>
      <c r="O22" s="14" t="s">
        <v>4766</v>
      </c>
      <c r="P22" s="14" t="str">
        <f>HYPERLINK("https://dexscreener.com/solana/C8w46V4sR4yph3JajsdV75wwpsAoxncrPUfkiJCtTUjM", "View")</f>
        <v>View</v>
      </c>
    </row>
    <row r="23" spans="1:16" x14ac:dyDescent="0.25">
      <c r="A23" s="16" t="s">
        <v>8538</v>
      </c>
      <c r="B23" s="17">
        <v>5530474</v>
      </c>
      <c r="C23" s="17">
        <v>5530474</v>
      </c>
      <c r="D23" s="17" t="s">
        <v>24259</v>
      </c>
      <c r="E23" s="17" t="s">
        <v>17389</v>
      </c>
      <c r="F23" s="17" t="s">
        <v>5036</v>
      </c>
      <c r="G23" s="15" t="s">
        <v>4348</v>
      </c>
      <c r="H23" s="15" t="s">
        <v>24260</v>
      </c>
      <c r="I23" s="17" t="s">
        <v>88</v>
      </c>
      <c r="J23" s="17">
        <v>1</v>
      </c>
      <c r="K23" s="17">
        <v>1</v>
      </c>
      <c r="L23" s="17" t="s">
        <v>24261</v>
      </c>
      <c r="M23" s="17" t="s">
        <v>1434</v>
      </c>
      <c r="N23" s="17" t="s">
        <v>24262</v>
      </c>
      <c r="O23" s="17" t="s">
        <v>24263</v>
      </c>
      <c r="P23" s="17" t="str">
        <f>HYPERLINK("https://photon-sol.tinyastro.io/en/lp/9yw5gZEHEuMGLJLQissNvbCdBre99LvqzGgP5VMdpump?handle=676050794bc1b1657a56b", "View")</f>
        <v>View</v>
      </c>
    </row>
    <row r="24" spans="1:16" x14ac:dyDescent="0.25">
      <c r="A24" s="13" t="s">
        <v>24264</v>
      </c>
      <c r="B24" s="14">
        <v>30321343</v>
      </c>
      <c r="C24" s="14">
        <v>30321343</v>
      </c>
      <c r="D24" s="14" t="s">
        <v>1813</v>
      </c>
      <c r="E24" s="14" t="s">
        <v>24265</v>
      </c>
      <c r="F24" s="14" t="s">
        <v>24266</v>
      </c>
      <c r="G24" s="20" t="s">
        <v>4755</v>
      </c>
      <c r="H24" s="20" t="s">
        <v>24267</v>
      </c>
      <c r="I24" s="14" t="s">
        <v>88</v>
      </c>
      <c r="J24" s="14">
        <v>1</v>
      </c>
      <c r="K24" s="14">
        <v>1</v>
      </c>
      <c r="L24" s="14" t="s">
        <v>24268</v>
      </c>
      <c r="M24" s="14" t="s">
        <v>1448</v>
      </c>
      <c r="N24" s="14" t="s">
        <v>2308</v>
      </c>
      <c r="O24" s="14" t="s">
        <v>24269</v>
      </c>
      <c r="P24" s="14" t="str">
        <f>HYPERLINK("https://photon-sol.tinyastro.io/en/lp/5cui5ocpiSEFV8pxGKmRYAkeSzcjHc6w55sNqBcMpump?handle=676050794bc1b1657a56b", "View")</f>
        <v>View</v>
      </c>
    </row>
    <row r="25" spans="1:16" x14ac:dyDescent="0.25">
      <c r="A25" s="16" t="s">
        <v>24270</v>
      </c>
      <c r="B25" s="17">
        <v>2100446</v>
      </c>
      <c r="C25" s="17">
        <v>2100446</v>
      </c>
      <c r="D25" s="17" t="s">
        <v>24271</v>
      </c>
      <c r="E25" s="17" t="s">
        <v>1007</v>
      </c>
      <c r="F25" s="17" t="s">
        <v>24272</v>
      </c>
      <c r="G25" s="22" t="s">
        <v>5497</v>
      </c>
      <c r="H25" s="22" t="s">
        <v>24273</v>
      </c>
      <c r="I25" s="17" t="s">
        <v>88</v>
      </c>
      <c r="J25" s="17">
        <v>1</v>
      </c>
      <c r="K25" s="17">
        <v>1</v>
      </c>
      <c r="L25" s="17" t="s">
        <v>24274</v>
      </c>
      <c r="M25" s="19" t="s">
        <v>1872</v>
      </c>
      <c r="N25" s="17" t="s">
        <v>24275</v>
      </c>
      <c r="O25" s="17" t="s">
        <v>24276</v>
      </c>
      <c r="P25" s="17" t="str">
        <f>HYPERLINK("https://dexscreener.com/solana/8HEtX62ga2HEGLFukShzT76o5Lp78mxtBKUySsfapump", "View")</f>
        <v>View</v>
      </c>
    </row>
    <row r="26" spans="1:16" x14ac:dyDescent="0.25">
      <c r="A26" s="13" t="s">
        <v>20177</v>
      </c>
      <c r="B26" s="14">
        <v>424679</v>
      </c>
      <c r="C26" s="14">
        <v>424679</v>
      </c>
      <c r="D26" s="14" t="s">
        <v>24277</v>
      </c>
      <c r="E26" s="14" t="s">
        <v>219</v>
      </c>
      <c r="F26" s="14" t="s">
        <v>8918</v>
      </c>
      <c r="G26" s="20" t="s">
        <v>24278</v>
      </c>
      <c r="H26" s="20" t="s">
        <v>24279</v>
      </c>
      <c r="I26" s="14" t="s">
        <v>88</v>
      </c>
      <c r="J26" s="14">
        <v>1</v>
      </c>
      <c r="K26" s="14">
        <v>1</v>
      </c>
      <c r="L26" s="14" t="s">
        <v>24280</v>
      </c>
      <c r="M26" s="14" t="s">
        <v>1448</v>
      </c>
      <c r="N26" s="14" t="s">
        <v>24281</v>
      </c>
      <c r="O26" s="14" t="s">
        <v>20185</v>
      </c>
      <c r="P26" s="14" t="str">
        <f>HYPERLINK("https://dexscreener.com/solana/8SuMAjoZeLGaaekNHP235Dv4soXsrcseFXefT3A9pump", "View")</f>
        <v>View</v>
      </c>
    </row>
    <row r="27" spans="1:16" x14ac:dyDescent="0.25">
      <c r="A27" s="16" t="s">
        <v>24282</v>
      </c>
      <c r="B27" s="17">
        <v>4056688</v>
      </c>
      <c r="C27" s="17">
        <v>4056688</v>
      </c>
      <c r="D27" s="17" t="s">
        <v>24283</v>
      </c>
      <c r="E27" s="17" t="s">
        <v>2408</v>
      </c>
      <c r="F27" s="17" t="s">
        <v>24284</v>
      </c>
      <c r="G27" s="22" t="s">
        <v>12183</v>
      </c>
      <c r="H27" s="22" t="s">
        <v>24285</v>
      </c>
      <c r="I27" s="17" t="s">
        <v>88</v>
      </c>
      <c r="J27" s="17">
        <v>1</v>
      </c>
      <c r="K27" s="17">
        <v>1</v>
      </c>
      <c r="L27" s="17" t="s">
        <v>24286</v>
      </c>
      <c r="M27" s="17" t="s">
        <v>1566</v>
      </c>
      <c r="N27" s="17" t="s">
        <v>24287</v>
      </c>
      <c r="O27" s="17" t="s">
        <v>24288</v>
      </c>
      <c r="P27" s="17" t="str">
        <f>HYPERLINK("https://photon-sol.tinyastro.io/en/lp/Hwh7GLFH6uChvBbR7gAisZX5NAKWxXJ72Er9Vp7Hpump?handle=676050794bc1b1657a56b", "View")</f>
        <v>View</v>
      </c>
    </row>
    <row r="28" spans="1:16" x14ac:dyDescent="0.25">
      <c r="A28" s="13" t="s">
        <v>18359</v>
      </c>
      <c r="B28" s="14">
        <v>2882182</v>
      </c>
      <c r="C28" s="14">
        <v>2882182</v>
      </c>
      <c r="D28" s="14" t="s">
        <v>24289</v>
      </c>
      <c r="E28" s="14" t="s">
        <v>15460</v>
      </c>
      <c r="F28" s="14" t="s">
        <v>19782</v>
      </c>
      <c r="G28" s="21" t="s">
        <v>3555</v>
      </c>
      <c r="H28" s="21" t="s">
        <v>24290</v>
      </c>
      <c r="I28" s="14" t="s">
        <v>88</v>
      </c>
      <c r="J28" s="14">
        <v>1</v>
      </c>
      <c r="K28" s="14">
        <v>1</v>
      </c>
      <c r="L28" s="14" t="s">
        <v>24291</v>
      </c>
      <c r="M28" s="14" t="s">
        <v>788</v>
      </c>
      <c r="N28" s="14" t="s">
        <v>24292</v>
      </c>
      <c r="O28" s="14" t="s">
        <v>18363</v>
      </c>
      <c r="P28" s="14" t="str">
        <f>HYPERLINK("https://photon-sol.tinyastro.io/en/lp/GjXpowEmJecAxHaMgYrxrTsWfuPR7DyLxwe8z2v4YvKW?handle=676050794bc1b1657a56b", "View")</f>
        <v>View</v>
      </c>
    </row>
    <row r="29" spans="1:16" x14ac:dyDescent="0.25">
      <c r="A29" s="16" t="s">
        <v>125</v>
      </c>
      <c r="B29" s="17">
        <v>366680</v>
      </c>
      <c r="C29" s="17">
        <v>366680</v>
      </c>
      <c r="D29" s="17" t="s">
        <v>24293</v>
      </c>
      <c r="E29" s="17" t="s">
        <v>219</v>
      </c>
      <c r="F29" s="17" t="s">
        <v>24294</v>
      </c>
      <c r="G29" s="21" t="s">
        <v>24295</v>
      </c>
      <c r="H29" s="21" t="s">
        <v>24296</v>
      </c>
      <c r="I29" s="17" t="s">
        <v>88</v>
      </c>
      <c r="J29" s="17">
        <v>3</v>
      </c>
      <c r="K29" s="17">
        <v>1</v>
      </c>
      <c r="L29" s="17" t="s">
        <v>24297</v>
      </c>
      <c r="M29" s="17" t="s">
        <v>317</v>
      </c>
      <c r="N29" s="17" t="s">
        <v>24298</v>
      </c>
      <c r="O29" s="17" t="s">
        <v>134</v>
      </c>
      <c r="P29" s="17" t="str">
        <f>HYPERLINK("https://dexscreener.com/solana/CBdCxKo9QavR9hfShgpEBG3zekorAeD7W1jfq2o3pump", "View")</f>
        <v>View</v>
      </c>
    </row>
    <row r="30" spans="1:16" x14ac:dyDescent="0.25">
      <c r="A30" s="13" t="s">
        <v>6620</v>
      </c>
      <c r="B30" s="14">
        <v>2130585</v>
      </c>
      <c r="C30" s="14">
        <v>2130585</v>
      </c>
      <c r="D30" s="14" t="s">
        <v>24299</v>
      </c>
      <c r="E30" s="14" t="s">
        <v>1457</v>
      </c>
      <c r="F30" s="14" t="s">
        <v>15109</v>
      </c>
      <c r="G30" s="15" t="s">
        <v>24300</v>
      </c>
      <c r="H30" s="15" t="s">
        <v>24301</v>
      </c>
      <c r="I30" s="14" t="s">
        <v>88</v>
      </c>
      <c r="J30" s="14">
        <v>1</v>
      </c>
      <c r="K30" s="14">
        <v>1</v>
      </c>
      <c r="L30" s="14" t="s">
        <v>24302</v>
      </c>
      <c r="M30" s="14" t="s">
        <v>1434</v>
      </c>
      <c r="N30" s="14" t="s">
        <v>24303</v>
      </c>
      <c r="O30" s="14" t="s">
        <v>6627</v>
      </c>
      <c r="P30" s="14" t="str">
        <f>HYPERLINK("https://dexscreener.com/solana/9wBdGejMb6UJeXDdTSfvRhhECCCNi74vmzLFQixjpump", "View")</f>
        <v>View</v>
      </c>
    </row>
    <row r="31" spans="1:16" x14ac:dyDescent="0.25">
      <c r="A31" s="16" t="s">
        <v>18596</v>
      </c>
      <c r="B31" s="17">
        <v>311750</v>
      </c>
      <c r="C31" s="17">
        <v>311750</v>
      </c>
      <c r="D31" s="17" t="s">
        <v>24304</v>
      </c>
      <c r="E31" s="17" t="s">
        <v>569</v>
      </c>
      <c r="F31" s="17" t="s">
        <v>24305</v>
      </c>
      <c r="G31" s="21" t="s">
        <v>24306</v>
      </c>
      <c r="H31" s="21" t="s">
        <v>24307</v>
      </c>
      <c r="I31" s="17" t="s">
        <v>88</v>
      </c>
      <c r="J31" s="17">
        <v>3</v>
      </c>
      <c r="K31" s="17">
        <v>1</v>
      </c>
      <c r="L31" s="17" t="s">
        <v>24308</v>
      </c>
      <c r="M31" s="17" t="s">
        <v>2695</v>
      </c>
      <c r="N31" s="17" t="s">
        <v>24309</v>
      </c>
      <c r="O31" s="17" t="s">
        <v>18602</v>
      </c>
      <c r="P31" s="17" t="str">
        <f>HYPERLINK("https://dexscreener.com/solana/8Z2h8VsYqUoExZNwrtGQ1LQiHru6nnUsPSpvCwNapump", "View")</f>
        <v>View</v>
      </c>
    </row>
    <row r="32" spans="1:16" x14ac:dyDescent="0.25">
      <c r="A32" s="13" t="s">
        <v>12576</v>
      </c>
      <c r="B32" s="14">
        <v>68549</v>
      </c>
      <c r="C32" s="14">
        <v>68549</v>
      </c>
      <c r="D32" s="14" t="s">
        <v>24299</v>
      </c>
      <c r="E32" s="14" t="s">
        <v>1007</v>
      </c>
      <c r="F32" s="14" t="s">
        <v>14016</v>
      </c>
      <c r="G32" s="22" t="s">
        <v>5551</v>
      </c>
      <c r="H32" s="22" t="s">
        <v>24310</v>
      </c>
      <c r="I32" s="14" t="s">
        <v>88</v>
      </c>
      <c r="J32" s="14">
        <v>1</v>
      </c>
      <c r="K32" s="14">
        <v>1</v>
      </c>
      <c r="L32" s="14" t="s">
        <v>24311</v>
      </c>
      <c r="M32" s="14" t="s">
        <v>823</v>
      </c>
      <c r="N32" s="14" t="s">
        <v>15910</v>
      </c>
      <c r="O32" s="14" t="s">
        <v>12583</v>
      </c>
      <c r="P32" s="14" t="str">
        <f>HYPERLINK("https://dexscreener.com/solana/9JhFqCA21MoAXs2PTaeqNQp2XngPn1PgYr2rsEVCpump", "View")</f>
        <v>View</v>
      </c>
    </row>
    <row r="33" spans="1:16" x14ac:dyDescent="0.25">
      <c r="A33" s="16" t="s">
        <v>17084</v>
      </c>
      <c r="B33" s="17">
        <v>388094</v>
      </c>
      <c r="C33" s="17">
        <v>0</v>
      </c>
      <c r="D33" s="17" t="s">
        <v>24312</v>
      </c>
      <c r="E33" s="17" t="s">
        <v>219</v>
      </c>
      <c r="F33" s="17" t="s">
        <v>96</v>
      </c>
      <c r="G33" s="18" t="s">
        <v>24313</v>
      </c>
      <c r="H33" s="18" t="s">
        <v>98</v>
      </c>
      <c r="I33" s="17" t="s">
        <v>24314</v>
      </c>
      <c r="J33" s="17">
        <v>1</v>
      </c>
      <c r="K33" s="17">
        <v>0</v>
      </c>
      <c r="L33" s="17" t="s">
        <v>24315</v>
      </c>
      <c r="M33" s="19" t="s">
        <v>101</v>
      </c>
      <c r="N33" s="17" t="s">
        <v>24316</v>
      </c>
      <c r="O33" s="17" t="s">
        <v>17088</v>
      </c>
      <c r="P33" s="17" t="str">
        <f>HYPERLINK("https://dexscreener.com/solana/A9xbrMNmpKfoqwNcTRmBv6NXUukv9ixKXhZL1iLCpump", "View")</f>
        <v>View</v>
      </c>
    </row>
    <row r="34" spans="1:16" x14ac:dyDescent="0.25">
      <c r="A34" s="13" t="s">
        <v>16825</v>
      </c>
      <c r="B34" s="14">
        <v>9183344</v>
      </c>
      <c r="C34" s="14">
        <v>9183344</v>
      </c>
      <c r="D34" s="14" t="s">
        <v>24317</v>
      </c>
      <c r="E34" s="14" t="s">
        <v>2408</v>
      </c>
      <c r="F34" s="14" t="s">
        <v>3765</v>
      </c>
      <c r="G34" s="15" t="s">
        <v>24318</v>
      </c>
      <c r="H34" s="15" t="s">
        <v>24319</v>
      </c>
      <c r="I34" s="14" t="s">
        <v>88</v>
      </c>
      <c r="J34" s="14">
        <v>1</v>
      </c>
      <c r="K34" s="14">
        <v>1</v>
      </c>
      <c r="L34" s="14" t="s">
        <v>24320</v>
      </c>
      <c r="M34" s="14" t="s">
        <v>2047</v>
      </c>
      <c r="N34" s="14" t="s">
        <v>24321</v>
      </c>
      <c r="O34" s="14" t="s">
        <v>24322</v>
      </c>
      <c r="P34" s="14" t="str">
        <f>HYPERLINK("https://photon-sol.tinyastro.io/en/lp/B5A6rhuWABCk1Yu8FgShGPLn3d5qYzw3gJXyo9B9pump?handle=676050794bc1b1657a56b", "View")</f>
        <v>View</v>
      </c>
    </row>
    <row r="35" spans="1:16" x14ac:dyDescent="0.25">
      <c r="A35" s="16" t="s">
        <v>15804</v>
      </c>
      <c r="B35" s="17">
        <v>61976</v>
      </c>
      <c r="C35" s="17">
        <v>61976</v>
      </c>
      <c r="D35" s="17" t="s">
        <v>24323</v>
      </c>
      <c r="E35" s="17" t="s">
        <v>3404</v>
      </c>
      <c r="F35" s="17" t="s">
        <v>24324</v>
      </c>
      <c r="G35" s="21" t="s">
        <v>24325</v>
      </c>
      <c r="H35" s="21" t="s">
        <v>24326</v>
      </c>
      <c r="I35" s="17" t="s">
        <v>88</v>
      </c>
      <c r="J35" s="17">
        <v>1</v>
      </c>
      <c r="K35" s="17">
        <v>1</v>
      </c>
      <c r="L35" s="17" t="s">
        <v>24327</v>
      </c>
      <c r="M35" s="17" t="s">
        <v>398</v>
      </c>
      <c r="N35" s="17" t="s">
        <v>24328</v>
      </c>
      <c r="O35" s="17" t="s">
        <v>15808</v>
      </c>
      <c r="P35" s="17" t="str">
        <f>HYPERLINK("https://dexscreener.com/solana/3HYx6a9whu5a4dnzE62WNXg46MrEmu9LFxutR2YBpump", "View")</f>
        <v>View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50A9-78FC-4086-9ACA-4B12B4FD3D3D}">
  <dimension ref="A1:P3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HYPERLINK("https://gmgn.ai/sol/address/BuHYNH8s8sv4FsPcq5ULDDMGvciWt6zwPEU6PNUdzKmP", "GMGN")</f>
        <v>GMGN</v>
      </c>
    </row>
    <row r="2" spans="1:14" x14ac:dyDescent="0.25">
      <c r="A2" s="3" t="s">
        <v>24329</v>
      </c>
      <c r="B2" s="3" t="s">
        <v>24330</v>
      </c>
      <c r="C2" s="3" t="s">
        <v>20134</v>
      </c>
      <c r="D2" s="3" t="s">
        <v>16591</v>
      </c>
      <c r="E2" s="3" t="s">
        <v>24331</v>
      </c>
      <c r="F2" s="3" t="s">
        <v>18</v>
      </c>
      <c r="G2" s="3" t="s">
        <v>24332</v>
      </c>
      <c r="H2" s="3">
        <v>16</v>
      </c>
      <c r="I2" s="3">
        <v>1</v>
      </c>
      <c r="J2" s="3" t="s">
        <v>24333</v>
      </c>
      <c r="K2" s="3" t="s">
        <v>24334</v>
      </c>
      <c r="L2" s="3">
        <v>5</v>
      </c>
      <c r="M2" s="3">
        <v>8</v>
      </c>
      <c r="N2" s="3" t="str">
        <f>HYPERLINK("https://solscan.io/account/BuHYNH8s8sv4FsPcq5ULDDMGvciWt6zwPEU6PNUdzKmP",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HYPERLINK("https://birdeye.so/profile/BuHYNH8s8sv4FsPcq5ULDDMGvciWt6zwPEU6PNUdzKmP", "Birdeye")</f>
        <v>Birdeye</v>
      </c>
    </row>
    <row r="4" spans="1:14" x14ac:dyDescent="0.25">
      <c r="A4" s="1" t="s">
        <v>25</v>
      </c>
      <c r="B4" s="3" t="s">
        <v>16590</v>
      </c>
      <c r="C4" s="3"/>
      <c r="D4" s="3" t="s">
        <v>1770</v>
      </c>
      <c r="E4" s="3" t="s">
        <v>24335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24336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24337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4</v>
      </c>
      <c r="D10" s="1">
        <v>2</v>
      </c>
      <c r="E10" s="1">
        <v>0</v>
      </c>
      <c r="F10" s="1">
        <v>0</v>
      </c>
      <c r="G10" s="1">
        <v>10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24242</v>
      </c>
      <c r="D11" s="1" t="s">
        <v>17854</v>
      </c>
      <c r="E11" s="1" t="s">
        <v>1779</v>
      </c>
      <c r="F11" s="1" t="s">
        <v>1779</v>
      </c>
      <c r="G11" s="1" t="s">
        <v>24338</v>
      </c>
      <c r="H11" s="3"/>
      <c r="I11" s="3" t="s">
        <v>50</v>
      </c>
      <c r="J11" s="3" t="s">
        <v>8461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22699</v>
      </c>
      <c r="D12" s="1" t="s">
        <v>15567</v>
      </c>
      <c r="E12" s="1" t="s">
        <v>1786</v>
      </c>
      <c r="F12" s="1" t="s">
        <v>1786</v>
      </c>
      <c r="G12" s="1" t="s">
        <v>24339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15564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24340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24341</v>
      </c>
      <c r="B20" s="14">
        <v>83800</v>
      </c>
      <c r="C20" s="14">
        <v>0</v>
      </c>
      <c r="D20" s="14" t="s">
        <v>24342</v>
      </c>
      <c r="E20" s="14" t="s">
        <v>12237</v>
      </c>
      <c r="F20" s="14" t="s">
        <v>96</v>
      </c>
      <c r="G20" s="18" t="s">
        <v>3611</v>
      </c>
      <c r="H20" s="18" t="s">
        <v>98</v>
      </c>
      <c r="I20" s="14" t="s">
        <v>24343</v>
      </c>
      <c r="J20" s="14">
        <v>1</v>
      </c>
      <c r="K20" s="14">
        <v>0</v>
      </c>
      <c r="L20" s="14" t="s">
        <v>24344</v>
      </c>
      <c r="M20" s="19" t="s">
        <v>101</v>
      </c>
      <c r="N20" s="14" t="s">
        <v>507</v>
      </c>
      <c r="O20" s="14" t="s">
        <v>24345</v>
      </c>
      <c r="P20" s="14" t="str">
        <f>HYPERLINK("https://photon-sol.tinyastro.io/en/lp/614XhQq64nFPAHj1TpFWKA6NWgy7qV5NkQUx1jSApump?handle=676050794bc1b1657a56b", "View")</f>
        <v>View</v>
      </c>
    </row>
    <row r="21" spans="1:16" x14ac:dyDescent="0.25">
      <c r="A21" s="16" t="s">
        <v>24346</v>
      </c>
      <c r="B21" s="17">
        <v>226990</v>
      </c>
      <c r="C21" s="17">
        <v>187294</v>
      </c>
      <c r="D21" s="17" t="s">
        <v>15855</v>
      </c>
      <c r="E21" s="17" t="s">
        <v>23088</v>
      </c>
      <c r="F21" s="17" t="s">
        <v>2581</v>
      </c>
      <c r="G21" s="21" t="s">
        <v>3845</v>
      </c>
      <c r="H21" s="21" t="s">
        <v>24347</v>
      </c>
      <c r="I21" s="17" t="s">
        <v>88</v>
      </c>
      <c r="J21" s="17">
        <v>2</v>
      </c>
      <c r="K21" s="17">
        <v>1</v>
      </c>
      <c r="L21" s="17" t="s">
        <v>24348</v>
      </c>
      <c r="M21" s="17" t="s">
        <v>1696</v>
      </c>
      <c r="N21" s="17" t="s">
        <v>24349</v>
      </c>
      <c r="O21" s="17" t="s">
        <v>24350</v>
      </c>
      <c r="P21" s="17" t="str">
        <f>HYPERLINK("https://photon-sol.tinyastro.io/en/lp/7EMao3m5QQ5VGMW2yxg8d4VrUeUJjWjPbLp3zeNHpump?handle=676050794bc1b1657a56b", "View")</f>
        <v>View</v>
      </c>
    </row>
    <row r="22" spans="1:16" x14ac:dyDescent="0.25">
      <c r="A22" s="13" t="s">
        <v>24351</v>
      </c>
      <c r="B22" s="14">
        <v>295971</v>
      </c>
      <c r="C22" s="14">
        <v>231516</v>
      </c>
      <c r="D22" s="14" t="s">
        <v>24352</v>
      </c>
      <c r="E22" s="14" t="s">
        <v>3126</v>
      </c>
      <c r="F22" s="14" t="s">
        <v>24353</v>
      </c>
      <c r="G22" s="21" t="s">
        <v>10510</v>
      </c>
      <c r="H22" s="21" t="s">
        <v>24354</v>
      </c>
      <c r="I22" s="14" t="s">
        <v>88</v>
      </c>
      <c r="J22" s="14">
        <v>3</v>
      </c>
      <c r="K22" s="14">
        <v>1</v>
      </c>
      <c r="L22" s="14" t="s">
        <v>24355</v>
      </c>
      <c r="M22" s="14" t="s">
        <v>90</v>
      </c>
      <c r="N22" s="14" t="s">
        <v>24356</v>
      </c>
      <c r="O22" s="14" t="s">
        <v>24357</v>
      </c>
      <c r="P22" s="14" t="str">
        <f>HYPERLINK("https://photon-sol.tinyastro.io/en/lp/C5eB2iTamgALD9rv82E8FGyvCGAdbimMR3Nnn7Wjpump?handle=676050794bc1b1657a56b", "View")</f>
        <v>View</v>
      </c>
    </row>
    <row r="23" spans="1:16" x14ac:dyDescent="0.25">
      <c r="A23" s="16" t="s">
        <v>23136</v>
      </c>
      <c r="B23" s="17">
        <v>539211</v>
      </c>
      <c r="C23" s="17">
        <v>0</v>
      </c>
      <c r="D23" s="17" t="s">
        <v>883</v>
      </c>
      <c r="E23" s="17" t="s">
        <v>5821</v>
      </c>
      <c r="F23" s="17" t="s">
        <v>96</v>
      </c>
      <c r="G23" s="18" t="s">
        <v>14914</v>
      </c>
      <c r="H23" s="18" t="s">
        <v>98</v>
      </c>
      <c r="I23" s="17" t="s">
        <v>24358</v>
      </c>
      <c r="J23" s="17">
        <v>4</v>
      </c>
      <c r="K23" s="17">
        <v>0</v>
      </c>
      <c r="L23" s="17" t="s">
        <v>24359</v>
      </c>
      <c r="M23" s="17" t="s">
        <v>364</v>
      </c>
      <c r="N23" s="17" t="s">
        <v>24360</v>
      </c>
      <c r="O23" s="17" t="s">
        <v>23143</v>
      </c>
      <c r="P23" s="17" t="str">
        <f>HYPERLINK("https://dexscreener.com/solana/75gTkoZ1gEJXcA2Qqpqm8bes6QZVTEwnzQ3Xvz5tpump", "View")</f>
        <v>View</v>
      </c>
    </row>
    <row r="24" spans="1:16" x14ac:dyDescent="0.25">
      <c r="A24" s="13" t="s">
        <v>24361</v>
      </c>
      <c r="B24" s="14">
        <v>788142</v>
      </c>
      <c r="C24" s="14">
        <v>0</v>
      </c>
      <c r="D24" s="14" t="s">
        <v>12753</v>
      </c>
      <c r="E24" s="14" t="s">
        <v>5675</v>
      </c>
      <c r="F24" s="14" t="s">
        <v>96</v>
      </c>
      <c r="G24" s="18" t="s">
        <v>4174</v>
      </c>
      <c r="H24" s="18" t="s">
        <v>98</v>
      </c>
      <c r="I24" s="14" t="s">
        <v>24362</v>
      </c>
      <c r="J24" s="14">
        <v>2</v>
      </c>
      <c r="K24" s="14">
        <v>0</v>
      </c>
      <c r="L24" s="14" t="s">
        <v>24363</v>
      </c>
      <c r="M24" s="14" t="s">
        <v>745</v>
      </c>
      <c r="N24" s="14" t="s">
        <v>24364</v>
      </c>
      <c r="O24" s="14" t="s">
        <v>24365</v>
      </c>
      <c r="P24" s="14" t="str">
        <f>HYPERLINK("https://photon-sol.tinyastro.io/en/lp/DB1FT4csdumB9g8bg2vfNpSjxYtWBQSwPM7GfebNpump?handle=676050794bc1b1657a56b", "View")</f>
        <v>View</v>
      </c>
    </row>
    <row r="25" spans="1:16" x14ac:dyDescent="0.25">
      <c r="A25" s="16" t="s">
        <v>4781</v>
      </c>
      <c r="B25" s="17">
        <v>50067</v>
      </c>
      <c r="C25" s="17">
        <v>0</v>
      </c>
      <c r="D25" s="17" t="s">
        <v>864</v>
      </c>
      <c r="E25" s="17" t="s">
        <v>12036</v>
      </c>
      <c r="F25" s="17" t="s">
        <v>96</v>
      </c>
      <c r="G25" s="18" t="s">
        <v>1869</v>
      </c>
      <c r="H25" s="18" t="s">
        <v>98</v>
      </c>
      <c r="I25" s="17" t="s">
        <v>24366</v>
      </c>
      <c r="J25" s="17">
        <v>2</v>
      </c>
      <c r="K25" s="17">
        <v>0</v>
      </c>
      <c r="L25" s="17" t="s">
        <v>24367</v>
      </c>
      <c r="M25" s="17" t="s">
        <v>179</v>
      </c>
      <c r="N25" s="17" t="s">
        <v>24368</v>
      </c>
      <c r="O25" s="17" t="s">
        <v>4787</v>
      </c>
      <c r="P25" s="17" t="str">
        <f>HYPERLINK("https://dexscreener.com/solana/6LJaNpynfDj5dX1dJ2sdGDqmUzkqsVGCza5WLr5Npump", "View")</f>
        <v>View</v>
      </c>
    </row>
    <row r="26" spans="1:16" x14ac:dyDescent="0.25">
      <c r="A26" s="13" t="s">
        <v>24369</v>
      </c>
      <c r="B26" s="14">
        <v>3543946</v>
      </c>
      <c r="C26" s="14">
        <v>0</v>
      </c>
      <c r="D26" s="14" t="s">
        <v>24370</v>
      </c>
      <c r="E26" s="14" t="s">
        <v>4919</v>
      </c>
      <c r="F26" s="14" t="s">
        <v>96</v>
      </c>
      <c r="G26" s="18" t="s">
        <v>3793</v>
      </c>
      <c r="H26" s="18" t="s">
        <v>98</v>
      </c>
      <c r="I26" s="14" t="s">
        <v>24371</v>
      </c>
      <c r="J26" s="14">
        <v>1</v>
      </c>
      <c r="K26" s="14">
        <v>0</v>
      </c>
      <c r="L26" s="14" t="s">
        <v>24372</v>
      </c>
      <c r="M26" s="19" t="s">
        <v>101</v>
      </c>
      <c r="N26" s="14" t="s">
        <v>2308</v>
      </c>
      <c r="O26" s="14" t="s">
        <v>24373</v>
      </c>
      <c r="P26" s="14" t="str">
        <f>HYPERLINK("https://photon-sol.tinyastro.io/en/lp/BQPEponuKxUovNyBpTTc5zNMsLvefZVxX8TT4hcuzmTf?handle=676050794bc1b1657a56b", "View")</f>
        <v>View</v>
      </c>
    </row>
    <row r="27" spans="1:16" x14ac:dyDescent="0.25">
      <c r="A27" s="16" t="s">
        <v>8527</v>
      </c>
      <c r="B27" s="17">
        <v>339</v>
      </c>
      <c r="C27" s="17">
        <v>0</v>
      </c>
      <c r="D27" s="17" t="s">
        <v>864</v>
      </c>
      <c r="E27" s="17" t="s">
        <v>11780</v>
      </c>
      <c r="F27" s="17" t="s">
        <v>96</v>
      </c>
      <c r="G27" s="18" t="s">
        <v>4007</v>
      </c>
      <c r="H27" s="18" t="s">
        <v>98</v>
      </c>
      <c r="I27" s="17" t="s">
        <v>24374</v>
      </c>
      <c r="J27" s="17">
        <v>1</v>
      </c>
      <c r="K27" s="17">
        <v>0</v>
      </c>
      <c r="L27" s="17" t="s">
        <v>24375</v>
      </c>
      <c r="M27" s="19" t="s">
        <v>101</v>
      </c>
      <c r="N27" s="17" t="s">
        <v>24376</v>
      </c>
      <c r="O27" s="17" t="s">
        <v>24377</v>
      </c>
      <c r="P27" s="17" t="str">
        <f>HYPERLINK("https://dexscreener.com/solana/9TY6DUg1VSssYH5tFE95qoq5hnAGFak4w3cn72sJNCoV", "View")</f>
        <v>View</v>
      </c>
    </row>
    <row r="28" spans="1:16" x14ac:dyDescent="0.25">
      <c r="A28" s="13" t="s">
        <v>6322</v>
      </c>
      <c r="B28" s="14">
        <v>16263</v>
      </c>
      <c r="C28" s="14">
        <v>0</v>
      </c>
      <c r="D28" s="14" t="s">
        <v>864</v>
      </c>
      <c r="E28" s="14" t="s">
        <v>4679</v>
      </c>
      <c r="F28" s="14" t="s">
        <v>96</v>
      </c>
      <c r="G28" s="18" t="s">
        <v>5436</v>
      </c>
      <c r="H28" s="18" t="s">
        <v>98</v>
      </c>
      <c r="I28" s="14" t="s">
        <v>24378</v>
      </c>
      <c r="J28" s="14">
        <v>1</v>
      </c>
      <c r="K28" s="14">
        <v>0</v>
      </c>
      <c r="L28" s="14" t="s">
        <v>24379</v>
      </c>
      <c r="M28" s="19" t="s">
        <v>101</v>
      </c>
      <c r="N28" s="14" t="s">
        <v>15807</v>
      </c>
      <c r="O28" s="14" t="s">
        <v>16812</v>
      </c>
      <c r="P28" s="14" t="str">
        <f>HYPERLINK("https://dexscreener.com/solana/HdHqKPz3n52e6FCJREKY3MS56TagyvRxsxVYG7E4rF99", "View")</f>
        <v>View</v>
      </c>
    </row>
    <row r="29" spans="1:16" x14ac:dyDescent="0.25">
      <c r="A29" s="16" t="s">
        <v>24380</v>
      </c>
      <c r="B29" s="17">
        <v>13292</v>
      </c>
      <c r="C29" s="17">
        <v>14449</v>
      </c>
      <c r="D29" s="17" t="s">
        <v>24381</v>
      </c>
      <c r="E29" s="17" t="s">
        <v>3570</v>
      </c>
      <c r="F29" s="17" t="s">
        <v>19113</v>
      </c>
      <c r="G29" s="21" t="s">
        <v>11675</v>
      </c>
      <c r="H29" s="21" t="s">
        <v>24382</v>
      </c>
      <c r="I29" s="17" t="s">
        <v>88</v>
      </c>
      <c r="J29" s="17">
        <v>5</v>
      </c>
      <c r="K29" s="17">
        <v>1</v>
      </c>
      <c r="L29" s="17" t="s">
        <v>24383</v>
      </c>
      <c r="M29" s="17" t="s">
        <v>4581</v>
      </c>
      <c r="N29" s="17" t="s">
        <v>24384</v>
      </c>
      <c r="O29" s="17" t="s">
        <v>24385</v>
      </c>
      <c r="P29" s="17" t="str">
        <f>HYPERLINK("https://dexscreener.com/solana/3biDtnRND6bw8cLpSA6CNa8ewmsarTmuYwb1EVHmCXFC", "View")</f>
        <v>View</v>
      </c>
    </row>
    <row r="30" spans="1:16" x14ac:dyDescent="0.25">
      <c r="A30" s="13" t="s">
        <v>24386</v>
      </c>
      <c r="B30" s="14">
        <v>65620</v>
      </c>
      <c r="C30" s="14">
        <v>65620</v>
      </c>
      <c r="D30" s="14" t="s">
        <v>6275</v>
      </c>
      <c r="E30" s="14" t="s">
        <v>4093</v>
      </c>
      <c r="F30" s="14" t="s">
        <v>24387</v>
      </c>
      <c r="G30" s="21" t="s">
        <v>11761</v>
      </c>
      <c r="H30" s="21" t="s">
        <v>24388</v>
      </c>
      <c r="I30" s="14" t="s">
        <v>88</v>
      </c>
      <c r="J30" s="14">
        <v>3</v>
      </c>
      <c r="K30" s="14">
        <v>1</v>
      </c>
      <c r="L30" s="14" t="s">
        <v>24389</v>
      </c>
      <c r="M30" s="14" t="s">
        <v>4581</v>
      </c>
      <c r="N30" s="14" t="s">
        <v>24390</v>
      </c>
      <c r="O30" s="14" t="s">
        <v>24391</v>
      </c>
      <c r="P30" s="14" t="str">
        <f>HYPERLINK("https://dexscreener.com/solana/FTyr4aoR52GY5EWGuxSzEAY6szaYKzi3WAmHmeYppump", "View")</f>
        <v>View</v>
      </c>
    </row>
    <row r="31" spans="1:16" x14ac:dyDescent="0.25">
      <c r="A31" s="16" t="s">
        <v>24380</v>
      </c>
      <c r="B31" s="17">
        <v>2666048</v>
      </c>
      <c r="C31" s="17">
        <v>2758854</v>
      </c>
      <c r="D31" s="17" t="s">
        <v>8191</v>
      </c>
      <c r="E31" s="17" t="s">
        <v>9553</v>
      </c>
      <c r="F31" s="17" t="s">
        <v>6533</v>
      </c>
      <c r="G31" s="21" t="s">
        <v>3931</v>
      </c>
      <c r="H31" s="21" t="s">
        <v>24392</v>
      </c>
      <c r="I31" s="17" t="s">
        <v>88</v>
      </c>
      <c r="J31" s="17">
        <v>2</v>
      </c>
      <c r="K31" s="17">
        <v>1</v>
      </c>
      <c r="L31" s="17" t="s">
        <v>24393</v>
      </c>
      <c r="M31" s="17" t="s">
        <v>4581</v>
      </c>
      <c r="N31" s="17" t="s">
        <v>24394</v>
      </c>
      <c r="O31" s="17" t="s">
        <v>24395</v>
      </c>
      <c r="P31" s="17" t="str">
        <f>HYPERLINK("https://dexscreener.com/solana/3BetrTMUKQzkkT4YCtv3EchDdTMB6RAx1Fi4uQbqpump", "View")</f>
        <v>View</v>
      </c>
    </row>
    <row r="32" spans="1:16" x14ac:dyDescent="0.25">
      <c r="A32" s="13" t="s">
        <v>13587</v>
      </c>
      <c r="B32" s="14">
        <v>3439</v>
      </c>
      <c r="C32" s="14">
        <v>0</v>
      </c>
      <c r="D32" s="14" t="s">
        <v>10163</v>
      </c>
      <c r="E32" s="14" t="s">
        <v>24396</v>
      </c>
      <c r="F32" s="14" t="s">
        <v>96</v>
      </c>
      <c r="G32" s="18" t="s">
        <v>24397</v>
      </c>
      <c r="H32" s="18" t="s">
        <v>98</v>
      </c>
      <c r="I32" s="14" t="s">
        <v>24398</v>
      </c>
      <c r="J32" s="14">
        <v>2</v>
      </c>
      <c r="K32" s="14">
        <v>0</v>
      </c>
      <c r="L32" s="14" t="s">
        <v>24399</v>
      </c>
      <c r="M32" s="14" t="s">
        <v>4454</v>
      </c>
      <c r="N32" s="14" t="s">
        <v>24400</v>
      </c>
      <c r="O32" s="14" t="s">
        <v>24401</v>
      </c>
      <c r="P32" s="14" t="str">
        <f>HYPERLINK("https://dexscreener.com/solana/sfYDFZJguyF4YLZjje7qwwh41NRymFfZ3QXZbVm7Eyg", "View")</f>
        <v>View</v>
      </c>
    </row>
    <row r="33" spans="1:16" x14ac:dyDescent="0.25">
      <c r="A33" s="16" t="s">
        <v>24402</v>
      </c>
      <c r="B33" s="17">
        <v>33771</v>
      </c>
      <c r="C33" s="17">
        <v>0</v>
      </c>
      <c r="D33" s="17" t="s">
        <v>24403</v>
      </c>
      <c r="E33" s="17" t="s">
        <v>3459</v>
      </c>
      <c r="F33" s="17" t="s">
        <v>96</v>
      </c>
      <c r="G33" s="18" t="s">
        <v>24404</v>
      </c>
      <c r="H33" s="18" t="s">
        <v>98</v>
      </c>
      <c r="I33" s="17" t="s">
        <v>24405</v>
      </c>
      <c r="J33" s="17">
        <v>4</v>
      </c>
      <c r="K33" s="17">
        <v>0</v>
      </c>
      <c r="L33" s="17" t="s">
        <v>24406</v>
      </c>
      <c r="M33" s="17" t="s">
        <v>4454</v>
      </c>
      <c r="N33" s="17" t="s">
        <v>24407</v>
      </c>
      <c r="O33" s="17" t="s">
        <v>24408</v>
      </c>
      <c r="P33" s="17" t="str">
        <f>HYPERLINK("https://dexscreener.com/solana/8wXtPeU6557ETkp9WHFY1n1EcU6NxDvbAggHGsMYiHsB", "View")</f>
        <v>View</v>
      </c>
    </row>
    <row r="34" spans="1:16" x14ac:dyDescent="0.25">
      <c r="A34" s="13" t="s">
        <v>4753</v>
      </c>
      <c r="B34" s="14">
        <v>38825991</v>
      </c>
      <c r="C34" s="14">
        <v>68217343</v>
      </c>
      <c r="D34" s="14" t="s">
        <v>19373</v>
      </c>
      <c r="E34" s="14" t="s">
        <v>15576</v>
      </c>
      <c r="F34" s="14" t="s">
        <v>2676</v>
      </c>
      <c r="G34" s="21" t="s">
        <v>24409</v>
      </c>
      <c r="H34" s="21" t="s">
        <v>24410</v>
      </c>
      <c r="I34" s="14" t="s">
        <v>88</v>
      </c>
      <c r="J34" s="14">
        <v>2</v>
      </c>
      <c r="K34" s="14">
        <v>1</v>
      </c>
      <c r="L34" s="14" t="s">
        <v>24411</v>
      </c>
      <c r="M34" s="14" t="s">
        <v>4454</v>
      </c>
      <c r="N34" s="14" t="s">
        <v>24412</v>
      </c>
      <c r="O34" s="14" t="s">
        <v>15171</v>
      </c>
      <c r="P34" s="14" t="str">
        <f>HYPERLINK("https://dexscreener.com/solana/69kdRLyP5DTRkpHraaSZAQbWmAwzF9guKjZfzMXzcbAs", "View")</f>
        <v>View</v>
      </c>
    </row>
    <row r="35" spans="1:16" x14ac:dyDescent="0.25">
      <c r="A35" s="16" t="s">
        <v>21547</v>
      </c>
      <c r="B35" s="17">
        <v>4996</v>
      </c>
      <c r="C35" s="17">
        <v>0</v>
      </c>
      <c r="D35" s="17" t="s">
        <v>24413</v>
      </c>
      <c r="E35" s="17" t="s">
        <v>8245</v>
      </c>
      <c r="F35" s="17" t="s">
        <v>96</v>
      </c>
      <c r="G35" s="18" t="s">
        <v>21172</v>
      </c>
      <c r="H35" s="18" t="s">
        <v>98</v>
      </c>
      <c r="I35" s="17" t="s">
        <v>24414</v>
      </c>
      <c r="J35" s="17">
        <v>3</v>
      </c>
      <c r="K35" s="17">
        <v>0</v>
      </c>
      <c r="L35" s="17" t="s">
        <v>24415</v>
      </c>
      <c r="M35" s="17" t="s">
        <v>240</v>
      </c>
      <c r="N35" s="17" t="s">
        <v>24416</v>
      </c>
      <c r="O35" s="17" t="s">
        <v>21554</v>
      </c>
      <c r="P35" s="17" t="str">
        <f>HYPERLINK("https://dexscreener.com/solana/HnKkzR1YtFbUUxM6g3iVRS2RY68KHhGV7bNdfF1GCsJB", "View")</f>
        <v>View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4A43-787C-4295-99C1-084B3BEC9608}">
  <dimension ref="A1:P40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HYPERLINK("https://gmgn.ai/sol/address/7MXBbfNgS1hhv7rc5QgV787GNXeYU2sGbshPQZf2DkdX", "GMGN")</f>
        <v>GMGN</v>
      </c>
    </row>
    <row r="2" spans="1:14" x14ac:dyDescent="0.25">
      <c r="A2" s="3" t="s">
        <v>4114</v>
      </c>
      <c r="B2" s="3" t="s">
        <v>4115</v>
      </c>
      <c r="C2" s="3" t="s">
        <v>1562</v>
      </c>
      <c r="D2" s="3" t="s">
        <v>4116</v>
      </c>
      <c r="E2" s="3" t="s">
        <v>4117</v>
      </c>
      <c r="F2" s="3" t="s">
        <v>4118</v>
      </c>
      <c r="G2" s="3" t="s">
        <v>18</v>
      </c>
      <c r="H2" s="3">
        <v>21</v>
      </c>
      <c r="I2" s="3">
        <v>0</v>
      </c>
      <c r="J2" s="3" t="s">
        <v>4119</v>
      </c>
      <c r="K2" s="3" t="s">
        <v>1856</v>
      </c>
      <c r="L2" s="3">
        <v>20</v>
      </c>
      <c r="M2" s="3">
        <v>10</v>
      </c>
      <c r="N2" s="3" t="str">
        <f>HYPERLINK("https://solscan.io/account/7MXBbfNgS1hhv7rc5QgV787GNXeYU2sGbshPQZf2DkdX", "Solscan")</f>
        <v>Solscan</v>
      </c>
    </row>
    <row r="3" spans="1:14" x14ac:dyDescent="0.25">
      <c r="A3" s="1" t="s">
        <v>21</v>
      </c>
      <c r="B3" s="4" t="s">
        <v>4120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HYPERLINK("https://birdeye.so/profile/7MXBbfNgS1hhv7rc5QgV787GNXeYU2sGbshPQZf2DkdX", "Birdeye")</f>
        <v>Birdeye</v>
      </c>
    </row>
    <row r="4" spans="1:14" x14ac:dyDescent="0.25">
      <c r="A4" s="1" t="s">
        <v>25</v>
      </c>
      <c r="B4" s="3" t="s">
        <v>4121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1792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0</v>
      </c>
      <c r="E10" s="1">
        <v>6</v>
      </c>
      <c r="F10" s="1">
        <v>12</v>
      </c>
      <c r="G10" s="1">
        <v>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4123</v>
      </c>
      <c r="C11" s="1" t="s">
        <v>4124</v>
      </c>
      <c r="D11" s="1" t="s">
        <v>1779</v>
      </c>
      <c r="E11" s="1" t="s">
        <v>4125</v>
      </c>
      <c r="F11" s="1" t="s">
        <v>4126</v>
      </c>
      <c r="G11" s="1" t="s">
        <v>1779</v>
      </c>
      <c r="H11" s="3"/>
      <c r="I11" s="3" t="s">
        <v>50</v>
      </c>
      <c r="J11" s="3" t="s">
        <v>2022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4127</v>
      </c>
      <c r="C12" s="1" t="s">
        <v>4128</v>
      </c>
      <c r="D12" s="1" t="s">
        <v>1786</v>
      </c>
      <c r="E12" s="1" t="s">
        <v>4129</v>
      </c>
      <c r="F12" s="1" t="s">
        <v>4130</v>
      </c>
      <c r="G12" s="1" t="s">
        <v>1786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4131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4132</v>
      </c>
      <c r="B20" s="14">
        <v>9463374</v>
      </c>
      <c r="C20" s="14">
        <v>9463374</v>
      </c>
      <c r="D20" s="14" t="s">
        <v>4133</v>
      </c>
      <c r="E20" s="14" t="s">
        <v>3978</v>
      </c>
      <c r="F20" s="14" t="s">
        <v>3387</v>
      </c>
      <c r="G20" s="20" t="s">
        <v>4134</v>
      </c>
      <c r="H20" s="20" t="s">
        <v>4135</v>
      </c>
      <c r="I20" s="14" t="s">
        <v>88</v>
      </c>
      <c r="J20" s="14">
        <v>1</v>
      </c>
      <c r="K20" s="14">
        <v>1</v>
      </c>
      <c r="L20" s="14" t="s">
        <v>4136</v>
      </c>
      <c r="M20" s="19" t="s">
        <v>2937</v>
      </c>
      <c r="N20" s="14" t="s">
        <v>4137</v>
      </c>
      <c r="O20" s="14" t="s">
        <v>4138</v>
      </c>
      <c r="P20" s="14" t="str">
        <f>HYPERLINK("https://photon-sol.tinyastro.io/en/lp/HrRRNjYBs5MfuT5TRR3uJN3A7eUdnWrezttoxS66pump?handle=676050794bc1b1657a56b", "View")</f>
        <v>View</v>
      </c>
    </row>
    <row r="21" spans="1:16" x14ac:dyDescent="0.25">
      <c r="A21" s="16" t="s">
        <v>4139</v>
      </c>
      <c r="B21" s="17">
        <v>12100451</v>
      </c>
      <c r="C21" s="17">
        <v>12100451</v>
      </c>
      <c r="D21" s="17" t="s">
        <v>4133</v>
      </c>
      <c r="E21" s="17" t="s">
        <v>3978</v>
      </c>
      <c r="F21" s="17" t="s">
        <v>4140</v>
      </c>
      <c r="G21" s="22" t="s">
        <v>4141</v>
      </c>
      <c r="H21" s="22" t="s">
        <v>4142</v>
      </c>
      <c r="I21" s="17" t="s">
        <v>88</v>
      </c>
      <c r="J21" s="17">
        <v>1</v>
      </c>
      <c r="K21" s="17">
        <v>1</v>
      </c>
      <c r="L21" s="17" t="s">
        <v>4143</v>
      </c>
      <c r="M21" s="19" t="s">
        <v>2937</v>
      </c>
      <c r="N21" s="17" t="s">
        <v>1980</v>
      </c>
      <c r="O21" s="17" t="s">
        <v>4144</v>
      </c>
      <c r="P21" s="17" t="str">
        <f>HYPERLINK("https://photon-sol.tinyastro.io/en/lp/59YgMCZyLkrYmU7CC9Qn4qccPoj6MQufLBrxPUedpump?handle=676050794bc1b1657a56b", "View")</f>
        <v>View</v>
      </c>
    </row>
    <row r="22" spans="1:16" x14ac:dyDescent="0.25">
      <c r="A22" s="13" t="s">
        <v>4145</v>
      </c>
      <c r="B22" s="14">
        <v>8496690</v>
      </c>
      <c r="C22" s="14">
        <v>8496690</v>
      </c>
      <c r="D22" s="14" t="s">
        <v>4133</v>
      </c>
      <c r="E22" s="14" t="s">
        <v>4146</v>
      </c>
      <c r="F22" s="14" t="s">
        <v>3141</v>
      </c>
      <c r="G22" s="22" t="s">
        <v>4147</v>
      </c>
      <c r="H22" s="22" t="s">
        <v>4148</v>
      </c>
      <c r="I22" s="14" t="s">
        <v>88</v>
      </c>
      <c r="J22" s="14">
        <v>1</v>
      </c>
      <c r="K22" s="14">
        <v>1</v>
      </c>
      <c r="L22" s="14" t="s">
        <v>4149</v>
      </c>
      <c r="M22" s="19" t="s">
        <v>1872</v>
      </c>
      <c r="N22" s="14" t="s">
        <v>2557</v>
      </c>
      <c r="O22" s="14" t="s">
        <v>4150</v>
      </c>
      <c r="P22" s="14" t="str">
        <f>HYPERLINK("https://photon-sol.tinyastro.io/en/lp/8wyGugWw3RS4ydTreUNrkrSwXiHhjRvWdpJKuATspump?handle=676050794bc1b1657a56b", "View")</f>
        <v>View</v>
      </c>
    </row>
    <row r="23" spans="1:16" x14ac:dyDescent="0.25">
      <c r="A23" s="16" t="s">
        <v>4151</v>
      </c>
      <c r="B23" s="17">
        <v>10185335</v>
      </c>
      <c r="C23" s="17">
        <v>10185335</v>
      </c>
      <c r="D23" s="17" t="s">
        <v>4152</v>
      </c>
      <c r="E23" s="17" t="s">
        <v>3938</v>
      </c>
      <c r="F23" s="17" t="s">
        <v>4153</v>
      </c>
      <c r="G23" s="21" t="s">
        <v>4154</v>
      </c>
      <c r="H23" s="21" t="s">
        <v>4155</v>
      </c>
      <c r="I23" s="17" t="s">
        <v>88</v>
      </c>
      <c r="J23" s="17">
        <v>1</v>
      </c>
      <c r="K23" s="17">
        <v>4</v>
      </c>
      <c r="L23" s="17" t="s">
        <v>4156</v>
      </c>
      <c r="M23" s="17" t="s">
        <v>1448</v>
      </c>
      <c r="N23" s="17" t="s">
        <v>4157</v>
      </c>
      <c r="O23" s="17" t="s">
        <v>4158</v>
      </c>
      <c r="P23" s="17" t="str">
        <f>HYPERLINK("https://photon-sol.tinyastro.io/en/lp/BLk7tAc4x4XS4mrJPqgRJoErZubMt9LTMTfYECaZpump?handle=676050794bc1b1657a56b", "View")</f>
        <v>View</v>
      </c>
    </row>
    <row r="24" spans="1:16" x14ac:dyDescent="0.25">
      <c r="A24" s="13" t="s">
        <v>4139</v>
      </c>
      <c r="B24" s="14">
        <v>11453717</v>
      </c>
      <c r="C24" s="14">
        <v>11453717</v>
      </c>
      <c r="D24" s="14" t="s">
        <v>4133</v>
      </c>
      <c r="E24" s="14" t="s">
        <v>4159</v>
      </c>
      <c r="F24" s="14" t="s">
        <v>4160</v>
      </c>
      <c r="G24" s="20" t="s">
        <v>4161</v>
      </c>
      <c r="H24" s="20" t="s">
        <v>4162</v>
      </c>
      <c r="I24" s="14" t="s">
        <v>88</v>
      </c>
      <c r="J24" s="14">
        <v>1</v>
      </c>
      <c r="K24" s="14">
        <v>1</v>
      </c>
      <c r="L24" s="14" t="s">
        <v>4163</v>
      </c>
      <c r="M24" s="19" t="s">
        <v>3158</v>
      </c>
      <c r="N24" s="14" t="s">
        <v>507</v>
      </c>
      <c r="O24" s="14" t="s">
        <v>4164</v>
      </c>
      <c r="P24" s="14" t="str">
        <f>HYPERLINK("https://photon-sol.tinyastro.io/en/lp/AVAwRWGGnKjHMrKvBtsK5dAX3hzXDcYW2dwQVgWcpump?handle=676050794bc1b1657a56b", "View")</f>
        <v>View</v>
      </c>
    </row>
    <row r="25" spans="1:16" x14ac:dyDescent="0.25">
      <c r="A25" s="16" t="s">
        <v>4165</v>
      </c>
      <c r="B25" s="17">
        <v>13390659</v>
      </c>
      <c r="C25" s="17">
        <v>13390659</v>
      </c>
      <c r="D25" s="17" t="s">
        <v>4133</v>
      </c>
      <c r="E25" s="17" t="s">
        <v>4166</v>
      </c>
      <c r="F25" s="17" t="s">
        <v>4167</v>
      </c>
      <c r="G25" s="20" t="s">
        <v>4168</v>
      </c>
      <c r="H25" s="20" t="s">
        <v>4169</v>
      </c>
      <c r="I25" s="17" t="s">
        <v>88</v>
      </c>
      <c r="J25" s="17">
        <v>1</v>
      </c>
      <c r="K25" s="17">
        <v>1</v>
      </c>
      <c r="L25" s="17" t="s">
        <v>4170</v>
      </c>
      <c r="M25" s="19" t="s">
        <v>4171</v>
      </c>
      <c r="N25" s="17" t="s">
        <v>1011</v>
      </c>
      <c r="O25" s="17" t="s">
        <v>4172</v>
      </c>
      <c r="P25" s="17" t="str">
        <f>HYPERLINK("https://photon-sol.tinyastro.io/en/lp/GvoEs66NwcLdbJceYEwfmdE9U9z5yfJFjCNYkXYDiUWc?handle=676050794bc1b1657a56b", "View")</f>
        <v>View</v>
      </c>
    </row>
    <row r="26" spans="1:16" x14ac:dyDescent="0.25">
      <c r="A26" s="13" t="s">
        <v>4173</v>
      </c>
      <c r="B26" s="14">
        <v>17441328</v>
      </c>
      <c r="C26" s="14">
        <v>17441328</v>
      </c>
      <c r="D26" s="14" t="s">
        <v>4133</v>
      </c>
      <c r="E26" s="14" t="s">
        <v>4166</v>
      </c>
      <c r="F26" s="14" t="s">
        <v>4167</v>
      </c>
      <c r="G26" s="20" t="s">
        <v>4174</v>
      </c>
      <c r="H26" s="20" t="s">
        <v>4175</v>
      </c>
      <c r="I26" s="14" t="s">
        <v>88</v>
      </c>
      <c r="J26" s="14">
        <v>1</v>
      </c>
      <c r="K26" s="14">
        <v>1</v>
      </c>
      <c r="L26" s="14" t="s">
        <v>4176</v>
      </c>
      <c r="M26" s="19" t="s">
        <v>2323</v>
      </c>
      <c r="N26" s="14" t="s">
        <v>2308</v>
      </c>
      <c r="O26" s="14" t="s">
        <v>4177</v>
      </c>
      <c r="P26" s="14" t="str">
        <f>HYPERLINK("https://photon-sol.tinyastro.io/en/lp/G8xKe5djh6zqBugD9WszkXFkDRhg36TqxUUgaughpump?handle=676050794bc1b1657a56b", "View")</f>
        <v>View</v>
      </c>
    </row>
    <row r="27" spans="1:16" x14ac:dyDescent="0.25">
      <c r="A27" s="16" t="s">
        <v>4178</v>
      </c>
      <c r="B27" s="17">
        <v>8109528</v>
      </c>
      <c r="C27" s="17">
        <v>8109528</v>
      </c>
      <c r="D27" s="17" t="s">
        <v>4179</v>
      </c>
      <c r="E27" s="17" t="s">
        <v>4180</v>
      </c>
      <c r="F27" s="17" t="s">
        <v>3985</v>
      </c>
      <c r="G27" s="20" t="s">
        <v>4181</v>
      </c>
      <c r="H27" s="20" t="s">
        <v>4182</v>
      </c>
      <c r="I27" s="17" t="s">
        <v>88</v>
      </c>
      <c r="J27" s="17">
        <v>1</v>
      </c>
      <c r="K27" s="17">
        <v>2</v>
      </c>
      <c r="L27" s="17" t="s">
        <v>4183</v>
      </c>
      <c r="M27" s="17" t="s">
        <v>1434</v>
      </c>
      <c r="N27" s="17" t="s">
        <v>4184</v>
      </c>
      <c r="O27" s="17" t="s">
        <v>4185</v>
      </c>
      <c r="P27" s="17" t="str">
        <f>HYPERLINK("https://dexscreener.com/solana/kQbJExfnfQUvK1xoeWYqWJgFWPzY77erCP1U9EBYPzQ", "View")</f>
        <v>View</v>
      </c>
    </row>
    <row r="28" spans="1:16" x14ac:dyDescent="0.25">
      <c r="A28" s="13" t="s">
        <v>4186</v>
      </c>
      <c r="B28" s="14">
        <v>11546736</v>
      </c>
      <c r="C28" s="14">
        <v>11546736</v>
      </c>
      <c r="D28" s="14" t="s">
        <v>4133</v>
      </c>
      <c r="E28" s="14" t="s">
        <v>3978</v>
      </c>
      <c r="F28" s="14" t="s">
        <v>2754</v>
      </c>
      <c r="G28" s="20" t="s">
        <v>4187</v>
      </c>
      <c r="H28" s="20" t="s">
        <v>4120</v>
      </c>
      <c r="I28" s="14" t="s">
        <v>88</v>
      </c>
      <c r="J28" s="14">
        <v>1</v>
      </c>
      <c r="K28" s="14">
        <v>1</v>
      </c>
      <c r="L28" s="14" t="s">
        <v>4188</v>
      </c>
      <c r="M28" s="19" t="s">
        <v>2525</v>
      </c>
      <c r="N28" s="14" t="s">
        <v>556</v>
      </c>
      <c r="O28" s="14" t="s">
        <v>4189</v>
      </c>
      <c r="P28" s="14" t="str">
        <f>HYPERLINK("https://photon-sol.tinyastro.io/en/lp/6exU5K1vGocwP2qmCJnYG7zT897rqMRkKzjHefyzEapC?handle=676050794bc1b1657a56b", "View")</f>
        <v>View</v>
      </c>
    </row>
    <row r="29" spans="1:16" x14ac:dyDescent="0.25">
      <c r="A29" s="16" t="s">
        <v>4190</v>
      </c>
      <c r="B29" s="17">
        <v>11346599</v>
      </c>
      <c r="C29" s="17">
        <v>11346599</v>
      </c>
      <c r="D29" s="17" t="s">
        <v>4133</v>
      </c>
      <c r="E29" s="17" t="s">
        <v>3978</v>
      </c>
      <c r="F29" s="17" t="s">
        <v>2575</v>
      </c>
      <c r="G29" s="20" t="s">
        <v>3751</v>
      </c>
      <c r="H29" s="20" t="s">
        <v>4191</v>
      </c>
      <c r="I29" s="17" t="s">
        <v>88</v>
      </c>
      <c r="J29" s="17">
        <v>1</v>
      </c>
      <c r="K29" s="17">
        <v>1</v>
      </c>
      <c r="L29" s="17" t="s">
        <v>4192</v>
      </c>
      <c r="M29" s="19" t="s">
        <v>4171</v>
      </c>
      <c r="N29" s="17" t="s">
        <v>4193</v>
      </c>
      <c r="O29" s="17" t="s">
        <v>4194</v>
      </c>
      <c r="P29" s="17" t="str">
        <f>HYPERLINK("https://photon-sol.tinyastro.io/en/lp/BUCir8AF7JUpC8xoo4R9UBVCWeRjYjyhuTDNygZPMdGM?handle=676050794bc1b1657a56b", "View")</f>
        <v>View</v>
      </c>
    </row>
    <row r="30" spans="1:16" x14ac:dyDescent="0.25">
      <c r="A30" s="13" t="s">
        <v>4195</v>
      </c>
      <c r="B30" s="14">
        <v>11151627</v>
      </c>
      <c r="C30" s="14">
        <v>11151627</v>
      </c>
      <c r="D30" s="14" t="s">
        <v>4133</v>
      </c>
      <c r="E30" s="14" t="s">
        <v>4196</v>
      </c>
      <c r="F30" s="14" t="s">
        <v>4197</v>
      </c>
      <c r="G30" s="22" t="s">
        <v>4198</v>
      </c>
      <c r="H30" s="22" t="s">
        <v>4199</v>
      </c>
      <c r="I30" s="14" t="s">
        <v>88</v>
      </c>
      <c r="J30" s="14">
        <v>1</v>
      </c>
      <c r="K30" s="14">
        <v>1</v>
      </c>
      <c r="L30" s="14" t="s">
        <v>4200</v>
      </c>
      <c r="M30" s="19" t="s">
        <v>2955</v>
      </c>
      <c r="N30" s="14" t="s">
        <v>2827</v>
      </c>
      <c r="O30" s="14" t="s">
        <v>4201</v>
      </c>
      <c r="P30" s="14" t="str">
        <f>HYPERLINK("https://photon-sol.tinyastro.io/en/lp/GwiKKAuL3A3EewKxGoT12MVjQ95n82qikzwggYPvkrh7?handle=676050794bc1b1657a56b", "View")</f>
        <v>View</v>
      </c>
    </row>
    <row r="31" spans="1:16" x14ac:dyDescent="0.25">
      <c r="A31" s="16" t="s">
        <v>4202</v>
      </c>
      <c r="B31" s="17">
        <v>4912522</v>
      </c>
      <c r="C31" s="17">
        <v>4912522</v>
      </c>
      <c r="D31" s="17" t="s">
        <v>4203</v>
      </c>
      <c r="E31" s="17" t="s">
        <v>4204</v>
      </c>
      <c r="F31" s="17" t="s">
        <v>4205</v>
      </c>
      <c r="G31" s="20" t="s">
        <v>4206</v>
      </c>
      <c r="H31" s="20" t="s">
        <v>4207</v>
      </c>
      <c r="I31" s="17" t="s">
        <v>88</v>
      </c>
      <c r="J31" s="17">
        <v>1</v>
      </c>
      <c r="K31" s="17">
        <v>2</v>
      </c>
      <c r="L31" s="17" t="s">
        <v>4208</v>
      </c>
      <c r="M31" s="19" t="s">
        <v>2364</v>
      </c>
      <c r="N31" s="17" t="s">
        <v>4209</v>
      </c>
      <c r="O31" s="17" t="s">
        <v>4210</v>
      </c>
      <c r="P31" s="17" t="str">
        <f>HYPERLINK("https://photon-sol.tinyastro.io/en/lp/2Z7FJ9EtHcjMSiZCNs1afPy1A6DFTbs1Mwq1ytL7pump?handle=676050794bc1b1657a56b", "View")</f>
        <v>View</v>
      </c>
    </row>
    <row r="32" spans="1:16" x14ac:dyDescent="0.25">
      <c r="A32" s="13" t="s">
        <v>4211</v>
      </c>
      <c r="B32" s="14">
        <v>7420909</v>
      </c>
      <c r="C32" s="14">
        <v>7420909</v>
      </c>
      <c r="D32" s="14" t="s">
        <v>4133</v>
      </c>
      <c r="E32" s="14" t="s">
        <v>3978</v>
      </c>
      <c r="F32" s="14" t="s">
        <v>2941</v>
      </c>
      <c r="G32" s="20" t="s">
        <v>4212</v>
      </c>
      <c r="H32" s="20" t="s">
        <v>4213</v>
      </c>
      <c r="I32" s="14" t="s">
        <v>88</v>
      </c>
      <c r="J32" s="14">
        <v>1</v>
      </c>
      <c r="K32" s="14">
        <v>1</v>
      </c>
      <c r="L32" s="14" t="s">
        <v>4214</v>
      </c>
      <c r="M32" s="19" t="s">
        <v>2525</v>
      </c>
      <c r="N32" s="14" t="s">
        <v>507</v>
      </c>
      <c r="O32" s="14" t="s">
        <v>4215</v>
      </c>
      <c r="P32" s="14" t="str">
        <f>HYPERLINK("https://photon-sol.tinyastro.io/en/lp/3PE2Fxe4NJHDFHh3q8LZdGNg8AJyNi1hv6eSAxzipump?handle=676050794bc1b1657a56b", "View")</f>
        <v>View</v>
      </c>
    </row>
    <row r="33" spans="1:16" x14ac:dyDescent="0.25">
      <c r="A33" s="16" t="s">
        <v>1594</v>
      </c>
      <c r="B33" s="17">
        <v>5428267</v>
      </c>
      <c r="C33" s="17">
        <v>5428267</v>
      </c>
      <c r="D33" s="17" t="s">
        <v>4133</v>
      </c>
      <c r="E33" s="17" t="s">
        <v>4216</v>
      </c>
      <c r="F33" s="17" t="s">
        <v>3812</v>
      </c>
      <c r="G33" s="22" t="s">
        <v>4217</v>
      </c>
      <c r="H33" s="22" t="s">
        <v>4218</v>
      </c>
      <c r="I33" s="17" t="s">
        <v>88</v>
      </c>
      <c r="J33" s="17">
        <v>1</v>
      </c>
      <c r="K33" s="17">
        <v>1</v>
      </c>
      <c r="L33" s="17" t="s">
        <v>4219</v>
      </c>
      <c r="M33" s="19" t="s">
        <v>2315</v>
      </c>
      <c r="N33" s="17" t="s">
        <v>4220</v>
      </c>
      <c r="O33" s="17" t="s">
        <v>1602</v>
      </c>
      <c r="P33" s="17" t="str">
        <f>HYPERLINK("https://photon-sol.tinyastro.io/en/lp/BN7Unh84YG5pcAQiBkF9C91hA2QR5ERT11dwFYbCpump?handle=676050794bc1b1657a56b", "View")</f>
        <v>View</v>
      </c>
    </row>
    <row r="34" spans="1:16" x14ac:dyDescent="0.25">
      <c r="A34" s="13" t="s">
        <v>4221</v>
      </c>
      <c r="B34" s="14">
        <v>9939269</v>
      </c>
      <c r="C34" s="14">
        <v>9939269</v>
      </c>
      <c r="D34" s="14" t="s">
        <v>4222</v>
      </c>
      <c r="E34" s="14" t="s">
        <v>3978</v>
      </c>
      <c r="F34" s="14" t="s">
        <v>4223</v>
      </c>
      <c r="G34" s="22" t="s">
        <v>4224</v>
      </c>
      <c r="H34" s="22" t="s">
        <v>4225</v>
      </c>
      <c r="I34" s="14" t="s">
        <v>88</v>
      </c>
      <c r="J34" s="14">
        <v>1</v>
      </c>
      <c r="K34" s="14">
        <v>3</v>
      </c>
      <c r="L34" s="14" t="s">
        <v>4226</v>
      </c>
      <c r="M34" s="14" t="s">
        <v>1434</v>
      </c>
      <c r="N34" s="14" t="s">
        <v>507</v>
      </c>
      <c r="O34" s="14" t="s">
        <v>4227</v>
      </c>
      <c r="P34" s="14" t="str">
        <f>HYPERLINK("https://photon-sol.tinyastro.io/en/lp/HTgftoUmXJ1V8GiiKoWMTeRHQR4nR5vcQxCTJ2djpump?handle=676050794bc1b1657a56b", "View")</f>
        <v>View</v>
      </c>
    </row>
    <row r="35" spans="1:16" x14ac:dyDescent="0.25">
      <c r="A35" s="16" t="s">
        <v>1603</v>
      </c>
      <c r="B35" s="17">
        <v>5488651</v>
      </c>
      <c r="C35" s="17">
        <v>5488651</v>
      </c>
      <c r="D35" s="17" t="s">
        <v>4228</v>
      </c>
      <c r="E35" s="17" t="s">
        <v>3236</v>
      </c>
      <c r="F35" s="17" t="s">
        <v>4229</v>
      </c>
      <c r="G35" s="21" t="s">
        <v>4230</v>
      </c>
      <c r="H35" s="21" t="s">
        <v>4231</v>
      </c>
      <c r="I35" s="17" t="s">
        <v>88</v>
      </c>
      <c r="J35" s="17">
        <v>1</v>
      </c>
      <c r="K35" s="17">
        <v>3</v>
      </c>
      <c r="L35" s="17" t="s">
        <v>4232</v>
      </c>
      <c r="M35" s="17" t="s">
        <v>1566</v>
      </c>
      <c r="N35" s="17" t="s">
        <v>4233</v>
      </c>
      <c r="O35" s="17" t="s">
        <v>1612</v>
      </c>
      <c r="P35" s="17" t="str">
        <f>HYPERLINK("https://photon-sol.tinyastro.io/en/lp/5q9YGGeyJ6ZLmXvX9QuQVyg3qYry93CMJqubCz1Npump?handle=676050794bc1b1657a56b", "View")</f>
        <v>View</v>
      </c>
    </row>
    <row r="36" spans="1:16" x14ac:dyDescent="0.25">
      <c r="A36" s="13" t="s">
        <v>4234</v>
      </c>
      <c r="B36" s="14">
        <v>5088366</v>
      </c>
      <c r="C36" s="14">
        <v>5088366</v>
      </c>
      <c r="D36" s="14" t="s">
        <v>4133</v>
      </c>
      <c r="E36" s="14" t="s">
        <v>3978</v>
      </c>
      <c r="F36" s="14" t="s">
        <v>4235</v>
      </c>
      <c r="G36" s="20" t="s">
        <v>2857</v>
      </c>
      <c r="H36" s="20" t="s">
        <v>4236</v>
      </c>
      <c r="I36" s="14" t="s">
        <v>88</v>
      </c>
      <c r="J36" s="14">
        <v>1</v>
      </c>
      <c r="K36" s="14">
        <v>1</v>
      </c>
      <c r="L36" s="14" t="s">
        <v>4237</v>
      </c>
      <c r="M36" s="19" t="s">
        <v>2937</v>
      </c>
      <c r="N36" s="14" t="s">
        <v>4238</v>
      </c>
      <c r="O36" s="14" t="s">
        <v>4239</v>
      </c>
      <c r="P36" s="14" t="str">
        <f>HYPERLINK("https://photon-sol.tinyastro.io/en/lp/HxVqL8RaA4X8r2QCYofgJ38pGi2frXnD99JbDWpeRwQj?handle=676050794bc1b1657a56b", "View")</f>
        <v>View</v>
      </c>
    </row>
    <row r="37" spans="1:16" x14ac:dyDescent="0.25">
      <c r="A37" s="16" t="s">
        <v>2635</v>
      </c>
      <c r="B37" s="17">
        <v>4924852</v>
      </c>
      <c r="C37" s="17">
        <v>4924852</v>
      </c>
      <c r="D37" s="17" t="s">
        <v>4222</v>
      </c>
      <c r="E37" s="17" t="s">
        <v>3978</v>
      </c>
      <c r="F37" s="17" t="s">
        <v>4240</v>
      </c>
      <c r="G37" s="22" t="s">
        <v>2341</v>
      </c>
      <c r="H37" s="22" t="s">
        <v>4241</v>
      </c>
      <c r="I37" s="17" t="s">
        <v>88</v>
      </c>
      <c r="J37" s="17">
        <v>1</v>
      </c>
      <c r="K37" s="17">
        <v>3</v>
      </c>
      <c r="L37" s="17" t="s">
        <v>4242</v>
      </c>
      <c r="M37" s="17" t="s">
        <v>1642</v>
      </c>
      <c r="N37" s="17" t="s">
        <v>4243</v>
      </c>
      <c r="O37" s="17" t="s">
        <v>4244</v>
      </c>
      <c r="P37" s="17" t="str">
        <f>HYPERLINK("https://photon-sol.tinyastro.io/en/lp/rcZFVQswtu3ixRkuvL1daeLcHNrhu33N1sG7BaSpump?handle=676050794bc1b1657a56b", "View")</f>
        <v>View</v>
      </c>
    </row>
    <row r="38" spans="1:16" x14ac:dyDescent="0.25">
      <c r="A38" s="13" t="s">
        <v>4245</v>
      </c>
      <c r="B38" s="14">
        <v>7104779</v>
      </c>
      <c r="C38" s="14">
        <v>7104779</v>
      </c>
      <c r="D38" s="14" t="s">
        <v>4133</v>
      </c>
      <c r="E38" s="14" t="s">
        <v>3978</v>
      </c>
      <c r="F38" s="14" t="s">
        <v>3299</v>
      </c>
      <c r="G38" s="20" t="s">
        <v>4246</v>
      </c>
      <c r="H38" s="20" t="s">
        <v>4247</v>
      </c>
      <c r="I38" s="14" t="s">
        <v>88</v>
      </c>
      <c r="J38" s="14">
        <v>1</v>
      </c>
      <c r="K38" s="14">
        <v>1</v>
      </c>
      <c r="L38" s="14" t="s">
        <v>4248</v>
      </c>
      <c r="M38" s="19" t="s">
        <v>3076</v>
      </c>
      <c r="N38" s="14" t="s">
        <v>4249</v>
      </c>
      <c r="O38" s="14" t="s">
        <v>4250</v>
      </c>
      <c r="P38" s="14" t="str">
        <f>HYPERLINK("https://photon-sol.tinyastro.io/en/lp/CaEaTxRW8FJB1pZaAjvb9ERsWQb16q9wUea6vieFpump?handle=676050794bc1b1657a56b", "View")</f>
        <v>View</v>
      </c>
    </row>
    <row r="39" spans="1:16" x14ac:dyDescent="0.25">
      <c r="A39" s="16" t="s">
        <v>4251</v>
      </c>
      <c r="B39" s="17">
        <v>8056050</v>
      </c>
      <c r="C39" s="17">
        <v>8056050</v>
      </c>
      <c r="D39" s="17" t="s">
        <v>4133</v>
      </c>
      <c r="E39" s="17" t="s">
        <v>2127</v>
      </c>
      <c r="F39" s="17" t="s">
        <v>2443</v>
      </c>
      <c r="G39" s="20" t="s">
        <v>4252</v>
      </c>
      <c r="H39" s="20" t="s">
        <v>4253</v>
      </c>
      <c r="I39" s="17" t="s">
        <v>88</v>
      </c>
      <c r="J39" s="17">
        <v>1</v>
      </c>
      <c r="K39" s="17">
        <v>1</v>
      </c>
      <c r="L39" s="17" t="s">
        <v>4254</v>
      </c>
      <c r="M39" s="19" t="s">
        <v>1856</v>
      </c>
      <c r="N39" s="17" t="s">
        <v>3908</v>
      </c>
      <c r="O39" s="17" t="s">
        <v>4255</v>
      </c>
      <c r="P39" s="17" t="str">
        <f>HYPERLINK("https://photon-sol.tinyastro.io/en/lp/DeGnuCuynXBEMzu28uvARsMcScUPfwvB2RZviu7h1JB7?handle=676050794bc1b1657a56b", "View")</f>
        <v>View</v>
      </c>
    </row>
    <row r="40" spans="1:16" x14ac:dyDescent="0.25">
      <c r="A40" s="13" t="s">
        <v>1585</v>
      </c>
      <c r="B40" s="14">
        <v>9426996</v>
      </c>
      <c r="C40" s="14">
        <v>9426996</v>
      </c>
      <c r="D40" s="14" t="s">
        <v>4256</v>
      </c>
      <c r="E40" s="14" t="s">
        <v>3978</v>
      </c>
      <c r="F40" s="14" t="s">
        <v>4257</v>
      </c>
      <c r="G40" s="21" t="s">
        <v>4258</v>
      </c>
      <c r="H40" s="21" t="s">
        <v>4259</v>
      </c>
      <c r="I40" s="14" t="s">
        <v>88</v>
      </c>
      <c r="J40" s="14">
        <v>1</v>
      </c>
      <c r="K40" s="14">
        <v>13</v>
      </c>
      <c r="L40" s="14" t="s">
        <v>4260</v>
      </c>
      <c r="M40" s="14" t="s">
        <v>788</v>
      </c>
      <c r="N40" s="14" t="s">
        <v>4261</v>
      </c>
      <c r="O40" s="14" t="s">
        <v>1593</v>
      </c>
      <c r="P40" s="14" t="str">
        <f>HYPERLINK("https://photon-sol.tinyastro.io/en/lp/uzMEVF9ZFzwbqka3WgPLaUFH8pXDVAJ4SQwWiNvpump?handle=676050794bc1b1657a56b", "View")</f>
        <v>View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07A1-479C-4391-B178-D4854D68D855}">
  <dimension ref="A1:P59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HYPERLINK("https://gmgn.ai/sol/address/6wjPBKoZtsuvQjuh1HtgohhTBj1wL3xmfTVxYojaZb1Q", "GMGN")</f>
        <v>GMGN</v>
      </c>
    </row>
    <row r="2" spans="1:14" x14ac:dyDescent="0.25">
      <c r="A2" s="3" t="s">
        <v>24417</v>
      </c>
      <c r="B2" s="3" t="s">
        <v>24418</v>
      </c>
      <c r="C2" s="3" t="s">
        <v>8453</v>
      </c>
      <c r="D2" s="3" t="s">
        <v>8318</v>
      </c>
      <c r="E2" s="3" t="s">
        <v>24419</v>
      </c>
      <c r="F2" s="3" t="s">
        <v>24420</v>
      </c>
      <c r="G2" s="3" t="s">
        <v>18</v>
      </c>
      <c r="H2" s="3">
        <v>40</v>
      </c>
      <c r="I2" s="3">
        <v>1</v>
      </c>
      <c r="J2" s="3" t="s">
        <v>150</v>
      </c>
      <c r="K2" s="3" t="s">
        <v>1434</v>
      </c>
      <c r="L2" s="3">
        <v>40</v>
      </c>
      <c r="M2" s="3">
        <v>22</v>
      </c>
      <c r="N2" s="3" t="str">
        <f>HYPERLINK("https://solscan.io/account/6wjPBKoZtsuvQjuh1HtgohhTBj1wL3xmfTVxYojaZb1Q", "Solscan")</f>
        <v>Solscan</v>
      </c>
    </row>
    <row r="3" spans="1:14" x14ac:dyDescent="0.25">
      <c r="A3" s="1" t="s">
        <v>21</v>
      </c>
      <c r="B3" s="23" t="s">
        <v>24421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HYPERLINK("https://birdeye.so/profile/6wjPBKoZtsuvQjuh1HtgohhTBj1wL3xmfTVxYojaZb1Q", "Birdeye")</f>
        <v>Birdeye</v>
      </c>
    </row>
    <row r="4" spans="1:14" x14ac:dyDescent="0.25">
      <c r="A4" s="1" t="s">
        <v>25</v>
      </c>
      <c r="B4" s="23" t="s">
        <v>20134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15564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14</v>
      </c>
      <c r="D10" s="1">
        <v>4</v>
      </c>
      <c r="E10" s="1">
        <v>7</v>
      </c>
      <c r="F10" s="1">
        <v>12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20726</v>
      </c>
      <c r="C11" s="1" t="s">
        <v>24422</v>
      </c>
      <c r="D11" s="1" t="s">
        <v>48</v>
      </c>
      <c r="E11" s="1" t="s">
        <v>24423</v>
      </c>
      <c r="F11" s="1" t="s">
        <v>24424</v>
      </c>
      <c r="G11" s="1" t="s">
        <v>4723</v>
      </c>
      <c r="H11" s="3"/>
      <c r="I11" s="3" t="s">
        <v>50</v>
      </c>
      <c r="J11" s="3" t="s">
        <v>4727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19662</v>
      </c>
      <c r="C12" s="1" t="s">
        <v>24425</v>
      </c>
      <c r="D12" s="1" t="s">
        <v>24426</v>
      </c>
      <c r="E12" s="1" t="s">
        <v>4360</v>
      </c>
      <c r="F12" s="1" t="s">
        <v>24427</v>
      </c>
      <c r="G12" s="1" t="s">
        <v>24428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20149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24429</v>
      </c>
      <c r="B20" s="14">
        <v>31466223</v>
      </c>
      <c r="C20" s="14">
        <v>31466223</v>
      </c>
      <c r="D20" s="14" t="s">
        <v>24430</v>
      </c>
      <c r="E20" s="14" t="s">
        <v>15612</v>
      </c>
      <c r="F20" s="14" t="s">
        <v>24431</v>
      </c>
      <c r="G20" s="21" t="s">
        <v>24432</v>
      </c>
      <c r="H20" s="21" t="s">
        <v>24433</v>
      </c>
      <c r="I20" s="14" t="s">
        <v>88</v>
      </c>
      <c r="J20" s="14">
        <v>1</v>
      </c>
      <c r="K20" s="14">
        <v>10</v>
      </c>
      <c r="L20" s="14" t="s">
        <v>24434</v>
      </c>
      <c r="M20" s="14" t="s">
        <v>304</v>
      </c>
      <c r="N20" s="14" t="s">
        <v>9157</v>
      </c>
      <c r="O20" s="14" t="s">
        <v>24435</v>
      </c>
      <c r="P20" s="14" t="str">
        <f>HYPERLINK("https://photon-sol.tinyastro.io/en/lp/D5s4W9tY7m2tiPkEkCeBSGjD5nwMq34o6ix8Y99Vpump?handle=676050794bc1b1657a56b", "View")</f>
        <v>View</v>
      </c>
    </row>
    <row r="21" spans="1:16" x14ac:dyDescent="0.25">
      <c r="A21" s="16" t="s">
        <v>24436</v>
      </c>
      <c r="B21" s="17">
        <v>18504564</v>
      </c>
      <c r="C21" s="17">
        <v>18504564</v>
      </c>
      <c r="D21" s="17" t="s">
        <v>24437</v>
      </c>
      <c r="E21" s="17" t="s">
        <v>15612</v>
      </c>
      <c r="F21" s="17" t="s">
        <v>9906</v>
      </c>
      <c r="G21" s="22" t="s">
        <v>2605</v>
      </c>
      <c r="H21" s="22" t="s">
        <v>24438</v>
      </c>
      <c r="I21" s="17" t="s">
        <v>88</v>
      </c>
      <c r="J21" s="17">
        <v>1</v>
      </c>
      <c r="K21" s="17">
        <v>2</v>
      </c>
      <c r="L21" s="17" t="s">
        <v>24439</v>
      </c>
      <c r="M21" s="17" t="s">
        <v>788</v>
      </c>
      <c r="N21" s="17" t="s">
        <v>1746</v>
      </c>
      <c r="O21" s="17" t="s">
        <v>24440</v>
      </c>
      <c r="P21" s="17" t="str">
        <f>HYPERLINK("https://photon-sol.tinyastro.io/en/lp/4eqSpw84EaF1AYVWM1yYaSBkVFf1HSFeTw3fpCN6pump?handle=676050794bc1b1657a56b", "View")</f>
        <v>View</v>
      </c>
    </row>
    <row r="22" spans="1:16" x14ac:dyDescent="0.25">
      <c r="A22" s="13" t="s">
        <v>22172</v>
      </c>
      <c r="B22" s="14">
        <v>34045018</v>
      </c>
      <c r="C22" s="14">
        <v>34045018</v>
      </c>
      <c r="D22" s="14" t="s">
        <v>24441</v>
      </c>
      <c r="E22" s="14" t="s">
        <v>24442</v>
      </c>
      <c r="F22" s="14" t="s">
        <v>24443</v>
      </c>
      <c r="G22" s="21" t="s">
        <v>24444</v>
      </c>
      <c r="H22" s="21" t="s">
        <v>24445</v>
      </c>
      <c r="I22" s="14" t="s">
        <v>88</v>
      </c>
      <c r="J22" s="14">
        <v>2</v>
      </c>
      <c r="K22" s="14">
        <v>10</v>
      </c>
      <c r="L22" s="14" t="s">
        <v>24446</v>
      </c>
      <c r="M22" s="14" t="s">
        <v>1526</v>
      </c>
      <c r="N22" s="14" t="s">
        <v>24447</v>
      </c>
      <c r="O22" s="14" t="s">
        <v>22176</v>
      </c>
      <c r="P22" s="14" t="str">
        <f>HYPERLINK("https://photon-sol.tinyastro.io/en/lp/HNhLKtM2K2P7Acxf1xyeJVLUTdwHchBrf42QNEsppump?handle=676050794bc1b1657a56b", "View")</f>
        <v>View</v>
      </c>
    </row>
    <row r="23" spans="1:16" x14ac:dyDescent="0.25">
      <c r="A23" s="16" t="s">
        <v>5280</v>
      </c>
      <c r="B23" s="17">
        <v>23048834</v>
      </c>
      <c r="C23" s="17">
        <v>23048834</v>
      </c>
      <c r="D23" s="17" t="s">
        <v>24448</v>
      </c>
      <c r="E23" s="17" t="s">
        <v>21789</v>
      </c>
      <c r="F23" s="17" t="s">
        <v>16967</v>
      </c>
      <c r="G23" s="20" t="s">
        <v>24449</v>
      </c>
      <c r="H23" s="20" t="s">
        <v>24450</v>
      </c>
      <c r="I23" s="17" t="s">
        <v>88</v>
      </c>
      <c r="J23" s="17">
        <v>1</v>
      </c>
      <c r="K23" s="17">
        <v>1</v>
      </c>
      <c r="L23" s="17" t="s">
        <v>24451</v>
      </c>
      <c r="M23" s="17" t="s">
        <v>1434</v>
      </c>
      <c r="N23" s="17" t="s">
        <v>3115</v>
      </c>
      <c r="O23" s="17" t="s">
        <v>24452</v>
      </c>
      <c r="P23" s="17" t="str">
        <f>HYPERLINK("https://photon-sol.tinyastro.io/en/lp/6xserxu1KKka1DA19sgnqJVKoyHzWkyDTWMjCQ6Qpump?handle=676050794bc1b1657a56b", "View")</f>
        <v>View</v>
      </c>
    </row>
    <row r="24" spans="1:16" x14ac:dyDescent="0.25">
      <c r="A24" s="13" t="s">
        <v>24453</v>
      </c>
      <c r="B24" s="14">
        <v>26984070</v>
      </c>
      <c r="C24" s="14">
        <v>26984070</v>
      </c>
      <c r="D24" s="14" t="s">
        <v>24454</v>
      </c>
      <c r="E24" s="14" t="s">
        <v>21789</v>
      </c>
      <c r="F24" s="14" t="s">
        <v>24455</v>
      </c>
      <c r="G24" s="21" t="s">
        <v>15489</v>
      </c>
      <c r="H24" s="21" t="s">
        <v>24456</v>
      </c>
      <c r="I24" s="14" t="s">
        <v>88</v>
      </c>
      <c r="J24" s="14">
        <v>1</v>
      </c>
      <c r="K24" s="14">
        <v>2</v>
      </c>
      <c r="L24" s="14" t="s">
        <v>24457</v>
      </c>
      <c r="M24" s="19" t="s">
        <v>2853</v>
      </c>
      <c r="N24" s="14" t="s">
        <v>24458</v>
      </c>
      <c r="O24" s="14" t="s">
        <v>24459</v>
      </c>
      <c r="P24" s="14" t="str">
        <f>HYPERLINK("https://photon-sol.tinyastro.io/en/lp/F3BNkbmqnrdQ9WFiyAZpbQZjCZSaQjwKnJKQXYHppump?handle=676050794bc1b1657a56b", "View")</f>
        <v>View</v>
      </c>
    </row>
    <row r="25" spans="1:16" x14ac:dyDescent="0.25">
      <c r="A25" s="16" t="s">
        <v>24460</v>
      </c>
      <c r="B25" s="17">
        <v>22562832</v>
      </c>
      <c r="C25" s="17">
        <v>22562832</v>
      </c>
      <c r="D25" s="17" t="s">
        <v>24448</v>
      </c>
      <c r="E25" s="17" t="s">
        <v>21789</v>
      </c>
      <c r="F25" s="17" t="s">
        <v>24461</v>
      </c>
      <c r="G25" s="21" t="s">
        <v>24462</v>
      </c>
      <c r="H25" s="21" t="s">
        <v>24463</v>
      </c>
      <c r="I25" s="17" t="s">
        <v>88</v>
      </c>
      <c r="J25" s="17">
        <v>1</v>
      </c>
      <c r="K25" s="17">
        <v>1</v>
      </c>
      <c r="L25" s="17" t="s">
        <v>24464</v>
      </c>
      <c r="M25" s="17" t="s">
        <v>1448</v>
      </c>
      <c r="N25" s="17" t="s">
        <v>24465</v>
      </c>
      <c r="O25" s="17" t="s">
        <v>24466</v>
      </c>
      <c r="P25" s="17" t="str">
        <f>HYPERLINK("https://photon-sol.tinyastro.io/en/lp/DtqohZQi3BhE8JYe3P5PDXspB5r1BB3v5sozt9b7pump?handle=676050794bc1b1657a56b", "View")</f>
        <v>View</v>
      </c>
    </row>
    <row r="26" spans="1:16" x14ac:dyDescent="0.25">
      <c r="A26" s="13" t="s">
        <v>5289</v>
      </c>
      <c r="B26" s="14">
        <v>31636495</v>
      </c>
      <c r="C26" s="14">
        <v>31636495</v>
      </c>
      <c r="D26" s="14" t="s">
        <v>23594</v>
      </c>
      <c r="E26" s="14" t="s">
        <v>21789</v>
      </c>
      <c r="F26" s="14" t="s">
        <v>24467</v>
      </c>
      <c r="G26" s="21" t="s">
        <v>24468</v>
      </c>
      <c r="H26" s="21" t="s">
        <v>24469</v>
      </c>
      <c r="I26" s="14" t="s">
        <v>88</v>
      </c>
      <c r="J26" s="14">
        <v>1</v>
      </c>
      <c r="K26" s="14">
        <v>5</v>
      </c>
      <c r="L26" s="14" t="s">
        <v>24470</v>
      </c>
      <c r="M26" s="14" t="s">
        <v>980</v>
      </c>
      <c r="N26" s="14" t="s">
        <v>14025</v>
      </c>
      <c r="O26" s="14" t="s">
        <v>5292</v>
      </c>
      <c r="P26" s="14" t="str">
        <f>HYPERLINK("https://photon-sol.tinyastro.io/en/lp/EVJ4pJufCyfC5SLTGry6kRN9TzRxmWq2s955Hzpzpump?handle=676050794bc1b1657a56b", "View")</f>
        <v>View</v>
      </c>
    </row>
    <row r="27" spans="1:16" x14ac:dyDescent="0.25">
      <c r="A27" s="16" t="s">
        <v>8115</v>
      </c>
      <c r="B27" s="17">
        <v>37968752</v>
      </c>
      <c r="C27" s="17">
        <v>37968752</v>
      </c>
      <c r="D27" s="17" t="s">
        <v>19745</v>
      </c>
      <c r="E27" s="17" t="s">
        <v>21789</v>
      </c>
      <c r="F27" s="17" t="s">
        <v>24471</v>
      </c>
      <c r="G27" s="21" t="s">
        <v>2862</v>
      </c>
      <c r="H27" s="21" t="s">
        <v>24472</v>
      </c>
      <c r="I27" s="17" t="s">
        <v>88</v>
      </c>
      <c r="J27" s="17">
        <v>1</v>
      </c>
      <c r="K27" s="17">
        <v>3</v>
      </c>
      <c r="L27" s="17" t="s">
        <v>24473</v>
      </c>
      <c r="M27" s="19" t="s">
        <v>3033</v>
      </c>
      <c r="N27" s="17" t="s">
        <v>24474</v>
      </c>
      <c r="O27" s="17" t="s">
        <v>20235</v>
      </c>
      <c r="P27" s="17" t="str">
        <f>HYPERLINK("https://photon-sol.tinyastro.io/en/lp/DnQ8XWr3QdhcNw5ZEc6iko7bZSHfqszjTLNxyoCwpump?handle=676050794bc1b1657a56b", "View")</f>
        <v>View</v>
      </c>
    </row>
    <row r="28" spans="1:16" x14ac:dyDescent="0.25">
      <c r="A28" s="13" t="s">
        <v>24475</v>
      </c>
      <c r="B28" s="14">
        <v>35841897</v>
      </c>
      <c r="C28" s="14">
        <v>35841897</v>
      </c>
      <c r="D28" s="14" t="s">
        <v>24448</v>
      </c>
      <c r="E28" s="14" t="s">
        <v>21789</v>
      </c>
      <c r="F28" s="14" t="s">
        <v>19106</v>
      </c>
      <c r="G28" s="20" t="s">
        <v>13284</v>
      </c>
      <c r="H28" s="20" t="s">
        <v>24476</v>
      </c>
      <c r="I28" s="14" t="s">
        <v>88</v>
      </c>
      <c r="J28" s="14">
        <v>1</v>
      </c>
      <c r="K28" s="14">
        <v>1</v>
      </c>
      <c r="L28" s="14" t="s">
        <v>24477</v>
      </c>
      <c r="M28" s="14" t="s">
        <v>602</v>
      </c>
      <c r="N28" s="14" t="s">
        <v>2585</v>
      </c>
      <c r="O28" s="14" t="s">
        <v>24478</v>
      </c>
      <c r="P28" s="14" t="str">
        <f>HYPERLINK("https://photon-sol.tinyastro.io/en/lp/BwWhegbxcysYWXLS822vFGsj3QWy3uK4wm77haTupump?handle=676050794bc1b1657a56b", "View")</f>
        <v>View</v>
      </c>
    </row>
    <row r="29" spans="1:16" x14ac:dyDescent="0.25">
      <c r="A29" s="16" t="s">
        <v>24479</v>
      </c>
      <c r="B29" s="17">
        <v>32202235</v>
      </c>
      <c r="C29" s="17">
        <v>0</v>
      </c>
      <c r="D29" s="17" t="s">
        <v>24480</v>
      </c>
      <c r="E29" s="17" t="s">
        <v>24481</v>
      </c>
      <c r="F29" s="17" t="s">
        <v>96</v>
      </c>
      <c r="G29" s="18" t="s">
        <v>24482</v>
      </c>
      <c r="H29" s="18" t="s">
        <v>98</v>
      </c>
      <c r="I29" s="17" t="s">
        <v>24483</v>
      </c>
      <c r="J29" s="17">
        <v>2</v>
      </c>
      <c r="K29" s="17">
        <v>0</v>
      </c>
      <c r="L29" s="17" t="s">
        <v>24484</v>
      </c>
      <c r="M29" s="19" t="s">
        <v>2915</v>
      </c>
      <c r="N29" s="17" t="s">
        <v>507</v>
      </c>
      <c r="O29" s="17" t="s">
        <v>24485</v>
      </c>
      <c r="P29" s="17" t="str">
        <f>HYPERLINK("https://photon-sol.tinyastro.io/en/lp/F9pdjsvzvgqPqa2mawBLVcHey3RdMYk4eWBcz8Fhpump?handle=676050794bc1b1657a56b", "View")</f>
        <v>View</v>
      </c>
    </row>
    <row r="30" spans="1:16" x14ac:dyDescent="0.25">
      <c r="A30" s="13" t="s">
        <v>24460</v>
      </c>
      <c r="B30" s="14">
        <v>31944529</v>
      </c>
      <c r="C30" s="14">
        <v>31944529</v>
      </c>
      <c r="D30" s="14" t="s">
        <v>24454</v>
      </c>
      <c r="E30" s="14" t="s">
        <v>21789</v>
      </c>
      <c r="F30" s="14" t="s">
        <v>9002</v>
      </c>
      <c r="G30" s="21" t="s">
        <v>8634</v>
      </c>
      <c r="H30" s="21" t="s">
        <v>24486</v>
      </c>
      <c r="I30" s="14" t="s">
        <v>88</v>
      </c>
      <c r="J30" s="14">
        <v>1</v>
      </c>
      <c r="K30" s="14">
        <v>2</v>
      </c>
      <c r="L30" s="14" t="s">
        <v>24487</v>
      </c>
      <c r="M30" s="14" t="s">
        <v>1434</v>
      </c>
      <c r="N30" s="14" t="s">
        <v>6919</v>
      </c>
      <c r="O30" s="14" t="s">
        <v>24488</v>
      </c>
      <c r="P30" s="14" t="str">
        <f>HYPERLINK("https://photon-sol.tinyastro.io/en/lp/ZcJbauJr2W1G5CVV1HT8iF8BxBs3sxnsVmXSvgwpump?handle=676050794bc1b1657a56b", "View")</f>
        <v>View</v>
      </c>
    </row>
    <row r="31" spans="1:16" x14ac:dyDescent="0.25">
      <c r="A31" s="16" t="s">
        <v>6799</v>
      </c>
      <c r="B31" s="17">
        <v>34174889</v>
      </c>
      <c r="C31" s="17">
        <v>34174889</v>
      </c>
      <c r="D31" s="17" t="s">
        <v>24448</v>
      </c>
      <c r="E31" s="17" t="s">
        <v>21789</v>
      </c>
      <c r="F31" s="17" t="s">
        <v>14564</v>
      </c>
      <c r="G31" s="20" t="s">
        <v>22644</v>
      </c>
      <c r="H31" s="20" t="s">
        <v>24489</v>
      </c>
      <c r="I31" s="17" t="s">
        <v>88</v>
      </c>
      <c r="J31" s="17">
        <v>1</v>
      </c>
      <c r="K31" s="17">
        <v>1</v>
      </c>
      <c r="L31" s="17" t="s">
        <v>24490</v>
      </c>
      <c r="M31" s="19" t="s">
        <v>2853</v>
      </c>
      <c r="N31" s="17" t="s">
        <v>2585</v>
      </c>
      <c r="O31" s="17" t="s">
        <v>24491</v>
      </c>
      <c r="P31" s="17" t="str">
        <f>HYPERLINK("https://photon-sol.tinyastro.io/en/lp/DvJbT4fV2h1cEjgC3avAv7tzBaNvwB24z5gXb5pfpump?handle=676050794bc1b1657a56b", "View")</f>
        <v>View</v>
      </c>
    </row>
    <row r="32" spans="1:16" x14ac:dyDescent="0.25">
      <c r="A32" s="13" t="s">
        <v>24492</v>
      </c>
      <c r="B32" s="14">
        <v>37832205</v>
      </c>
      <c r="C32" s="14">
        <v>37832205</v>
      </c>
      <c r="D32" s="14" t="s">
        <v>24448</v>
      </c>
      <c r="E32" s="14" t="s">
        <v>21789</v>
      </c>
      <c r="F32" s="14" t="s">
        <v>24493</v>
      </c>
      <c r="G32" s="20" t="s">
        <v>24494</v>
      </c>
      <c r="H32" s="20" t="s">
        <v>24495</v>
      </c>
      <c r="I32" s="14" t="s">
        <v>88</v>
      </c>
      <c r="J32" s="14">
        <v>1</v>
      </c>
      <c r="K32" s="14">
        <v>1</v>
      </c>
      <c r="L32" s="14" t="s">
        <v>24496</v>
      </c>
      <c r="M32" s="14" t="s">
        <v>1434</v>
      </c>
      <c r="N32" s="14" t="s">
        <v>2585</v>
      </c>
      <c r="O32" s="14" t="s">
        <v>24497</v>
      </c>
      <c r="P32" s="14" t="str">
        <f>HYPERLINK("https://photon-sol.tinyastro.io/en/lp/7GVGhxC9V8Y5C6YQn3pn1vjJpFqajV89MgQBZu35pump?handle=676050794bc1b1657a56b", "View")</f>
        <v>View</v>
      </c>
    </row>
    <row r="33" spans="1:16" x14ac:dyDescent="0.25">
      <c r="A33" s="16" t="s">
        <v>24498</v>
      </c>
      <c r="B33" s="17">
        <v>27621798</v>
      </c>
      <c r="C33" s="17">
        <v>27621798</v>
      </c>
      <c r="D33" s="17" t="s">
        <v>24448</v>
      </c>
      <c r="E33" s="17" t="s">
        <v>21789</v>
      </c>
      <c r="F33" s="17" t="s">
        <v>10610</v>
      </c>
      <c r="G33" s="20" t="s">
        <v>24499</v>
      </c>
      <c r="H33" s="20" t="s">
        <v>24500</v>
      </c>
      <c r="I33" s="17" t="s">
        <v>88</v>
      </c>
      <c r="J33" s="17">
        <v>1</v>
      </c>
      <c r="K33" s="17">
        <v>1</v>
      </c>
      <c r="L33" s="17" t="s">
        <v>24501</v>
      </c>
      <c r="M33" s="19" t="s">
        <v>2593</v>
      </c>
      <c r="N33" s="17" t="s">
        <v>2249</v>
      </c>
      <c r="O33" s="17" t="s">
        <v>24502</v>
      </c>
      <c r="P33" s="17" t="str">
        <f>HYPERLINK("https://photon-sol.tinyastro.io/en/lp/5HWWF9jjUAnr6Pwa9CSM2eYMjRzAuApXFEMkoTAqpump?handle=676050794bc1b1657a56b", "View")</f>
        <v>View</v>
      </c>
    </row>
    <row r="34" spans="1:16" x14ac:dyDescent="0.25">
      <c r="A34" s="13" t="s">
        <v>24498</v>
      </c>
      <c r="B34" s="14">
        <v>40071619</v>
      </c>
      <c r="C34" s="14">
        <v>40071619</v>
      </c>
      <c r="D34" s="14" t="s">
        <v>24448</v>
      </c>
      <c r="E34" s="14" t="s">
        <v>21789</v>
      </c>
      <c r="F34" s="14" t="s">
        <v>16815</v>
      </c>
      <c r="G34" s="20" t="s">
        <v>4929</v>
      </c>
      <c r="H34" s="20" t="s">
        <v>24503</v>
      </c>
      <c r="I34" s="14" t="s">
        <v>88</v>
      </c>
      <c r="J34" s="14">
        <v>1</v>
      </c>
      <c r="K34" s="14">
        <v>1</v>
      </c>
      <c r="L34" s="14" t="s">
        <v>24504</v>
      </c>
      <c r="M34" s="19" t="s">
        <v>3069</v>
      </c>
      <c r="N34" s="14" t="s">
        <v>2585</v>
      </c>
      <c r="O34" s="14" t="s">
        <v>24505</v>
      </c>
      <c r="P34" s="14" t="str">
        <f>HYPERLINK("https://photon-sol.tinyastro.io/en/lp/ESDGvBgJurbP85DEfrz5WA8Tsrji1bAirSYAbHjypump?handle=676050794bc1b1657a56b", "View")</f>
        <v>View</v>
      </c>
    </row>
    <row r="35" spans="1:16" x14ac:dyDescent="0.25">
      <c r="A35" s="16" t="s">
        <v>24506</v>
      </c>
      <c r="B35" s="17">
        <v>31091205</v>
      </c>
      <c r="C35" s="17">
        <v>31091205</v>
      </c>
      <c r="D35" s="17" t="s">
        <v>24448</v>
      </c>
      <c r="E35" s="17" t="s">
        <v>21789</v>
      </c>
      <c r="F35" s="17" t="s">
        <v>24507</v>
      </c>
      <c r="G35" s="20" t="s">
        <v>11238</v>
      </c>
      <c r="H35" s="20" t="s">
        <v>24508</v>
      </c>
      <c r="I35" s="17" t="s">
        <v>88</v>
      </c>
      <c r="J35" s="17">
        <v>1</v>
      </c>
      <c r="K35" s="17">
        <v>1</v>
      </c>
      <c r="L35" s="17" t="s">
        <v>24509</v>
      </c>
      <c r="M35" s="19" t="s">
        <v>2315</v>
      </c>
      <c r="N35" s="17" t="s">
        <v>1667</v>
      </c>
      <c r="O35" s="17" t="s">
        <v>24510</v>
      </c>
      <c r="P35" s="17" t="str">
        <f>HYPERLINK("https://photon-sol.tinyastro.io/en/lp/4aP62TLteCnVhEijRnWZnnsnEABEo2rirMY5sr9wpump?handle=676050794bc1b1657a56b", "View")</f>
        <v>View</v>
      </c>
    </row>
    <row r="36" spans="1:16" x14ac:dyDescent="0.25">
      <c r="A36" s="13" t="s">
        <v>24511</v>
      </c>
      <c r="B36" s="14">
        <v>29916091</v>
      </c>
      <c r="C36" s="14">
        <v>29916091</v>
      </c>
      <c r="D36" s="14" t="s">
        <v>24454</v>
      </c>
      <c r="E36" s="14" t="s">
        <v>21789</v>
      </c>
      <c r="F36" s="14" t="s">
        <v>24512</v>
      </c>
      <c r="G36" s="21" t="s">
        <v>24513</v>
      </c>
      <c r="H36" s="21" t="s">
        <v>24514</v>
      </c>
      <c r="I36" s="14" t="s">
        <v>88</v>
      </c>
      <c r="J36" s="14">
        <v>1</v>
      </c>
      <c r="K36" s="14">
        <v>2</v>
      </c>
      <c r="L36" s="14" t="s">
        <v>24515</v>
      </c>
      <c r="M36" s="14" t="s">
        <v>1434</v>
      </c>
      <c r="N36" s="14" t="s">
        <v>24516</v>
      </c>
      <c r="O36" s="14" t="s">
        <v>24517</v>
      </c>
      <c r="P36" s="14" t="str">
        <f>HYPERLINK("https://photon-sol.tinyastro.io/en/lp/BNbJ5iUdh5fRTtrgT2RxKdEBXNbYr7fpxXTZYvbXpump?handle=676050794bc1b1657a56b", "View")</f>
        <v>View</v>
      </c>
    </row>
    <row r="37" spans="1:16" x14ac:dyDescent="0.25">
      <c r="A37" s="16" t="s">
        <v>24518</v>
      </c>
      <c r="B37" s="17">
        <v>25312044</v>
      </c>
      <c r="C37" s="17">
        <v>25312044</v>
      </c>
      <c r="D37" s="17" t="s">
        <v>24448</v>
      </c>
      <c r="E37" s="17" t="s">
        <v>21789</v>
      </c>
      <c r="F37" s="17" t="s">
        <v>18336</v>
      </c>
      <c r="G37" s="22" t="s">
        <v>5036</v>
      </c>
      <c r="H37" s="22" t="s">
        <v>24519</v>
      </c>
      <c r="I37" s="17" t="s">
        <v>88</v>
      </c>
      <c r="J37" s="17">
        <v>1</v>
      </c>
      <c r="K37" s="17">
        <v>1</v>
      </c>
      <c r="L37" s="17" t="s">
        <v>24520</v>
      </c>
      <c r="M37" s="19" t="s">
        <v>1619</v>
      </c>
      <c r="N37" s="17" t="s">
        <v>3908</v>
      </c>
      <c r="O37" s="17" t="s">
        <v>24521</v>
      </c>
      <c r="P37" s="17" t="str">
        <f>HYPERLINK("https://photon-sol.tinyastro.io/en/lp/9NbdNFNSV87vhniSHBBxyRNzCNFpbeP4cHzEBvo6pump?handle=676050794bc1b1657a56b", "View")</f>
        <v>View</v>
      </c>
    </row>
    <row r="38" spans="1:16" x14ac:dyDescent="0.25">
      <c r="A38" s="13" t="s">
        <v>24506</v>
      </c>
      <c r="B38" s="14">
        <v>25737208</v>
      </c>
      <c r="C38" s="14">
        <v>25737208</v>
      </c>
      <c r="D38" s="14" t="s">
        <v>24448</v>
      </c>
      <c r="E38" s="14" t="s">
        <v>21789</v>
      </c>
      <c r="F38" s="14" t="s">
        <v>12737</v>
      </c>
      <c r="G38" s="20" t="s">
        <v>24522</v>
      </c>
      <c r="H38" s="20" t="s">
        <v>8837</v>
      </c>
      <c r="I38" s="14" t="s">
        <v>88</v>
      </c>
      <c r="J38" s="14">
        <v>1</v>
      </c>
      <c r="K38" s="14">
        <v>1</v>
      </c>
      <c r="L38" s="14" t="s">
        <v>24523</v>
      </c>
      <c r="M38" s="19" t="s">
        <v>3033</v>
      </c>
      <c r="N38" s="14" t="s">
        <v>5809</v>
      </c>
      <c r="O38" s="14" t="s">
        <v>24524</v>
      </c>
      <c r="P38" s="14" t="str">
        <f>HYPERLINK("https://photon-sol.tinyastro.io/en/lp/8gXxGjM3cFB5sbjvCEGXer3CVjc8G9kEY4BfiJPZpump?handle=676050794bc1b1657a56b", "View")</f>
        <v>View</v>
      </c>
    </row>
    <row r="39" spans="1:16" x14ac:dyDescent="0.25">
      <c r="A39" s="16" t="s">
        <v>21086</v>
      </c>
      <c r="B39" s="17">
        <v>28637215</v>
      </c>
      <c r="C39" s="17">
        <v>28637215</v>
      </c>
      <c r="D39" s="17" t="s">
        <v>24448</v>
      </c>
      <c r="E39" s="17" t="s">
        <v>21789</v>
      </c>
      <c r="F39" s="17" t="s">
        <v>8382</v>
      </c>
      <c r="G39" s="21" t="s">
        <v>19960</v>
      </c>
      <c r="H39" s="21" t="s">
        <v>24525</v>
      </c>
      <c r="I39" s="17" t="s">
        <v>88</v>
      </c>
      <c r="J39" s="17">
        <v>1</v>
      </c>
      <c r="K39" s="17">
        <v>1</v>
      </c>
      <c r="L39" s="17" t="s">
        <v>24526</v>
      </c>
      <c r="M39" s="19" t="s">
        <v>1948</v>
      </c>
      <c r="N39" s="17" t="s">
        <v>6919</v>
      </c>
      <c r="O39" s="17" t="s">
        <v>24527</v>
      </c>
      <c r="P39" s="17" t="str">
        <f>HYPERLINK("https://photon-sol.tinyastro.io/en/lp/FnNncUFrpPuGpbAsgJruo4CnPL6TDsw6EwT8GPxipump?handle=676050794bc1b1657a56b", "View")</f>
        <v>View</v>
      </c>
    </row>
    <row r="40" spans="1:16" x14ac:dyDescent="0.25">
      <c r="A40" s="13" t="s">
        <v>21086</v>
      </c>
      <c r="B40" s="14">
        <v>30175546</v>
      </c>
      <c r="C40" s="14">
        <v>30175546</v>
      </c>
      <c r="D40" s="14" t="s">
        <v>19745</v>
      </c>
      <c r="E40" s="14" t="s">
        <v>21789</v>
      </c>
      <c r="F40" s="14" t="s">
        <v>24528</v>
      </c>
      <c r="G40" s="21" t="s">
        <v>24529</v>
      </c>
      <c r="H40" s="21" t="s">
        <v>24530</v>
      </c>
      <c r="I40" s="14" t="s">
        <v>88</v>
      </c>
      <c r="J40" s="14">
        <v>1</v>
      </c>
      <c r="K40" s="14">
        <v>3</v>
      </c>
      <c r="L40" s="14" t="s">
        <v>24531</v>
      </c>
      <c r="M40" s="14" t="s">
        <v>1705</v>
      </c>
      <c r="N40" s="14" t="s">
        <v>2827</v>
      </c>
      <c r="O40" s="14" t="s">
        <v>24532</v>
      </c>
      <c r="P40" s="14" t="str">
        <f>HYPERLINK("https://photon-sol.tinyastro.io/en/lp/2BpXsemjTfKLp8qpuxNd4U2uGDHVroQLbc8BTqM4pump?handle=676050794bc1b1657a56b", "View")</f>
        <v>View</v>
      </c>
    </row>
    <row r="41" spans="1:16" x14ac:dyDescent="0.25">
      <c r="A41" s="16" t="s">
        <v>9229</v>
      </c>
      <c r="B41" s="17">
        <v>33767438</v>
      </c>
      <c r="C41" s="17">
        <v>33767438</v>
      </c>
      <c r="D41" s="17" t="s">
        <v>24454</v>
      </c>
      <c r="E41" s="17" t="s">
        <v>21789</v>
      </c>
      <c r="F41" s="17" t="s">
        <v>24533</v>
      </c>
      <c r="G41" s="21" t="s">
        <v>24534</v>
      </c>
      <c r="H41" s="21" t="s">
        <v>24535</v>
      </c>
      <c r="I41" s="17" t="s">
        <v>88</v>
      </c>
      <c r="J41" s="17">
        <v>1</v>
      </c>
      <c r="K41" s="17">
        <v>2</v>
      </c>
      <c r="L41" s="17" t="s">
        <v>24536</v>
      </c>
      <c r="M41" s="19" t="s">
        <v>2517</v>
      </c>
      <c r="N41" s="17" t="s">
        <v>3296</v>
      </c>
      <c r="O41" s="17" t="s">
        <v>24537</v>
      </c>
      <c r="P41" s="17" t="str">
        <f>HYPERLINK("https://photon-sol.tinyastro.io/en/lp/DMFjZhGP3qetJc7hKmc1XAoX7pcLQyygDgkPUSMupump?handle=676050794bc1b1657a56b", "View")</f>
        <v>View</v>
      </c>
    </row>
    <row r="42" spans="1:16" x14ac:dyDescent="0.25">
      <c r="A42" s="13" t="s">
        <v>9229</v>
      </c>
      <c r="B42" s="14">
        <v>23878523</v>
      </c>
      <c r="C42" s="14">
        <v>23878523</v>
      </c>
      <c r="D42" s="14" t="s">
        <v>24454</v>
      </c>
      <c r="E42" s="14" t="s">
        <v>21789</v>
      </c>
      <c r="F42" s="14" t="s">
        <v>23116</v>
      </c>
      <c r="G42" s="21" t="s">
        <v>24538</v>
      </c>
      <c r="H42" s="21" t="s">
        <v>24539</v>
      </c>
      <c r="I42" s="14" t="s">
        <v>88</v>
      </c>
      <c r="J42" s="14">
        <v>1</v>
      </c>
      <c r="K42" s="14">
        <v>2</v>
      </c>
      <c r="L42" s="14" t="s">
        <v>24540</v>
      </c>
      <c r="M42" s="14" t="s">
        <v>1434</v>
      </c>
      <c r="N42" s="14" t="s">
        <v>24541</v>
      </c>
      <c r="O42" s="14" t="s">
        <v>24542</v>
      </c>
      <c r="P42" s="14" t="str">
        <f>HYPERLINK("https://photon-sol.tinyastro.io/en/lp/Cu1ermTwLFsroCG8BMSSYk8hvEGzDceGpm223bxXpump?handle=676050794bc1b1657a56b", "View")</f>
        <v>View</v>
      </c>
    </row>
    <row r="43" spans="1:16" x14ac:dyDescent="0.25">
      <c r="A43" s="16" t="s">
        <v>24543</v>
      </c>
      <c r="B43" s="17">
        <v>52721067</v>
      </c>
      <c r="C43" s="17">
        <v>52721067</v>
      </c>
      <c r="D43" s="17" t="s">
        <v>24544</v>
      </c>
      <c r="E43" s="17" t="s">
        <v>9406</v>
      </c>
      <c r="F43" s="17" t="s">
        <v>24545</v>
      </c>
      <c r="G43" s="21" t="s">
        <v>7695</v>
      </c>
      <c r="H43" s="21" t="s">
        <v>8882</v>
      </c>
      <c r="I43" s="17" t="s">
        <v>88</v>
      </c>
      <c r="J43" s="17">
        <v>2</v>
      </c>
      <c r="K43" s="17">
        <v>2</v>
      </c>
      <c r="L43" s="17" t="s">
        <v>24546</v>
      </c>
      <c r="M43" s="17" t="s">
        <v>4719</v>
      </c>
      <c r="N43" s="17" t="s">
        <v>1011</v>
      </c>
      <c r="O43" s="17" t="s">
        <v>24547</v>
      </c>
      <c r="P43" s="17" t="str">
        <f>HYPERLINK("https://photon-sol.tinyastro.io/en/lp/Gykfbf78mSzmSuPq3xwCNeGjcJKzW3nQ8D4JXvHzpump?handle=676050794bc1b1657a56b", "View")</f>
        <v>View</v>
      </c>
    </row>
    <row r="44" spans="1:16" x14ac:dyDescent="0.25">
      <c r="A44" s="13" t="s">
        <v>24548</v>
      </c>
      <c r="B44" s="14">
        <v>71336918</v>
      </c>
      <c r="C44" s="14">
        <v>71336918</v>
      </c>
      <c r="D44" s="14" t="s">
        <v>24544</v>
      </c>
      <c r="E44" s="14" t="s">
        <v>24549</v>
      </c>
      <c r="F44" s="14" t="s">
        <v>13319</v>
      </c>
      <c r="G44" s="22" t="s">
        <v>24550</v>
      </c>
      <c r="H44" s="22" t="s">
        <v>24551</v>
      </c>
      <c r="I44" s="14" t="s">
        <v>88</v>
      </c>
      <c r="J44" s="14">
        <v>2</v>
      </c>
      <c r="K44" s="14">
        <v>2</v>
      </c>
      <c r="L44" s="14" t="s">
        <v>24552</v>
      </c>
      <c r="M44" s="14" t="s">
        <v>1448</v>
      </c>
      <c r="N44" s="14" t="s">
        <v>2316</v>
      </c>
      <c r="O44" s="14" t="s">
        <v>24553</v>
      </c>
      <c r="P44" s="14" t="str">
        <f>HYPERLINK("https://photon-sol.tinyastro.io/en/lp/ECHYHPsrJ8tfhNhESmAXX7D5giS5NCvFGYz8gnZHpump?handle=676050794bc1b1657a56b", "View")</f>
        <v>View</v>
      </c>
    </row>
    <row r="45" spans="1:16" x14ac:dyDescent="0.25">
      <c r="A45" s="16" t="s">
        <v>24554</v>
      </c>
      <c r="B45" s="17">
        <v>26062612</v>
      </c>
      <c r="C45" s="17">
        <v>26062612</v>
      </c>
      <c r="D45" s="17" t="s">
        <v>24448</v>
      </c>
      <c r="E45" s="17" t="s">
        <v>21789</v>
      </c>
      <c r="F45" s="17" t="s">
        <v>24555</v>
      </c>
      <c r="G45" s="20" t="s">
        <v>13398</v>
      </c>
      <c r="H45" s="20" t="s">
        <v>24556</v>
      </c>
      <c r="I45" s="17" t="s">
        <v>88</v>
      </c>
      <c r="J45" s="17">
        <v>1</v>
      </c>
      <c r="K45" s="17">
        <v>1</v>
      </c>
      <c r="L45" s="17" t="s">
        <v>24557</v>
      </c>
      <c r="M45" s="17" t="s">
        <v>1448</v>
      </c>
      <c r="N45" s="17" t="s">
        <v>2249</v>
      </c>
      <c r="O45" s="17" t="s">
        <v>24558</v>
      </c>
      <c r="P45" s="17" t="str">
        <f>HYPERLINK("https://photon-sol.tinyastro.io/en/lp/8X4X78CRFmMhcvfqdTb1Ch3CsGhwhuM8K81WyQC4pump?handle=676050794bc1b1657a56b", "View")</f>
        <v>View</v>
      </c>
    </row>
    <row r="46" spans="1:16" x14ac:dyDescent="0.25">
      <c r="A46" s="13" t="s">
        <v>24559</v>
      </c>
      <c r="B46" s="14">
        <v>35646205</v>
      </c>
      <c r="C46" s="14">
        <v>35646205</v>
      </c>
      <c r="D46" s="14" t="s">
        <v>24560</v>
      </c>
      <c r="E46" s="14" t="s">
        <v>24481</v>
      </c>
      <c r="F46" s="14" t="s">
        <v>24561</v>
      </c>
      <c r="G46" s="15" t="s">
        <v>24562</v>
      </c>
      <c r="H46" s="15" t="s">
        <v>24563</v>
      </c>
      <c r="I46" s="14" t="s">
        <v>88</v>
      </c>
      <c r="J46" s="14">
        <v>2</v>
      </c>
      <c r="K46" s="14">
        <v>1</v>
      </c>
      <c r="L46" s="14" t="s">
        <v>24564</v>
      </c>
      <c r="M46" s="14" t="s">
        <v>7661</v>
      </c>
      <c r="N46" s="14" t="s">
        <v>4209</v>
      </c>
      <c r="O46" s="14" t="s">
        <v>24565</v>
      </c>
      <c r="P46" s="14" t="str">
        <f>HYPERLINK("https://photon-sol.tinyastro.io/en/lp/6JA8HMcn7yFT8SDg1EU7F2foM2RW9UCrzyLExaAnpump?handle=676050794bc1b1657a56b", "View")</f>
        <v>View</v>
      </c>
    </row>
    <row r="47" spans="1:16" x14ac:dyDescent="0.25">
      <c r="A47" s="16" t="s">
        <v>24566</v>
      </c>
      <c r="B47" s="17">
        <v>24285350</v>
      </c>
      <c r="C47" s="17">
        <v>24285350</v>
      </c>
      <c r="D47" s="17" t="s">
        <v>24448</v>
      </c>
      <c r="E47" s="17" t="s">
        <v>21789</v>
      </c>
      <c r="F47" s="17" t="s">
        <v>24567</v>
      </c>
      <c r="G47" s="20" t="s">
        <v>13833</v>
      </c>
      <c r="H47" s="20" t="s">
        <v>24568</v>
      </c>
      <c r="I47" s="17" t="s">
        <v>88</v>
      </c>
      <c r="J47" s="17">
        <v>1</v>
      </c>
      <c r="K47" s="17">
        <v>1</v>
      </c>
      <c r="L47" s="17" t="s">
        <v>24569</v>
      </c>
      <c r="M47" s="19" t="s">
        <v>2104</v>
      </c>
      <c r="N47" s="17" t="s">
        <v>2249</v>
      </c>
      <c r="O47" s="17" t="s">
        <v>24570</v>
      </c>
      <c r="P47" s="17" t="str">
        <f>HYPERLINK("https://photon-sol.tinyastro.io/en/lp/J47A7F7k19u5UkGRxhFT3xG6U8hxmZevXWAGo6GLpump?handle=676050794bc1b1657a56b", "View")</f>
        <v>View</v>
      </c>
    </row>
    <row r="48" spans="1:16" x14ac:dyDescent="0.25">
      <c r="A48" s="13" t="s">
        <v>24571</v>
      </c>
      <c r="B48" s="14">
        <v>32695195</v>
      </c>
      <c r="C48" s="14">
        <v>32695195</v>
      </c>
      <c r="D48" s="14" t="s">
        <v>24454</v>
      </c>
      <c r="E48" s="14" t="s">
        <v>21789</v>
      </c>
      <c r="F48" s="14" t="s">
        <v>24572</v>
      </c>
      <c r="G48" s="22" t="s">
        <v>7291</v>
      </c>
      <c r="H48" s="22" t="s">
        <v>20538</v>
      </c>
      <c r="I48" s="14" t="s">
        <v>88</v>
      </c>
      <c r="J48" s="14">
        <v>1</v>
      </c>
      <c r="K48" s="14">
        <v>2</v>
      </c>
      <c r="L48" s="14" t="s">
        <v>24573</v>
      </c>
      <c r="M48" s="19" t="s">
        <v>3626</v>
      </c>
      <c r="N48" s="14" t="s">
        <v>1667</v>
      </c>
      <c r="O48" s="14" t="s">
        <v>24574</v>
      </c>
      <c r="P48" s="14" t="str">
        <f>HYPERLINK("https://photon-sol.tinyastro.io/en/lp/GiXeuMmbfCLJy1iwqHg27ZK2aEYeuweNK3DfQ1aNpump?handle=676050794bc1b1657a56b", "View")</f>
        <v>View</v>
      </c>
    </row>
    <row r="49" spans="1:16" x14ac:dyDescent="0.25">
      <c r="A49" s="16" t="s">
        <v>24575</v>
      </c>
      <c r="B49" s="17">
        <v>29052143</v>
      </c>
      <c r="C49" s="17">
        <v>29052143</v>
      </c>
      <c r="D49" s="17" t="s">
        <v>19745</v>
      </c>
      <c r="E49" s="17" t="s">
        <v>21789</v>
      </c>
      <c r="F49" s="17" t="s">
        <v>8186</v>
      </c>
      <c r="G49" s="21" t="s">
        <v>15051</v>
      </c>
      <c r="H49" s="21" t="s">
        <v>24576</v>
      </c>
      <c r="I49" s="17" t="s">
        <v>88</v>
      </c>
      <c r="J49" s="17">
        <v>1</v>
      </c>
      <c r="K49" s="17">
        <v>3</v>
      </c>
      <c r="L49" s="17" t="s">
        <v>24577</v>
      </c>
      <c r="M49" s="17" t="s">
        <v>1434</v>
      </c>
      <c r="N49" s="17" t="s">
        <v>6919</v>
      </c>
      <c r="O49" s="17" t="s">
        <v>24578</v>
      </c>
      <c r="P49" s="17" t="str">
        <f>HYPERLINK("https://photon-sol.tinyastro.io/en/lp/Hr5Xi7y1rbEpKWknU1QmwXS4shevy5ZPoPj3oikTpump?handle=676050794bc1b1657a56b", "View")</f>
        <v>View</v>
      </c>
    </row>
    <row r="50" spans="1:16" x14ac:dyDescent="0.25">
      <c r="A50" s="13" t="s">
        <v>24579</v>
      </c>
      <c r="B50" s="14">
        <v>28081801</v>
      </c>
      <c r="C50" s="14">
        <v>28081801</v>
      </c>
      <c r="D50" s="14" t="s">
        <v>19745</v>
      </c>
      <c r="E50" s="14" t="s">
        <v>21789</v>
      </c>
      <c r="F50" s="14" t="s">
        <v>14087</v>
      </c>
      <c r="G50" s="21" t="s">
        <v>15691</v>
      </c>
      <c r="H50" s="21" t="s">
        <v>24580</v>
      </c>
      <c r="I50" s="14" t="s">
        <v>88</v>
      </c>
      <c r="J50" s="14">
        <v>1</v>
      </c>
      <c r="K50" s="14">
        <v>3</v>
      </c>
      <c r="L50" s="14" t="s">
        <v>11401</v>
      </c>
      <c r="M50" s="14" t="s">
        <v>3180</v>
      </c>
      <c r="N50" s="14" t="s">
        <v>2211</v>
      </c>
      <c r="O50" s="14" t="s">
        <v>24581</v>
      </c>
      <c r="P50" s="14" t="str">
        <f>HYPERLINK("https://photon-sol.tinyastro.io/en/lp/BJxRqa4mhcfE7WQ8ksnxt9uavSVM8RzLxMtrBengpump?handle=676050794bc1b1657a56b", "View")</f>
        <v>View</v>
      </c>
    </row>
    <row r="51" spans="1:16" x14ac:dyDescent="0.25">
      <c r="A51" s="16" t="s">
        <v>24582</v>
      </c>
      <c r="B51" s="17">
        <v>25567486</v>
      </c>
      <c r="C51" s="17">
        <v>25567486</v>
      </c>
      <c r="D51" s="17" t="s">
        <v>24448</v>
      </c>
      <c r="E51" s="17" t="s">
        <v>18370</v>
      </c>
      <c r="F51" s="17" t="s">
        <v>15696</v>
      </c>
      <c r="G51" s="20" t="s">
        <v>4094</v>
      </c>
      <c r="H51" s="20" t="s">
        <v>24583</v>
      </c>
      <c r="I51" s="17" t="s">
        <v>88</v>
      </c>
      <c r="J51" s="17">
        <v>1</v>
      </c>
      <c r="K51" s="17">
        <v>1</v>
      </c>
      <c r="L51" s="17" t="s">
        <v>24584</v>
      </c>
      <c r="M51" s="17" t="s">
        <v>1434</v>
      </c>
      <c r="N51" s="17" t="s">
        <v>2585</v>
      </c>
      <c r="O51" s="17" t="s">
        <v>24585</v>
      </c>
      <c r="P51" s="17" t="str">
        <f>HYPERLINK("https://photon-sol.tinyastro.io/en/lp/BwARrKzP9P7nVsckhWon2hRHzkK2CsbJ5VV1fL9Zpump?handle=676050794bc1b1657a56b", "View")</f>
        <v>View</v>
      </c>
    </row>
    <row r="52" spans="1:16" x14ac:dyDescent="0.25">
      <c r="A52" s="13" t="s">
        <v>882</v>
      </c>
      <c r="B52" s="14">
        <v>35628671</v>
      </c>
      <c r="C52" s="14">
        <v>35628671</v>
      </c>
      <c r="D52" s="14" t="s">
        <v>24448</v>
      </c>
      <c r="E52" s="14" t="s">
        <v>21789</v>
      </c>
      <c r="F52" s="14" t="s">
        <v>2117</v>
      </c>
      <c r="G52" s="22" t="s">
        <v>2821</v>
      </c>
      <c r="H52" s="22" t="s">
        <v>24586</v>
      </c>
      <c r="I52" s="14" t="s">
        <v>88</v>
      </c>
      <c r="J52" s="14">
        <v>1</v>
      </c>
      <c r="K52" s="14">
        <v>1</v>
      </c>
      <c r="L52" s="14" t="s">
        <v>24587</v>
      </c>
      <c r="M52" s="14" t="s">
        <v>6235</v>
      </c>
      <c r="N52" s="14" t="s">
        <v>8752</v>
      </c>
      <c r="O52" s="14" t="s">
        <v>24588</v>
      </c>
      <c r="P52" s="14" t="str">
        <f>HYPERLINK("https://photon-sol.tinyastro.io/en/lp/2dSAALHLM4KWKsKivoQVfquedihUn5iaLn7NCJQypump?handle=676050794bc1b1657a56b", "View")</f>
        <v>View</v>
      </c>
    </row>
    <row r="53" spans="1:16" x14ac:dyDescent="0.25">
      <c r="A53" s="16" t="s">
        <v>24589</v>
      </c>
      <c r="B53" s="17">
        <v>1998438</v>
      </c>
      <c r="C53" s="17">
        <v>1998438</v>
      </c>
      <c r="D53" s="17" t="s">
        <v>24448</v>
      </c>
      <c r="E53" s="17" t="s">
        <v>22519</v>
      </c>
      <c r="F53" s="17" t="s">
        <v>2816</v>
      </c>
      <c r="G53" s="21" t="s">
        <v>24590</v>
      </c>
      <c r="H53" s="21" t="s">
        <v>24591</v>
      </c>
      <c r="I53" s="17" t="s">
        <v>88</v>
      </c>
      <c r="J53" s="17">
        <v>1</v>
      </c>
      <c r="K53" s="17">
        <v>1</v>
      </c>
      <c r="L53" s="17" t="s">
        <v>24592</v>
      </c>
      <c r="M53" s="17" t="s">
        <v>602</v>
      </c>
      <c r="N53" s="17" t="s">
        <v>24593</v>
      </c>
      <c r="O53" s="17" t="s">
        <v>24594</v>
      </c>
      <c r="P53" s="17" t="str">
        <f>HYPERLINK("https://photon-sol.tinyastro.io/en/lp/9CECTPzBQCm1VJA46nhe7WYumync1AkFQ54Facxupump?handle=676050794bc1b1657a56b", "View")</f>
        <v>View</v>
      </c>
    </row>
    <row r="54" spans="1:16" x14ac:dyDescent="0.25">
      <c r="A54" s="13" t="s">
        <v>10179</v>
      </c>
      <c r="B54" s="14">
        <v>20819837</v>
      </c>
      <c r="C54" s="14">
        <v>20819837</v>
      </c>
      <c r="D54" s="14" t="s">
        <v>24448</v>
      </c>
      <c r="E54" s="14" t="s">
        <v>21789</v>
      </c>
      <c r="F54" s="14" t="s">
        <v>24595</v>
      </c>
      <c r="G54" s="22" t="s">
        <v>5837</v>
      </c>
      <c r="H54" s="22" t="s">
        <v>24596</v>
      </c>
      <c r="I54" s="14" t="s">
        <v>88</v>
      </c>
      <c r="J54" s="14">
        <v>1</v>
      </c>
      <c r="K54" s="14">
        <v>1</v>
      </c>
      <c r="L54" s="14" t="s">
        <v>24597</v>
      </c>
      <c r="M54" s="14" t="s">
        <v>3171</v>
      </c>
      <c r="N54" s="14" t="s">
        <v>2557</v>
      </c>
      <c r="O54" s="14" t="s">
        <v>24598</v>
      </c>
      <c r="P54" s="14" t="str">
        <f>HYPERLINK("https://photon-sol.tinyastro.io/en/lp/EdVAkkxS6uLVNXAPp6XvcnXCvdpAGxDR3sGXbYXwpump?handle=676050794bc1b1657a56b", "View")</f>
        <v>View</v>
      </c>
    </row>
    <row r="55" spans="1:16" x14ac:dyDescent="0.25">
      <c r="A55" s="16" t="s">
        <v>5423</v>
      </c>
      <c r="B55" s="17">
        <v>28054003</v>
      </c>
      <c r="C55" s="17">
        <v>28054003</v>
      </c>
      <c r="D55" s="17" t="s">
        <v>24448</v>
      </c>
      <c r="E55" s="17" t="s">
        <v>18370</v>
      </c>
      <c r="F55" s="17" t="s">
        <v>24599</v>
      </c>
      <c r="G55" s="21" t="s">
        <v>24600</v>
      </c>
      <c r="H55" s="21" t="s">
        <v>24601</v>
      </c>
      <c r="I55" s="17" t="s">
        <v>88</v>
      </c>
      <c r="J55" s="17">
        <v>1</v>
      </c>
      <c r="K55" s="17">
        <v>1</v>
      </c>
      <c r="L55" s="17" t="s">
        <v>24602</v>
      </c>
      <c r="M55" s="19" t="s">
        <v>2323</v>
      </c>
      <c r="N55" s="17" t="s">
        <v>24603</v>
      </c>
      <c r="O55" s="17" t="s">
        <v>24604</v>
      </c>
      <c r="P55" s="17" t="str">
        <f>HYPERLINK("https://photon-sol.tinyastro.io/en/lp/4E99Gwi8uf9efMHtv9W68qWnLgxYdqu584EH732fpump?handle=676050794bc1b1657a56b", "View")</f>
        <v>View</v>
      </c>
    </row>
    <row r="56" spans="1:16" x14ac:dyDescent="0.25">
      <c r="A56" s="13" t="s">
        <v>5423</v>
      </c>
      <c r="B56" s="14">
        <v>30156655</v>
      </c>
      <c r="C56" s="14">
        <v>30156655</v>
      </c>
      <c r="D56" s="14" t="s">
        <v>24448</v>
      </c>
      <c r="E56" s="14" t="s">
        <v>21789</v>
      </c>
      <c r="F56" s="14" t="s">
        <v>14526</v>
      </c>
      <c r="G56" s="22" t="s">
        <v>4073</v>
      </c>
      <c r="H56" s="22" t="s">
        <v>24605</v>
      </c>
      <c r="I56" s="14" t="s">
        <v>88</v>
      </c>
      <c r="J56" s="14">
        <v>1</v>
      </c>
      <c r="K56" s="14">
        <v>1</v>
      </c>
      <c r="L56" s="14" t="s">
        <v>24606</v>
      </c>
      <c r="M56" s="19" t="s">
        <v>2541</v>
      </c>
      <c r="N56" s="14" t="s">
        <v>3296</v>
      </c>
      <c r="O56" s="14" t="s">
        <v>24607</v>
      </c>
      <c r="P56" s="14" t="str">
        <f>HYPERLINK("https://photon-sol.tinyastro.io/en/lp/FHtxuiUqrFj1BgPriHVvNXFzwqhuBWEvgiYdpdpypump?handle=676050794bc1b1657a56b", "View")</f>
        <v>View</v>
      </c>
    </row>
    <row r="57" spans="1:16" x14ac:dyDescent="0.25">
      <c r="A57" s="16" t="s">
        <v>24608</v>
      </c>
      <c r="B57" s="17">
        <v>10601232</v>
      </c>
      <c r="C57" s="17">
        <v>10601232</v>
      </c>
      <c r="D57" s="17" t="s">
        <v>24448</v>
      </c>
      <c r="E57" s="17" t="s">
        <v>18370</v>
      </c>
      <c r="F57" s="17" t="s">
        <v>13993</v>
      </c>
      <c r="G57" s="20" t="s">
        <v>4101</v>
      </c>
      <c r="H57" s="20" t="s">
        <v>24609</v>
      </c>
      <c r="I57" s="17" t="s">
        <v>88</v>
      </c>
      <c r="J57" s="17">
        <v>1</v>
      </c>
      <c r="K57" s="17">
        <v>1</v>
      </c>
      <c r="L57" s="17" t="s">
        <v>24610</v>
      </c>
      <c r="M57" s="19" t="s">
        <v>3324</v>
      </c>
      <c r="N57" s="17" t="s">
        <v>8391</v>
      </c>
      <c r="O57" s="17" t="s">
        <v>24611</v>
      </c>
      <c r="P57" s="17" t="str">
        <f>HYPERLINK("https://photon-sol.tinyastro.io/en/lp/6ucFvfms58K1gzJF1LssLtLPx6gQS8zHHUYV4pxdpump?handle=676050794bc1b1657a56b", "View")</f>
        <v>View</v>
      </c>
    </row>
    <row r="58" spans="1:16" x14ac:dyDescent="0.25">
      <c r="A58" s="13" t="s">
        <v>24518</v>
      </c>
      <c r="B58" s="14">
        <v>14885752</v>
      </c>
      <c r="C58" s="14">
        <v>14885752</v>
      </c>
      <c r="D58" s="14" t="s">
        <v>24454</v>
      </c>
      <c r="E58" s="14" t="s">
        <v>18370</v>
      </c>
      <c r="F58" s="14" t="s">
        <v>24612</v>
      </c>
      <c r="G58" s="21" t="s">
        <v>24153</v>
      </c>
      <c r="H58" s="21" t="s">
        <v>7869</v>
      </c>
      <c r="I58" s="14" t="s">
        <v>88</v>
      </c>
      <c r="J58" s="14">
        <v>1</v>
      </c>
      <c r="K58" s="14">
        <v>2</v>
      </c>
      <c r="L58" s="14" t="s">
        <v>24613</v>
      </c>
      <c r="M58" s="14" t="s">
        <v>788</v>
      </c>
      <c r="N58" s="14" t="s">
        <v>24614</v>
      </c>
      <c r="O58" s="14" t="s">
        <v>24615</v>
      </c>
      <c r="P58" s="14" t="str">
        <f>HYPERLINK("https://photon-sol.tinyastro.io/en/lp/Hz7KXu32YJsHLBA5za3uYRoFQrJZ5GDqTfKZy3u9pump?handle=676050794bc1b1657a56b", "View")</f>
        <v>View</v>
      </c>
    </row>
    <row r="59" spans="1:16" x14ac:dyDescent="0.25">
      <c r="A59" s="16" t="s">
        <v>21086</v>
      </c>
      <c r="B59" s="17">
        <v>28810563</v>
      </c>
      <c r="C59" s="17">
        <v>28810563</v>
      </c>
      <c r="D59" s="17" t="s">
        <v>24544</v>
      </c>
      <c r="E59" s="17" t="s">
        <v>24549</v>
      </c>
      <c r="F59" s="17" t="s">
        <v>24616</v>
      </c>
      <c r="G59" s="21" t="s">
        <v>24617</v>
      </c>
      <c r="H59" s="21" t="s">
        <v>24618</v>
      </c>
      <c r="I59" s="17" t="s">
        <v>88</v>
      </c>
      <c r="J59" s="17">
        <v>2</v>
      </c>
      <c r="K59" s="17">
        <v>2</v>
      </c>
      <c r="L59" s="17" t="s">
        <v>24619</v>
      </c>
      <c r="M59" s="17" t="s">
        <v>2695</v>
      </c>
      <c r="N59" s="17" t="s">
        <v>24620</v>
      </c>
      <c r="O59" s="17" t="s">
        <v>24621</v>
      </c>
      <c r="P59" s="17" t="str">
        <f>HYPERLINK("https://photon-sol.tinyastro.io/en/lp/FStMfWXryYdA3aedDRXfXrBVWu4tbHGJZSwPyT6upump?handle=676050794bc1b1657a56b", "View")</f>
        <v>View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3972-D71A-4B19-B97C-627B265C7DFD}">
  <dimension ref="A1:P7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HYPERLINK("https://gmgn.ai/sol/address/5GUuk4Ycwrgxxt54jvrRJST4aDaqWqPzPXh7X4uMQUv7", "GMGN")</f>
        <v>GMGN</v>
      </c>
    </row>
    <row r="2" spans="1:14" x14ac:dyDescent="0.25">
      <c r="A2" s="3" t="s">
        <v>24622</v>
      </c>
      <c r="B2" s="3" t="s">
        <v>24623</v>
      </c>
      <c r="C2" s="3" t="s">
        <v>20470</v>
      </c>
      <c r="D2" s="3" t="s">
        <v>19651</v>
      </c>
      <c r="E2" s="3" t="s">
        <v>24624</v>
      </c>
      <c r="F2" s="3" t="s">
        <v>24625</v>
      </c>
      <c r="G2" s="3" t="s">
        <v>18</v>
      </c>
      <c r="H2" s="3">
        <v>59</v>
      </c>
      <c r="I2" s="3">
        <v>0</v>
      </c>
      <c r="J2" s="3" t="s">
        <v>24626</v>
      </c>
      <c r="K2" s="3" t="s">
        <v>1448</v>
      </c>
      <c r="L2" s="3">
        <v>59</v>
      </c>
      <c r="M2" s="3">
        <v>48</v>
      </c>
      <c r="N2" s="3" t="str">
        <f>HYPERLINK("https://solscan.io/account/5GUuk4Ycwrgxxt54jvrRJST4aDaqWqPzPXh7X4uMQUv7", "Solscan")</f>
        <v>Solscan</v>
      </c>
    </row>
    <row r="3" spans="1:14" x14ac:dyDescent="0.25">
      <c r="A3" s="1" t="s">
        <v>21</v>
      </c>
      <c r="B3" s="23" t="s">
        <v>2306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HYPERLINK("https://birdeye.so/profile/5GUuk4Ycwrgxxt54jvrRJST4aDaqWqPzPXh7X4uMQUv7", "Birdeye")</f>
        <v>Birdeye</v>
      </c>
    </row>
    <row r="4" spans="1:14" x14ac:dyDescent="0.25">
      <c r="A4" s="1" t="s">
        <v>25</v>
      </c>
      <c r="B4" s="3" t="s">
        <v>11184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6330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17</v>
      </c>
      <c r="D10" s="1">
        <v>5</v>
      </c>
      <c r="E10" s="1">
        <v>9</v>
      </c>
      <c r="F10" s="1">
        <v>27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24627</v>
      </c>
      <c r="D11" s="1" t="s">
        <v>24628</v>
      </c>
      <c r="E11" s="1" t="s">
        <v>24629</v>
      </c>
      <c r="F11" s="1" t="s">
        <v>24630</v>
      </c>
      <c r="G11" s="1" t="s">
        <v>4722</v>
      </c>
      <c r="H11" s="3"/>
      <c r="I11" s="3" t="s">
        <v>50</v>
      </c>
      <c r="J11" s="3" t="s">
        <v>14708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24631</v>
      </c>
      <c r="D12" s="1" t="s">
        <v>19664</v>
      </c>
      <c r="E12" s="1" t="s">
        <v>9488</v>
      </c>
      <c r="F12" s="1" t="s">
        <v>24632</v>
      </c>
      <c r="G12" s="1" t="s">
        <v>4731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4131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24633</v>
      </c>
      <c r="B20" s="14">
        <v>22869548</v>
      </c>
      <c r="C20" s="14">
        <v>22869548</v>
      </c>
      <c r="D20" s="14" t="s">
        <v>13992</v>
      </c>
      <c r="E20" s="14" t="s">
        <v>21834</v>
      </c>
      <c r="F20" s="14" t="s">
        <v>14183</v>
      </c>
      <c r="G20" s="20" t="s">
        <v>3511</v>
      </c>
      <c r="H20" s="20" t="s">
        <v>3672</v>
      </c>
      <c r="I20" s="14" t="s">
        <v>88</v>
      </c>
      <c r="J20" s="14">
        <v>1</v>
      </c>
      <c r="K20" s="14">
        <v>1</v>
      </c>
      <c r="L20" s="14" t="s">
        <v>24634</v>
      </c>
      <c r="M20" s="14" t="s">
        <v>2672</v>
      </c>
      <c r="N20" s="14" t="s">
        <v>2763</v>
      </c>
      <c r="O20" s="14" t="s">
        <v>24635</v>
      </c>
      <c r="P20" s="14" t="str">
        <f>HYPERLINK("https://photon-sol.tinyastro.io/en/lp/2127S5qPMNmvUiTwCDPwempHMziR3YicUNEENPN8pump?handle=676050794bc1b1657a56b", "View")</f>
        <v>View</v>
      </c>
    </row>
    <row r="21" spans="1:16" x14ac:dyDescent="0.25">
      <c r="A21" s="16" t="s">
        <v>24633</v>
      </c>
      <c r="B21" s="17">
        <v>36806804</v>
      </c>
      <c r="C21" s="17">
        <v>36806804</v>
      </c>
      <c r="D21" s="17" t="s">
        <v>13992</v>
      </c>
      <c r="E21" s="17" t="s">
        <v>21834</v>
      </c>
      <c r="F21" s="17" t="s">
        <v>24636</v>
      </c>
      <c r="G21" s="20" t="s">
        <v>21649</v>
      </c>
      <c r="H21" s="20" t="s">
        <v>24637</v>
      </c>
      <c r="I21" s="17" t="s">
        <v>88</v>
      </c>
      <c r="J21" s="17">
        <v>1</v>
      </c>
      <c r="K21" s="17">
        <v>1</v>
      </c>
      <c r="L21" s="17" t="s">
        <v>24638</v>
      </c>
      <c r="M21" s="17" t="s">
        <v>1434</v>
      </c>
      <c r="N21" s="17" t="s">
        <v>1706</v>
      </c>
      <c r="O21" s="17" t="s">
        <v>24639</v>
      </c>
      <c r="P21" s="17" t="str">
        <f>HYPERLINK("https://photon-sol.tinyastro.io/en/lp/E2mKBgRgiJGoVA4pgFLJYb49gmVVfTeFFpJA8cmzpump?handle=676050794bc1b1657a56b", "View")</f>
        <v>View</v>
      </c>
    </row>
    <row r="22" spans="1:16" x14ac:dyDescent="0.25">
      <c r="A22" s="13" t="s">
        <v>24633</v>
      </c>
      <c r="B22" s="14">
        <v>27830626</v>
      </c>
      <c r="C22" s="14">
        <v>27830626</v>
      </c>
      <c r="D22" s="14" t="s">
        <v>14276</v>
      </c>
      <c r="E22" s="14" t="s">
        <v>14539</v>
      </c>
      <c r="F22" s="14" t="s">
        <v>24640</v>
      </c>
      <c r="G22" s="20" t="s">
        <v>24641</v>
      </c>
      <c r="H22" s="20" t="s">
        <v>24642</v>
      </c>
      <c r="I22" s="14" t="s">
        <v>88</v>
      </c>
      <c r="J22" s="14">
        <v>1</v>
      </c>
      <c r="K22" s="14">
        <v>1</v>
      </c>
      <c r="L22" s="14" t="s">
        <v>24643</v>
      </c>
      <c r="M22" s="19" t="s">
        <v>2315</v>
      </c>
      <c r="N22" s="14" t="s">
        <v>7687</v>
      </c>
      <c r="O22" s="14" t="s">
        <v>24644</v>
      </c>
      <c r="P22" s="14" t="str">
        <f>HYPERLINK("https://photon-sol.tinyastro.io/en/lp/GDme6Wu2g7NJX64Vh9UM6bRZfkidF3EJQHLuM1sMpump?handle=676050794bc1b1657a56b", "View")</f>
        <v>View</v>
      </c>
    </row>
    <row r="23" spans="1:16" x14ac:dyDescent="0.25">
      <c r="A23" s="16" t="s">
        <v>4832</v>
      </c>
      <c r="B23" s="17">
        <v>24226300</v>
      </c>
      <c r="C23" s="17">
        <v>24226300</v>
      </c>
      <c r="D23" s="17" t="s">
        <v>24645</v>
      </c>
      <c r="E23" s="17" t="s">
        <v>14539</v>
      </c>
      <c r="F23" s="17" t="s">
        <v>9100</v>
      </c>
      <c r="G23" s="22" t="s">
        <v>17326</v>
      </c>
      <c r="H23" s="22" t="s">
        <v>24646</v>
      </c>
      <c r="I23" s="17" t="s">
        <v>88</v>
      </c>
      <c r="J23" s="17">
        <v>1</v>
      </c>
      <c r="K23" s="17">
        <v>2</v>
      </c>
      <c r="L23" s="17" t="s">
        <v>24647</v>
      </c>
      <c r="M23" s="17" t="s">
        <v>1932</v>
      </c>
      <c r="N23" s="17" t="s">
        <v>24648</v>
      </c>
      <c r="O23" s="17" t="s">
        <v>4836</v>
      </c>
      <c r="P23" s="17" t="str">
        <f>HYPERLINK("https://photon-sol.tinyastro.io/en/lp/GbsDEf8p82zziXK6Lf5B1qYcQ4kBeJii1yQ2bSbpump?handle=676050794bc1b1657a56b", "View")</f>
        <v>View</v>
      </c>
    </row>
    <row r="24" spans="1:16" x14ac:dyDescent="0.25">
      <c r="A24" s="13" t="s">
        <v>24649</v>
      </c>
      <c r="B24" s="14">
        <v>66682341</v>
      </c>
      <c r="C24" s="14">
        <v>66682341</v>
      </c>
      <c r="D24" s="14" t="s">
        <v>17978</v>
      </c>
      <c r="E24" s="14" t="s">
        <v>17932</v>
      </c>
      <c r="F24" s="14" t="s">
        <v>9148</v>
      </c>
      <c r="G24" s="20" t="s">
        <v>3388</v>
      </c>
      <c r="H24" s="20" t="s">
        <v>24650</v>
      </c>
      <c r="I24" s="14" t="s">
        <v>88</v>
      </c>
      <c r="J24" s="14">
        <v>1</v>
      </c>
      <c r="K24" s="14">
        <v>1</v>
      </c>
      <c r="L24" s="14" t="s">
        <v>24651</v>
      </c>
      <c r="M24" s="19" t="s">
        <v>3076</v>
      </c>
      <c r="N24" s="14" t="s">
        <v>2308</v>
      </c>
      <c r="O24" s="14" t="s">
        <v>24652</v>
      </c>
      <c r="P24" s="14" t="str">
        <f>HYPERLINK("https://photon-sol.tinyastro.io/en/lp/CBDGRfMxdgGvpS3ERtzne1LXpgcQ6QTcUc9Zgwnbpump?handle=676050794bc1b1657a56b", "View")</f>
        <v>View</v>
      </c>
    </row>
    <row r="25" spans="1:16" x14ac:dyDescent="0.25">
      <c r="A25" s="16" t="s">
        <v>24429</v>
      </c>
      <c r="B25" s="17">
        <v>25108388</v>
      </c>
      <c r="C25" s="17">
        <v>25108388</v>
      </c>
      <c r="D25" s="17" t="s">
        <v>24653</v>
      </c>
      <c r="E25" s="17" t="s">
        <v>14539</v>
      </c>
      <c r="F25" s="17" t="s">
        <v>19840</v>
      </c>
      <c r="G25" s="21" t="s">
        <v>24654</v>
      </c>
      <c r="H25" s="21" t="s">
        <v>24655</v>
      </c>
      <c r="I25" s="17" t="s">
        <v>88</v>
      </c>
      <c r="J25" s="17">
        <v>1</v>
      </c>
      <c r="K25" s="17">
        <v>7</v>
      </c>
      <c r="L25" s="17" t="s">
        <v>24656</v>
      </c>
      <c r="M25" s="17" t="s">
        <v>117</v>
      </c>
      <c r="N25" s="17" t="s">
        <v>24657</v>
      </c>
      <c r="O25" s="17" t="s">
        <v>24435</v>
      </c>
      <c r="P25" s="17" t="str">
        <f>HYPERLINK("https://photon-sol.tinyastro.io/en/lp/D5s4W9tY7m2tiPkEkCeBSGjD5nwMq34o6ix8Y99Vpump?handle=676050794bc1b1657a56b", "View")</f>
        <v>View</v>
      </c>
    </row>
    <row r="26" spans="1:16" x14ac:dyDescent="0.25">
      <c r="A26" s="13" t="s">
        <v>24658</v>
      </c>
      <c r="B26" s="14">
        <v>22742407</v>
      </c>
      <c r="C26" s="14">
        <v>22742407</v>
      </c>
      <c r="D26" s="14" t="s">
        <v>14276</v>
      </c>
      <c r="E26" s="14" t="s">
        <v>14539</v>
      </c>
      <c r="F26" s="14" t="s">
        <v>13593</v>
      </c>
      <c r="G26" s="20" t="s">
        <v>10529</v>
      </c>
      <c r="H26" s="20" t="s">
        <v>24659</v>
      </c>
      <c r="I26" s="14" t="s">
        <v>88</v>
      </c>
      <c r="J26" s="14">
        <v>1</v>
      </c>
      <c r="K26" s="14">
        <v>1</v>
      </c>
      <c r="L26" s="14" t="s">
        <v>24660</v>
      </c>
      <c r="M26" s="14" t="s">
        <v>1448</v>
      </c>
      <c r="N26" s="14" t="s">
        <v>14340</v>
      </c>
      <c r="O26" s="14" t="s">
        <v>24661</v>
      </c>
      <c r="P26" s="14" t="str">
        <f>HYPERLINK("https://photon-sol.tinyastro.io/en/lp/desPwpsCgDj7YSA9d9qh7XpdECdo9zNzj1L2WnyVyp2?handle=676050794bc1b1657a56b", "View")</f>
        <v>View</v>
      </c>
    </row>
    <row r="27" spans="1:16" x14ac:dyDescent="0.25">
      <c r="A27" s="16" t="s">
        <v>24436</v>
      </c>
      <c r="B27" s="17">
        <v>34331592</v>
      </c>
      <c r="C27" s="17">
        <v>34331592</v>
      </c>
      <c r="D27" s="17" t="s">
        <v>11301</v>
      </c>
      <c r="E27" s="17" t="s">
        <v>14539</v>
      </c>
      <c r="F27" s="17" t="s">
        <v>21159</v>
      </c>
      <c r="G27" s="21" t="s">
        <v>24662</v>
      </c>
      <c r="H27" s="21" t="s">
        <v>24663</v>
      </c>
      <c r="I27" s="17" t="s">
        <v>88</v>
      </c>
      <c r="J27" s="17">
        <v>1</v>
      </c>
      <c r="K27" s="17">
        <v>5</v>
      </c>
      <c r="L27" s="17" t="s">
        <v>24664</v>
      </c>
      <c r="M27" s="17" t="s">
        <v>788</v>
      </c>
      <c r="N27" s="17" t="s">
        <v>1819</v>
      </c>
      <c r="O27" s="17" t="s">
        <v>24440</v>
      </c>
      <c r="P27" s="17" t="str">
        <f>HYPERLINK("https://photon-sol.tinyastro.io/en/lp/4eqSpw84EaF1AYVWM1yYaSBkVFf1HSFeTw3fpCN6pump?handle=676050794bc1b1657a56b", "View")</f>
        <v>View</v>
      </c>
    </row>
    <row r="28" spans="1:16" x14ac:dyDescent="0.25">
      <c r="A28" s="13" t="s">
        <v>22172</v>
      </c>
      <c r="B28" s="14">
        <v>19756837</v>
      </c>
      <c r="C28" s="14">
        <v>19756837</v>
      </c>
      <c r="D28" s="14" t="s">
        <v>24665</v>
      </c>
      <c r="E28" s="14" t="s">
        <v>14539</v>
      </c>
      <c r="F28" s="14" t="s">
        <v>24666</v>
      </c>
      <c r="G28" s="21" t="s">
        <v>24667</v>
      </c>
      <c r="H28" s="21" t="s">
        <v>24668</v>
      </c>
      <c r="I28" s="14" t="s">
        <v>88</v>
      </c>
      <c r="J28" s="14">
        <v>1</v>
      </c>
      <c r="K28" s="14">
        <v>8</v>
      </c>
      <c r="L28" s="14" t="s">
        <v>24669</v>
      </c>
      <c r="M28" s="14" t="s">
        <v>304</v>
      </c>
      <c r="N28" s="14" t="s">
        <v>24670</v>
      </c>
      <c r="O28" s="14" t="s">
        <v>22176</v>
      </c>
      <c r="P28" s="14" t="str">
        <f>HYPERLINK("https://photon-sol.tinyastro.io/en/lp/HNhLKtM2K2P7Acxf1xyeJVLUTdwHchBrf42QNEsppump?handle=676050794bc1b1657a56b", "View")</f>
        <v>View</v>
      </c>
    </row>
    <row r="29" spans="1:16" x14ac:dyDescent="0.25">
      <c r="A29" s="16" t="s">
        <v>266</v>
      </c>
      <c r="B29" s="17">
        <v>30479292</v>
      </c>
      <c r="C29" s="17">
        <v>30479292</v>
      </c>
      <c r="D29" s="17" t="s">
        <v>14276</v>
      </c>
      <c r="E29" s="17" t="s">
        <v>1991</v>
      </c>
      <c r="F29" s="17" t="s">
        <v>24671</v>
      </c>
      <c r="G29" s="21" t="s">
        <v>24672</v>
      </c>
      <c r="H29" s="21" t="s">
        <v>24673</v>
      </c>
      <c r="I29" s="17" t="s">
        <v>88</v>
      </c>
      <c r="J29" s="17">
        <v>1</v>
      </c>
      <c r="K29" s="17">
        <v>1</v>
      </c>
      <c r="L29" s="17" t="s">
        <v>24674</v>
      </c>
      <c r="M29" s="19" t="s">
        <v>2853</v>
      </c>
      <c r="N29" s="17" t="s">
        <v>24675</v>
      </c>
      <c r="O29" s="17" t="s">
        <v>24676</v>
      </c>
      <c r="P29" s="17" t="str">
        <f>HYPERLINK("https://photon-sol.tinyastro.io/en/lp/EUASyBWbxzGKD7MidSicvMhnGhVM3QZHzKe6cVFxpump?handle=676050794bc1b1657a56b", "View")</f>
        <v>View</v>
      </c>
    </row>
    <row r="30" spans="1:16" x14ac:dyDescent="0.25">
      <c r="A30" s="13" t="s">
        <v>9271</v>
      </c>
      <c r="B30" s="14">
        <v>28351850</v>
      </c>
      <c r="C30" s="14">
        <v>28351850</v>
      </c>
      <c r="D30" s="14" t="s">
        <v>24645</v>
      </c>
      <c r="E30" s="14" t="s">
        <v>14539</v>
      </c>
      <c r="F30" s="14" t="s">
        <v>24677</v>
      </c>
      <c r="G30" s="21" t="s">
        <v>24678</v>
      </c>
      <c r="H30" s="21" t="s">
        <v>24679</v>
      </c>
      <c r="I30" s="14" t="s">
        <v>88</v>
      </c>
      <c r="J30" s="14">
        <v>1</v>
      </c>
      <c r="K30" s="14">
        <v>2</v>
      </c>
      <c r="L30" s="14" t="s">
        <v>24680</v>
      </c>
      <c r="M30" s="14" t="s">
        <v>3180</v>
      </c>
      <c r="N30" s="14" t="s">
        <v>24681</v>
      </c>
      <c r="O30" s="14" t="s">
        <v>24682</v>
      </c>
      <c r="P30" s="14" t="str">
        <f>HYPERLINK("https://photon-sol.tinyastro.io/en/lp/6HSBtzy7otssZZVot9xxrvwnRM37pvCJi8wWTzN4pump?handle=676050794bc1b1657a56b", "View")</f>
        <v>View</v>
      </c>
    </row>
    <row r="31" spans="1:16" x14ac:dyDescent="0.25">
      <c r="A31" s="16" t="s">
        <v>24683</v>
      </c>
      <c r="B31" s="17">
        <v>22837631</v>
      </c>
      <c r="C31" s="17">
        <v>22837631</v>
      </c>
      <c r="D31" s="17" t="s">
        <v>14276</v>
      </c>
      <c r="E31" s="17" t="s">
        <v>14539</v>
      </c>
      <c r="F31" s="17" t="s">
        <v>13533</v>
      </c>
      <c r="G31" s="21" t="s">
        <v>3452</v>
      </c>
      <c r="H31" s="21" t="s">
        <v>24684</v>
      </c>
      <c r="I31" s="17" t="s">
        <v>88</v>
      </c>
      <c r="J31" s="17">
        <v>1</v>
      </c>
      <c r="K31" s="17">
        <v>1</v>
      </c>
      <c r="L31" s="17" t="s">
        <v>24685</v>
      </c>
      <c r="M31" s="19" t="s">
        <v>1856</v>
      </c>
      <c r="N31" s="17" t="s">
        <v>24686</v>
      </c>
      <c r="O31" s="17" t="s">
        <v>24687</v>
      </c>
      <c r="P31" s="17" t="str">
        <f>HYPERLINK("https://photon-sol.tinyastro.io/en/lp/F56SaheWy5U96xHnGaR8GAZiTpwp3kFrRZcBbHWtpump?handle=676050794bc1b1657a56b", "View")</f>
        <v>View</v>
      </c>
    </row>
    <row r="32" spans="1:16" x14ac:dyDescent="0.25">
      <c r="A32" s="13" t="s">
        <v>24453</v>
      </c>
      <c r="B32" s="14">
        <v>27579224</v>
      </c>
      <c r="C32" s="14">
        <v>27579224</v>
      </c>
      <c r="D32" s="14" t="s">
        <v>24645</v>
      </c>
      <c r="E32" s="14" t="s">
        <v>14539</v>
      </c>
      <c r="F32" s="14" t="s">
        <v>14570</v>
      </c>
      <c r="G32" s="21" t="s">
        <v>8673</v>
      </c>
      <c r="H32" s="21" t="s">
        <v>24688</v>
      </c>
      <c r="I32" s="14" t="s">
        <v>88</v>
      </c>
      <c r="J32" s="14">
        <v>1</v>
      </c>
      <c r="K32" s="14">
        <v>2</v>
      </c>
      <c r="L32" s="14" t="s">
        <v>24689</v>
      </c>
      <c r="M32" s="14" t="s">
        <v>1434</v>
      </c>
      <c r="N32" s="14" t="s">
        <v>24690</v>
      </c>
      <c r="O32" s="14" t="s">
        <v>24459</v>
      </c>
      <c r="P32" s="14" t="str">
        <f>HYPERLINK("https://photon-sol.tinyastro.io/en/lp/F3BNkbmqnrdQ9WFiyAZpbQZjCZSaQjwKnJKQXYHppump?handle=676050794bc1b1657a56b", "View")</f>
        <v>View</v>
      </c>
    </row>
    <row r="33" spans="1:16" x14ac:dyDescent="0.25">
      <c r="A33" s="16" t="s">
        <v>9229</v>
      </c>
      <c r="B33" s="17">
        <v>29049147</v>
      </c>
      <c r="C33" s="17">
        <v>29049147</v>
      </c>
      <c r="D33" s="17" t="s">
        <v>14276</v>
      </c>
      <c r="E33" s="17" t="s">
        <v>14539</v>
      </c>
      <c r="F33" s="17" t="s">
        <v>3405</v>
      </c>
      <c r="G33" s="20" t="s">
        <v>24691</v>
      </c>
      <c r="H33" s="20" t="s">
        <v>24692</v>
      </c>
      <c r="I33" s="17" t="s">
        <v>88</v>
      </c>
      <c r="J33" s="17">
        <v>1</v>
      </c>
      <c r="K33" s="17">
        <v>1</v>
      </c>
      <c r="L33" s="17" t="s">
        <v>24693</v>
      </c>
      <c r="M33" s="17" t="s">
        <v>1448</v>
      </c>
      <c r="N33" s="17" t="s">
        <v>3115</v>
      </c>
      <c r="O33" s="17" t="s">
        <v>24537</v>
      </c>
      <c r="P33" s="17" t="str">
        <f>HYPERLINK("https://photon-sol.tinyastro.io/en/lp/DMFjZhGP3qetJc7hKmc1XAoX7pcLQyygDgkPUSMupump?handle=676050794bc1b1657a56b", "View")</f>
        <v>View</v>
      </c>
    </row>
    <row r="34" spans="1:16" x14ac:dyDescent="0.25">
      <c r="A34" s="13" t="s">
        <v>9229</v>
      </c>
      <c r="B34" s="14">
        <v>25370218</v>
      </c>
      <c r="C34" s="14">
        <v>25370218</v>
      </c>
      <c r="D34" s="14" t="s">
        <v>14097</v>
      </c>
      <c r="E34" s="14" t="s">
        <v>14539</v>
      </c>
      <c r="F34" s="14" t="s">
        <v>24694</v>
      </c>
      <c r="G34" s="21" t="s">
        <v>17665</v>
      </c>
      <c r="H34" s="21" t="s">
        <v>24695</v>
      </c>
      <c r="I34" s="14" t="s">
        <v>88</v>
      </c>
      <c r="J34" s="14">
        <v>1</v>
      </c>
      <c r="K34" s="14">
        <v>3</v>
      </c>
      <c r="L34" s="14" t="s">
        <v>24696</v>
      </c>
      <c r="M34" s="19" t="s">
        <v>1688</v>
      </c>
      <c r="N34" s="14" t="s">
        <v>24697</v>
      </c>
      <c r="O34" s="14" t="s">
        <v>24542</v>
      </c>
      <c r="P34" s="14" t="str">
        <f>HYPERLINK("https://photon-sol.tinyastro.io/en/lp/Cu1ermTwLFsroCG8BMSSYk8hvEGzDceGpm223bxXpump?handle=676050794bc1b1657a56b", "View")</f>
        <v>View</v>
      </c>
    </row>
    <row r="35" spans="1:16" x14ac:dyDescent="0.25">
      <c r="A35" s="16" t="s">
        <v>24559</v>
      </c>
      <c r="B35" s="17">
        <v>39096942</v>
      </c>
      <c r="C35" s="17">
        <v>39096942</v>
      </c>
      <c r="D35" s="17" t="s">
        <v>13992</v>
      </c>
      <c r="E35" s="17" t="s">
        <v>24698</v>
      </c>
      <c r="F35" s="17" t="s">
        <v>13248</v>
      </c>
      <c r="G35" s="20" t="s">
        <v>24699</v>
      </c>
      <c r="H35" s="20" t="s">
        <v>24700</v>
      </c>
      <c r="I35" s="17" t="s">
        <v>88</v>
      </c>
      <c r="J35" s="17">
        <v>1</v>
      </c>
      <c r="K35" s="17">
        <v>1</v>
      </c>
      <c r="L35" s="17" t="s">
        <v>24701</v>
      </c>
      <c r="M35" s="17" t="s">
        <v>398</v>
      </c>
      <c r="N35" s="17" t="s">
        <v>1471</v>
      </c>
      <c r="O35" s="17" t="s">
        <v>24565</v>
      </c>
      <c r="P35" s="17" t="str">
        <f>HYPERLINK("https://photon-sol.tinyastro.io/en/lp/6JA8HMcn7yFT8SDg1EU7F2foM2RW9UCrzyLExaAnpump?handle=676050794bc1b1657a56b", "View")</f>
        <v>View</v>
      </c>
    </row>
    <row r="36" spans="1:16" x14ac:dyDescent="0.25">
      <c r="A36" s="13" t="s">
        <v>24571</v>
      </c>
      <c r="B36" s="14">
        <v>31664891</v>
      </c>
      <c r="C36" s="14">
        <v>31664891</v>
      </c>
      <c r="D36" s="14" t="s">
        <v>24645</v>
      </c>
      <c r="E36" s="14" t="s">
        <v>14539</v>
      </c>
      <c r="F36" s="14" t="s">
        <v>24702</v>
      </c>
      <c r="G36" s="22" t="s">
        <v>11792</v>
      </c>
      <c r="H36" s="22" t="s">
        <v>24703</v>
      </c>
      <c r="I36" s="14" t="s">
        <v>88</v>
      </c>
      <c r="J36" s="14">
        <v>1</v>
      </c>
      <c r="K36" s="14">
        <v>2</v>
      </c>
      <c r="L36" s="14" t="s">
        <v>24704</v>
      </c>
      <c r="M36" s="19" t="s">
        <v>2853</v>
      </c>
      <c r="N36" s="14" t="s">
        <v>3908</v>
      </c>
      <c r="O36" s="14" t="s">
        <v>24574</v>
      </c>
      <c r="P36" s="14" t="str">
        <f>HYPERLINK("https://photon-sol.tinyastro.io/en/lp/GiXeuMmbfCLJy1iwqHg27ZK2aEYeuweNK3DfQ1aNpump?handle=676050794bc1b1657a56b", "View")</f>
        <v>View</v>
      </c>
    </row>
    <row r="37" spans="1:16" x14ac:dyDescent="0.25">
      <c r="A37" s="16" t="s">
        <v>24579</v>
      </c>
      <c r="B37" s="17">
        <v>34408301</v>
      </c>
      <c r="C37" s="17">
        <v>34408301</v>
      </c>
      <c r="D37" s="17" t="s">
        <v>14097</v>
      </c>
      <c r="E37" s="17" t="s">
        <v>24705</v>
      </c>
      <c r="F37" s="17" t="s">
        <v>24706</v>
      </c>
      <c r="G37" s="22" t="s">
        <v>24707</v>
      </c>
      <c r="H37" s="22" t="s">
        <v>13646</v>
      </c>
      <c r="I37" s="17" t="s">
        <v>88</v>
      </c>
      <c r="J37" s="17">
        <v>1</v>
      </c>
      <c r="K37" s="17">
        <v>3</v>
      </c>
      <c r="L37" s="17" t="s">
        <v>11401</v>
      </c>
      <c r="M37" s="17" t="s">
        <v>3180</v>
      </c>
      <c r="N37" s="17" t="s">
        <v>2211</v>
      </c>
      <c r="O37" s="17" t="s">
        <v>24581</v>
      </c>
      <c r="P37" s="17" t="str">
        <f>HYPERLINK("https://photon-sol.tinyastro.io/en/lp/BJxRqa4mhcfE7WQ8ksnxt9uavSVM8RzLxMtrBengpump?handle=676050794bc1b1657a56b", "View")</f>
        <v>View</v>
      </c>
    </row>
    <row r="38" spans="1:16" x14ac:dyDescent="0.25">
      <c r="A38" s="13" t="s">
        <v>24589</v>
      </c>
      <c r="B38" s="14">
        <v>4356648</v>
      </c>
      <c r="C38" s="14">
        <v>4356648</v>
      </c>
      <c r="D38" s="14" t="s">
        <v>14097</v>
      </c>
      <c r="E38" s="14" t="s">
        <v>14563</v>
      </c>
      <c r="F38" s="14" t="s">
        <v>24708</v>
      </c>
      <c r="G38" s="21" t="s">
        <v>24709</v>
      </c>
      <c r="H38" s="21" t="s">
        <v>24710</v>
      </c>
      <c r="I38" s="14" t="s">
        <v>88</v>
      </c>
      <c r="J38" s="14">
        <v>1</v>
      </c>
      <c r="K38" s="14">
        <v>3</v>
      </c>
      <c r="L38" s="14" t="s">
        <v>24711</v>
      </c>
      <c r="M38" s="14" t="s">
        <v>179</v>
      </c>
      <c r="N38" s="14" t="s">
        <v>24712</v>
      </c>
      <c r="O38" s="14" t="s">
        <v>24594</v>
      </c>
      <c r="P38" s="14" t="str">
        <f>HYPERLINK("https://photon-sol.tinyastro.io/en/lp/9CECTPzBQCm1VJA46nhe7WYumync1AkFQ54Facxupump?handle=676050794bc1b1657a56b", "View")</f>
        <v>View</v>
      </c>
    </row>
    <row r="39" spans="1:16" x14ac:dyDescent="0.25">
      <c r="A39" s="16" t="s">
        <v>882</v>
      </c>
      <c r="B39" s="17">
        <v>24325471</v>
      </c>
      <c r="C39" s="17">
        <v>24325471</v>
      </c>
      <c r="D39" s="17" t="s">
        <v>14276</v>
      </c>
      <c r="E39" s="17" t="s">
        <v>14539</v>
      </c>
      <c r="F39" s="17" t="s">
        <v>1007</v>
      </c>
      <c r="G39" s="15" t="s">
        <v>24713</v>
      </c>
      <c r="H39" s="15" t="s">
        <v>24714</v>
      </c>
      <c r="I39" s="17" t="s">
        <v>88</v>
      </c>
      <c r="J39" s="17">
        <v>1</v>
      </c>
      <c r="K39" s="17">
        <v>1</v>
      </c>
      <c r="L39" s="17" t="s">
        <v>24715</v>
      </c>
      <c r="M39" s="17" t="s">
        <v>317</v>
      </c>
      <c r="N39" s="17" t="s">
        <v>3928</v>
      </c>
      <c r="O39" s="17" t="s">
        <v>24588</v>
      </c>
      <c r="P39" s="17" t="str">
        <f>HYPERLINK("https://photon-sol.tinyastro.io/en/lp/2dSAALHLM4KWKsKivoQVfquedihUn5iaLn7NCJQypump?handle=676050794bc1b1657a56b", "View")</f>
        <v>View</v>
      </c>
    </row>
    <row r="40" spans="1:16" x14ac:dyDescent="0.25">
      <c r="A40" s="13" t="s">
        <v>24571</v>
      </c>
      <c r="B40" s="14">
        <v>53213960</v>
      </c>
      <c r="C40" s="14">
        <v>53213960</v>
      </c>
      <c r="D40" s="14" t="s">
        <v>24653</v>
      </c>
      <c r="E40" s="14" t="s">
        <v>14539</v>
      </c>
      <c r="F40" s="14" t="s">
        <v>24716</v>
      </c>
      <c r="G40" s="21" t="s">
        <v>24717</v>
      </c>
      <c r="H40" s="21" t="s">
        <v>24718</v>
      </c>
      <c r="I40" s="14" t="s">
        <v>88</v>
      </c>
      <c r="J40" s="14">
        <v>1</v>
      </c>
      <c r="K40" s="14">
        <v>7</v>
      </c>
      <c r="L40" s="14" t="s">
        <v>24719</v>
      </c>
      <c r="M40" s="14" t="s">
        <v>1448</v>
      </c>
      <c r="N40" s="14" t="s">
        <v>24720</v>
      </c>
      <c r="O40" s="14" t="s">
        <v>24721</v>
      </c>
      <c r="P40" s="14" t="str">
        <f>HYPERLINK("https://photon-sol.tinyastro.io/en/lp/FDRvZC1bcsRAYUaZGVH4LPJHgkJRqzxV8xLsoubcpump?handle=676050794bc1b1657a56b", "View")</f>
        <v>View</v>
      </c>
    </row>
    <row r="41" spans="1:16" x14ac:dyDescent="0.25">
      <c r="A41" s="16" t="s">
        <v>24722</v>
      </c>
      <c r="B41" s="17">
        <v>66993342</v>
      </c>
      <c r="C41" s="17">
        <v>66993341</v>
      </c>
      <c r="D41" s="17" t="s">
        <v>1281</v>
      </c>
      <c r="E41" s="17" t="s">
        <v>17932</v>
      </c>
      <c r="F41" s="17" t="s">
        <v>13850</v>
      </c>
      <c r="G41" s="20" t="s">
        <v>5764</v>
      </c>
      <c r="H41" s="20" t="s">
        <v>24723</v>
      </c>
      <c r="I41" s="17" t="s">
        <v>88</v>
      </c>
      <c r="J41" s="17">
        <v>1</v>
      </c>
      <c r="K41" s="17">
        <v>1</v>
      </c>
      <c r="L41" s="17" t="s">
        <v>24724</v>
      </c>
      <c r="M41" s="19" t="s">
        <v>3158</v>
      </c>
      <c r="N41" s="17" t="s">
        <v>2308</v>
      </c>
      <c r="O41" s="17" t="s">
        <v>24725</v>
      </c>
      <c r="P41" s="17" t="str">
        <f>HYPERLINK("https://photon-sol.tinyastro.io/en/lp/oqQkjzv4qJzTs6LyWZEgdp6sHJVq9wPfoSbY5jFpump?handle=676050794bc1b1657a56b", "View")</f>
        <v>View</v>
      </c>
    </row>
    <row r="42" spans="1:16" x14ac:dyDescent="0.25">
      <c r="A42" s="13" t="s">
        <v>24726</v>
      </c>
      <c r="B42" s="14">
        <v>10243923</v>
      </c>
      <c r="C42" s="14">
        <v>10243923</v>
      </c>
      <c r="D42" s="14" t="s">
        <v>14097</v>
      </c>
      <c r="E42" s="14" t="s">
        <v>1991</v>
      </c>
      <c r="F42" s="14" t="s">
        <v>24727</v>
      </c>
      <c r="G42" s="21" t="s">
        <v>24728</v>
      </c>
      <c r="H42" s="21" t="s">
        <v>24729</v>
      </c>
      <c r="I42" s="14" t="s">
        <v>88</v>
      </c>
      <c r="J42" s="14">
        <v>1</v>
      </c>
      <c r="K42" s="14">
        <v>3</v>
      </c>
      <c r="L42" s="14" t="s">
        <v>24730</v>
      </c>
      <c r="M42" s="14" t="s">
        <v>602</v>
      </c>
      <c r="N42" s="14" t="s">
        <v>507</v>
      </c>
      <c r="O42" s="14" t="s">
        <v>24731</v>
      </c>
      <c r="P42" s="14" t="str">
        <f>HYPERLINK("https://photon-sol.tinyastro.io/en/lp/Apy8jWcmyk1uHKgku1syk1TNvNFQc2EvZ6njvooUpump?handle=676050794bc1b1657a56b", "View")</f>
        <v>View</v>
      </c>
    </row>
    <row r="43" spans="1:16" x14ac:dyDescent="0.25">
      <c r="A43" s="16" t="s">
        <v>24518</v>
      </c>
      <c r="B43" s="17">
        <v>31779818</v>
      </c>
      <c r="C43" s="17">
        <v>31779818</v>
      </c>
      <c r="D43" s="17" t="s">
        <v>24732</v>
      </c>
      <c r="E43" s="17" t="s">
        <v>21834</v>
      </c>
      <c r="F43" s="17" t="s">
        <v>24733</v>
      </c>
      <c r="G43" s="21" t="s">
        <v>24734</v>
      </c>
      <c r="H43" s="21" t="s">
        <v>24735</v>
      </c>
      <c r="I43" s="17" t="s">
        <v>88</v>
      </c>
      <c r="J43" s="17">
        <v>1</v>
      </c>
      <c r="K43" s="17">
        <v>9</v>
      </c>
      <c r="L43" s="17" t="s">
        <v>24736</v>
      </c>
      <c r="M43" s="17" t="s">
        <v>788</v>
      </c>
      <c r="N43" s="17" t="s">
        <v>24737</v>
      </c>
      <c r="O43" s="17" t="s">
        <v>24615</v>
      </c>
      <c r="P43" s="17" t="str">
        <f>HYPERLINK("https://photon-sol.tinyastro.io/en/lp/Hz7KXu32YJsHLBA5za3uYRoFQrJZ5GDqTfKZy3u9pump?handle=676050794bc1b1657a56b", "View")</f>
        <v>View</v>
      </c>
    </row>
    <row r="44" spans="1:16" x14ac:dyDescent="0.25">
      <c r="A44" s="13" t="s">
        <v>21086</v>
      </c>
      <c r="B44" s="14">
        <v>32344127</v>
      </c>
      <c r="C44" s="14">
        <v>32344127</v>
      </c>
      <c r="D44" s="14" t="s">
        <v>24738</v>
      </c>
      <c r="E44" s="14" t="s">
        <v>21834</v>
      </c>
      <c r="F44" s="14" t="s">
        <v>24739</v>
      </c>
      <c r="G44" s="21" t="s">
        <v>24740</v>
      </c>
      <c r="H44" s="21" t="s">
        <v>24741</v>
      </c>
      <c r="I44" s="14" t="s">
        <v>88</v>
      </c>
      <c r="J44" s="14">
        <v>1</v>
      </c>
      <c r="K44" s="14">
        <v>7</v>
      </c>
      <c r="L44" s="14" t="s">
        <v>24742</v>
      </c>
      <c r="M44" s="14" t="s">
        <v>2695</v>
      </c>
      <c r="N44" s="14" t="s">
        <v>24743</v>
      </c>
      <c r="O44" s="14" t="s">
        <v>24621</v>
      </c>
      <c r="P44" s="14" t="str">
        <f>HYPERLINK("https://photon-sol.tinyastro.io/en/lp/FStMfWXryYdA3aedDRXfXrBVWu4tbHGJZSwPyT6upump?handle=676050794bc1b1657a56b", "View")</f>
        <v>View</v>
      </c>
    </row>
    <row r="45" spans="1:16" x14ac:dyDescent="0.25">
      <c r="A45" s="16" t="s">
        <v>24744</v>
      </c>
      <c r="B45" s="17">
        <v>34250078</v>
      </c>
      <c r="C45" s="17">
        <v>34250078</v>
      </c>
      <c r="D45" s="17" t="s">
        <v>13992</v>
      </c>
      <c r="E45" s="17" t="s">
        <v>1907</v>
      </c>
      <c r="F45" s="17" t="s">
        <v>24745</v>
      </c>
      <c r="G45" s="22" t="s">
        <v>11454</v>
      </c>
      <c r="H45" s="22" t="s">
        <v>24746</v>
      </c>
      <c r="I45" s="17" t="s">
        <v>88</v>
      </c>
      <c r="J45" s="17">
        <v>1</v>
      </c>
      <c r="K45" s="17">
        <v>1</v>
      </c>
      <c r="L45" s="17" t="s">
        <v>24747</v>
      </c>
      <c r="M45" s="19" t="s">
        <v>2479</v>
      </c>
      <c r="N45" s="17" t="s">
        <v>8752</v>
      </c>
      <c r="O45" s="17" t="s">
        <v>24748</v>
      </c>
      <c r="P45" s="17" t="str">
        <f>HYPERLINK("https://photon-sol.tinyastro.io/en/lp/6fA2n4QUbMqiztFMpjycusSdtoDojWM3C5ADHfSUpump?handle=676050794bc1b1657a56b", "View")</f>
        <v>View</v>
      </c>
    </row>
    <row r="46" spans="1:16" x14ac:dyDescent="0.25">
      <c r="A46" s="13" t="s">
        <v>24749</v>
      </c>
      <c r="B46" s="14">
        <v>27507456</v>
      </c>
      <c r="C46" s="14">
        <v>27507456</v>
      </c>
      <c r="D46" s="14" t="s">
        <v>13992</v>
      </c>
      <c r="E46" s="14" t="s">
        <v>1907</v>
      </c>
      <c r="F46" s="14" t="s">
        <v>24750</v>
      </c>
      <c r="G46" s="20" t="s">
        <v>3388</v>
      </c>
      <c r="H46" s="20" t="s">
        <v>24751</v>
      </c>
      <c r="I46" s="14" t="s">
        <v>88</v>
      </c>
      <c r="J46" s="14">
        <v>1</v>
      </c>
      <c r="K46" s="14">
        <v>1</v>
      </c>
      <c r="L46" s="14" t="s">
        <v>24752</v>
      </c>
      <c r="M46" s="19" t="s">
        <v>2541</v>
      </c>
      <c r="N46" s="14" t="s">
        <v>3908</v>
      </c>
      <c r="O46" s="14" t="s">
        <v>24753</v>
      </c>
      <c r="P46" s="14" t="str">
        <f>HYPERLINK("https://photon-sol.tinyastro.io/en/lp/3M2vkEtVbKQAajwVesnpE4U47km5cWXFeEVzVLe3pump?handle=676050794bc1b1657a56b", "View")</f>
        <v>View</v>
      </c>
    </row>
    <row r="47" spans="1:16" x14ac:dyDescent="0.25">
      <c r="A47" s="16" t="s">
        <v>24754</v>
      </c>
      <c r="B47" s="17">
        <v>35242049</v>
      </c>
      <c r="C47" s="17">
        <v>35242049</v>
      </c>
      <c r="D47" s="17" t="s">
        <v>13992</v>
      </c>
      <c r="E47" s="17" t="s">
        <v>1907</v>
      </c>
      <c r="F47" s="17" t="s">
        <v>3473</v>
      </c>
      <c r="G47" s="20" t="s">
        <v>21768</v>
      </c>
      <c r="H47" s="20" t="s">
        <v>24583</v>
      </c>
      <c r="I47" s="17" t="s">
        <v>88</v>
      </c>
      <c r="J47" s="17">
        <v>1</v>
      </c>
      <c r="K47" s="17">
        <v>1</v>
      </c>
      <c r="L47" s="17" t="s">
        <v>24755</v>
      </c>
      <c r="M47" s="17" t="s">
        <v>1434</v>
      </c>
      <c r="N47" s="17" t="s">
        <v>2585</v>
      </c>
      <c r="O47" s="17" t="s">
        <v>24756</v>
      </c>
      <c r="P47" s="17" t="str">
        <f>HYPERLINK("https://photon-sol.tinyastro.io/en/lp/CikngTfzuFMneMZynx8Se6MnHcSPQHDr69Wf44F8pump?handle=676050794bc1b1657a56b", "View")</f>
        <v>View</v>
      </c>
    </row>
    <row r="48" spans="1:16" x14ac:dyDescent="0.25">
      <c r="A48" s="13" t="s">
        <v>24757</v>
      </c>
      <c r="B48" s="14">
        <v>18473105</v>
      </c>
      <c r="C48" s="14">
        <v>18473105</v>
      </c>
      <c r="D48" s="14" t="s">
        <v>13992</v>
      </c>
      <c r="E48" s="14" t="s">
        <v>3110</v>
      </c>
      <c r="F48" s="14" t="s">
        <v>3828</v>
      </c>
      <c r="G48" s="20" t="s">
        <v>16139</v>
      </c>
      <c r="H48" s="20" t="s">
        <v>24758</v>
      </c>
      <c r="I48" s="14" t="s">
        <v>88</v>
      </c>
      <c r="J48" s="14">
        <v>1</v>
      </c>
      <c r="K48" s="14">
        <v>1</v>
      </c>
      <c r="L48" s="14" t="s">
        <v>24759</v>
      </c>
      <c r="M48" s="14" t="s">
        <v>1434</v>
      </c>
      <c r="N48" s="14" t="s">
        <v>2249</v>
      </c>
      <c r="O48" s="14" t="s">
        <v>24760</v>
      </c>
      <c r="P48" s="14" t="str">
        <f>HYPERLINK("https://photon-sol.tinyastro.io/en/lp/8h8RCG71gJWM1g9fYKZRyXeYN6Zo3epD7qhQ41nhpump?handle=676050794bc1b1657a56b", "View")</f>
        <v>View</v>
      </c>
    </row>
    <row r="49" spans="1:16" x14ac:dyDescent="0.25">
      <c r="A49" s="16" t="s">
        <v>24761</v>
      </c>
      <c r="B49" s="17">
        <v>31876434</v>
      </c>
      <c r="C49" s="17">
        <v>31876434</v>
      </c>
      <c r="D49" s="17" t="s">
        <v>13992</v>
      </c>
      <c r="E49" s="17" t="s">
        <v>1907</v>
      </c>
      <c r="F49" s="17" t="s">
        <v>14202</v>
      </c>
      <c r="G49" s="22" t="s">
        <v>5097</v>
      </c>
      <c r="H49" s="22" t="s">
        <v>24762</v>
      </c>
      <c r="I49" s="17" t="s">
        <v>88</v>
      </c>
      <c r="J49" s="17">
        <v>1</v>
      </c>
      <c r="K49" s="17">
        <v>1</v>
      </c>
      <c r="L49" s="17" t="s">
        <v>13211</v>
      </c>
      <c r="M49" s="17" t="s">
        <v>1566</v>
      </c>
      <c r="N49" s="17" t="s">
        <v>3296</v>
      </c>
      <c r="O49" s="17" t="s">
        <v>24763</v>
      </c>
      <c r="P49" s="17" t="str">
        <f>HYPERLINK("https://photon-sol.tinyastro.io/en/lp/4ZrBz8k7GQVh1SgBx4hyiLrR9edJjBdbAhBqpxfwpump?handle=676050794bc1b1657a56b", "View")</f>
        <v>View</v>
      </c>
    </row>
    <row r="50" spans="1:16" x14ac:dyDescent="0.25">
      <c r="A50" s="13" t="s">
        <v>1463</v>
      </c>
      <c r="B50" s="14">
        <v>44219083</v>
      </c>
      <c r="C50" s="14">
        <v>44219083</v>
      </c>
      <c r="D50" s="14" t="s">
        <v>13992</v>
      </c>
      <c r="E50" s="14" t="s">
        <v>21834</v>
      </c>
      <c r="F50" s="14" t="s">
        <v>7547</v>
      </c>
      <c r="G50" s="20" t="s">
        <v>5231</v>
      </c>
      <c r="H50" s="20" t="s">
        <v>8816</v>
      </c>
      <c r="I50" s="14" t="s">
        <v>88</v>
      </c>
      <c r="J50" s="14">
        <v>1</v>
      </c>
      <c r="K50" s="14">
        <v>1</v>
      </c>
      <c r="L50" s="14" t="s">
        <v>24764</v>
      </c>
      <c r="M50" s="19" t="s">
        <v>2493</v>
      </c>
      <c r="N50" s="14" t="s">
        <v>1980</v>
      </c>
      <c r="O50" s="14" t="s">
        <v>24765</v>
      </c>
      <c r="P50" s="14" t="str">
        <f>HYPERLINK("https://photon-sol.tinyastro.io/en/lp/9wz4cnM6MkqaCwPyhucZLVxEsUqPYk4HhjiUc4u2pump?handle=676050794bc1b1657a56b", "View")</f>
        <v>View</v>
      </c>
    </row>
    <row r="51" spans="1:16" x14ac:dyDescent="0.25">
      <c r="A51" s="16" t="s">
        <v>24766</v>
      </c>
      <c r="B51" s="17">
        <v>57059919</v>
      </c>
      <c r="C51" s="17">
        <v>57059919</v>
      </c>
      <c r="D51" s="17" t="s">
        <v>13992</v>
      </c>
      <c r="E51" s="17" t="s">
        <v>21834</v>
      </c>
      <c r="F51" s="17" t="s">
        <v>24767</v>
      </c>
      <c r="G51" s="20" t="s">
        <v>13456</v>
      </c>
      <c r="H51" s="20" t="s">
        <v>3701</v>
      </c>
      <c r="I51" s="17" t="s">
        <v>88</v>
      </c>
      <c r="J51" s="17">
        <v>1</v>
      </c>
      <c r="K51" s="17">
        <v>1</v>
      </c>
      <c r="L51" s="17" t="s">
        <v>24768</v>
      </c>
      <c r="M51" s="19" t="s">
        <v>2937</v>
      </c>
      <c r="N51" s="17" t="s">
        <v>2585</v>
      </c>
      <c r="O51" s="17" t="s">
        <v>24769</v>
      </c>
      <c r="P51" s="17" t="str">
        <f>HYPERLINK("https://photon-sol.tinyastro.io/en/lp/6ASmGC27MWknN7Q5fMtddBeVo6CiT9JcU9ChDdCmpump?handle=676050794bc1b1657a56b", "View")</f>
        <v>View</v>
      </c>
    </row>
    <row r="52" spans="1:16" x14ac:dyDescent="0.25">
      <c r="A52" s="13" t="s">
        <v>24770</v>
      </c>
      <c r="B52" s="14">
        <v>19929769</v>
      </c>
      <c r="C52" s="14">
        <v>19929769</v>
      </c>
      <c r="D52" s="14" t="s">
        <v>13992</v>
      </c>
      <c r="E52" s="14" t="s">
        <v>1907</v>
      </c>
      <c r="F52" s="14" t="s">
        <v>24771</v>
      </c>
      <c r="G52" s="20" t="s">
        <v>6728</v>
      </c>
      <c r="H52" s="20" t="s">
        <v>24772</v>
      </c>
      <c r="I52" s="14" t="s">
        <v>88</v>
      </c>
      <c r="J52" s="14">
        <v>1</v>
      </c>
      <c r="K52" s="14">
        <v>1</v>
      </c>
      <c r="L52" s="14" t="s">
        <v>24773</v>
      </c>
      <c r="M52" s="14" t="s">
        <v>1434</v>
      </c>
      <c r="N52" s="14" t="s">
        <v>14412</v>
      </c>
      <c r="O52" s="14" t="s">
        <v>24774</v>
      </c>
      <c r="P52" s="14" t="str">
        <f>HYPERLINK("https://photon-sol.tinyastro.io/en/lp/7Jtzq7bBvX2sB8fqnEGcasdhuSkKsKT1182PhrCkpump?handle=676050794bc1b1657a56b", "View")</f>
        <v>View</v>
      </c>
    </row>
    <row r="53" spans="1:16" x14ac:dyDescent="0.25">
      <c r="A53" s="16" t="s">
        <v>15581</v>
      </c>
      <c r="B53" s="17">
        <v>16385892</v>
      </c>
      <c r="C53" s="17">
        <v>16385892</v>
      </c>
      <c r="D53" s="17" t="s">
        <v>1813</v>
      </c>
      <c r="E53" s="17" t="s">
        <v>21834</v>
      </c>
      <c r="F53" s="17" t="s">
        <v>3291</v>
      </c>
      <c r="G53" s="20" t="s">
        <v>24775</v>
      </c>
      <c r="H53" s="20" t="s">
        <v>6255</v>
      </c>
      <c r="I53" s="17" t="s">
        <v>88</v>
      </c>
      <c r="J53" s="17">
        <v>1</v>
      </c>
      <c r="K53" s="17">
        <v>1</v>
      </c>
      <c r="L53" s="17" t="s">
        <v>24776</v>
      </c>
      <c r="M53" s="17" t="s">
        <v>2403</v>
      </c>
      <c r="N53" s="17" t="s">
        <v>3916</v>
      </c>
      <c r="O53" s="17" t="s">
        <v>24777</v>
      </c>
      <c r="P53" s="17" t="str">
        <f>HYPERLINK("https://photon-sol.tinyastro.io/en/lp/FAYapXq1kTUY5rgfzuRmwznLFw2pr4WQWsMVYJWdpump?handle=676050794bc1b1657a56b", "View")</f>
        <v>View</v>
      </c>
    </row>
    <row r="54" spans="1:16" x14ac:dyDescent="0.25">
      <c r="A54" s="13" t="s">
        <v>24778</v>
      </c>
      <c r="B54" s="14">
        <v>23549388</v>
      </c>
      <c r="C54" s="14">
        <v>23549388</v>
      </c>
      <c r="D54" s="14" t="s">
        <v>13992</v>
      </c>
      <c r="E54" s="14" t="s">
        <v>1907</v>
      </c>
      <c r="F54" s="14" t="s">
        <v>11328</v>
      </c>
      <c r="G54" s="20" t="s">
        <v>19321</v>
      </c>
      <c r="H54" s="20" t="s">
        <v>13438</v>
      </c>
      <c r="I54" s="14" t="s">
        <v>88</v>
      </c>
      <c r="J54" s="14">
        <v>1</v>
      </c>
      <c r="K54" s="14">
        <v>1</v>
      </c>
      <c r="L54" s="14" t="s">
        <v>24779</v>
      </c>
      <c r="M54" s="14" t="s">
        <v>1434</v>
      </c>
      <c r="N54" s="14" t="s">
        <v>2608</v>
      </c>
      <c r="O54" s="14" t="s">
        <v>24780</v>
      </c>
      <c r="P54" s="14" t="str">
        <f>HYPERLINK("https://photon-sol.tinyastro.io/en/lp/9Ui59fmVgR7u7hiJvLGr2RpNCsV4Zchd7R9j2Gfmpump?handle=676050794bc1b1657a56b", "View")</f>
        <v>View</v>
      </c>
    </row>
    <row r="55" spans="1:16" x14ac:dyDescent="0.25">
      <c r="A55" s="16" t="s">
        <v>24781</v>
      </c>
      <c r="B55" s="17">
        <v>25675537</v>
      </c>
      <c r="C55" s="17">
        <v>25675537</v>
      </c>
      <c r="D55" s="17" t="s">
        <v>24782</v>
      </c>
      <c r="E55" s="17" t="s">
        <v>1907</v>
      </c>
      <c r="F55" s="17" t="s">
        <v>24783</v>
      </c>
      <c r="G55" s="21" t="s">
        <v>24784</v>
      </c>
      <c r="H55" s="21" t="s">
        <v>24785</v>
      </c>
      <c r="I55" s="17" t="s">
        <v>88</v>
      </c>
      <c r="J55" s="17">
        <v>1</v>
      </c>
      <c r="K55" s="17">
        <v>6</v>
      </c>
      <c r="L55" s="17" t="s">
        <v>24786</v>
      </c>
      <c r="M55" s="17" t="s">
        <v>1448</v>
      </c>
      <c r="N55" s="17" t="s">
        <v>24787</v>
      </c>
      <c r="O55" s="17" t="s">
        <v>24788</v>
      </c>
      <c r="P55" s="17" t="str">
        <f>HYPERLINK("https://photon-sol.tinyastro.io/en/lp/44iDrzn7yYj9qbdiHp4hocSZR6339ETU5YZv1vtmpump?handle=676050794bc1b1657a56b", "View")</f>
        <v>View</v>
      </c>
    </row>
    <row r="56" spans="1:16" x14ac:dyDescent="0.25">
      <c r="A56" s="13" t="s">
        <v>24789</v>
      </c>
      <c r="B56" s="14">
        <v>41476617</v>
      </c>
      <c r="C56" s="14">
        <v>41476617</v>
      </c>
      <c r="D56" s="14" t="s">
        <v>7161</v>
      </c>
      <c r="E56" s="14" t="s">
        <v>1907</v>
      </c>
      <c r="F56" s="14" t="s">
        <v>3118</v>
      </c>
      <c r="G56" s="21" t="s">
        <v>24790</v>
      </c>
      <c r="H56" s="21" t="s">
        <v>24791</v>
      </c>
      <c r="I56" s="14" t="s">
        <v>88</v>
      </c>
      <c r="J56" s="14">
        <v>1</v>
      </c>
      <c r="K56" s="14">
        <v>2</v>
      </c>
      <c r="L56" s="14" t="s">
        <v>24792</v>
      </c>
      <c r="M56" s="14" t="s">
        <v>132</v>
      </c>
      <c r="N56" s="14" t="s">
        <v>24793</v>
      </c>
      <c r="O56" s="14" t="s">
        <v>24794</v>
      </c>
      <c r="P56" s="14" t="str">
        <f>HYPERLINK("https://photon-sol.tinyastro.io/en/lp/9uEb6KBSwThaUygiEGa4wdZB3LPQhpgvHEtkzWeVpump?handle=676050794bc1b1657a56b", "View")</f>
        <v>View</v>
      </c>
    </row>
    <row r="57" spans="1:16" x14ac:dyDescent="0.25">
      <c r="A57" s="16" t="s">
        <v>24795</v>
      </c>
      <c r="B57" s="17">
        <v>38397201</v>
      </c>
      <c r="C57" s="17">
        <v>38397201</v>
      </c>
      <c r="D57" s="17" t="s">
        <v>13992</v>
      </c>
      <c r="E57" s="17" t="s">
        <v>1907</v>
      </c>
      <c r="F57" s="17" t="s">
        <v>24796</v>
      </c>
      <c r="G57" s="22" t="s">
        <v>4924</v>
      </c>
      <c r="H57" s="22" t="s">
        <v>2306</v>
      </c>
      <c r="I57" s="17" t="s">
        <v>88</v>
      </c>
      <c r="J57" s="17">
        <v>1</v>
      </c>
      <c r="K57" s="17">
        <v>1</v>
      </c>
      <c r="L57" s="17" t="s">
        <v>24797</v>
      </c>
      <c r="M57" s="17" t="s">
        <v>1566</v>
      </c>
      <c r="N57" s="17" t="s">
        <v>507</v>
      </c>
      <c r="O57" s="17" t="s">
        <v>24798</v>
      </c>
      <c r="P57" s="17" t="str">
        <f>HYPERLINK("https://photon-sol.tinyastro.io/en/lp/58obCFeuCbXYErZPUnJ2WZJeeSgQKukVGHQJEN8wpump?handle=676050794bc1b1657a56b", "View")</f>
        <v>View</v>
      </c>
    </row>
    <row r="58" spans="1:16" x14ac:dyDescent="0.25">
      <c r="A58" s="13" t="s">
        <v>24799</v>
      </c>
      <c r="B58" s="14">
        <v>30024806</v>
      </c>
      <c r="C58" s="14">
        <v>30024806</v>
      </c>
      <c r="D58" s="14" t="s">
        <v>13992</v>
      </c>
      <c r="E58" s="14" t="s">
        <v>1907</v>
      </c>
      <c r="F58" s="14" t="s">
        <v>9352</v>
      </c>
      <c r="G58" s="21" t="s">
        <v>24800</v>
      </c>
      <c r="H58" s="21" t="s">
        <v>24801</v>
      </c>
      <c r="I58" s="14" t="s">
        <v>88</v>
      </c>
      <c r="J58" s="14">
        <v>1</v>
      </c>
      <c r="K58" s="14">
        <v>1</v>
      </c>
      <c r="L58" s="14" t="s">
        <v>24802</v>
      </c>
      <c r="M58" s="19" t="s">
        <v>1721</v>
      </c>
      <c r="N58" s="14" t="s">
        <v>507</v>
      </c>
      <c r="O58" s="14" t="s">
        <v>24803</v>
      </c>
      <c r="P58" s="14" t="str">
        <f>HYPERLINK("https://photon-sol.tinyastro.io/en/lp/9Xa3JGBSFp3gXUqZXsHFq51HyueR9k3vK6NmxUUJpump?handle=676050794bc1b1657a56b", "View")</f>
        <v>View</v>
      </c>
    </row>
    <row r="59" spans="1:16" x14ac:dyDescent="0.25">
      <c r="A59" s="16" t="s">
        <v>24804</v>
      </c>
      <c r="B59" s="17">
        <v>26736313</v>
      </c>
      <c r="C59" s="17">
        <v>26736313</v>
      </c>
      <c r="D59" s="17" t="s">
        <v>13992</v>
      </c>
      <c r="E59" s="17" t="s">
        <v>1907</v>
      </c>
      <c r="F59" s="17" t="s">
        <v>13039</v>
      </c>
      <c r="G59" s="20" t="s">
        <v>8512</v>
      </c>
      <c r="H59" s="20" t="s">
        <v>24805</v>
      </c>
      <c r="I59" s="17" t="s">
        <v>88</v>
      </c>
      <c r="J59" s="17">
        <v>1</v>
      </c>
      <c r="K59" s="17">
        <v>1</v>
      </c>
      <c r="L59" s="17" t="s">
        <v>24806</v>
      </c>
      <c r="M59" s="19" t="s">
        <v>2323</v>
      </c>
      <c r="N59" s="17" t="s">
        <v>507</v>
      </c>
      <c r="O59" s="17" t="s">
        <v>24807</v>
      </c>
      <c r="P59" s="17" t="str">
        <f>HYPERLINK("https://photon-sol.tinyastro.io/en/lp/BaxYBJh4ZFitrqsfUxDQEKwwbKVbgz1qdWbhEuj3pump?handle=676050794bc1b1657a56b", "View")</f>
        <v>View</v>
      </c>
    </row>
    <row r="60" spans="1:16" x14ac:dyDescent="0.25">
      <c r="A60" s="13" t="s">
        <v>24808</v>
      </c>
      <c r="B60" s="14">
        <v>31441793</v>
      </c>
      <c r="C60" s="14">
        <v>31441793</v>
      </c>
      <c r="D60" s="14" t="s">
        <v>13992</v>
      </c>
      <c r="E60" s="14" t="s">
        <v>1907</v>
      </c>
      <c r="F60" s="14" t="s">
        <v>19867</v>
      </c>
      <c r="G60" s="20" t="s">
        <v>8729</v>
      </c>
      <c r="H60" s="20" t="s">
        <v>24809</v>
      </c>
      <c r="I60" s="14" t="s">
        <v>88</v>
      </c>
      <c r="J60" s="14">
        <v>1</v>
      </c>
      <c r="K60" s="14">
        <v>1</v>
      </c>
      <c r="L60" s="14" t="s">
        <v>24810</v>
      </c>
      <c r="M60" s="19" t="s">
        <v>2593</v>
      </c>
      <c r="N60" s="14" t="s">
        <v>507</v>
      </c>
      <c r="O60" s="14" t="s">
        <v>24811</v>
      </c>
      <c r="P60" s="14" t="str">
        <f>HYPERLINK("https://photon-sol.tinyastro.io/en/lp/AtUo1aZPuezWwuRn5VFYdHF2M9axdhCTJvwCc77Hpump?handle=676050794bc1b1657a56b", "View")</f>
        <v>View</v>
      </c>
    </row>
    <row r="61" spans="1:16" x14ac:dyDescent="0.25">
      <c r="A61" s="16" t="s">
        <v>16613</v>
      </c>
      <c r="B61" s="17">
        <v>25340483</v>
      </c>
      <c r="C61" s="17">
        <v>25340483</v>
      </c>
      <c r="D61" s="17" t="s">
        <v>7274</v>
      </c>
      <c r="E61" s="17" t="s">
        <v>1907</v>
      </c>
      <c r="F61" s="17" t="s">
        <v>24812</v>
      </c>
      <c r="G61" s="22" t="s">
        <v>2429</v>
      </c>
      <c r="H61" s="22" t="s">
        <v>24813</v>
      </c>
      <c r="I61" s="17" t="s">
        <v>88</v>
      </c>
      <c r="J61" s="17">
        <v>1</v>
      </c>
      <c r="K61" s="17">
        <v>3</v>
      </c>
      <c r="L61" s="17" t="s">
        <v>24814</v>
      </c>
      <c r="M61" s="19" t="s">
        <v>3626</v>
      </c>
      <c r="N61" s="17" t="s">
        <v>507</v>
      </c>
      <c r="O61" s="17" t="s">
        <v>24815</v>
      </c>
      <c r="P61" s="17" t="str">
        <f>HYPERLINK("https://photon-sol.tinyastro.io/en/lp/CbSUpuXEDYiYiErdzmUX4UKdHn6Meg4sEa3jf1SHpump?handle=676050794bc1b1657a56b", "View")</f>
        <v>View</v>
      </c>
    </row>
    <row r="62" spans="1:16" x14ac:dyDescent="0.25">
      <c r="A62" s="13" t="s">
        <v>24816</v>
      </c>
      <c r="B62" s="14">
        <v>28352380</v>
      </c>
      <c r="C62" s="14">
        <v>28352380</v>
      </c>
      <c r="D62" s="14" t="s">
        <v>13992</v>
      </c>
      <c r="E62" s="14" t="s">
        <v>1907</v>
      </c>
      <c r="F62" s="14" t="s">
        <v>19379</v>
      </c>
      <c r="G62" s="20" t="s">
        <v>24817</v>
      </c>
      <c r="H62" s="20" t="s">
        <v>24818</v>
      </c>
      <c r="I62" s="14" t="s">
        <v>88</v>
      </c>
      <c r="J62" s="14">
        <v>1</v>
      </c>
      <c r="K62" s="14">
        <v>1</v>
      </c>
      <c r="L62" s="14" t="s">
        <v>24819</v>
      </c>
      <c r="M62" s="19" t="s">
        <v>2923</v>
      </c>
      <c r="N62" s="14" t="s">
        <v>507</v>
      </c>
      <c r="O62" s="14" t="s">
        <v>24820</v>
      </c>
      <c r="P62" s="14" t="str">
        <f>HYPERLINK("https://photon-sol.tinyastro.io/en/lp/A7uQeyT9krjV54SU8pq3RwjqDvJyomSAEbb2mkDwpump?handle=676050794bc1b1657a56b", "View")</f>
        <v>View</v>
      </c>
    </row>
    <row r="63" spans="1:16" x14ac:dyDescent="0.25">
      <c r="A63" s="16" t="s">
        <v>13214</v>
      </c>
      <c r="B63" s="17">
        <v>34002427</v>
      </c>
      <c r="C63" s="17">
        <v>34002427</v>
      </c>
      <c r="D63" s="17" t="s">
        <v>13992</v>
      </c>
      <c r="E63" s="17" t="s">
        <v>1907</v>
      </c>
      <c r="F63" s="17" t="s">
        <v>24821</v>
      </c>
      <c r="G63" s="20" t="s">
        <v>11894</v>
      </c>
      <c r="H63" s="20" t="s">
        <v>24822</v>
      </c>
      <c r="I63" s="17" t="s">
        <v>88</v>
      </c>
      <c r="J63" s="17">
        <v>1</v>
      </c>
      <c r="K63" s="17">
        <v>1</v>
      </c>
      <c r="L63" s="17" t="s">
        <v>24823</v>
      </c>
      <c r="M63" s="19" t="s">
        <v>1948</v>
      </c>
      <c r="N63" s="17" t="s">
        <v>507</v>
      </c>
      <c r="O63" s="17" t="s">
        <v>24824</v>
      </c>
      <c r="P63" s="17" t="str">
        <f>HYPERLINK("https://photon-sol.tinyastro.io/en/lp/EFottaCniSEZ6yCKZsboQqE1WP1jKLJZP6RHvPbUpump?handle=676050794bc1b1657a56b", "View")</f>
        <v>View</v>
      </c>
    </row>
    <row r="64" spans="1:16" x14ac:dyDescent="0.25">
      <c r="A64" s="13" t="s">
        <v>24825</v>
      </c>
      <c r="B64" s="14">
        <v>34203840</v>
      </c>
      <c r="C64" s="14">
        <v>34203840</v>
      </c>
      <c r="D64" s="14" t="s">
        <v>13992</v>
      </c>
      <c r="E64" s="14" t="s">
        <v>1907</v>
      </c>
      <c r="F64" s="14" t="s">
        <v>20199</v>
      </c>
      <c r="G64" s="20" t="s">
        <v>3866</v>
      </c>
      <c r="H64" s="20" t="s">
        <v>24826</v>
      </c>
      <c r="I64" s="14" t="s">
        <v>88</v>
      </c>
      <c r="J64" s="14">
        <v>1</v>
      </c>
      <c r="K64" s="14">
        <v>1</v>
      </c>
      <c r="L64" s="14" t="s">
        <v>24827</v>
      </c>
      <c r="M64" s="19" t="s">
        <v>3492</v>
      </c>
      <c r="N64" s="14" t="s">
        <v>507</v>
      </c>
      <c r="O64" s="14" t="s">
        <v>24828</v>
      </c>
      <c r="P64" s="14" t="str">
        <f>HYPERLINK("https://photon-sol.tinyastro.io/en/lp/HCA6Xx72h2WwSSKk4tUWppounGbuhQqTqFm4Dizvpump?handle=676050794bc1b1657a56b", "View")</f>
        <v>View</v>
      </c>
    </row>
    <row r="65" spans="1:16" x14ac:dyDescent="0.25">
      <c r="A65" s="16" t="s">
        <v>24829</v>
      </c>
      <c r="B65" s="17">
        <v>32083338</v>
      </c>
      <c r="C65" s="17">
        <v>32083338</v>
      </c>
      <c r="D65" s="17" t="s">
        <v>13992</v>
      </c>
      <c r="E65" s="17" t="s">
        <v>1907</v>
      </c>
      <c r="F65" s="17" t="s">
        <v>6582</v>
      </c>
      <c r="G65" s="20" t="s">
        <v>14424</v>
      </c>
      <c r="H65" s="20" t="s">
        <v>24830</v>
      </c>
      <c r="I65" s="17" t="s">
        <v>88</v>
      </c>
      <c r="J65" s="17">
        <v>1</v>
      </c>
      <c r="K65" s="17">
        <v>1</v>
      </c>
      <c r="L65" s="17" t="s">
        <v>24831</v>
      </c>
      <c r="M65" s="19" t="s">
        <v>1849</v>
      </c>
      <c r="N65" s="17" t="s">
        <v>507</v>
      </c>
      <c r="O65" s="17" t="s">
        <v>24832</v>
      </c>
      <c r="P65" s="17" t="str">
        <f>HYPERLINK("https://photon-sol.tinyastro.io/en/lp/GSDHkFZz63fxPBGCN6AsnAXfqpWHZ5MQxcWeMA3mpump?handle=676050794bc1b1657a56b", "View")</f>
        <v>View</v>
      </c>
    </row>
    <row r="66" spans="1:16" x14ac:dyDescent="0.25">
      <c r="A66" s="13" t="s">
        <v>24833</v>
      </c>
      <c r="B66" s="14">
        <v>26554729</v>
      </c>
      <c r="C66" s="14">
        <v>26554729</v>
      </c>
      <c r="D66" s="14" t="s">
        <v>24782</v>
      </c>
      <c r="E66" s="14" t="s">
        <v>1907</v>
      </c>
      <c r="F66" s="14" t="s">
        <v>1596</v>
      </c>
      <c r="G66" s="21" t="s">
        <v>24834</v>
      </c>
      <c r="H66" s="21" t="s">
        <v>24835</v>
      </c>
      <c r="I66" s="14" t="s">
        <v>88</v>
      </c>
      <c r="J66" s="14">
        <v>1</v>
      </c>
      <c r="K66" s="14">
        <v>6</v>
      </c>
      <c r="L66" s="14" t="s">
        <v>24836</v>
      </c>
      <c r="M66" s="14" t="s">
        <v>788</v>
      </c>
      <c r="N66" s="14" t="s">
        <v>24837</v>
      </c>
      <c r="O66" s="14" t="s">
        <v>24838</v>
      </c>
      <c r="P66" s="14" t="str">
        <f>HYPERLINK("https://photon-sol.tinyastro.io/en/lp/B6obdaBz4iRuz7pYVqzBfUctXFXPZfXd4LCmqMpXpump?handle=676050794bc1b1657a56b", "View")</f>
        <v>View</v>
      </c>
    </row>
    <row r="67" spans="1:16" x14ac:dyDescent="0.25">
      <c r="A67" s="16" t="s">
        <v>24839</v>
      </c>
      <c r="B67" s="17">
        <v>34848830</v>
      </c>
      <c r="C67" s="17">
        <v>34848830</v>
      </c>
      <c r="D67" s="17" t="s">
        <v>7274</v>
      </c>
      <c r="E67" s="17" t="s">
        <v>1907</v>
      </c>
      <c r="F67" s="17" t="s">
        <v>771</v>
      </c>
      <c r="G67" s="21" t="s">
        <v>24840</v>
      </c>
      <c r="H67" s="21" t="s">
        <v>24841</v>
      </c>
      <c r="I67" s="17" t="s">
        <v>88</v>
      </c>
      <c r="J67" s="17">
        <v>1</v>
      </c>
      <c r="K67" s="17">
        <v>3</v>
      </c>
      <c r="L67" s="17" t="s">
        <v>24842</v>
      </c>
      <c r="M67" s="17" t="s">
        <v>1434</v>
      </c>
      <c r="N67" s="17" t="s">
        <v>24843</v>
      </c>
      <c r="O67" s="17" t="s">
        <v>24844</v>
      </c>
      <c r="P67" s="17" t="str">
        <f>HYPERLINK("https://photon-sol.tinyastro.io/en/lp/6D6eqDCN7w2qFuSP72yGHghfU3ozf85RwxAzYJTfpump?handle=676050794bc1b1657a56b", "View")</f>
        <v>View</v>
      </c>
    </row>
    <row r="68" spans="1:16" x14ac:dyDescent="0.25">
      <c r="A68" s="13" t="s">
        <v>24845</v>
      </c>
      <c r="B68" s="14">
        <v>20300561</v>
      </c>
      <c r="C68" s="14">
        <v>20300561</v>
      </c>
      <c r="D68" s="14" t="s">
        <v>13992</v>
      </c>
      <c r="E68" s="14" t="s">
        <v>12894</v>
      </c>
      <c r="F68" s="14" t="s">
        <v>24846</v>
      </c>
      <c r="G68" s="22" t="s">
        <v>16263</v>
      </c>
      <c r="H68" s="22" t="s">
        <v>6844</v>
      </c>
      <c r="I68" s="14" t="s">
        <v>88</v>
      </c>
      <c r="J68" s="14">
        <v>1</v>
      </c>
      <c r="K68" s="14">
        <v>1</v>
      </c>
      <c r="L68" s="14" t="s">
        <v>24847</v>
      </c>
      <c r="M68" s="14" t="s">
        <v>1566</v>
      </c>
      <c r="N68" s="14" t="s">
        <v>507</v>
      </c>
      <c r="O68" s="14" t="s">
        <v>24848</v>
      </c>
      <c r="P68" s="14" t="str">
        <f>HYPERLINK("https://photon-sol.tinyastro.io/en/lp/6oWrBg4Jn1Eeh9XErPRNUMPEPEf8Nx3YfDyFC5dSpump?handle=676050794bc1b1657a56b", "View")</f>
        <v>View</v>
      </c>
    </row>
    <row r="69" spans="1:16" x14ac:dyDescent="0.25">
      <c r="A69" s="16" t="s">
        <v>24849</v>
      </c>
      <c r="B69" s="17">
        <v>25458563</v>
      </c>
      <c r="C69" s="17">
        <v>25458563</v>
      </c>
      <c r="D69" s="17" t="s">
        <v>7161</v>
      </c>
      <c r="E69" s="17" t="s">
        <v>1907</v>
      </c>
      <c r="F69" s="17" t="s">
        <v>24850</v>
      </c>
      <c r="G69" s="21" t="s">
        <v>24851</v>
      </c>
      <c r="H69" s="21" t="s">
        <v>24852</v>
      </c>
      <c r="I69" s="17" t="s">
        <v>88</v>
      </c>
      <c r="J69" s="17">
        <v>1</v>
      </c>
      <c r="K69" s="17">
        <v>2</v>
      </c>
      <c r="L69" s="17" t="s">
        <v>24853</v>
      </c>
      <c r="M69" s="17" t="s">
        <v>1434</v>
      </c>
      <c r="N69" s="17" t="s">
        <v>507</v>
      </c>
      <c r="O69" s="17" t="s">
        <v>24854</v>
      </c>
      <c r="P69" s="17" t="str">
        <f>HYPERLINK("https://photon-sol.tinyastro.io/en/lp/HSwryCcFjNcqYJRzM2n711uEDZaed325cKfqEwb2pump?handle=676050794bc1b1657a56b", "View")</f>
        <v>View</v>
      </c>
    </row>
    <row r="70" spans="1:16" x14ac:dyDescent="0.25">
      <c r="A70" s="13" t="s">
        <v>24855</v>
      </c>
      <c r="B70" s="14">
        <v>61923220</v>
      </c>
      <c r="C70" s="14">
        <v>61923220</v>
      </c>
      <c r="D70" s="14" t="s">
        <v>14079</v>
      </c>
      <c r="E70" s="14" t="s">
        <v>1701</v>
      </c>
      <c r="F70" s="14" t="s">
        <v>7004</v>
      </c>
      <c r="G70" s="20" t="s">
        <v>1702</v>
      </c>
      <c r="H70" s="20" t="s">
        <v>24856</v>
      </c>
      <c r="I70" s="14" t="s">
        <v>88</v>
      </c>
      <c r="J70" s="14">
        <v>2</v>
      </c>
      <c r="K70" s="14">
        <v>2</v>
      </c>
      <c r="L70" s="14" t="s">
        <v>24857</v>
      </c>
      <c r="M70" s="14" t="s">
        <v>2695</v>
      </c>
      <c r="N70" s="14" t="s">
        <v>507</v>
      </c>
      <c r="O70" s="14" t="s">
        <v>24858</v>
      </c>
      <c r="P70" s="14" t="str">
        <f>HYPERLINK("https://photon-sol.tinyastro.io/en/lp/Bw9WqhXzThyiiFjDsUDtjCShrEb2RfvsnMbjniDQpump?handle=676050794bc1b1657a56b", "View")</f>
        <v>View</v>
      </c>
    </row>
    <row r="71" spans="1:16" x14ac:dyDescent="0.25">
      <c r="A71" s="16" t="s">
        <v>24849</v>
      </c>
      <c r="B71" s="17">
        <v>46952131</v>
      </c>
      <c r="C71" s="17">
        <v>46952131</v>
      </c>
      <c r="D71" s="17" t="s">
        <v>14079</v>
      </c>
      <c r="E71" s="17" t="s">
        <v>1701</v>
      </c>
      <c r="F71" s="17" t="s">
        <v>24812</v>
      </c>
      <c r="G71" s="20" t="s">
        <v>10648</v>
      </c>
      <c r="H71" s="20" t="s">
        <v>24859</v>
      </c>
      <c r="I71" s="17" t="s">
        <v>88</v>
      </c>
      <c r="J71" s="17">
        <v>2</v>
      </c>
      <c r="K71" s="17">
        <v>2</v>
      </c>
      <c r="L71" s="17" t="s">
        <v>24860</v>
      </c>
      <c r="M71" s="17" t="s">
        <v>1705</v>
      </c>
      <c r="N71" s="17" t="s">
        <v>507</v>
      </c>
      <c r="O71" s="17" t="s">
        <v>24861</v>
      </c>
      <c r="P71" s="17" t="str">
        <f>HYPERLINK("https://photon-sol.tinyastro.io/en/lp/CYpLbeJLQ5frHwhFi9ohxR6B6FmzR9dPu7mCcpDPpump?handle=676050794bc1b1657a56b", "View")</f>
        <v>View</v>
      </c>
    </row>
    <row r="72" spans="1:16" x14ac:dyDescent="0.25">
      <c r="A72" s="13" t="s">
        <v>24862</v>
      </c>
      <c r="B72" s="14">
        <v>26290086</v>
      </c>
      <c r="C72" s="14">
        <v>26290086</v>
      </c>
      <c r="D72" s="14" t="s">
        <v>14207</v>
      </c>
      <c r="E72" s="14" t="s">
        <v>1907</v>
      </c>
      <c r="F72" s="14" t="s">
        <v>18082</v>
      </c>
      <c r="G72" s="21" t="s">
        <v>24863</v>
      </c>
      <c r="H72" s="21" t="s">
        <v>24864</v>
      </c>
      <c r="I72" s="14" t="s">
        <v>88</v>
      </c>
      <c r="J72" s="14">
        <v>1</v>
      </c>
      <c r="K72" s="14">
        <v>1</v>
      </c>
      <c r="L72" s="14" t="s">
        <v>24865</v>
      </c>
      <c r="M72" s="14" t="s">
        <v>602</v>
      </c>
      <c r="N72" s="14" t="s">
        <v>24866</v>
      </c>
      <c r="O72" s="14" t="s">
        <v>24867</v>
      </c>
      <c r="P72" s="14" t="str">
        <f>HYPERLINK("https://photon-sol.tinyastro.io/en/lp/DfEgZt7VVsPVsqyRsgyuFiwR5pHySfAZBVL68tcupump?handle=676050794bc1b1657a56b", "View")</f>
        <v>View</v>
      </c>
    </row>
    <row r="73" spans="1:16" x14ac:dyDescent="0.25">
      <c r="A73" s="16" t="s">
        <v>24868</v>
      </c>
      <c r="B73" s="17">
        <v>6328081</v>
      </c>
      <c r="C73" s="17">
        <v>6328081</v>
      </c>
      <c r="D73" s="17" t="s">
        <v>7274</v>
      </c>
      <c r="E73" s="17" t="s">
        <v>24869</v>
      </c>
      <c r="F73" s="17" t="s">
        <v>24870</v>
      </c>
      <c r="G73" s="21" t="s">
        <v>24871</v>
      </c>
      <c r="H73" s="21" t="s">
        <v>24872</v>
      </c>
      <c r="I73" s="17" t="s">
        <v>88</v>
      </c>
      <c r="J73" s="17">
        <v>1</v>
      </c>
      <c r="K73" s="17">
        <v>3</v>
      </c>
      <c r="L73" s="17" t="s">
        <v>24873</v>
      </c>
      <c r="M73" s="17" t="s">
        <v>937</v>
      </c>
      <c r="N73" s="17" t="s">
        <v>24874</v>
      </c>
      <c r="O73" s="17" t="s">
        <v>24875</v>
      </c>
      <c r="P73" s="17" t="str">
        <f>HYPERLINK("https://photon-sol.tinyastro.io/en/lp/AxMH9Mq6PeQpSpkAb2rSeo4VCT95pQVEGHg7D5dmpump?handle=676050794bc1b1657a56b", "View")</f>
        <v>View</v>
      </c>
    </row>
    <row r="74" spans="1:16" x14ac:dyDescent="0.25">
      <c r="A74" s="13" t="s">
        <v>11067</v>
      </c>
      <c r="B74" s="14">
        <v>26648977</v>
      </c>
      <c r="C74" s="14">
        <v>26648977</v>
      </c>
      <c r="D74" s="14" t="s">
        <v>13992</v>
      </c>
      <c r="E74" s="14" t="s">
        <v>1907</v>
      </c>
      <c r="F74" s="14" t="s">
        <v>24534</v>
      </c>
      <c r="G74" s="20" t="s">
        <v>24876</v>
      </c>
      <c r="H74" s="20" t="s">
        <v>24877</v>
      </c>
      <c r="I74" s="14" t="s">
        <v>88</v>
      </c>
      <c r="J74" s="14">
        <v>1</v>
      </c>
      <c r="K74" s="14">
        <v>1</v>
      </c>
      <c r="L74" s="14" t="s">
        <v>24878</v>
      </c>
      <c r="M74" s="14" t="s">
        <v>160</v>
      </c>
      <c r="N74" s="14" t="s">
        <v>507</v>
      </c>
      <c r="O74" s="14" t="s">
        <v>24879</v>
      </c>
      <c r="P74" s="14" t="str">
        <f>HYPERLINK("https://photon-sol.tinyastro.io/en/lp/CjxUyXyjSUEr4gRfA1fyyNismxEYgwsgGNTapUX5pump?handle=676050794bc1b1657a56b", "View")</f>
        <v>View</v>
      </c>
    </row>
    <row r="75" spans="1:16" x14ac:dyDescent="0.25">
      <c r="A75" s="16" t="s">
        <v>12396</v>
      </c>
      <c r="B75" s="17">
        <v>16477205</v>
      </c>
      <c r="C75" s="17">
        <v>16477205</v>
      </c>
      <c r="D75" s="17" t="s">
        <v>13992</v>
      </c>
      <c r="E75" s="17" t="s">
        <v>8582</v>
      </c>
      <c r="F75" s="17" t="s">
        <v>14037</v>
      </c>
      <c r="G75" s="22" t="s">
        <v>9592</v>
      </c>
      <c r="H75" s="22" t="s">
        <v>24880</v>
      </c>
      <c r="I75" s="17" t="s">
        <v>88</v>
      </c>
      <c r="J75" s="17">
        <v>1</v>
      </c>
      <c r="K75" s="17">
        <v>1</v>
      </c>
      <c r="L75" s="17" t="s">
        <v>24881</v>
      </c>
      <c r="M75" s="17" t="s">
        <v>1566</v>
      </c>
      <c r="N75" s="17" t="s">
        <v>507</v>
      </c>
      <c r="O75" s="17" t="s">
        <v>24882</v>
      </c>
      <c r="P75" s="17" t="str">
        <f>HYPERLINK("https://photon-sol.tinyastro.io/en/lp/otZg2YVDZ8wdZj4UsDjQvFmDzSgyHq46X18YPHepump?handle=676050794bc1b1657a56b", "View")</f>
        <v>View</v>
      </c>
    </row>
    <row r="76" spans="1:16" x14ac:dyDescent="0.25">
      <c r="A76" s="13" t="s">
        <v>24883</v>
      </c>
      <c r="B76" s="14">
        <v>31539585</v>
      </c>
      <c r="C76" s="14">
        <v>31539585</v>
      </c>
      <c r="D76" s="14" t="s">
        <v>13992</v>
      </c>
      <c r="E76" s="14" t="s">
        <v>20912</v>
      </c>
      <c r="F76" s="14" t="s">
        <v>7792</v>
      </c>
      <c r="G76" s="20" t="s">
        <v>2245</v>
      </c>
      <c r="H76" s="20" t="s">
        <v>24884</v>
      </c>
      <c r="I76" s="14" t="s">
        <v>88</v>
      </c>
      <c r="J76" s="14">
        <v>1</v>
      </c>
      <c r="K76" s="14">
        <v>1</v>
      </c>
      <c r="L76" s="14" t="s">
        <v>24885</v>
      </c>
      <c r="M76" s="14" t="s">
        <v>1566</v>
      </c>
      <c r="N76" s="14" t="s">
        <v>507</v>
      </c>
      <c r="O76" s="14" t="s">
        <v>24886</v>
      </c>
      <c r="P76" s="14" t="str">
        <f>HYPERLINK("https://photon-sol.tinyastro.io/en/lp/26jM2PpsdZ1yJZE1tnLt6Jif8MJxCLawDUYHJKPspump?handle=676050794bc1b1657a56b", "View")</f>
        <v>View</v>
      </c>
    </row>
    <row r="77" spans="1:16" x14ac:dyDescent="0.25">
      <c r="A77" s="16" t="s">
        <v>24887</v>
      </c>
      <c r="B77" s="17">
        <v>32558190</v>
      </c>
      <c r="C77" s="17">
        <v>32558190</v>
      </c>
      <c r="D77" s="17" t="s">
        <v>13992</v>
      </c>
      <c r="E77" s="17" t="s">
        <v>2911</v>
      </c>
      <c r="F77" s="17" t="s">
        <v>24272</v>
      </c>
      <c r="G77" s="20" t="s">
        <v>2590</v>
      </c>
      <c r="H77" s="20" t="s">
        <v>7652</v>
      </c>
      <c r="I77" s="17" t="s">
        <v>88</v>
      </c>
      <c r="J77" s="17">
        <v>1</v>
      </c>
      <c r="K77" s="17">
        <v>1</v>
      </c>
      <c r="L77" s="17" t="s">
        <v>24888</v>
      </c>
      <c r="M77" s="17" t="s">
        <v>1566</v>
      </c>
      <c r="N77" s="17" t="s">
        <v>507</v>
      </c>
      <c r="O77" s="17" t="s">
        <v>24889</v>
      </c>
      <c r="P77" s="17" t="str">
        <f>HYPERLINK("https://photon-sol.tinyastro.io/en/lp/4yFUhjtYk9XsXwKPathdXN1oNYif3qC2j85hkZLhpump?handle=676050794bc1b1657a56b", "View")</f>
        <v>View</v>
      </c>
    </row>
    <row r="78" spans="1:16" x14ac:dyDescent="0.25">
      <c r="A78" s="13" t="s">
        <v>24890</v>
      </c>
      <c r="B78" s="14">
        <v>25996856</v>
      </c>
      <c r="C78" s="14">
        <v>25996856</v>
      </c>
      <c r="D78" s="14" t="s">
        <v>13992</v>
      </c>
      <c r="E78" s="14" t="s">
        <v>13588</v>
      </c>
      <c r="F78" s="14" t="s">
        <v>12296</v>
      </c>
      <c r="G78" s="21" t="s">
        <v>4140</v>
      </c>
      <c r="H78" s="21" t="s">
        <v>24891</v>
      </c>
      <c r="I78" s="14" t="s">
        <v>88</v>
      </c>
      <c r="J78" s="14">
        <v>1</v>
      </c>
      <c r="K78" s="14">
        <v>1</v>
      </c>
      <c r="L78" s="14" t="s">
        <v>24892</v>
      </c>
      <c r="M78" s="14" t="s">
        <v>1610</v>
      </c>
      <c r="N78" s="14" t="s">
        <v>507</v>
      </c>
      <c r="O78" s="14" t="s">
        <v>24893</v>
      </c>
      <c r="P78" s="14" t="str">
        <f>HYPERLINK("https://photon-sol.tinyastro.io/en/lp/9TQQjXWWBae38iZBF4vsig1A9pc5Q8fwSoWeSK6Bpump?handle=676050794bc1b1657a56b", "View")</f>
        <v>View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564-9DA6-43BC-8AC8-616C0E3217F8}">
  <dimension ref="A1:P12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HYPERLINK("https://gmgn.ai/sol/address/4EEzqYB18nBK1Z2d1Qyj1REt7fZ1gcY6AxAJpGHkVJ3K", "GMGN")</f>
        <v>GMGN</v>
      </c>
    </row>
    <row r="2" spans="1:14" x14ac:dyDescent="0.25">
      <c r="A2" s="3" t="s">
        <v>24894</v>
      </c>
      <c r="B2" s="3" t="s">
        <v>24895</v>
      </c>
      <c r="C2" s="3" t="s">
        <v>4714</v>
      </c>
      <c r="D2" s="3" t="s">
        <v>24896</v>
      </c>
      <c r="E2" s="3" t="s">
        <v>24897</v>
      </c>
      <c r="F2" s="3" t="s">
        <v>16072</v>
      </c>
      <c r="G2" s="3" t="s">
        <v>16072</v>
      </c>
      <c r="H2" s="3">
        <v>107</v>
      </c>
      <c r="I2" s="3">
        <v>15</v>
      </c>
      <c r="J2" s="3" t="s">
        <v>14696</v>
      </c>
      <c r="K2" s="3" t="s">
        <v>1526</v>
      </c>
      <c r="L2" s="3">
        <v>53</v>
      </c>
      <c r="M2" s="3">
        <v>40</v>
      </c>
      <c r="N2" s="3" t="str">
        <f>HYPERLINK("https://solscan.io/account/4EEzqYB18nBK1Z2d1Qyj1REt7fZ1gcY6AxAJpGHkVJ3K", "Solscan")</f>
        <v>Solscan</v>
      </c>
    </row>
    <row r="3" spans="1:14" x14ac:dyDescent="0.25">
      <c r="A3" s="1" t="s">
        <v>21</v>
      </c>
      <c r="B3" s="4" t="s">
        <v>24898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HYPERLINK("https://birdeye.so/profile/4EEzqYB18nBK1Z2d1Qyj1REt7fZ1gcY6AxAJpGHkVJ3K", "Birdeye")</f>
        <v>Birdeye</v>
      </c>
    </row>
    <row r="4" spans="1:14" x14ac:dyDescent="0.25">
      <c r="A4" s="1" t="s">
        <v>25</v>
      </c>
      <c r="B4" s="3" t="s">
        <v>19655</v>
      </c>
      <c r="C4" s="3"/>
      <c r="D4" s="3" t="s">
        <v>8457</v>
      </c>
      <c r="E4" s="3" t="s">
        <v>24899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24900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6</v>
      </c>
      <c r="D10" s="1">
        <v>8</v>
      </c>
      <c r="E10" s="1">
        <v>14</v>
      </c>
      <c r="F10" s="1">
        <v>18</v>
      </c>
      <c r="G10" s="1">
        <v>60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24901</v>
      </c>
      <c r="C11" s="1" t="s">
        <v>14164</v>
      </c>
      <c r="D11" s="1" t="s">
        <v>16081</v>
      </c>
      <c r="E11" s="1" t="s">
        <v>24902</v>
      </c>
      <c r="F11" s="1" t="s">
        <v>24903</v>
      </c>
      <c r="G11" s="1" t="s">
        <v>24904</v>
      </c>
      <c r="H11" s="3"/>
      <c r="I11" s="3" t="s">
        <v>50</v>
      </c>
      <c r="J11" s="3" t="s">
        <v>11205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24905</v>
      </c>
      <c r="C12" s="1" t="s">
        <v>21604</v>
      </c>
      <c r="D12" s="1" t="s">
        <v>4278</v>
      </c>
      <c r="E12" s="1" t="s">
        <v>15658</v>
      </c>
      <c r="F12" s="1" t="s">
        <v>4366</v>
      </c>
      <c r="G12" s="1" t="s">
        <v>24906</v>
      </c>
      <c r="H12" s="3"/>
      <c r="I12" s="3" t="s">
        <v>59</v>
      </c>
      <c r="J12" s="3" t="s">
        <v>21970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4735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16601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24907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7538</v>
      </c>
      <c r="B20" s="14">
        <v>172295</v>
      </c>
      <c r="C20" s="14">
        <v>86148</v>
      </c>
      <c r="D20" s="14" t="s">
        <v>8469</v>
      </c>
      <c r="E20" s="14" t="s">
        <v>4396</v>
      </c>
      <c r="F20" s="14" t="s">
        <v>17627</v>
      </c>
      <c r="G20" s="22" t="s">
        <v>15974</v>
      </c>
      <c r="H20" s="22" t="s">
        <v>24908</v>
      </c>
      <c r="I20" s="14" t="s">
        <v>88</v>
      </c>
      <c r="J20" s="14">
        <v>1</v>
      </c>
      <c r="K20" s="14">
        <v>1</v>
      </c>
      <c r="L20" s="14" t="s">
        <v>24909</v>
      </c>
      <c r="M20" s="14" t="s">
        <v>1932</v>
      </c>
      <c r="N20" s="14" t="s">
        <v>24910</v>
      </c>
      <c r="O20" s="14" t="s">
        <v>20493</v>
      </c>
      <c r="P20" s="14" t="str">
        <f>HYPERLINK("https://dexscreener.com/solana/3Wp5z1GtPqKwyiaicXa7nyXhBVJJ5JgAwzWXuPXqpump", "View")</f>
        <v>View</v>
      </c>
    </row>
    <row r="21" spans="1:16" x14ac:dyDescent="0.25">
      <c r="A21" s="16" t="s">
        <v>24911</v>
      </c>
      <c r="B21" s="17">
        <v>1211566</v>
      </c>
      <c r="C21" s="17">
        <v>1211566</v>
      </c>
      <c r="D21" s="17" t="s">
        <v>10230</v>
      </c>
      <c r="E21" s="17" t="s">
        <v>3309</v>
      </c>
      <c r="F21" s="17" t="s">
        <v>2347</v>
      </c>
      <c r="G21" s="20" t="s">
        <v>2863</v>
      </c>
      <c r="H21" s="20" t="s">
        <v>2727</v>
      </c>
      <c r="I21" s="17" t="s">
        <v>88</v>
      </c>
      <c r="J21" s="17">
        <v>1</v>
      </c>
      <c r="K21" s="17">
        <v>1</v>
      </c>
      <c r="L21" s="17" t="s">
        <v>24912</v>
      </c>
      <c r="M21" s="17" t="s">
        <v>2113</v>
      </c>
      <c r="N21" s="17" t="s">
        <v>2130</v>
      </c>
      <c r="O21" s="17" t="s">
        <v>24913</v>
      </c>
      <c r="P21" s="17" t="str">
        <f>HYPERLINK("https://photon-sol.tinyastro.io/en/lp/5owE5t3TuCYkftj6arJkm9UmiGCtbz9qRJeBFuUMpump?handle=676050794bc1b1657a56b", "View")</f>
        <v>View</v>
      </c>
    </row>
    <row r="22" spans="1:16" x14ac:dyDescent="0.25">
      <c r="A22" s="13" t="s">
        <v>24914</v>
      </c>
      <c r="B22" s="14">
        <v>805592</v>
      </c>
      <c r="C22" s="14">
        <v>805592</v>
      </c>
      <c r="D22" s="14" t="s">
        <v>10230</v>
      </c>
      <c r="E22" s="14" t="s">
        <v>6398</v>
      </c>
      <c r="F22" s="14" t="s">
        <v>5012</v>
      </c>
      <c r="G22" s="15" t="s">
        <v>1616</v>
      </c>
      <c r="H22" s="15" t="s">
        <v>24915</v>
      </c>
      <c r="I22" s="14" t="s">
        <v>88</v>
      </c>
      <c r="J22" s="14">
        <v>1</v>
      </c>
      <c r="K22" s="14">
        <v>1</v>
      </c>
      <c r="L22" s="14" t="s">
        <v>24916</v>
      </c>
      <c r="M22" s="14" t="s">
        <v>317</v>
      </c>
      <c r="N22" s="14" t="s">
        <v>3908</v>
      </c>
      <c r="O22" s="14" t="s">
        <v>24917</v>
      </c>
      <c r="P22" s="14" t="str">
        <f>HYPERLINK("https://photon-sol.tinyastro.io/en/lp/4dMJRRWBNDjQthsz89wk4cCPqFLuHvQztjE1FWoMpump?handle=676050794bc1b1657a56b", "View")</f>
        <v>View</v>
      </c>
    </row>
    <row r="23" spans="1:16" x14ac:dyDescent="0.25">
      <c r="A23" s="16" t="s">
        <v>8501</v>
      </c>
      <c r="B23" s="17">
        <v>27466</v>
      </c>
      <c r="C23" s="17">
        <v>27466</v>
      </c>
      <c r="D23" s="17" t="s">
        <v>9569</v>
      </c>
      <c r="E23" s="17" t="s">
        <v>4180</v>
      </c>
      <c r="F23" s="17" t="s">
        <v>11454</v>
      </c>
      <c r="G23" s="20" t="s">
        <v>11256</v>
      </c>
      <c r="H23" s="20" t="s">
        <v>24918</v>
      </c>
      <c r="I23" s="17" t="s">
        <v>88</v>
      </c>
      <c r="J23" s="17">
        <v>2</v>
      </c>
      <c r="K23" s="17">
        <v>1</v>
      </c>
      <c r="L23" s="17" t="s">
        <v>24919</v>
      </c>
      <c r="M23" s="17" t="s">
        <v>117</v>
      </c>
      <c r="N23" s="17" t="s">
        <v>24920</v>
      </c>
      <c r="O23" s="17" t="s">
        <v>8508</v>
      </c>
      <c r="P23" s="17" t="str">
        <f>HYPERLINK("https://dexscreener.com/solana/E6N1aagrUTAqtAe6DnV4bctib37tCERbr2TPiHzrpump", "View")</f>
        <v>View</v>
      </c>
    </row>
    <row r="24" spans="1:16" x14ac:dyDescent="0.25">
      <c r="A24" s="13" t="s">
        <v>23702</v>
      </c>
      <c r="B24" s="14">
        <v>173125</v>
      </c>
      <c r="C24" s="14">
        <v>0</v>
      </c>
      <c r="D24" s="14" t="s">
        <v>10157</v>
      </c>
      <c r="E24" s="14" t="s">
        <v>15901</v>
      </c>
      <c r="F24" s="14" t="s">
        <v>96</v>
      </c>
      <c r="G24" s="18" t="s">
        <v>1523</v>
      </c>
      <c r="H24" s="18" t="s">
        <v>98</v>
      </c>
      <c r="I24" s="14" t="s">
        <v>24921</v>
      </c>
      <c r="J24" s="14">
        <v>1</v>
      </c>
      <c r="K24" s="14">
        <v>0</v>
      </c>
      <c r="L24" s="14" t="s">
        <v>24922</v>
      </c>
      <c r="M24" s="19" t="s">
        <v>101</v>
      </c>
      <c r="N24" s="14" t="s">
        <v>591</v>
      </c>
      <c r="O24" s="14" t="s">
        <v>24923</v>
      </c>
      <c r="P24" s="14" t="str">
        <f>HYPERLINK("https://photon-sol.tinyastro.io/en/lp/GK71MWMBHUkc7EYVG7kifK7Frou7FTDmZqf7wCmSpump?handle=676050794bc1b1657a56b", "View")</f>
        <v>View</v>
      </c>
    </row>
    <row r="25" spans="1:16" x14ac:dyDescent="0.25">
      <c r="A25" s="16" t="s">
        <v>3798</v>
      </c>
      <c r="B25" s="17">
        <v>90490</v>
      </c>
      <c r="C25" s="17">
        <v>90490</v>
      </c>
      <c r="D25" s="17" t="s">
        <v>8469</v>
      </c>
      <c r="E25" s="17" t="s">
        <v>3972</v>
      </c>
      <c r="F25" s="17" t="s">
        <v>2347</v>
      </c>
      <c r="G25" s="21" t="s">
        <v>4924</v>
      </c>
      <c r="H25" s="21" t="s">
        <v>24924</v>
      </c>
      <c r="I25" s="17" t="s">
        <v>88</v>
      </c>
      <c r="J25" s="17">
        <v>1</v>
      </c>
      <c r="K25" s="17">
        <v>1</v>
      </c>
      <c r="L25" s="17" t="s">
        <v>24925</v>
      </c>
      <c r="M25" s="17" t="s">
        <v>1526</v>
      </c>
      <c r="N25" s="17" t="s">
        <v>24926</v>
      </c>
      <c r="O25" s="17" t="s">
        <v>9840</v>
      </c>
      <c r="P25" s="17" t="str">
        <f>HYPERLINK("https://dexscreener.com/solana/9tfZ7q7AePzusVRPTLejhtAT4fJos6cUtfr8uvg8pump", "View")</f>
        <v>View</v>
      </c>
    </row>
    <row r="26" spans="1:16" x14ac:dyDescent="0.25">
      <c r="A26" s="13" t="s">
        <v>24927</v>
      </c>
      <c r="B26" s="14">
        <v>137100</v>
      </c>
      <c r="C26" s="14">
        <v>0</v>
      </c>
      <c r="D26" s="14" t="s">
        <v>10157</v>
      </c>
      <c r="E26" s="14" t="s">
        <v>2661</v>
      </c>
      <c r="F26" s="14" t="s">
        <v>96</v>
      </c>
      <c r="G26" s="18" t="s">
        <v>3388</v>
      </c>
      <c r="H26" s="18" t="s">
        <v>98</v>
      </c>
      <c r="I26" s="14" t="s">
        <v>24928</v>
      </c>
      <c r="J26" s="14">
        <v>1</v>
      </c>
      <c r="K26" s="14">
        <v>0</v>
      </c>
      <c r="L26" s="14" t="s">
        <v>24929</v>
      </c>
      <c r="M26" s="19" t="s">
        <v>101</v>
      </c>
      <c r="N26" s="14" t="s">
        <v>21867</v>
      </c>
      <c r="O26" s="14" t="s">
        <v>24930</v>
      </c>
      <c r="P26" s="14" t="str">
        <f>HYPERLINK("https://photon-sol.tinyastro.io/en/lp/8gu3ypVESXKnY5sgKXG62DjoFGzCVbLpNNiPMnxRpump?handle=676050794bc1b1657a56b", "View")</f>
        <v>View</v>
      </c>
    </row>
    <row r="27" spans="1:16" x14ac:dyDescent="0.25">
      <c r="A27" s="16" t="s">
        <v>8909</v>
      </c>
      <c r="B27" s="17">
        <v>184973</v>
      </c>
      <c r="C27" s="17">
        <v>0</v>
      </c>
      <c r="D27" s="17" t="s">
        <v>10157</v>
      </c>
      <c r="E27" s="17" t="s">
        <v>6111</v>
      </c>
      <c r="F27" s="17" t="s">
        <v>96</v>
      </c>
      <c r="G27" s="18" t="s">
        <v>24134</v>
      </c>
      <c r="H27" s="18" t="s">
        <v>98</v>
      </c>
      <c r="I27" s="17" t="s">
        <v>24931</v>
      </c>
      <c r="J27" s="17">
        <v>1</v>
      </c>
      <c r="K27" s="17">
        <v>0</v>
      </c>
      <c r="L27" s="17" t="s">
        <v>24932</v>
      </c>
      <c r="M27" s="19" t="s">
        <v>101</v>
      </c>
      <c r="N27" s="17" t="s">
        <v>10167</v>
      </c>
      <c r="O27" s="17" t="s">
        <v>24933</v>
      </c>
      <c r="P27" s="17" t="str">
        <f>HYPERLINK("https://photon-sol.tinyastro.io/en/lp/FhCQaoLGjMugYDqJ89nst3LoAYUo1y9kNnRoGMumpump?handle=676050794bc1b1657a56b", "View")</f>
        <v>View</v>
      </c>
    </row>
    <row r="28" spans="1:16" x14ac:dyDescent="0.25">
      <c r="A28" s="13" t="s">
        <v>24934</v>
      </c>
      <c r="B28" s="14">
        <v>411649</v>
      </c>
      <c r="C28" s="14">
        <v>411649</v>
      </c>
      <c r="D28" s="14" t="s">
        <v>8469</v>
      </c>
      <c r="E28" s="14" t="s">
        <v>2236</v>
      </c>
      <c r="F28" s="14" t="s">
        <v>5705</v>
      </c>
      <c r="G28" s="20" t="s">
        <v>3420</v>
      </c>
      <c r="H28" s="20" t="s">
        <v>24935</v>
      </c>
      <c r="I28" s="14" t="s">
        <v>88</v>
      </c>
      <c r="J28" s="14">
        <v>1</v>
      </c>
      <c r="K28" s="14">
        <v>1</v>
      </c>
      <c r="L28" s="14" t="s">
        <v>24936</v>
      </c>
      <c r="M28" s="14" t="s">
        <v>1448</v>
      </c>
      <c r="N28" s="14" t="s">
        <v>1706</v>
      </c>
      <c r="O28" s="14" t="s">
        <v>24937</v>
      </c>
      <c r="P28" s="14" t="str">
        <f>HYPERLINK("https://photon-sol.tinyastro.io/en/lp/3amJxeYuK2FJUUcKAUUmrBVnXf1mK3MD4BFX8Uiopump?handle=676050794bc1b1657a56b", "View")</f>
        <v>View</v>
      </c>
    </row>
    <row r="29" spans="1:16" x14ac:dyDescent="0.25">
      <c r="A29" s="16" t="s">
        <v>2784</v>
      </c>
      <c r="B29" s="17">
        <v>68214</v>
      </c>
      <c r="C29" s="17">
        <v>0</v>
      </c>
      <c r="D29" s="17" t="s">
        <v>10157</v>
      </c>
      <c r="E29" s="17" t="s">
        <v>4396</v>
      </c>
      <c r="F29" s="17" t="s">
        <v>96</v>
      </c>
      <c r="G29" s="18" t="s">
        <v>15868</v>
      </c>
      <c r="H29" s="18" t="s">
        <v>98</v>
      </c>
      <c r="I29" s="17" t="s">
        <v>24938</v>
      </c>
      <c r="J29" s="17">
        <v>1</v>
      </c>
      <c r="K29" s="17">
        <v>0</v>
      </c>
      <c r="L29" s="17" t="s">
        <v>24939</v>
      </c>
      <c r="M29" s="19" t="s">
        <v>101</v>
      </c>
      <c r="N29" s="17" t="s">
        <v>24940</v>
      </c>
      <c r="O29" s="17" t="s">
        <v>2791</v>
      </c>
      <c r="P29" s="17" t="str">
        <f>HYPERLINK("https://dexscreener.com/solana/cbQq5WWrPPBFAv66GXBArm8BhmP1ZHWiBHUsWBupump", "View")</f>
        <v>View</v>
      </c>
    </row>
    <row r="30" spans="1:16" x14ac:dyDescent="0.25">
      <c r="A30" s="13" t="s">
        <v>24941</v>
      </c>
      <c r="B30" s="14">
        <v>775749</v>
      </c>
      <c r="C30" s="14">
        <v>0</v>
      </c>
      <c r="D30" s="14" t="s">
        <v>10157</v>
      </c>
      <c r="E30" s="14" t="s">
        <v>4687</v>
      </c>
      <c r="F30" s="14" t="s">
        <v>96</v>
      </c>
      <c r="G30" s="18" t="s">
        <v>1616</v>
      </c>
      <c r="H30" s="18" t="s">
        <v>98</v>
      </c>
      <c r="I30" s="14" t="s">
        <v>24942</v>
      </c>
      <c r="J30" s="14">
        <v>1</v>
      </c>
      <c r="K30" s="14">
        <v>0</v>
      </c>
      <c r="L30" s="14" t="s">
        <v>24943</v>
      </c>
      <c r="M30" s="19" t="s">
        <v>101</v>
      </c>
      <c r="N30" s="14" t="s">
        <v>1980</v>
      </c>
      <c r="O30" s="14" t="s">
        <v>24944</v>
      </c>
      <c r="P30" s="14" t="str">
        <f>HYPERLINK("https://photon-sol.tinyastro.io/en/lp/G692ohZDnLDjEm6tgfW3Z4VCUfJcTXD1bbNT4HBLpump?handle=676050794bc1b1657a56b", "View")</f>
        <v>View</v>
      </c>
    </row>
    <row r="31" spans="1:16" x14ac:dyDescent="0.25">
      <c r="A31" s="16" t="s">
        <v>14975</v>
      </c>
      <c r="B31" s="17">
        <v>85042</v>
      </c>
      <c r="C31" s="17">
        <v>252451</v>
      </c>
      <c r="D31" s="17" t="s">
        <v>19880</v>
      </c>
      <c r="E31" s="17" t="s">
        <v>2200</v>
      </c>
      <c r="F31" s="17" t="s">
        <v>6752</v>
      </c>
      <c r="G31" s="21" t="s">
        <v>2997</v>
      </c>
      <c r="H31" s="21" t="s">
        <v>24945</v>
      </c>
      <c r="I31" s="17" t="s">
        <v>88</v>
      </c>
      <c r="J31" s="17">
        <v>1</v>
      </c>
      <c r="K31" s="17">
        <v>2</v>
      </c>
      <c r="L31" s="17" t="s">
        <v>24946</v>
      </c>
      <c r="M31" s="17" t="s">
        <v>656</v>
      </c>
      <c r="N31" s="17" t="s">
        <v>24947</v>
      </c>
      <c r="O31" s="17" t="s">
        <v>16194</v>
      </c>
      <c r="P31" s="17" t="str">
        <f>HYPERLINK("https://dexscreener.com/solana/71gSnDo5vqite4mVpbKnaqoa6FsuXpamn8jCYZsApump", "View")</f>
        <v>View</v>
      </c>
    </row>
    <row r="32" spans="1:16" x14ac:dyDescent="0.25">
      <c r="A32" s="13" t="s">
        <v>24948</v>
      </c>
      <c r="B32" s="14">
        <v>808792</v>
      </c>
      <c r="C32" s="14">
        <v>808792</v>
      </c>
      <c r="D32" s="14" t="s">
        <v>8469</v>
      </c>
      <c r="E32" s="14" t="s">
        <v>5359</v>
      </c>
      <c r="F32" s="14" t="s">
        <v>6161</v>
      </c>
      <c r="G32" s="15" t="s">
        <v>5031</v>
      </c>
      <c r="H32" s="15" t="s">
        <v>24949</v>
      </c>
      <c r="I32" s="14" t="s">
        <v>88</v>
      </c>
      <c r="J32" s="14">
        <v>1</v>
      </c>
      <c r="K32" s="14">
        <v>1</v>
      </c>
      <c r="L32" s="14" t="s">
        <v>24950</v>
      </c>
      <c r="M32" s="14" t="s">
        <v>4719</v>
      </c>
      <c r="N32" s="14" t="s">
        <v>7699</v>
      </c>
      <c r="O32" s="14" t="s">
        <v>24951</v>
      </c>
      <c r="P32" s="14" t="str">
        <f>HYPERLINK("https://photon-sol.tinyastro.io/en/lp/CLJjCL3WA395hZhJF3FeRZJtkidwrmV655DxeHf2pump?handle=676050794bc1b1657a56b", "View")</f>
        <v>View</v>
      </c>
    </row>
    <row r="33" spans="1:16" x14ac:dyDescent="0.25">
      <c r="A33" s="16" t="s">
        <v>24952</v>
      </c>
      <c r="B33" s="17">
        <v>1686325</v>
      </c>
      <c r="C33" s="17">
        <v>1686325</v>
      </c>
      <c r="D33" s="17" t="s">
        <v>8469</v>
      </c>
      <c r="E33" s="17" t="s">
        <v>5380</v>
      </c>
      <c r="F33" s="17" t="s">
        <v>5680</v>
      </c>
      <c r="G33" s="22" t="s">
        <v>5036</v>
      </c>
      <c r="H33" s="22" t="s">
        <v>24953</v>
      </c>
      <c r="I33" s="17" t="s">
        <v>88</v>
      </c>
      <c r="J33" s="17">
        <v>1</v>
      </c>
      <c r="K33" s="17">
        <v>1</v>
      </c>
      <c r="L33" s="17" t="s">
        <v>24954</v>
      </c>
      <c r="M33" s="17" t="s">
        <v>1434</v>
      </c>
      <c r="N33" s="17" t="s">
        <v>1011</v>
      </c>
      <c r="O33" s="17" t="s">
        <v>24955</v>
      </c>
      <c r="P33" s="17" t="str">
        <f>HYPERLINK("https://photon-sol.tinyastro.io/en/lp/8F8TuQmeyGBDoPzZoSQTcMCeTcnPx1mTnn2pS2Mipump?handle=676050794bc1b1657a56b", "View")</f>
        <v>View</v>
      </c>
    </row>
    <row r="34" spans="1:16" x14ac:dyDescent="0.25">
      <c r="A34" s="13" t="s">
        <v>24956</v>
      </c>
      <c r="B34" s="14">
        <v>322069</v>
      </c>
      <c r="C34" s="14">
        <v>322069</v>
      </c>
      <c r="D34" s="14" t="s">
        <v>8469</v>
      </c>
      <c r="E34" s="14" t="s">
        <v>3439</v>
      </c>
      <c r="F34" s="14" t="s">
        <v>5425</v>
      </c>
      <c r="G34" s="20" t="s">
        <v>9563</v>
      </c>
      <c r="H34" s="20" t="s">
        <v>11023</v>
      </c>
      <c r="I34" s="14" t="s">
        <v>88</v>
      </c>
      <c r="J34" s="14">
        <v>1</v>
      </c>
      <c r="K34" s="14">
        <v>1</v>
      </c>
      <c r="L34" s="14" t="s">
        <v>24957</v>
      </c>
      <c r="M34" s="14" t="s">
        <v>788</v>
      </c>
      <c r="N34" s="14" t="s">
        <v>24958</v>
      </c>
      <c r="O34" s="14" t="s">
        <v>24959</v>
      </c>
      <c r="P34" s="14" t="str">
        <f>HYPERLINK("https://photon-sol.tinyastro.io/en/lp/7BwBWJ6gSgk1GGLCkqfFTnaVDxcHrnxgntFijjEjpump?handle=676050794bc1b1657a56b", "View")</f>
        <v>View</v>
      </c>
    </row>
    <row r="35" spans="1:16" x14ac:dyDescent="0.25">
      <c r="A35" s="16" t="s">
        <v>5158</v>
      </c>
      <c r="B35" s="17">
        <v>169932</v>
      </c>
      <c r="C35" s="17">
        <v>169932</v>
      </c>
      <c r="D35" s="17" t="s">
        <v>19880</v>
      </c>
      <c r="E35" s="17" t="s">
        <v>4665</v>
      </c>
      <c r="F35" s="17" t="s">
        <v>7291</v>
      </c>
      <c r="G35" s="15" t="s">
        <v>5370</v>
      </c>
      <c r="H35" s="15" t="s">
        <v>24960</v>
      </c>
      <c r="I35" s="17" t="s">
        <v>88</v>
      </c>
      <c r="J35" s="17">
        <v>2</v>
      </c>
      <c r="K35" s="17">
        <v>1</v>
      </c>
      <c r="L35" s="17" t="s">
        <v>24961</v>
      </c>
      <c r="M35" s="17" t="s">
        <v>602</v>
      </c>
      <c r="N35" s="17" t="s">
        <v>24962</v>
      </c>
      <c r="O35" s="17" t="s">
        <v>5162</v>
      </c>
      <c r="P35" s="17" t="str">
        <f>HYPERLINK("https://dexscreener.com/solana/14b2PNaerPw218YqJj763rsSe9cESu8CfUXe8M7cpump", "View")</f>
        <v>View</v>
      </c>
    </row>
    <row r="36" spans="1:16" x14ac:dyDescent="0.25">
      <c r="A36" s="13" t="s">
        <v>460</v>
      </c>
      <c r="B36" s="14">
        <v>54941</v>
      </c>
      <c r="C36" s="14">
        <v>54941</v>
      </c>
      <c r="D36" s="14" t="s">
        <v>8469</v>
      </c>
      <c r="E36" s="14" t="s">
        <v>15066</v>
      </c>
      <c r="F36" s="14" t="s">
        <v>24963</v>
      </c>
      <c r="G36" s="20" t="s">
        <v>15942</v>
      </c>
      <c r="H36" s="20" t="s">
        <v>24964</v>
      </c>
      <c r="I36" s="14" t="s">
        <v>88</v>
      </c>
      <c r="J36" s="14">
        <v>1</v>
      </c>
      <c r="K36" s="14">
        <v>1</v>
      </c>
      <c r="L36" s="14" t="s">
        <v>24965</v>
      </c>
      <c r="M36" s="14" t="s">
        <v>2113</v>
      </c>
      <c r="N36" s="14" t="s">
        <v>24966</v>
      </c>
      <c r="O36" s="14" t="s">
        <v>467</v>
      </c>
      <c r="P36" s="14" t="str">
        <f>HYPERLINK("https://dexscreener.com/solana/p2niQeJVj2vnevYnheBWujVyfzzGURpBTjap3gipump", "View")</f>
        <v>View</v>
      </c>
    </row>
    <row r="37" spans="1:16" x14ac:dyDescent="0.25">
      <c r="A37" s="16" t="s">
        <v>24967</v>
      </c>
      <c r="B37" s="17">
        <v>756546</v>
      </c>
      <c r="C37" s="17">
        <v>0</v>
      </c>
      <c r="D37" s="17" t="s">
        <v>10157</v>
      </c>
      <c r="E37" s="17" t="s">
        <v>6206</v>
      </c>
      <c r="F37" s="17" t="s">
        <v>96</v>
      </c>
      <c r="G37" s="18" t="s">
        <v>14118</v>
      </c>
      <c r="H37" s="18" t="s">
        <v>98</v>
      </c>
      <c r="I37" s="17" t="s">
        <v>24968</v>
      </c>
      <c r="J37" s="17">
        <v>1</v>
      </c>
      <c r="K37" s="17">
        <v>0</v>
      </c>
      <c r="L37" s="17" t="s">
        <v>24969</v>
      </c>
      <c r="M37" s="19" t="s">
        <v>101</v>
      </c>
      <c r="N37" s="17" t="s">
        <v>1264</v>
      </c>
      <c r="O37" s="17" t="s">
        <v>24970</v>
      </c>
      <c r="P37" s="17" t="str">
        <f>HYPERLINK("https://photon-sol.tinyastro.io/en/lp/38fUci7P6NDjgLnLzepn1nEBpwLZjkvveDUBaXh5pump?handle=676050794bc1b1657a56b", "View")</f>
        <v>View</v>
      </c>
    </row>
    <row r="38" spans="1:16" x14ac:dyDescent="0.25">
      <c r="A38" s="13" t="s">
        <v>24971</v>
      </c>
      <c r="B38" s="14">
        <v>37533</v>
      </c>
      <c r="C38" s="14">
        <v>37533</v>
      </c>
      <c r="D38" s="14" t="s">
        <v>8469</v>
      </c>
      <c r="E38" s="14" t="s">
        <v>4396</v>
      </c>
      <c r="F38" s="14" t="s">
        <v>4020</v>
      </c>
      <c r="G38" s="20" t="s">
        <v>4799</v>
      </c>
      <c r="H38" s="20" t="s">
        <v>3624</v>
      </c>
      <c r="I38" s="14" t="s">
        <v>88</v>
      </c>
      <c r="J38" s="14">
        <v>1</v>
      </c>
      <c r="K38" s="14">
        <v>1</v>
      </c>
      <c r="L38" s="14" t="s">
        <v>24972</v>
      </c>
      <c r="M38" s="14" t="s">
        <v>1434</v>
      </c>
      <c r="N38" s="14" t="s">
        <v>24973</v>
      </c>
      <c r="O38" s="14" t="s">
        <v>24974</v>
      </c>
      <c r="P38" s="14" t="str">
        <f>HYPERLINK("https://dexscreener.com/solana/B7hx74SWaVF5wVDiFhxRPzR4iVP4tcxqUNf9SNb6pump", "View")</f>
        <v>View</v>
      </c>
    </row>
    <row r="39" spans="1:16" x14ac:dyDescent="0.25">
      <c r="A39" s="16" t="s">
        <v>12957</v>
      </c>
      <c r="B39" s="17">
        <v>21821</v>
      </c>
      <c r="C39" s="17">
        <v>0</v>
      </c>
      <c r="D39" s="17" t="s">
        <v>10157</v>
      </c>
      <c r="E39" s="17" t="s">
        <v>4396</v>
      </c>
      <c r="F39" s="17" t="s">
        <v>96</v>
      </c>
      <c r="G39" s="18" t="s">
        <v>15868</v>
      </c>
      <c r="H39" s="18" t="s">
        <v>98</v>
      </c>
      <c r="I39" s="17" t="s">
        <v>24975</v>
      </c>
      <c r="J39" s="17">
        <v>1</v>
      </c>
      <c r="K39" s="17">
        <v>0</v>
      </c>
      <c r="L39" s="17" t="s">
        <v>24976</v>
      </c>
      <c r="M39" s="19" t="s">
        <v>101</v>
      </c>
      <c r="N39" s="17" t="s">
        <v>24977</v>
      </c>
      <c r="O39" s="17" t="s">
        <v>12963</v>
      </c>
      <c r="P39" s="17" t="str">
        <f>HYPERLINK("https://dexscreener.com/solana/4994XJ88RjBS5SKv7qSe4fM3qtPRYzqYBQLe4NRDpump", "View")</f>
        <v>View</v>
      </c>
    </row>
    <row r="40" spans="1:16" x14ac:dyDescent="0.25">
      <c r="A40" s="13" t="s">
        <v>24978</v>
      </c>
      <c r="B40" s="14">
        <v>1261052</v>
      </c>
      <c r="C40" s="14">
        <v>1261052</v>
      </c>
      <c r="D40" s="14" t="s">
        <v>8469</v>
      </c>
      <c r="E40" s="14" t="s">
        <v>4396</v>
      </c>
      <c r="F40" s="14" t="s">
        <v>1671</v>
      </c>
      <c r="G40" s="21" t="s">
        <v>5204</v>
      </c>
      <c r="H40" s="21" t="s">
        <v>24979</v>
      </c>
      <c r="I40" s="14" t="s">
        <v>88</v>
      </c>
      <c r="J40" s="14">
        <v>1</v>
      </c>
      <c r="K40" s="14">
        <v>1</v>
      </c>
      <c r="L40" s="14" t="s">
        <v>24980</v>
      </c>
      <c r="M40" s="14" t="s">
        <v>2984</v>
      </c>
      <c r="N40" s="14" t="s">
        <v>24981</v>
      </c>
      <c r="O40" s="14" t="s">
        <v>24982</v>
      </c>
      <c r="P40" s="14" t="str">
        <f>HYPERLINK("https://dexscreener.com/solana/F5DBTmFdC68zsDSpvJ8txovvD19QSbSD14ddsxcmWk7u", "View")</f>
        <v>View</v>
      </c>
    </row>
    <row r="41" spans="1:16" x14ac:dyDescent="0.25">
      <c r="A41" s="16" t="s">
        <v>6702</v>
      </c>
      <c r="B41" s="17">
        <v>747755</v>
      </c>
      <c r="C41" s="17">
        <v>747755</v>
      </c>
      <c r="D41" s="17" t="s">
        <v>10230</v>
      </c>
      <c r="E41" s="17" t="s">
        <v>5635</v>
      </c>
      <c r="F41" s="17" t="s">
        <v>10664</v>
      </c>
      <c r="G41" s="21" t="s">
        <v>17627</v>
      </c>
      <c r="H41" s="21" t="s">
        <v>24983</v>
      </c>
      <c r="I41" s="17" t="s">
        <v>88</v>
      </c>
      <c r="J41" s="17">
        <v>1</v>
      </c>
      <c r="K41" s="17">
        <v>1</v>
      </c>
      <c r="L41" s="17" t="s">
        <v>24984</v>
      </c>
      <c r="M41" s="17" t="s">
        <v>1526</v>
      </c>
      <c r="N41" s="17" t="s">
        <v>24985</v>
      </c>
      <c r="O41" s="17" t="s">
        <v>6710</v>
      </c>
      <c r="P41" s="17" t="str">
        <f>HYPERLINK("https://photon-sol.tinyastro.io/en/lp/Hx2u67DY8EgtZppfCYQyWz68Syp8xJsRX1nDAMRbpump?handle=676050794bc1b1657a56b", "View")</f>
        <v>View</v>
      </c>
    </row>
    <row r="42" spans="1:16" x14ac:dyDescent="0.25">
      <c r="A42" s="13" t="s">
        <v>24986</v>
      </c>
      <c r="B42" s="14">
        <v>631744</v>
      </c>
      <c r="C42" s="14">
        <v>631744</v>
      </c>
      <c r="D42" s="14" t="s">
        <v>8469</v>
      </c>
      <c r="E42" s="14" t="s">
        <v>17833</v>
      </c>
      <c r="F42" s="14" t="s">
        <v>4147</v>
      </c>
      <c r="G42" s="22" t="s">
        <v>96</v>
      </c>
      <c r="H42" s="22" t="s">
        <v>24987</v>
      </c>
      <c r="I42" s="14" t="s">
        <v>88</v>
      </c>
      <c r="J42" s="14">
        <v>1</v>
      </c>
      <c r="K42" s="14">
        <v>1</v>
      </c>
      <c r="L42" s="14" t="s">
        <v>24988</v>
      </c>
      <c r="M42" s="14" t="s">
        <v>4922</v>
      </c>
      <c r="N42" s="14" t="s">
        <v>4634</v>
      </c>
      <c r="O42" s="14" t="s">
        <v>24989</v>
      </c>
      <c r="P42" s="14" t="str">
        <f>HYPERLINK("https://photon-sol.tinyastro.io/en/lp/5hmhLcmpZMsGp8dJZGBm7582wuroozbDDPS4g3Ktpump?handle=676050794bc1b1657a56b", "View")</f>
        <v>View</v>
      </c>
    </row>
    <row r="43" spans="1:16" x14ac:dyDescent="0.25">
      <c r="A43" s="16" t="s">
        <v>24990</v>
      </c>
      <c r="B43" s="17">
        <v>705779</v>
      </c>
      <c r="C43" s="17">
        <v>0</v>
      </c>
      <c r="D43" s="17" t="s">
        <v>1882</v>
      </c>
      <c r="E43" s="17" t="s">
        <v>5635</v>
      </c>
      <c r="F43" s="17" t="s">
        <v>96</v>
      </c>
      <c r="G43" s="18" t="s">
        <v>16947</v>
      </c>
      <c r="H43" s="18" t="s">
        <v>98</v>
      </c>
      <c r="I43" s="17" t="s">
        <v>24991</v>
      </c>
      <c r="J43" s="17">
        <v>1</v>
      </c>
      <c r="K43" s="17">
        <v>0</v>
      </c>
      <c r="L43" s="17" t="s">
        <v>24992</v>
      </c>
      <c r="M43" s="19" t="s">
        <v>101</v>
      </c>
      <c r="N43" s="17" t="s">
        <v>24993</v>
      </c>
      <c r="O43" s="17" t="s">
        <v>24994</v>
      </c>
      <c r="P43" s="17" t="str">
        <f>HYPERLINK("https://photon-sol.tinyastro.io/en/lp/ACA8S262XtpQsUYfwFkXCxo3M11BC4Z9DMEsrvzjpump?handle=676050794bc1b1657a56b", "View")</f>
        <v>View</v>
      </c>
    </row>
    <row r="44" spans="1:16" x14ac:dyDescent="0.25">
      <c r="A44" s="13" t="s">
        <v>24995</v>
      </c>
      <c r="B44" s="14">
        <v>503989</v>
      </c>
      <c r="C44" s="14">
        <v>0</v>
      </c>
      <c r="D44" s="14" t="s">
        <v>1882</v>
      </c>
      <c r="E44" s="14" t="s">
        <v>5608</v>
      </c>
      <c r="F44" s="14" t="s">
        <v>96</v>
      </c>
      <c r="G44" s="18" t="s">
        <v>3453</v>
      </c>
      <c r="H44" s="18" t="s">
        <v>98</v>
      </c>
      <c r="I44" s="14" t="s">
        <v>24996</v>
      </c>
      <c r="J44" s="14">
        <v>1</v>
      </c>
      <c r="K44" s="14">
        <v>0</v>
      </c>
      <c r="L44" s="14" t="s">
        <v>24997</v>
      </c>
      <c r="M44" s="19" t="s">
        <v>101</v>
      </c>
      <c r="N44" s="14" t="s">
        <v>1240</v>
      </c>
      <c r="O44" s="14" t="s">
        <v>24998</v>
      </c>
      <c r="P44" s="14" t="str">
        <f>HYPERLINK("https://photon-sol.tinyastro.io/en/lp/6sqw7nj4zaWkDt5MoXsGmRgHLxG82XzXZQ39weykpump?handle=676050794bc1b1657a56b", "View")</f>
        <v>View</v>
      </c>
    </row>
    <row r="45" spans="1:16" x14ac:dyDescent="0.25">
      <c r="A45" s="16" t="s">
        <v>22756</v>
      </c>
      <c r="B45" s="17">
        <v>75384</v>
      </c>
      <c r="C45" s="17">
        <v>75384</v>
      </c>
      <c r="D45" s="17" t="s">
        <v>1813</v>
      </c>
      <c r="E45" s="17" t="s">
        <v>4396</v>
      </c>
      <c r="F45" s="17" t="s">
        <v>4141</v>
      </c>
      <c r="G45" s="15" t="s">
        <v>3721</v>
      </c>
      <c r="H45" s="15" t="s">
        <v>24999</v>
      </c>
      <c r="I45" s="17" t="s">
        <v>88</v>
      </c>
      <c r="J45" s="17">
        <v>1</v>
      </c>
      <c r="K45" s="17">
        <v>1</v>
      </c>
      <c r="L45" s="17" t="s">
        <v>25000</v>
      </c>
      <c r="M45" s="17" t="s">
        <v>3180</v>
      </c>
      <c r="N45" s="17" t="s">
        <v>25001</v>
      </c>
      <c r="O45" s="17" t="s">
        <v>22760</v>
      </c>
      <c r="P45" s="17" t="str">
        <f>HYPERLINK("https://dexscreener.com/solana/9koJWK1JQRsvTCgMH9X3txrbjVfSMvzrzFa8uRyzpump", "View")</f>
        <v>View</v>
      </c>
    </row>
    <row r="46" spans="1:16" x14ac:dyDescent="0.25">
      <c r="A46" s="13" t="s">
        <v>25002</v>
      </c>
      <c r="B46" s="14">
        <v>365469</v>
      </c>
      <c r="C46" s="14">
        <v>0</v>
      </c>
      <c r="D46" s="14" t="s">
        <v>1882</v>
      </c>
      <c r="E46" s="14" t="s">
        <v>5635</v>
      </c>
      <c r="F46" s="14" t="s">
        <v>96</v>
      </c>
      <c r="G46" s="18" t="s">
        <v>16947</v>
      </c>
      <c r="H46" s="18" t="s">
        <v>98</v>
      </c>
      <c r="I46" s="14" t="s">
        <v>25003</v>
      </c>
      <c r="J46" s="14">
        <v>1</v>
      </c>
      <c r="K46" s="14">
        <v>0</v>
      </c>
      <c r="L46" s="14" t="s">
        <v>25004</v>
      </c>
      <c r="M46" s="19" t="s">
        <v>101</v>
      </c>
      <c r="N46" s="14" t="s">
        <v>22863</v>
      </c>
      <c r="O46" s="14" t="s">
        <v>25005</v>
      </c>
      <c r="P46" s="14" t="str">
        <f>HYPERLINK("https://photon-sol.tinyastro.io/en/lp/2tphwWyxwqCMpVpri1NwCEJjZ8fpbTqXYkCRWC3npump?handle=676050794bc1b1657a56b", "View")</f>
        <v>View</v>
      </c>
    </row>
    <row r="47" spans="1:16" x14ac:dyDescent="0.25">
      <c r="A47" s="16" t="s">
        <v>25006</v>
      </c>
      <c r="B47" s="17">
        <v>363868</v>
      </c>
      <c r="C47" s="17">
        <v>363868</v>
      </c>
      <c r="D47" s="17" t="s">
        <v>1813</v>
      </c>
      <c r="E47" s="17" t="s">
        <v>4396</v>
      </c>
      <c r="F47" s="17" t="s">
        <v>2653</v>
      </c>
      <c r="G47" s="22" t="s">
        <v>5311</v>
      </c>
      <c r="H47" s="22" t="s">
        <v>25007</v>
      </c>
      <c r="I47" s="17" t="s">
        <v>88</v>
      </c>
      <c r="J47" s="17">
        <v>1</v>
      </c>
      <c r="K47" s="17">
        <v>1</v>
      </c>
      <c r="L47" s="17" t="s">
        <v>25008</v>
      </c>
      <c r="M47" s="17" t="s">
        <v>1610</v>
      </c>
      <c r="N47" s="17" t="s">
        <v>25009</v>
      </c>
      <c r="O47" s="17" t="s">
        <v>25010</v>
      </c>
      <c r="P47" s="17" t="str">
        <f>HYPERLINK("https://dexscreener.com/solana/oRPhFMGePEsQRRnLfjZ5c6JkXfY5t3vkgFpAZF5pump", "View")</f>
        <v>View</v>
      </c>
    </row>
    <row r="48" spans="1:16" x14ac:dyDescent="0.25">
      <c r="A48" s="13" t="s">
        <v>25011</v>
      </c>
      <c r="B48" s="14">
        <v>175164</v>
      </c>
      <c r="C48" s="14">
        <v>0</v>
      </c>
      <c r="D48" s="14" t="s">
        <v>1882</v>
      </c>
      <c r="E48" s="14" t="s">
        <v>4665</v>
      </c>
      <c r="F48" s="14" t="s">
        <v>96</v>
      </c>
      <c r="G48" s="18" t="s">
        <v>3866</v>
      </c>
      <c r="H48" s="18" t="s">
        <v>98</v>
      </c>
      <c r="I48" s="14" t="s">
        <v>25012</v>
      </c>
      <c r="J48" s="14">
        <v>1</v>
      </c>
      <c r="K48" s="14">
        <v>0</v>
      </c>
      <c r="L48" s="14" t="s">
        <v>25013</v>
      </c>
      <c r="M48" s="19" t="s">
        <v>101</v>
      </c>
      <c r="N48" s="14" t="s">
        <v>25014</v>
      </c>
      <c r="O48" s="14" t="s">
        <v>25015</v>
      </c>
      <c r="P48" s="14" t="str">
        <f>HYPERLINK("https://dexscreener.com/solana/GdKsnBv3kCXQnXSVo3Gyx5rVT5h6ynvUurnUasM9pump", "View")</f>
        <v>View</v>
      </c>
    </row>
    <row r="49" spans="1:16" x14ac:dyDescent="0.25">
      <c r="A49" s="16" t="s">
        <v>25016</v>
      </c>
      <c r="B49" s="17">
        <v>612713</v>
      </c>
      <c r="C49" s="17">
        <v>612713</v>
      </c>
      <c r="D49" s="17" t="s">
        <v>1813</v>
      </c>
      <c r="E49" s="17" t="s">
        <v>4945</v>
      </c>
      <c r="F49" s="17" t="s">
        <v>5534</v>
      </c>
      <c r="G49" s="20" t="s">
        <v>5692</v>
      </c>
      <c r="H49" s="20" t="s">
        <v>25017</v>
      </c>
      <c r="I49" s="17" t="s">
        <v>88</v>
      </c>
      <c r="J49" s="17">
        <v>1</v>
      </c>
      <c r="K49" s="17">
        <v>1</v>
      </c>
      <c r="L49" s="17" t="s">
        <v>25018</v>
      </c>
      <c r="M49" s="17" t="s">
        <v>3304</v>
      </c>
      <c r="N49" s="17" t="s">
        <v>1541</v>
      </c>
      <c r="O49" s="17" t="s">
        <v>25019</v>
      </c>
      <c r="P49" s="17" t="str">
        <f>HYPERLINK("https://photon-sol.tinyastro.io/en/lp/NvvLLo9FbqSmiuhYFbobhhLHkWjQuo82FmBJfNApump?handle=676050794bc1b1657a56b", "View")</f>
        <v>View</v>
      </c>
    </row>
    <row r="50" spans="1:16" x14ac:dyDescent="0.25">
      <c r="A50" s="13" t="s">
        <v>25020</v>
      </c>
      <c r="B50" s="14">
        <v>200228</v>
      </c>
      <c r="C50" s="14">
        <v>0</v>
      </c>
      <c r="D50" s="14" t="s">
        <v>10157</v>
      </c>
      <c r="E50" s="14" t="s">
        <v>17833</v>
      </c>
      <c r="F50" s="14" t="s">
        <v>96</v>
      </c>
      <c r="G50" s="18" t="s">
        <v>4026</v>
      </c>
      <c r="H50" s="18" t="s">
        <v>98</v>
      </c>
      <c r="I50" s="14" t="s">
        <v>25021</v>
      </c>
      <c r="J50" s="14">
        <v>1</v>
      </c>
      <c r="K50" s="14">
        <v>0</v>
      </c>
      <c r="L50" s="14" t="s">
        <v>25022</v>
      </c>
      <c r="M50" s="19" t="s">
        <v>101</v>
      </c>
      <c r="N50" s="14" t="s">
        <v>1240</v>
      </c>
      <c r="O50" s="14" t="s">
        <v>25023</v>
      </c>
      <c r="P50" s="14" t="str">
        <f>HYPERLINK("https://photon-sol.tinyastro.io/en/lp/6WL4ApvMFWLkxE4Sfmfj2WkRkiipfuNN975NRypJpump?handle=676050794bc1b1657a56b", "View")</f>
        <v>View</v>
      </c>
    </row>
    <row r="51" spans="1:16" x14ac:dyDescent="0.25">
      <c r="A51" s="16" t="s">
        <v>25024</v>
      </c>
      <c r="B51" s="17">
        <v>430522</v>
      </c>
      <c r="C51" s="17">
        <v>0</v>
      </c>
      <c r="D51" s="17" t="s">
        <v>10157</v>
      </c>
      <c r="E51" s="17" t="s">
        <v>3126</v>
      </c>
      <c r="F51" s="17" t="s">
        <v>96</v>
      </c>
      <c r="G51" s="18" t="s">
        <v>3537</v>
      </c>
      <c r="H51" s="18" t="s">
        <v>98</v>
      </c>
      <c r="I51" s="17" t="s">
        <v>25025</v>
      </c>
      <c r="J51" s="17">
        <v>1</v>
      </c>
      <c r="K51" s="17">
        <v>0</v>
      </c>
      <c r="L51" s="17" t="s">
        <v>25026</v>
      </c>
      <c r="M51" s="19" t="s">
        <v>101</v>
      </c>
      <c r="N51" s="17" t="s">
        <v>25027</v>
      </c>
      <c r="O51" s="17" t="s">
        <v>25028</v>
      </c>
      <c r="P51" s="17" t="str">
        <f>HYPERLINK("https://photon-sol.tinyastro.io/en/lp/JBJqM1mrqwHGqP1n5mkjE2A7D8coD4Z58YRPSjxEpump?handle=676050794bc1b1657a56b", "View")</f>
        <v>View</v>
      </c>
    </row>
    <row r="52" spans="1:16" x14ac:dyDescent="0.25">
      <c r="A52" s="13" t="s">
        <v>25029</v>
      </c>
      <c r="B52" s="14">
        <v>731355</v>
      </c>
      <c r="C52" s="14">
        <v>731355</v>
      </c>
      <c r="D52" s="14" t="s">
        <v>24454</v>
      </c>
      <c r="E52" s="14" t="s">
        <v>4665</v>
      </c>
      <c r="F52" s="14" t="s">
        <v>25030</v>
      </c>
      <c r="G52" s="21" t="s">
        <v>15038</v>
      </c>
      <c r="H52" s="21" t="s">
        <v>25031</v>
      </c>
      <c r="I52" s="14" t="s">
        <v>88</v>
      </c>
      <c r="J52" s="14">
        <v>2</v>
      </c>
      <c r="K52" s="14">
        <v>2</v>
      </c>
      <c r="L52" s="14" t="s">
        <v>25032</v>
      </c>
      <c r="M52" s="14" t="s">
        <v>304</v>
      </c>
      <c r="N52" s="14" t="s">
        <v>25033</v>
      </c>
      <c r="O52" s="14" t="s">
        <v>25034</v>
      </c>
      <c r="P52" s="14" t="str">
        <f>HYPERLINK("https://dexscreener.com/solana/D8xDLMFNyf3ZGSh9JLCwvQfwhASG6Tmycen3ZNNEBULA", "View")</f>
        <v>View</v>
      </c>
    </row>
    <row r="53" spans="1:16" x14ac:dyDescent="0.25">
      <c r="A53" s="16" t="s">
        <v>12145</v>
      </c>
      <c r="B53" s="17">
        <v>189111</v>
      </c>
      <c r="C53" s="17">
        <v>0</v>
      </c>
      <c r="D53" s="17" t="s">
        <v>10157</v>
      </c>
      <c r="E53" s="17" t="s">
        <v>5746</v>
      </c>
      <c r="F53" s="17" t="s">
        <v>96</v>
      </c>
      <c r="G53" s="18" t="s">
        <v>6249</v>
      </c>
      <c r="H53" s="18" t="s">
        <v>98</v>
      </c>
      <c r="I53" s="17" t="s">
        <v>25035</v>
      </c>
      <c r="J53" s="17">
        <v>1</v>
      </c>
      <c r="K53" s="17">
        <v>0</v>
      </c>
      <c r="L53" s="17" t="s">
        <v>25036</v>
      </c>
      <c r="M53" s="19" t="s">
        <v>101</v>
      </c>
      <c r="N53" s="17" t="s">
        <v>11726</v>
      </c>
      <c r="O53" s="17" t="s">
        <v>25037</v>
      </c>
      <c r="P53" s="17" t="str">
        <f>HYPERLINK("https://photon-sol.tinyastro.io/en/lp/zUuNtWJsBt93iKmny9fkqLBind3U9YcATn2fqVD2arg?handle=676050794bc1b1657a56b", "View")</f>
        <v>View</v>
      </c>
    </row>
    <row r="54" spans="1:16" x14ac:dyDescent="0.25">
      <c r="A54" s="13" t="s">
        <v>10054</v>
      </c>
      <c r="B54" s="14">
        <v>106660</v>
      </c>
      <c r="C54" s="14">
        <v>0</v>
      </c>
      <c r="D54" s="14" t="s">
        <v>10157</v>
      </c>
      <c r="E54" s="14" t="s">
        <v>4396</v>
      </c>
      <c r="F54" s="14" t="s">
        <v>96</v>
      </c>
      <c r="G54" s="18" t="s">
        <v>15868</v>
      </c>
      <c r="H54" s="18" t="s">
        <v>98</v>
      </c>
      <c r="I54" s="14" t="s">
        <v>25038</v>
      </c>
      <c r="J54" s="14">
        <v>1</v>
      </c>
      <c r="K54" s="14">
        <v>0</v>
      </c>
      <c r="L54" s="14" t="s">
        <v>25039</v>
      </c>
      <c r="M54" s="19" t="s">
        <v>101</v>
      </c>
      <c r="N54" s="14" t="s">
        <v>19846</v>
      </c>
      <c r="O54" s="14" t="s">
        <v>10059</v>
      </c>
      <c r="P54" s="14" t="str">
        <f>HYPERLINK("https://dexscreener.com/solana/8LRpgKZU7e1ckqo6qFMCVmhHNRUAAwu1Nfkc37StXCRs", "View")</f>
        <v>View</v>
      </c>
    </row>
    <row r="55" spans="1:16" x14ac:dyDescent="0.25">
      <c r="A55" s="16" t="s">
        <v>25040</v>
      </c>
      <c r="B55" s="17">
        <v>812667</v>
      </c>
      <c r="C55" s="17">
        <v>812667</v>
      </c>
      <c r="D55" s="17" t="s">
        <v>8469</v>
      </c>
      <c r="E55" s="17" t="s">
        <v>5746</v>
      </c>
      <c r="F55" s="17" t="s">
        <v>5705</v>
      </c>
      <c r="G55" s="15" t="s">
        <v>4990</v>
      </c>
      <c r="H55" s="15" t="s">
        <v>25041</v>
      </c>
      <c r="I55" s="17" t="s">
        <v>88</v>
      </c>
      <c r="J55" s="17">
        <v>1</v>
      </c>
      <c r="K55" s="17">
        <v>1</v>
      </c>
      <c r="L55" s="17" t="s">
        <v>25042</v>
      </c>
      <c r="M55" s="17" t="s">
        <v>699</v>
      </c>
      <c r="N55" s="17" t="s">
        <v>5302</v>
      </c>
      <c r="O55" s="17" t="s">
        <v>25043</v>
      </c>
      <c r="P55" s="17" t="str">
        <f>HYPERLINK("https://photon-sol.tinyastro.io/en/lp/46RL8bp9ctxMmNQDiMocKzNyqMrZnY9LhCFJU46Bpump?handle=676050794bc1b1657a56b", "View")</f>
        <v>View</v>
      </c>
    </row>
    <row r="56" spans="1:16" x14ac:dyDescent="0.25">
      <c r="A56" s="13" t="s">
        <v>25044</v>
      </c>
      <c r="B56" s="14">
        <v>315895</v>
      </c>
      <c r="C56" s="14">
        <v>315895</v>
      </c>
      <c r="D56" s="14" t="s">
        <v>8469</v>
      </c>
      <c r="E56" s="14" t="s">
        <v>4396</v>
      </c>
      <c r="F56" s="14" t="s">
        <v>5753</v>
      </c>
      <c r="G56" s="15" t="s">
        <v>1846</v>
      </c>
      <c r="H56" s="15" t="s">
        <v>24898</v>
      </c>
      <c r="I56" s="14" t="s">
        <v>88</v>
      </c>
      <c r="J56" s="14">
        <v>1</v>
      </c>
      <c r="K56" s="14">
        <v>1</v>
      </c>
      <c r="L56" s="14" t="s">
        <v>25045</v>
      </c>
      <c r="M56" s="14" t="s">
        <v>699</v>
      </c>
      <c r="N56" s="14" t="s">
        <v>25046</v>
      </c>
      <c r="O56" s="14" t="s">
        <v>25047</v>
      </c>
      <c r="P56" s="14" t="str">
        <f>HYPERLINK("https://dexscreener.com/solana/CFmx5Qv5mHEvnAeEB7khfaXKdsCTPsM6nNcdHaTdpump", "View")</f>
        <v>View</v>
      </c>
    </row>
    <row r="57" spans="1:16" x14ac:dyDescent="0.25">
      <c r="A57" s="16" t="s">
        <v>25048</v>
      </c>
      <c r="B57" s="17">
        <v>1477846</v>
      </c>
      <c r="C57" s="17">
        <v>1477846</v>
      </c>
      <c r="D57" s="17" t="s">
        <v>8469</v>
      </c>
      <c r="E57" s="17" t="s">
        <v>5226</v>
      </c>
      <c r="F57" s="17" t="s">
        <v>3531</v>
      </c>
      <c r="G57" s="15" t="s">
        <v>3652</v>
      </c>
      <c r="H57" s="15" t="s">
        <v>25049</v>
      </c>
      <c r="I57" s="17" t="s">
        <v>88</v>
      </c>
      <c r="J57" s="17">
        <v>1</v>
      </c>
      <c r="K57" s="17">
        <v>1</v>
      </c>
      <c r="L57" s="17" t="s">
        <v>25050</v>
      </c>
      <c r="M57" s="17" t="s">
        <v>699</v>
      </c>
      <c r="N57" s="17" t="s">
        <v>3908</v>
      </c>
      <c r="O57" s="17" t="s">
        <v>25051</v>
      </c>
      <c r="P57" s="17" t="str">
        <f>HYPERLINK("https://photon-sol.tinyastro.io/en/lp/J7i6obMmyDEU1DwhyJ9DhE2dV2hvi1p42CAWvHL3pump?handle=676050794bc1b1657a56b", "View")</f>
        <v>View</v>
      </c>
    </row>
    <row r="58" spans="1:16" x14ac:dyDescent="0.25">
      <c r="A58" s="13" t="s">
        <v>144</v>
      </c>
      <c r="B58" s="14">
        <v>11141</v>
      </c>
      <c r="C58" s="14">
        <v>11141</v>
      </c>
      <c r="D58" s="14" t="s">
        <v>10230</v>
      </c>
      <c r="E58" s="14" t="s">
        <v>4665</v>
      </c>
      <c r="F58" s="14" t="s">
        <v>5098</v>
      </c>
      <c r="G58" s="20" t="s">
        <v>5681</v>
      </c>
      <c r="H58" s="20" t="s">
        <v>25052</v>
      </c>
      <c r="I58" s="14" t="s">
        <v>88</v>
      </c>
      <c r="J58" s="14">
        <v>1</v>
      </c>
      <c r="K58" s="14">
        <v>1</v>
      </c>
      <c r="L58" s="14" t="s">
        <v>25053</v>
      </c>
      <c r="M58" s="14" t="s">
        <v>231</v>
      </c>
      <c r="N58" s="14" t="s">
        <v>25054</v>
      </c>
      <c r="O58" s="14" t="s">
        <v>152</v>
      </c>
      <c r="P58" s="14" t="str">
        <f>HYPERLINK("https://dexscreener.com/solana/66gsTs88mXJ5L4AtJnWqFW6H2L5YQDRy4W41y6zbpump", "View")</f>
        <v>View</v>
      </c>
    </row>
    <row r="59" spans="1:16" x14ac:dyDescent="0.25">
      <c r="A59" s="16" t="s">
        <v>19817</v>
      </c>
      <c r="B59" s="17">
        <v>217141</v>
      </c>
      <c r="C59" s="17">
        <v>217141</v>
      </c>
      <c r="D59" s="17" t="s">
        <v>1691</v>
      </c>
      <c r="E59" s="17" t="s">
        <v>5608</v>
      </c>
      <c r="F59" s="17" t="s">
        <v>5675</v>
      </c>
      <c r="G59" s="22" t="s">
        <v>15901</v>
      </c>
      <c r="H59" s="22" t="s">
        <v>25055</v>
      </c>
      <c r="I59" s="17" t="s">
        <v>88</v>
      </c>
      <c r="J59" s="17">
        <v>1</v>
      </c>
      <c r="K59" s="17">
        <v>2</v>
      </c>
      <c r="L59" s="17" t="s">
        <v>25056</v>
      </c>
      <c r="M59" s="17" t="s">
        <v>1705</v>
      </c>
      <c r="N59" s="17" t="s">
        <v>25057</v>
      </c>
      <c r="O59" s="17" t="s">
        <v>19823</v>
      </c>
      <c r="P59" s="17" t="str">
        <f>HYPERLINK("https://photon-sol.tinyastro.io/en/lp/8Uta7sNbvr7mXR4bn9zSLW4KaGZn8ULK4GFHPjSCvjmR?handle=676050794bc1b1657a56b", "View")</f>
        <v>View</v>
      </c>
    </row>
    <row r="60" spans="1:16" x14ac:dyDescent="0.25">
      <c r="A60" s="13" t="s">
        <v>23057</v>
      </c>
      <c r="B60" s="14">
        <v>8645</v>
      </c>
      <c r="C60" s="14">
        <v>0</v>
      </c>
      <c r="D60" s="14" t="s">
        <v>1882</v>
      </c>
      <c r="E60" s="14" t="s">
        <v>5919</v>
      </c>
      <c r="F60" s="14" t="s">
        <v>96</v>
      </c>
      <c r="G60" s="18" t="s">
        <v>3023</v>
      </c>
      <c r="H60" s="18" t="s">
        <v>98</v>
      </c>
      <c r="I60" s="14" t="s">
        <v>25058</v>
      </c>
      <c r="J60" s="14">
        <v>1</v>
      </c>
      <c r="K60" s="14">
        <v>0</v>
      </c>
      <c r="L60" s="14" t="s">
        <v>25059</v>
      </c>
      <c r="M60" s="19" t="s">
        <v>101</v>
      </c>
      <c r="N60" s="14" t="s">
        <v>25060</v>
      </c>
      <c r="O60" s="14" t="s">
        <v>23757</v>
      </c>
      <c r="P60" s="14" t="str">
        <f>HYPERLINK("https://dexscreener.com/solana/6ehL2VqmPAtn4c3pLkAJd2ah4sAzKEL4nmwxh2b7pump", "View")</f>
        <v>View</v>
      </c>
    </row>
    <row r="61" spans="1:16" x14ac:dyDescent="0.25">
      <c r="A61" s="16" t="s">
        <v>558</v>
      </c>
      <c r="B61" s="17">
        <v>8636</v>
      </c>
      <c r="C61" s="17">
        <v>8636</v>
      </c>
      <c r="D61" s="17" t="s">
        <v>1813</v>
      </c>
      <c r="E61" s="17" t="s">
        <v>4396</v>
      </c>
      <c r="F61" s="17" t="s">
        <v>2623</v>
      </c>
      <c r="G61" s="20" t="s">
        <v>23889</v>
      </c>
      <c r="H61" s="20" t="s">
        <v>25061</v>
      </c>
      <c r="I61" s="17" t="s">
        <v>88</v>
      </c>
      <c r="J61" s="17">
        <v>1</v>
      </c>
      <c r="K61" s="17">
        <v>1</v>
      </c>
      <c r="L61" s="17" t="s">
        <v>25062</v>
      </c>
      <c r="M61" s="17" t="s">
        <v>937</v>
      </c>
      <c r="N61" s="17" t="s">
        <v>25063</v>
      </c>
      <c r="O61" s="17" t="s">
        <v>25064</v>
      </c>
      <c r="P61" s="17" t="str">
        <f>HYPERLINK("https://dexscreener.com/solana/451zhKaaoX9jt68s5rWpmSKp8uKSu9LZwNmsj5XLpump", "View")</f>
        <v>View</v>
      </c>
    </row>
    <row r="62" spans="1:16" x14ac:dyDescent="0.25">
      <c r="A62" s="13" t="s">
        <v>25065</v>
      </c>
      <c r="B62" s="14">
        <v>29007</v>
      </c>
      <c r="C62" s="14">
        <v>0</v>
      </c>
      <c r="D62" s="14" t="s">
        <v>10157</v>
      </c>
      <c r="E62" s="14" t="s">
        <v>4396</v>
      </c>
      <c r="F62" s="14" t="s">
        <v>96</v>
      </c>
      <c r="G62" s="18" t="s">
        <v>15868</v>
      </c>
      <c r="H62" s="18" t="s">
        <v>98</v>
      </c>
      <c r="I62" s="14" t="s">
        <v>25066</v>
      </c>
      <c r="J62" s="14">
        <v>1</v>
      </c>
      <c r="K62" s="14">
        <v>0</v>
      </c>
      <c r="L62" s="14" t="s">
        <v>25067</v>
      </c>
      <c r="M62" s="19" t="s">
        <v>101</v>
      </c>
      <c r="N62" s="14" t="s">
        <v>25068</v>
      </c>
      <c r="O62" s="14" t="s">
        <v>25069</v>
      </c>
      <c r="P62" s="14" t="str">
        <f>HYPERLINK("https://dexscreener.com/solana/ErRNM6LhrSLVHt42m1FpMdretssiMaN7j6YM4hKnWcVM", "View")</f>
        <v>View</v>
      </c>
    </row>
    <row r="63" spans="1:16" x14ac:dyDescent="0.25">
      <c r="A63" s="16" t="s">
        <v>25070</v>
      </c>
      <c r="B63" s="17">
        <v>15721</v>
      </c>
      <c r="C63" s="17">
        <v>0</v>
      </c>
      <c r="D63" s="17" t="s">
        <v>10157</v>
      </c>
      <c r="E63" s="17" t="s">
        <v>5919</v>
      </c>
      <c r="F63" s="17" t="s">
        <v>96</v>
      </c>
      <c r="G63" s="18" t="s">
        <v>2760</v>
      </c>
      <c r="H63" s="18" t="s">
        <v>98</v>
      </c>
      <c r="I63" s="17" t="s">
        <v>25071</v>
      </c>
      <c r="J63" s="17">
        <v>1</v>
      </c>
      <c r="K63" s="17">
        <v>0</v>
      </c>
      <c r="L63" s="17" t="s">
        <v>25072</v>
      </c>
      <c r="M63" s="19" t="s">
        <v>101</v>
      </c>
      <c r="N63" s="17" t="s">
        <v>25073</v>
      </c>
      <c r="O63" s="17" t="s">
        <v>25074</v>
      </c>
      <c r="P63" s="17" t="str">
        <f>HYPERLINK("https://dexscreener.com/solana/DFy12AkbxKnR2s2gaYz1AvxgxqGDrMEjjzK1GG3Ypump", "View")</f>
        <v>View</v>
      </c>
    </row>
    <row r="64" spans="1:16" x14ac:dyDescent="0.25">
      <c r="A64" s="13" t="s">
        <v>817</v>
      </c>
      <c r="B64" s="14">
        <v>4212</v>
      </c>
      <c r="C64" s="14">
        <v>4212</v>
      </c>
      <c r="D64" s="14" t="s">
        <v>10230</v>
      </c>
      <c r="E64" s="14" t="s">
        <v>4665</v>
      </c>
      <c r="F64" s="14" t="s">
        <v>6269</v>
      </c>
      <c r="G64" s="20" t="s">
        <v>5849</v>
      </c>
      <c r="H64" s="20" t="s">
        <v>6112</v>
      </c>
      <c r="I64" s="14" t="s">
        <v>88</v>
      </c>
      <c r="J64" s="14">
        <v>1</v>
      </c>
      <c r="K64" s="14">
        <v>1</v>
      </c>
      <c r="L64" s="14" t="s">
        <v>25075</v>
      </c>
      <c r="M64" s="14" t="s">
        <v>117</v>
      </c>
      <c r="N64" s="14" t="s">
        <v>25076</v>
      </c>
      <c r="O64" s="14" t="s">
        <v>825</v>
      </c>
      <c r="P64" s="14" t="str">
        <f>HYPERLINK("https://dexscreener.com/solana/DwDtUqBZJtbRpdjsFw3N7YKB5epocSru25BGcVhfcYtg", "View")</f>
        <v>View</v>
      </c>
    </row>
    <row r="65" spans="1:16" x14ac:dyDescent="0.25">
      <c r="A65" s="16" t="s">
        <v>25077</v>
      </c>
      <c r="B65" s="17">
        <v>841936</v>
      </c>
      <c r="C65" s="17">
        <v>841936</v>
      </c>
      <c r="D65" s="17" t="s">
        <v>8469</v>
      </c>
      <c r="E65" s="17" t="s">
        <v>3481</v>
      </c>
      <c r="F65" s="17" t="s">
        <v>6151</v>
      </c>
      <c r="G65" s="20" t="s">
        <v>4880</v>
      </c>
      <c r="H65" s="20" t="s">
        <v>25078</v>
      </c>
      <c r="I65" s="17" t="s">
        <v>88</v>
      </c>
      <c r="J65" s="17">
        <v>1</v>
      </c>
      <c r="K65" s="17">
        <v>1</v>
      </c>
      <c r="L65" s="17" t="s">
        <v>25079</v>
      </c>
      <c r="M65" s="17" t="s">
        <v>1434</v>
      </c>
      <c r="N65" s="17" t="s">
        <v>3188</v>
      </c>
      <c r="O65" s="17" t="s">
        <v>25080</v>
      </c>
      <c r="P65" s="17" t="str">
        <f>HYPERLINK("https://photon-sol.tinyastro.io/en/lp/HnFtjYrxKJmueVYPKZ7kaE1bEWFKm9j6FeMwt3qopump?handle=676050794bc1b1657a56b", "View")</f>
        <v>View</v>
      </c>
    </row>
    <row r="66" spans="1:16" x14ac:dyDescent="0.25">
      <c r="A66" s="13" t="s">
        <v>4518</v>
      </c>
      <c r="B66" s="14">
        <v>149371</v>
      </c>
      <c r="C66" s="14">
        <v>135368</v>
      </c>
      <c r="D66" s="14" t="s">
        <v>1654</v>
      </c>
      <c r="E66" s="14" t="s">
        <v>17833</v>
      </c>
      <c r="F66" s="14" t="s">
        <v>25081</v>
      </c>
      <c r="G66" s="21" t="s">
        <v>25082</v>
      </c>
      <c r="H66" s="21" t="s">
        <v>25083</v>
      </c>
      <c r="I66" s="14" t="s">
        <v>88</v>
      </c>
      <c r="J66" s="14">
        <v>1</v>
      </c>
      <c r="K66" s="14">
        <v>5</v>
      </c>
      <c r="L66" s="14" t="s">
        <v>25084</v>
      </c>
      <c r="M66" s="14" t="s">
        <v>699</v>
      </c>
      <c r="N66" s="14" t="s">
        <v>25085</v>
      </c>
      <c r="O66" s="14" t="s">
        <v>4525</v>
      </c>
      <c r="P66" s="14" t="str">
        <f>HYPERLINK("https://photon-sol.tinyastro.io/en/lp/FqvtZ2UFR9we82Ni4LeacC1zyTiQ77usDo31DUokpump?handle=676050794bc1b1657a56b", "View")</f>
        <v>View</v>
      </c>
    </row>
    <row r="67" spans="1:16" x14ac:dyDescent="0.25">
      <c r="A67" s="16" t="s">
        <v>25086</v>
      </c>
      <c r="B67" s="17">
        <v>204565</v>
      </c>
      <c r="C67" s="17">
        <v>204565</v>
      </c>
      <c r="D67" s="17" t="s">
        <v>8469</v>
      </c>
      <c r="E67" s="17" t="s">
        <v>4869</v>
      </c>
      <c r="F67" s="17" t="s">
        <v>5687</v>
      </c>
      <c r="G67" s="20" t="s">
        <v>5733</v>
      </c>
      <c r="H67" s="20" t="s">
        <v>25087</v>
      </c>
      <c r="I67" s="17" t="s">
        <v>88</v>
      </c>
      <c r="J67" s="17">
        <v>1</v>
      </c>
      <c r="K67" s="17">
        <v>1</v>
      </c>
      <c r="L67" s="17" t="s">
        <v>25088</v>
      </c>
      <c r="M67" s="17" t="s">
        <v>1705</v>
      </c>
      <c r="N67" s="17" t="s">
        <v>25089</v>
      </c>
      <c r="O67" s="17" t="s">
        <v>25090</v>
      </c>
      <c r="P67" s="17" t="str">
        <f>HYPERLINK("https://photon-sol.tinyastro.io/en/lp/9T19XHvurQ2YFyNY31AGtQdhhfoAaHT5jaiCRMJrpump?handle=676050794bc1b1657a56b", "View")</f>
        <v>View</v>
      </c>
    </row>
    <row r="68" spans="1:16" x14ac:dyDescent="0.25">
      <c r="A68" s="13" t="s">
        <v>25091</v>
      </c>
      <c r="B68" s="14">
        <v>63961</v>
      </c>
      <c r="C68" s="14">
        <v>63961</v>
      </c>
      <c r="D68" s="14" t="s">
        <v>8469</v>
      </c>
      <c r="E68" s="14" t="s">
        <v>5919</v>
      </c>
      <c r="F68" s="14" t="s">
        <v>5837</v>
      </c>
      <c r="G68" s="21" t="s">
        <v>4086</v>
      </c>
      <c r="H68" s="21" t="s">
        <v>25092</v>
      </c>
      <c r="I68" s="14" t="s">
        <v>88</v>
      </c>
      <c r="J68" s="14">
        <v>1</v>
      </c>
      <c r="K68" s="14">
        <v>1</v>
      </c>
      <c r="L68" s="14" t="s">
        <v>25093</v>
      </c>
      <c r="M68" s="14" t="s">
        <v>1448</v>
      </c>
      <c r="N68" s="14" t="s">
        <v>25094</v>
      </c>
      <c r="O68" s="14" t="s">
        <v>25095</v>
      </c>
      <c r="P68" s="14" t="str">
        <f>HYPERLINK("https://dexscreener.com/solana/5hQUyV2UudJ4P87B1A7o94s3wRpToadr5Sakqywpump", "View")</f>
        <v>View</v>
      </c>
    </row>
    <row r="69" spans="1:16" x14ac:dyDescent="0.25">
      <c r="A69" s="16" t="s">
        <v>7009</v>
      </c>
      <c r="B69" s="17">
        <v>18081</v>
      </c>
      <c r="C69" s="17">
        <v>18081</v>
      </c>
      <c r="D69" s="17" t="s">
        <v>8469</v>
      </c>
      <c r="E69" s="17" t="s">
        <v>5919</v>
      </c>
      <c r="F69" s="17" t="s">
        <v>3972</v>
      </c>
      <c r="G69" s="20" t="s">
        <v>2059</v>
      </c>
      <c r="H69" s="20" t="s">
        <v>25096</v>
      </c>
      <c r="I69" s="17" t="s">
        <v>88</v>
      </c>
      <c r="J69" s="17">
        <v>1</v>
      </c>
      <c r="K69" s="17">
        <v>1</v>
      </c>
      <c r="L69" s="17" t="s">
        <v>25097</v>
      </c>
      <c r="M69" s="17" t="s">
        <v>1610</v>
      </c>
      <c r="N69" s="17" t="s">
        <v>25098</v>
      </c>
      <c r="O69" s="17" t="s">
        <v>7015</v>
      </c>
      <c r="P69" s="17" t="str">
        <f>HYPERLINK("https://dexscreener.com/solana/AnnG2PnH4ijFrbAf6G6MWXHtrwUxT8bkyd5MJNnCpump", "View")</f>
        <v>View</v>
      </c>
    </row>
    <row r="70" spans="1:16" x14ac:dyDescent="0.25">
      <c r="A70" s="13" t="s">
        <v>7023</v>
      </c>
      <c r="B70" s="14">
        <v>115607</v>
      </c>
      <c r="C70" s="14">
        <v>0</v>
      </c>
      <c r="D70" s="14" t="s">
        <v>10157</v>
      </c>
      <c r="E70" s="14" t="s">
        <v>4396</v>
      </c>
      <c r="F70" s="14" t="s">
        <v>96</v>
      </c>
      <c r="G70" s="18" t="s">
        <v>15868</v>
      </c>
      <c r="H70" s="18" t="s">
        <v>98</v>
      </c>
      <c r="I70" s="14" t="s">
        <v>25099</v>
      </c>
      <c r="J70" s="14">
        <v>1</v>
      </c>
      <c r="K70" s="14">
        <v>0</v>
      </c>
      <c r="L70" s="14" t="s">
        <v>25100</v>
      </c>
      <c r="M70" s="19" t="s">
        <v>101</v>
      </c>
      <c r="N70" s="14" t="s">
        <v>10138</v>
      </c>
      <c r="O70" s="14" t="s">
        <v>7030</v>
      </c>
      <c r="P70" s="14" t="str">
        <f>HYPERLINK("https://dexscreener.com/solana/2u4p6KLLNo1kARvq4oxtgbTCbZnogUpVgdmqnuYApump", "View")</f>
        <v>View</v>
      </c>
    </row>
    <row r="71" spans="1:16" x14ac:dyDescent="0.25">
      <c r="A71" s="16" t="s">
        <v>25101</v>
      </c>
      <c r="B71" s="17">
        <v>428666</v>
      </c>
      <c r="C71" s="17">
        <v>0</v>
      </c>
      <c r="D71" s="17" t="s">
        <v>10157</v>
      </c>
      <c r="E71" s="17" t="s">
        <v>3659</v>
      </c>
      <c r="F71" s="17" t="s">
        <v>96</v>
      </c>
      <c r="G71" s="18" t="s">
        <v>1977</v>
      </c>
      <c r="H71" s="18" t="s">
        <v>98</v>
      </c>
      <c r="I71" s="17" t="s">
        <v>25102</v>
      </c>
      <c r="J71" s="17">
        <v>1</v>
      </c>
      <c r="K71" s="17">
        <v>0</v>
      </c>
      <c r="L71" s="17" t="s">
        <v>25103</v>
      </c>
      <c r="M71" s="19" t="s">
        <v>101</v>
      </c>
      <c r="N71" s="17" t="s">
        <v>16756</v>
      </c>
      <c r="O71" s="17" t="s">
        <v>25104</v>
      </c>
      <c r="P71" s="17" t="str">
        <f>HYPERLINK("https://photon-sol.tinyastro.io/en/lp/5m5oSnEF7zFP5DwnTFqJndjraEukA427ZwmKmQAcpump?handle=676050794bc1b1657a56b", "View")</f>
        <v>View</v>
      </c>
    </row>
    <row r="72" spans="1:16" x14ac:dyDescent="0.25">
      <c r="A72" s="13" t="s">
        <v>25105</v>
      </c>
      <c r="B72" s="14">
        <v>193698</v>
      </c>
      <c r="C72" s="14">
        <v>193698</v>
      </c>
      <c r="D72" s="14" t="s">
        <v>8469</v>
      </c>
      <c r="E72" s="14" t="s">
        <v>4396</v>
      </c>
      <c r="F72" s="14" t="s">
        <v>4924</v>
      </c>
      <c r="G72" s="15" t="s">
        <v>9401</v>
      </c>
      <c r="H72" s="15" t="s">
        <v>25106</v>
      </c>
      <c r="I72" s="14" t="s">
        <v>88</v>
      </c>
      <c r="J72" s="14">
        <v>1</v>
      </c>
      <c r="K72" s="14">
        <v>1</v>
      </c>
      <c r="L72" s="14" t="s">
        <v>25107</v>
      </c>
      <c r="M72" s="14" t="s">
        <v>937</v>
      </c>
      <c r="N72" s="14" t="s">
        <v>4998</v>
      </c>
      <c r="O72" s="14" t="s">
        <v>25108</v>
      </c>
      <c r="P72" s="14" t="str">
        <f>HYPERLINK("https://dexscreener.com/solana/8GuEirDgihA5hCgGcHfXFZQzspSVf3msWN7M9K1fpump", "View")</f>
        <v>View</v>
      </c>
    </row>
    <row r="73" spans="1:16" x14ac:dyDescent="0.25">
      <c r="A73" s="16" t="s">
        <v>25109</v>
      </c>
      <c r="B73" s="17">
        <v>14839</v>
      </c>
      <c r="C73" s="17">
        <v>14839</v>
      </c>
      <c r="D73" s="17" t="s">
        <v>10230</v>
      </c>
      <c r="E73" s="17" t="s">
        <v>2200</v>
      </c>
      <c r="F73" s="17" t="s">
        <v>17014</v>
      </c>
      <c r="G73" s="15" t="s">
        <v>1156</v>
      </c>
      <c r="H73" s="15" t="s">
        <v>25110</v>
      </c>
      <c r="I73" s="17" t="s">
        <v>88</v>
      </c>
      <c r="J73" s="17">
        <v>1</v>
      </c>
      <c r="K73" s="17">
        <v>1</v>
      </c>
      <c r="L73" s="17" t="s">
        <v>25111</v>
      </c>
      <c r="M73" s="17" t="s">
        <v>414</v>
      </c>
      <c r="N73" s="17" t="s">
        <v>25112</v>
      </c>
      <c r="O73" s="17" t="s">
        <v>25113</v>
      </c>
      <c r="P73" s="17" t="str">
        <f>HYPERLINK("https://dexscreener.com/solana/33rVymHHPxfMvg4EHKBRF3h8a37cG7Et3eQWZzAkpump", "View")</f>
        <v>View</v>
      </c>
    </row>
    <row r="74" spans="1:16" x14ac:dyDescent="0.25">
      <c r="A74" s="13" t="s">
        <v>25114</v>
      </c>
      <c r="B74" s="14">
        <v>93639</v>
      </c>
      <c r="C74" s="14">
        <v>0</v>
      </c>
      <c r="D74" s="14" t="s">
        <v>10157</v>
      </c>
      <c r="E74" s="14" t="s">
        <v>5705</v>
      </c>
      <c r="F74" s="14" t="s">
        <v>96</v>
      </c>
      <c r="G74" s="18" t="s">
        <v>5589</v>
      </c>
      <c r="H74" s="18" t="s">
        <v>98</v>
      </c>
      <c r="I74" s="14" t="s">
        <v>25115</v>
      </c>
      <c r="J74" s="14">
        <v>1</v>
      </c>
      <c r="K74" s="14">
        <v>0</v>
      </c>
      <c r="L74" s="14" t="s">
        <v>25116</v>
      </c>
      <c r="M74" s="19" t="s">
        <v>101</v>
      </c>
      <c r="N74" s="14" t="s">
        <v>17187</v>
      </c>
      <c r="O74" s="14" t="s">
        <v>25117</v>
      </c>
      <c r="P74" s="14" t="str">
        <f>HYPERLINK("https://dexscreener.com/solana/GNa3ndLYHR6EbKNfpeg92UsRPn68XeojtQ3J9gMipump", "View")</f>
        <v>View</v>
      </c>
    </row>
    <row r="75" spans="1:16" x14ac:dyDescent="0.25">
      <c r="A75" s="16" t="s">
        <v>25118</v>
      </c>
      <c r="B75" s="17">
        <v>200678</v>
      </c>
      <c r="C75" s="17">
        <v>200678</v>
      </c>
      <c r="D75" s="17" t="s">
        <v>8469</v>
      </c>
      <c r="E75" s="17" t="s">
        <v>4396</v>
      </c>
      <c r="F75" s="17" t="s">
        <v>5345</v>
      </c>
      <c r="G75" s="22" t="s">
        <v>4706</v>
      </c>
      <c r="H75" s="22" t="s">
        <v>25119</v>
      </c>
      <c r="I75" s="17" t="s">
        <v>88</v>
      </c>
      <c r="J75" s="17">
        <v>1</v>
      </c>
      <c r="K75" s="17">
        <v>1</v>
      </c>
      <c r="L75" s="17" t="s">
        <v>25120</v>
      </c>
      <c r="M75" s="17" t="s">
        <v>680</v>
      </c>
      <c r="N75" s="17" t="s">
        <v>25121</v>
      </c>
      <c r="O75" s="17" t="s">
        <v>25122</v>
      </c>
      <c r="P75" s="17" t="str">
        <f>HYPERLINK("https://dexscreener.com/solana/HoCWaomS3AYW2wooARY8WySCdHxywzx5owmxotn7pump", "View")</f>
        <v>View</v>
      </c>
    </row>
    <row r="76" spans="1:16" x14ac:dyDescent="0.25">
      <c r="A76" s="13" t="s">
        <v>25123</v>
      </c>
      <c r="B76" s="14">
        <v>259893</v>
      </c>
      <c r="C76" s="14">
        <v>0</v>
      </c>
      <c r="D76" s="14" t="s">
        <v>10157</v>
      </c>
      <c r="E76" s="14" t="s">
        <v>2547</v>
      </c>
      <c r="F76" s="14" t="s">
        <v>96</v>
      </c>
      <c r="G76" s="18" t="s">
        <v>4695</v>
      </c>
      <c r="H76" s="18" t="s">
        <v>98</v>
      </c>
      <c r="I76" s="14" t="s">
        <v>25124</v>
      </c>
      <c r="J76" s="14">
        <v>1</v>
      </c>
      <c r="K76" s="14">
        <v>0</v>
      </c>
      <c r="L76" s="14" t="s">
        <v>25125</v>
      </c>
      <c r="M76" s="19" t="s">
        <v>101</v>
      </c>
      <c r="N76" s="14" t="s">
        <v>1393</v>
      </c>
      <c r="O76" s="14" t="s">
        <v>25126</v>
      </c>
      <c r="P76" s="14" t="str">
        <f>HYPERLINK("https://photon-sol.tinyastro.io/en/lp/9RgiiyXpnCf7KNUYUEBVk9ze8PPpy2aQCnd8o8Cpump?handle=676050794bc1b1657a56b", "View")</f>
        <v>View</v>
      </c>
    </row>
    <row r="77" spans="1:16" x14ac:dyDescent="0.25">
      <c r="A77" s="16" t="s">
        <v>11538</v>
      </c>
      <c r="B77" s="17">
        <v>425003</v>
      </c>
      <c r="C77" s="17">
        <v>425003</v>
      </c>
      <c r="D77" s="17" t="s">
        <v>8469</v>
      </c>
      <c r="E77" s="17" t="s">
        <v>1007</v>
      </c>
      <c r="F77" s="17" t="s">
        <v>25127</v>
      </c>
      <c r="G77" s="20" t="s">
        <v>3433</v>
      </c>
      <c r="H77" s="20" t="s">
        <v>25128</v>
      </c>
      <c r="I77" s="17" t="s">
        <v>88</v>
      </c>
      <c r="J77" s="17">
        <v>1</v>
      </c>
      <c r="K77" s="17">
        <v>1</v>
      </c>
      <c r="L77" s="17" t="s">
        <v>25129</v>
      </c>
      <c r="M77" s="17" t="s">
        <v>1448</v>
      </c>
      <c r="N77" s="17" t="s">
        <v>25130</v>
      </c>
      <c r="O77" s="17" t="s">
        <v>11542</v>
      </c>
      <c r="P77" s="17" t="str">
        <f>HYPERLINK("https://dexscreener.com/solana/GQ6x4duENNVqALeJv78MShAkbJzPKPe15VGnxkpYpump", "View")</f>
        <v>View</v>
      </c>
    </row>
    <row r="78" spans="1:16" x14ac:dyDescent="0.25">
      <c r="A78" s="13" t="s">
        <v>15961</v>
      </c>
      <c r="B78" s="14">
        <v>41498</v>
      </c>
      <c r="C78" s="14">
        <v>41498</v>
      </c>
      <c r="D78" s="14" t="s">
        <v>19959</v>
      </c>
      <c r="E78" s="14" t="s">
        <v>1007</v>
      </c>
      <c r="F78" s="14" t="s">
        <v>2177</v>
      </c>
      <c r="G78" s="21" t="s">
        <v>25131</v>
      </c>
      <c r="H78" s="21" t="s">
        <v>25132</v>
      </c>
      <c r="I78" s="14" t="s">
        <v>88</v>
      </c>
      <c r="J78" s="14">
        <v>1</v>
      </c>
      <c r="K78" s="14">
        <v>3</v>
      </c>
      <c r="L78" s="14" t="s">
        <v>25133</v>
      </c>
      <c r="M78" s="14" t="s">
        <v>364</v>
      </c>
      <c r="N78" s="14" t="s">
        <v>25134</v>
      </c>
      <c r="O78" s="14" t="s">
        <v>15966</v>
      </c>
      <c r="P78" s="14" t="str">
        <f>HYPERLINK("https://dexscreener.com/solana/9MnKTgwFyXJgnZumHGT9NdHuzm98ACjkNwpLniLhpump", "View")</f>
        <v>View</v>
      </c>
    </row>
    <row r="79" spans="1:16" x14ac:dyDescent="0.25">
      <c r="A79" s="16" t="s">
        <v>25135</v>
      </c>
      <c r="B79" s="17">
        <v>105420</v>
      </c>
      <c r="C79" s="17">
        <v>0</v>
      </c>
      <c r="D79" s="17" t="s">
        <v>1882</v>
      </c>
      <c r="E79" s="17" t="s">
        <v>4396</v>
      </c>
      <c r="F79" s="17" t="s">
        <v>96</v>
      </c>
      <c r="G79" s="18" t="s">
        <v>1977</v>
      </c>
      <c r="H79" s="18" t="s">
        <v>98</v>
      </c>
      <c r="I79" s="17" t="s">
        <v>25136</v>
      </c>
      <c r="J79" s="17">
        <v>1</v>
      </c>
      <c r="K79" s="17">
        <v>0</v>
      </c>
      <c r="L79" s="17" t="s">
        <v>25137</v>
      </c>
      <c r="M79" s="19" t="s">
        <v>101</v>
      </c>
      <c r="N79" s="17" t="s">
        <v>25138</v>
      </c>
      <c r="O79" s="17" t="s">
        <v>25139</v>
      </c>
      <c r="P79" s="17" t="str">
        <f>HYPERLINK("https://dexscreener.com/solana/EtPAMn35cepyfKV28tApHepnMyD8Wxjvf8N8PnR6pump", "View")</f>
        <v>View</v>
      </c>
    </row>
    <row r="80" spans="1:16" x14ac:dyDescent="0.25">
      <c r="A80" s="13" t="s">
        <v>11503</v>
      </c>
      <c r="B80" s="14">
        <v>516554</v>
      </c>
      <c r="C80" s="14">
        <v>516554</v>
      </c>
      <c r="D80" s="14" t="s">
        <v>20001</v>
      </c>
      <c r="E80" s="14" t="s">
        <v>3473</v>
      </c>
      <c r="F80" s="14" t="s">
        <v>3234</v>
      </c>
      <c r="G80" s="21" t="s">
        <v>2720</v>
      </c>
      <c r="H80" s="21" t="s">
        <v>25140</v>
      </c>
      <c r="I80" s="14" t="s">
        <v>88</v>
      </c>
      <c r="J80" s="14">
        <v>2</v>
      </c>
      <c r="K80" s="14">
        <v>2</v>
      </c>
      <c r="L80" s="14" t="s">
        <v>25141</v>
      </c>
      <c r="M80" s="14" t="s">
        <v>4385</v>
      </c>
      <c r="N80" s="14" t="s">
        <v>25142</v>
      </c>
      <c r="O80" s="14" t="s">
        <v>11507</v>
      </c>
      <c r="P80" s="14" t="str">
        <f>HYPERLINK("https://dexscreener.com/solana/AGLsGEYqNHxkZomHMo1jESRGZ98kfuaLGgNHgT92pump", "View")</f>
        <v>View</v>
      </c>
    </row>
    <row r="81" spans="1:16" x14ac:dyDescent="0.25">
      <c r="A81" s="16" t="s">
        <v>19384</v>
      </c>
      <c r="B81" s="17">
        <v>62752</v>
      </c>
      <c r="C81" s="17">
        <v>0</v>
      </c>
      <c r="D81" s="17" t="s">
        <v>10157</v>
      </c>
      <c r="E81" s="17" t="s">
        <v>4396</v>
      </c>
      <c r="F81" s="17" t="s">
        <v>96</v>
      </c>
      <c r="G81" s="18" t="s">
        <v>15868</v>
      </c>
      <c r="H81" s="18" t="s">
        <v>98</v>
      </c>
      <c r="I81" s="17" t="s">
        <v>25143</v>
      </c>
      <c r="J81" s="17">
        <v>1</v>
      </c>
      <c r="K81" s="17">
        <v>0</v>
      </c>
      <c r="L81" s="17" t="s">
        <v>25144</v>
      </c>
      <c r="M81" s="19" t="s">
        <v>101</v>
      </c>
      <c r="N81" s="17" t="s">
        <v>25145</v>
      </c>
      <c r="O81" s="17" t="s">
        <v>19387</v>
      </c>
      <c r="P81" s="17" t="str">
        <f>HYPERLINK("https://dexscreener.com/solana/55kg2An8ucQzEzXpvNVpYXq9579dETmgkbYVud1vpump", "View")</f>
        <v>View</v>
      </c>
    </row>
    <row r="82" spans="1:16" x14ac:dyDescent="0.25">
      <c r="A82" s="13" t="s">
        <v>25146</v>
      </c>
      <c r="B82" s="14">
        <v>894097</v>
      </c>
      <c r="C82" s="14">
        <v>894097</v>
      </c>
      <c r="D82" s="14" t="s">
        <v>9569</v>
      </c>
      <c r="E82" s="14" t="s">
        <v>5459</v>
      </c>
      <c r="F82" s="14" t="s">
        <v>11675</v>
      </c>
      <c r="G82" s="15" t="s">
        <v>3406</v>
      </c>
      <c r="H82" s="15" t="s">
        <v>25147</v>
      </c>
      <c r="I82" s="14" t="s">
        <v>88</v>
      </c>
      <c r="J82" s="14">
        <v>2</v>
      </c>
      <c r="K82" s="14">
        <v>1</v>
      </c>
      <c r="L82" s="14" t="s">
        <v>25148</v>
      </c>
      <c r="M82" s="14" t="s">
        <v>602</v>
      </c>
      <c r="N82" s="14" t="s">
        <v>25149</v>
      </c>
      <c r="O82" s="14" t="s">
        <v>25150</v>
      </c>
      <c r="P82" s="14" t="str">
        <f>HYPERLINK("https://dexscreener.com/solana/6J2cEW7MuawwTnSCx5YEcpSTHPnfCeNKqctntecSS4Xq", "View")</f>
        <v>View</v>
      </c>
    </row>
    <row r="83" spans="1:16" x14ac:dyDescent="0.25">
      <c r="A83" s="16" t="s">
        <v>10675</v>
      </c>
      <c r="B83" s="17">
        <v>148916</v>
      </c>
      <c r="C83" s="17">
        <v>0</v>
      </c>
      <c r="D83" s="17" t="s">
        <v>1882</v>
      </c>
      <c r="E83" s="17" t="s">
        <v>2200</v>
      </c>
      <c r="F83" s="17" t="s">
        <v>96</v>
      </c>
      <c r="G83" s="18" t="s">
        <v>13816</v>
      </c>
      <c r="H83" s="18" t="s">
        <v>98</v>
      </c>
      <c r="I83" s="17" t="s">
        <v>25151</v>
      </c>
      <c r="J83" s="17">
        <v>1</v>
      </c>
      <c r="K83" s="17">
        <v>0</v>
      </c>
      <c r="L83" s="17" t="s">
        <v>25152</v>
      </c>
      <c r="M83" s="19" t="s">
        <v>101</v>
      </c>
      <c r="N83" s="17" t="s">
        <v>25153</v>
      </c>
      <c r="O83" s="17" t="s">
        <v>10683</v>
      </c>
      <c r="P83" s="17" t="str">
        <f>HYPERLINK("https://dexscreener.com/solana/3gqBzYggchmzxCBq5v4BGT4TfmZcm8agsaRqv8bkpump", "View")</f>
        <v>View</v>
      </c>
    </row>
    <row r="84" spans="1:16" x14ac:dyDescent="0.25">
      <c r="A84" s="13" t="s">
        <v>16966</v>
      </c>
      <c r="B84" s="14">
        <v>269830</v>
      </c>
      <c r="C84" s="14">
        <v>236101</v>
      </c>
      <c r="D84" s="14" t="s">
        <v>19959</v>
      </c>
      <c r="E84" s="14" t="s">
        <v>2200</v>
      </c>
      <c r="F84" s="14" t="s">
        <v>25154</v>
      </c>
      <c r="G84" s="21" t="s">
        <v>25155</v>
      </c>
      <c r="H84" s="21" t="s">
        <v>25156</v>
      </c>
      <c r="I84" s="14" t="s">
        <v>88</v>
      </c>
      <c r="J84" s="14">
        <v>1</v>
      </c>
      <c r="K84" s="14">
        <v>3</v>
      </c>
      <c r="L84" s="14" t="s">
        <v>25157</v>
      </c>
      <c r="M84" s="14" t="s">
        <v>304</v>
      </c>
      <c r="N84" s="14" t="s">
        <v>25158</v>
      </c>
      <c r="O84" s="14" t="s">
        <v>16971</v>
      </c>
      <c r="P84" s="14" t="str">
        <f>HYPERLINK("https://dexscreener.com/solana/Du1AQPxZjWQRRjVg5DBcR6ezfHU7RMpD7SsSX1YLpump", "View")</f>
        <v>View</v>
      </c>
    </row>
    <row r="85" spans="1:16" x14ac:dyDescent="0.25">
      <c r="A85" s="16" t="s">
        <v>261</v>
      </c>
      <c r="B85" s="17">
        <v>102551</v>
      </c>
      <c r="C85" s="17">
        <v>0</v>
      </c>
      <c r="D85" s="17" t="s">
        <v>10157</v>
      </c>
      <c r="E85" s="17" t="s">
        <v>4396</v>
      </c>
      <c r="F85" s="17" t="s">
        <v>96</v>
      </c>
      <c r="G85" s="18" t="s">
        <v>15868</v>
      </c>
      <c r="H85" s="18" t="s">
        <v>98</v>
      </c>
      <c r="I85" s="17" t="s">
        <v>25159</v>
      </c>
      <c r="J85" s="17">
        <v>1</v>
      </c>
      <c r="K85" s="17">
        <v>0</v>
      </c>
      <c r="L85" s="17" t="s">
        <v>17053</v>
      </c>
      <c r="M85" s="19" t="s">
        <v>101</v>
      </c>
      <c r="N85" s="17" t="s">
        <v>25160</v>
      </c>
      <c r="O85" s="17" t="s">
        <v>25161</v>
      </c>
      <c r="P85" s="17" t="str">
        <f>HYPERLINK("https://dexscreener.com/solana/Gh5sMonhALNfRQhjjxWV6qxosfpTFtKe8YSSrebpump", "View")</f>
        <v>View</v>
      </c>
    </row>
    <row r="86" spans="1:16" x14ac:dyDescent="0.25">
      <c r="A86" s="13" t="s">
        <v>1050</v>
      </c>
      <c r="B86" s="14">
        <v>619247</v>
      </c>
      <c r="C86" s="14">
        <v>0</v>
      </c>
      <c r="D86" s="14" t="s">
        <v>10157</v>
      </c>
      <c r="E86" s="14" t="s">
        <v>6206</v>
      </c>
      <c r="F86" s="14" t="s">
        <v>96</v>
      </c>
      <c r="G86" s="18" t="s">
        <v>14118</v>
      </c>
      <c r="H86" s="18" t="s">
        <v>98</v>
      </c>
      <c r="I86" s="14" t="s">
        <v>25162</v>
      </c>
      <c r="J86" s="14">
        <v>1</v>
      </c>
      <c r="K86" s="14">
        <v>0</v>
      </c>
      <c r="L86" s="14" t="s">
        <v>25163</v>
      </c>
      <c r="M86" s="19" t="s">
        <v>101</v>
      </c>
      <c r="N86" s="14" t="s">
        <v>16062</v>
      </c>
      <c r="O86" s="14" t="s">
        <v>1056</v>
      </c>
      <c r="P86" s="14" t="str">
        <f>HYPERLINK("https://photon-sol.tinyastro.io/en/lp/gBjcxxWdjYyaiTgiRBWu3HnqfxfQzw5ccah9eR6pump?handle=676050794bc1b1657a56b", "View")</f>
        <v>View</v>
      </c>
    </row>
    <row r="87" spans="1:16" x14ac:dyDescent="0.25">
      <c r="A87" s="16" t="s">
        <v>25164</v>
      </c>
      <c r="B87" s="17">
        <v>409616</v>
      </c>
      <c r="C87" s="17">
        <v>0</v>
      </c>
      <c r="D87" s="17" t="s">
        <v>10157</v>
      </c>
      <c r="E87" s="17" t="s">
        <v>4396</v>
      </c>
      <c r="F87" s="17" t="s">
        <v>96</v>
      </c>
      <c r="G87" s="18" t="s">
        <v>15868</v>
      </c>
      <c r="H87" s="18" t="s">
        <v>98</v>
      </c>
      <c r="I87" s="17" t="s">
        <v>25165</v>
      </c>
      <c r="J87" s="17">
        <v>1</v>
      </c>
      <c r="K87" s="17">
        <v>0</v>
      </c>
      <c r="L87" s="17" t="s">
        <v>25166</v>
      </c>
      <c r="M87" s="19" t="s">
        <v>101</v>
      </c>
      <c r="N87" s="17" t="s">
        <v>25167</v>
      </c>
      <c r="O87" s="17" t="s">
        <v>25168</v>
      </c>
      <c r="P87" s="17" t="str">
        <f>HYPERLINK("https://dexscreener.com/solana/5mqf5ePgBTK2DvRcBePqXujpkKQyyFAP1xPn8Y57pump", "View")</f>
        <v>View</v>
      </c>
    </row>
    <row r="88" spans="1:16" x14ac:dyDescent="0.25">
      <c r="A88" s="13" t="s">
        <v>25169</v>
      </c>
      <c r="B88" s="14">
        <v>514829</v>
      </c>
      <c r="C88" s="14">
        <v>514829</v>
      </c>
      <c r="D88" s="14" t="s">
        <v>1813</v>
      </c>
      <c r="E88" s="14" t="s">
        <v>4687</v>
      </c>
      <c r="F88" s="14" t="s">
        <v>2967</v>
      </c>
      <c r="G88" s="15" t="s">
        <v>4610</v>
      </c>
      <c r="H88" s="15" t="s">
        <v>25170</v>
      </c>
      <c r="I88" s="14" t="s">
        <v>88</v>
      </c>
      <c r="J88" s="14">
        <v>1</v>
      </c>
      <c r="K88" s="14">
        <v>1</v>
      </c>
      <c r="L88" s="14" t="s">
        <v>25171</v>
      </c>
      <c r="M88" s="14" t="s">
        <v>1448</v>
      </c>
      <c r="N88" s="14" t="s">
        <v>25172</v>
      </c>
      <c r="O88" s="14" t="s">
        <v>25173</v>
      </c>
      <c r="P88" s="14" t="str">
        <f>HYPERLINK("https://photon-sol.tinyastro.io/en/lp/57jKa6DSGPMxSnsvEvi8pRKRnHsTq7twYTSkeKjgpump?handle=676050794bc1b1657a56b", "View")</f>
        <v>View</v>
      </c>
    </row>
    <row r="89" spans="1:16" x14ac:dyDescent="0.25">
      <c r="A89" s="2" t="s">
        <v>25174</v>
      </c>
      <c r="B89" s="2">
        <v>568982</v>
      </c>
      <c r="C89" s="2">
        <v>568982</v>
      </c>
      <c r="D89" s="2" t="s">
        <v>8469</v>
      </c>
      <c r="E89" s="2" t="s">
        <v>17833</v>
      </c>
      <c r="F89" s="2" t="s">
        <v>12202</v>
      </c>
      <c r="G89" s="2" t="s">
        <v>4880</v>
      </c>
      <c r="H89" s="2" t="s">
        <v>25175</v>
      </c>
      <c r="I89" s="2" t="s">
        <v>88</v>
      </c>
      <c r="J89" s="2">
        <v>1</v>
      </c>
      <c r="K89" s="2">
        <v>1</v>
      </c>
      <c r="L89" s="2" t="s">
        <v>25176</v>
      </c>
      <c r="M89" s="2" t="s">
        <v>1448</v>
      </c>
      <c r="N89" s="2" t="s">
        <v>2585</v>
      </c>
      <c r="O89" s="2" t="s">
        <v>25177</v>
      </c>
      <c r="P89" s="2" t="str">
        <f>HYPERLINK("https://photon-sol.tinyastro.io/en/lp/3QHqiMu74tjs1yoNYWuKdDiX2HksUyPKmZEgrRAWpump?handle=676050794bc1b1657a56b", "View")</f>
        <v>View</v>
      </c>
    </row>
    <row r="90" spans="1:16" x14ac:dyDescent="0.25">
      <c r="A90" s="13"/>
      <c r="B90" s="14"/>
      <c r="C90" s="14"/>
      <c r="D90" s="14"/>
      <c r="E90" s="14"/>
      <c r="F90" s="14"/>
      <c r="G90" s="20"/>
      <c r="H90" s="20"/>
      <c r="I90" s="14"/>
      <c r="J90" s="14"/>
      <c r="K90" s="14"/>
      <c r="L90" s="14"/>
      <c r="M90" s="14"/>
      <c r="N90" s="14"/>
      <c r="O90" s="14"/>
      <c r="P90" s="14"/>
    </row>
    <row r="91" spans="1:16" x14ac:dyDescent="0.25">
      <c r="A91" s="16" t="s">
        <v>25178</v>
      </c>
      <c r="B91" s="17">
        <v>573531</v>
      </c>
      <c r="C91" s="17">
        <v>573531</v>
      </c>
      <c r="D91" s="17" t="s">
        <v>8469</v>
      </c>
      <c r="E91" s="17" t="s">
        <v>6180</v>
      </c>
      <c r="F91" s="17" t="s">
        <v>1884</v>
      </c>
      <c r="G91" s="21" t="s">
        <v>15901</v>
      </c>
      <c r="H91" s="21" t="s">
        <v>25179</v>
      </c>
      <c r="I91" s="17" t="s">
        <v>88</v>
      </c>
      <c r="J91" s="17">
        <v>1</v>
      </c>
      <c r="K91" s="17">
        <v>1</v>
      </c>
      <c r="L91" s="17" t="s">
        <v>25180</v>
      </c>
      <c r="M91" s="17" t="s">
        <v>3171</v>
      </c>
      <c r="N91" s="17" t="s">
        <v>25181</v>
      </c>
      <c r="O91" s="17" t="s">
        <v>25182</v>
      </c>
      <c r="P91" s="17" t="str">
        <f>HYPERLINK("https://photon-sol.tinyastro.io/en/lp/12ExzKNkUaWc9Q1joMcnp9MKphs4scFVUBtYYzV51W2W?handle=676050794bc1b1657a56b", "View")</f>
        <v>View</v>
      </c>
    </row>
    <row r="92" spans="1:16" x14ac:dyDescent="0.25">
      <c r="A92" s="13" t="s">
        <v>25183</v>
      </c>
      <c r="B92" s="14">
        <v>369999</v>
      </c>
      <c r="C92" s="14">
        <v>0</v>
      </c>
      <c r="D92" s="14" t="s">
        <v>10157</v>
      </c>
      <c r="E92" s="14" t="s">
        <v>17833</v>
      </c>
      <c r="F92" s="14" t="s">
        <v>96</v>
      </c>
      <c r="G92" s="18" t="s">
        <v>4026</v>
      </c>
      <c r="H92" s="18" t="s">
        <v>98</v>
      </c>
      <c r="I92" s="14" t="s">
        <v>25184</v>
      </c>
      <c r="J92" s="14">
        <v>1</v>
      </c>
      <c r="K92" s="14">
        <v>0</v>
      </c>
      <c r="L92" s="14" t="s">
        <v>25185</v>
      </c>
      <c r="M92" s="19" t="s">
        <v>101</v>
      </c>
      <c r="N92" s="14" t="s">
        <v>5302</v>
      </c>
      <c r="O92" s="14" t="s">
        <v>25186</v>
      </c>
      <c r="P92" s="14" t="str">
        <f>HYPERLINK("https://photon-sol.tinyastro.io/en/lp/CMJvNfG35LfUCxtLJzKF2skM4yD8r6Aw7r24vt3zpump?handle=676050794bc1b1657a56b", "View")</f>
        <v>View</v>
      </c>
    </row>
    <row r="93" spans="1:16" x14ac:dyDescent="0.25">
      <c r="A93" s="16" t="s">
        <v>25187</v>
      </c>
      <c r="B93" s="17">
        <v>61060</v>
      </c>
      <c r="C93" s="17">
        <v>61060</v>
      </c>
      <c r="D93" s="17" t="s">
        <v>8469</v>
      </c>
      <c r="E93" s="17" t="s">
        <v>5919</v>
      </c>
      <c r="F93" s="17" t="s">
        <v>5077</v>
      </c>
      <c r="G93" s="22" t="s">
        <v>5552</v>
      </c>
      <c r="H93" s="22" t="s">
        <v>25188</v>
      </c>
      <c r="I93" s="17" t="s">
        <v>88</v>
      </c>
      <c r="J93" s="17">
        <v>1</v>
      </c>
      <c r="K93" s="17">
        <v>1</v>
      </c>
      <c r="L93" s="17" t="s">
        <v>25189</v>
      </c>
      <c r="M93" s="17" t="s">
        <v>179</v>
      </c>
      <c r="N93" s="17" t="s">
        <v>25190</v>
      </c>
      <c r="O93" s="17" t="s">
        <v>25191</v>
      </c>
      <c r="P93" s="17" t="str">
        <f>HYPERLINK("https://dexscreener.com/solana/4cZDsQCqHr1FBsKVF5kCMTU2UkTD5eMUwZtm4gwdpump", "View")</f>
        <v>View</v>
      </c>
    </row>
    <row r="94" spans="1:16" x14ac:dyDescent="0.25">
      <c r="A94" s="13" t="s">
        <v>25192</v>
      </c>
      <c r="B94" s="14">
        <v>79317</v>
      </c>
      <c r="C94" s="14">
        <v>79317</v>
      </c>
      <c r="D94" s="14" t="s">
        <v>8469</v>
      </c>
      <c r="E94" s="14" t="s">
        <v>5919</v>
      </c>
      <c r="F94" s="14" t="s">
        <v>5018</v>
      </c>
      <c r="G94" s="22" t="s">
        <v>96</v>
      </c>
      <c r="H94" s="22" t="s">
        <v>98</v>
      </c>
      <c r="I94" s="14" t="s">
        <v>88</v>
      </c>
      <c r="J94" s="14">
        <v>1</v>
      </c>
      <c r="K94" s="14">
        <v>1</v>
      </c>
      <c r="L94" s="14" t="s">
        <v>25193</v>
      </c>
      <c r="M94" s="14" t="s">
        <v>937</v>
      </c>
      <c r="N94" s="14" t="s">
        <v>25194</v>
      </c>
      <c r="O94" s="14" t="s">
        <v>25195</v>
      </c>
      <c r="P94" s="14" t="str">
        <f>HYPERLINK("https://dexscreener.com/solana/5qXSRVe9RG7U39DbAtKSM7Jq6zfaD9Me1mupfbGmpump", "View")</f>
        <v>View</v>
      </c>
    </row>
    <row r="95" spans="1:16" x14ac:dyDescent="0.25">
      <c r="A95" s="16" t="s">
        <v>25196</v>
      </c>
      <c r="B95" s="17">
        <v>245646</v>
      </c>
      <c r="C95" s="17">
        <v>0</v>
      </c>
      <c r="D95" s="17" t="s">
        <v>10157</v>
      </c>
      <c r="E95" s="17" t="s">
        <v>3972</v>
      </c>
      <c r="F95" s="17" t="s">
        <v>96</v>
      </c>
      <c r="G95" s="18" t="s">
        <v>5681</v>
      </c>
      <c r="H95" s="18" t="s">
        <v>98</v>
      </c>
      <c r="I95" s="17" t="s">
        <v>25197</v>
      </c>
      <c r="J95" s="17">
        <v>1</v>
      </c>
      <c r="K95" s="17">
        <v>0</v>
      </c>
      <c r="L95" s="17" t="s">
        <v>25198</v>
      </c>
      <c r="M95" s="19" t="s">
        <v>101</v>
      </c>
      <c r="N95" s="17" t="s">
        <v>1973</v>
      </c>
      <c r="O95" s="17" t="s">
        <v>25199</v>
      </c>
      <c r="P95" s="17" t="str">
        <f>HYPERLINK("https://photon-sol.tinyastro.io/en/lp/H5Y1CYK32BsJtRUg1RF728uQXRnrNEmgSsveThHrpump?handle=676050794bc1b1657a56b", "View")</f>
        <v>View</v>
      </c>
    </row>
    <row r="96" spans="1:16" x14ac:dyDescent="0.25">
      <c r="A96" s="13" t="s">
        <v>1068</v>
      </c>
      <c r="B96" s="14">
        <v>60781</v>
      </c>
      <c r="C96" s="14">
        <v>0</v>
      </c>
      <c r="D96" s="14" t="s">
        <v>10157</v>
      </c>
      <c r="E96" s="14" t="s">
        <v>4396</v>
      </c>
      <c r="F96" s="14" t="s">
        <v>96</v>
      </c>
      <c r="G96" s="18" t="s">
        <v>15868</v>
      </c>
      <c r="H96" s="18" t="s">
        <v>98</v>
      </c>
      <c r="I96" s="14" t="s">
        <v>25200</v>
      </c>
      <c r="J96" s="14">
        <v>1</v>
      </c>
      <c r="K96" s="14">
        <v>0</v>
      </c>
      <c r="L96" s="14" t="s">
        <v>25201</v>
      </c>
      <c r="M96" s="19" t="s">
        <v>101</v>
      </c>
      <c r="N96" s="14" t="s">
        <v>25202</v>
      </c>
      <c r="O96" s="14" t="s">
        <v>1074</v>
      </c>
      <c r="P96" s="14" t="str">
        <f>HYPERLINK("https://dexscreener.com/solana/7e37YzFumcYBbnVbpiDVMTcmSM3AvEJQENBHSHVUpump", "View")</f>
        <v>View</v>
      </c>
    </row>
    <row r="97" spans="1:16" x14ac:dyDescent="0.25">
      <c r="A97" s="16" t="s">
        <v>25203</v>
      </c>
      <c r="B97" s="17">
        <v>427890</v>
      </c>
      <c r="C97" s="17">
        <v>0</v>
      </c>
      <c r="D97" s="17" t="s">
        <v>10157</v>
      </c>
      <c r="E97" s="17" t="s">
        <v>17833</v>
      </c>
      <c r="F97" s="17" t="s">
        <v>96</v>
      </c>
      <c r="G97" s="18" t="s">
        <v>4026</v>
      </c>
      <c r="H97" s="18" t="s">
        <v>98</v>
      </c>
      <c r="I97" s="17" t="s">
        <v>25204</v>
      </c>
      <c r="J97" s="17">
        <v>1</v>
      </c>
      <c r="K97" s="17">
        <v>0</v>
      </c>
      <c r="L97" s="17" t="s">
        <v>25205</v>
      </c>
      <c r="M97" s="19" t="s">
        <v>101</v>
      </c>
      <c r="N97" s="17" t="s">
        <v>3908</v>
      </c>
      <c r="O97" s="17" t="s">
        <v>25206</v>
      </c>
      <c r="P97" s="17" t="str">
        <f>HYPERLINK("https://photon-sol.tinyastro.io/en/lp/6Bc1wDHzuiCNpYt8YkTEmTYZcNCdk23EapfEmpePpump?handle=676050794bc1b1657a56b", "View")</f>
        <v>View</v>
      </c>
    </row>
    <row r="98" spans="1:16" x14ac:dyDescent="0.25">
      <c r="A98" s="13" t="s">
        <v>25207</v>
      </c>
      <c r="B98" s="14">
        <v>820368</v>
      </c>
      <c r="C98" s="14">
        <v>820368</v>
      </c>
      <c r="D98" s="14" t="s">
        <v>10230</v>
      </c>
      <c r="E98" s="14" t="s">
        <v>4706</v>
      </c>
      <c r="F98" s="14" t="s">
        <v>6137</v>
      </c>
      <c r="G98" s="15" t="s">
        <v>4990</v>
      </c>
      <c r="H98" s="15" t="s">
        <v>25208</v>
      </c>
      <c r="I98" s="14" t="s">
        <v>88</v>
      </c>
      <c r="J98" s="14">
        <v>1</v>
      </c>
      <c r="K98" s="14">
        <v>1</v>
      </c>
      <c r="L98" s="14" t="s">
        <v>25209</v>
      </c>
      <c r="M98" s="14" t="s">
        <v>1448</v>
      </c>
      <c r="N98" s="14" t="s">
        <v>5809</v>
      </c>
      <c r="O98" s="14" t="s">
        <v>25210</v>
      </c>
      <c r="P98" s="14" t="str">
        <f>HYPERLINK("https://photon-sol.tinyastro.io/en/lp/Bst41uf7eg3yfYnVo8L5Tiyka7EKZwHarcp8HbG1pump?handle=676050794bc1b1657a56b", "View")</f>
        <v>View</v>
      </c>
    </row>
    <row r="99" spans="1:16" x14ac:dyDescent="0.25">
      <c r="A99" s="16" t="s">
        <v>25211</v>
      </c>
      <c r="B99" s="17">
        <v>121354</v>
      </c>
      <c r="C99" s="17">
        <v>0</v>
      </c>
      <c r="D99" s="17" t="s">
        <v>10157</v>
      </c>
      <c r="E99" s="17" t="s">
        <v>15901</v>
      </c>
      <c r="F99" s="17" t="s">
        <v>96</v>
      </c>
      <c r="G99" s="18" t="s">
        <v>1523</v>
      </c>
      <c r="H99" s="18" t="s">
        <v>98</v>
      </c>
      <c r="I99" s="17" t="s">
        <v>25212</v>
      </c>
      <c r="J99" s="17">
        <v>1</v>
      </c>
      <c r="K99" s="17">
        <v>0</v>
      </c>
      <c r="L99" s="17" t="s">
        <v>25213</v>
      </c>
      <c r="M99" s="19" t="s">
        <v>101</v>
      </c>
      <c r="N99" s="17" t="s">
        <v>4916</v>
      </c>
      <c r="O99" s="17" t="s">
        <v>25214</v>
      </c>
      <c r="P99" s="17" t="str">
        <f>HYPERLINK("https://photon-sol.tinyastro.io/en/lp/27dfyGQhBV6SxHCKE2gs6ZyHwcc1MX1WrWuKYXHQpump?handle=676050794bc1b1657a56b", "View")</f>
        <v>View</v>
      </c>
    </row>
    <row r="100" spans="1:16" x14ac:dyDescent="0.25">
      <c r="A100" s="13" t="s">
        <v>25215</v>
      </c>
      <c r="B100" s="14">
        <v>34537</v>
      </c>
      <c r="C100" s="14">
        <v>34537</v>
      </c>
      <c r="D100" s="14" t="s">
        <v>8469</v>
      </c>
      <c r="E100" s="14" t="s">
        <v>4396</v>
      </c>
      <c r="F100" s="14" t="s">
        <v>3275</v>
      </c>
      <c r="G100" s="22" t="s">
        <v>4667</v>
      </c>
      <c r="H100" s="22" t="s">
        <v>13198</v>
      </c>
      <c r="I100" s="14" t="s">
        <v>88</v>
      </c>
      <c r="J100" s="14">
        <v>1</v>
      </c>
      <c r="K100" s="14">
        <v>1</v>
      </c>
      <c r="L100" s="14" t="s">
        <v>25216</v>
      </c>
      <c r="M100" s="14" t="s">
        <v>680</v>
      </c>
      <c r="N100" s="14" t="s">
        <v>25217</v>
      </c>
      <c r="O100" s="14" t="s">
        <v>25218</v>
      </c>
      <c r="P100" s="14" t="str">
        <f>HYPERLINK("https://dexscreener.com/solana/4eVeDncy6EBF2vh8jbpHUDgagwWP1B3Ep6SzzVWXyENp", "View")</f>
        <v>View</v>
      </c>
    </row>
    <row r="101" spans="1:16" x14ac:dyDescent="0.25">
      <c r="A101" s="16" t="s">
        <v>25219</v>
      </c>
      <c r="B101" s="17">
        <v>117168</v>
      </c>
      <c r="C101" s="17">
        <v>0</v>
      </c>
      <c r="D101" s="17" t="s">
        <v>10157</v>
      </c>
      <c r="E101" s="17" t="s">
        <v>5705</v>
      </c>
      <c r="F101" s="17" t="s">
        <v>96</v>
      </c>
      <c r="G101" s="18" t="s">
        <v>5589</v>
      </c>
      <c r="H101" s="18" t="s">
        <v>98</v>
      </c>
      <c r="I101" s="17" t="s">
        <v>25220</v>
      </c>
      <c r="J101" s="17">
        <v>1</v>
      </c>
      <c r="K101" s="17">
        <v>0</v>
      </c>
      <c r="L101" s="17" t="s">
        <v>25221</v>
      </c>
      <c r="M101" s="19" t="s">
        <v>101</v>
      </c>
      <c r="N101" s="17" t="s">
        <v>16062</v>
      </c>
      <c r="O101" s="17" t="s">
        <v>25222</v>
      </c>
      <c r="P101" s="17" t="str">
        <f>HYPERLINK("https://dexscreener.com/solana/6j76XfcVpKxGyduYNtefLvQQdE2aUbBNP8gncoVk6Psa", "View")</f>
        <v>View</v>
      </c>
    </row>
    <row r="102" spans="1:16" x14ac:dyDescent="0.25">
      <c r="A102" s="13" t="s">
        <v>5293</v>
      </c>
      <c r="B102" s="14">
        <v>153983</v>
      </c>
      <c r="C102" s="14">
        <v>153983</v>
      </c>
      <c r="D102" s="14" t="s">
        <v>8469</v>
      </c>
      <c r="E102" s="14" t="s">
        <v>17833</v>
      </c>
      <c r="F102" s="14" t="s">
        <v>17833</v>
      </c>
      <c r="G102" s="20" t="s">
        <v>5364</v>
      </c>
      <c r="H102" s="20" t="s">
        <v>25223</v>
      </c>
      <c r="I102" s="14" t="s">
        <v>88</v>
      </c>
      <c r="J102" s="14">
        <v>1</v>
      </c>
      <c r="K102" s="14">
        <v>1</v>
      </c>
      <c r="L102" s="14" t="s">
        <v>25224</v>
      </c>
      <c r="M102" s="14" t="s">
        <v>2403</v>
      </c>
      <c r="N102" s="14" t="s">
        <v>25225</v>
      </c>
      <c r="O102" s="14" t="s">
        <v>25226</v>
      </c>
      <c r="P102" s="14" t="str">
        <f>HYPERLINK("https://photon-sol.tinyastro.io/en/lp/4M8m9bMiDSjZB6MMd8YFroJL9tJ4Gd2u18Q9UxEzpump?handle=676050794bc1b1657a56b", "View")</f>
        <v>View</v>
      </c>
    </row>
    <row r="103" spans="1:16" x14ac:dyDescent="0.25">
      <c r="A103" s="16" t="s">
        <v>25227</v>
      </c>
      <c r="B103" s="17">
        <v>202215</v>
      </c>
      <c r="C103" s="17">
        <v>101107</v>
      </c>
      <c r="D103" s="17" t="s">
        <v>8469</v>
      </c>
      <c r="E103" s="17" t="s">
        <v>5746</v>
      </c>
      <c r="F103" s="17" t="s">
        <v>3979</v>
      </c>
      <c r="G103" s="22" t="s">
        <v>17881</v>
      </c>
      <c r="H103" s="22" t="s">
        <v>25228</v>
      </c>
      <c r="I103" s="17" t="s">
        <v>88</v>
      </c>
      <c r="J103" s="17">
        <v>1</v>
      </c>
      <c r="K103" s="17">
        <v>1</v>
      </c>
      <c r="L103" s="17" t="s">
        <v>25229</v>
      </c>
      <c r="M103" s="17" t="s">
        <v>90</v>
      </c>
      <c r="N103" s="17" t="s">
        <v>25230</v>
      </c>
      <c r="O103" s="17" t="s">
        <v>25231</v>
      </c>
      <c r="P103" s="17" t="str">
        <f>HYPERLINK("https://photon-sol.tinyastro.io/en/lp/4uAvY2ksNuRBCTUyXRoMwKkLhbtybWQAEHu5MYhApump?handle=676050794bc1b1657a56b", "View")</f>
        <v>View</v>
      </c>
    </row>
    <row r="104" spans="1:16" x14ac:dyDescent="0.25">
      <c r="A104" s="13" t="s">
        <v>11586</v>
      </c>
      <c r="B104" s="14">
        <v>111253</v>
      </c>
      <c r="C104" s="14">
        <v>111253</v>
      </c>
      <c r="D104" s="14" t="s">
        <v>19880</v>
      </c>
      <c r="E104" s="14" t="s">
        <v>4396</v>
      </c>
      <c r="F104" s="14" t="s">
        <v>6261</v>
      </c>
      <c r="G104" s="21" t="s">
        <v>6180</v>
      </c>
      <c r="H104" s="21" t="s">
        <v>25232</v>
      </c>
      <c r="I104" s="14" t="s">
        <v>88</v>
      </c>
      <c r="J104" s="14">
        <v>1</v>
      </c>
      <c r="K104" s="14">
        <v>2</v>
      </c>
      <c r="L104" s="14" t="s">
        <v>25233</v>
      </c>
      <c r="M104" s="14" t="s">
        <v>823</v>
      </c>
      <c r="N104" s="14" t="s">
        <v>25234</v>
      </c>
      <c r="O104" s="14" t="s">
        <v>11590</v>
      </c>
      <c r="P104" s="14" t="str">
        <f>HYPERLINK("https://dexscreener.com/solana/BgmCnJMcM925oHoRW8ogwDcTLA87Pr11ymcwv36Vpump", "View")</f>
        <v>View</v>
      </c>
    </row>
    <row r="105" spans="1:16" x14ac:dyDescent="0.25">
      <c r="A105" s="16" t="s">
        <v>25235</v>
      </c>
      <c r="B105" s="17">
        <v>587384</v>
      </c>
      <c r="C105" s="17">
        <v>587384</v>
      </c>
      <c r="D105" s="17" t="s">
        <v>8469</v>
      </c>
      <c r="E105" s="17" t="s">
        <v>2661</v>
      </c>
      <c r="F105" s="17" t="s">
        <v>2547</v>
      </c>
      <c r="G105" s="22" t="s">
        <v>96</v>
      </c>
      <c r="H105" s="22" t="s">
        <v>25236</v>
      </c>
      <c r="I105" s="17" t="s">
        <v>88</v>
      </c>
      <c r="J105" s="17">
        <v>1</v>
      </c>
      <c r="K105" s="17">
        <v>1</v>
      </c>
      <c r="L105" s="17" t="s">
        <v>25237</v>
      </c>
      <c r="M105" s="17" t="s">
        <v>937</v>
      </c>
      <c r="N105" s="17" t="s">
        <v>2316</v>
      </c>
      <c r="O105" s="17" t="s">
        <v>25238</v>
      </c>
      <c r="P105" s="17" t="str">
        <f>HYPERLINK("https://photon-sol.tinyastro.io/en/lp/JCJ8wt7MFVgDUcPC82jMWVAE3jvzzvcfcR8DeYKfpump?handle=676050794bc1b1657a56b", "View")</f>
        <v>View</v>
      </c>
    </row>
    <row r="106" spans="1:16" x14ac:dyDescent="0.25">
      <c r="A106" s="13" t="s">
        <v>1205</v>
      </c>
      <c r="B106" s="14">
        <v>255908</v>
      </c>
      <c r="C106" s="14">
        <v>0</v>
      </c>
      <c r="D106" s="14" t="s">
        <v>10157</v>
      </c>
      <c r="E106" s="14" t="s">
        <v>4396</v>
      </c>
      <c r="F106" s="14" t="s">
        <v>96</v>
      </c>
      <c r="G106" s="18" t="s">
        <v>15868</v>
      </c>
      <c r="H106" s="18" t="s">
        <v>98</v>
      </c>
      <c r="I106" s="14" t="s">
        <v>25239</v>
      </c>
      <c r="J106" s="14">
        <v>1</v>
      </c>
      <c r="K106" s="14">
        <v>0</v>
      </c>
      <c r="L106" s="14" t="s">
        <v>25240</v>
      </c>
      <c r="M106" s="19" t="s">
        <v>101</v>
      </c>
      <c r="N106" s="14" t="s">
        <v>25241</v>
      </c>
      <c r="O106" s="14" t="s">
        <v>1209</v>
      </c>
      <c r="P106" s="14" t="str">
        <f>HYPERLINK("https://dexscreener.com/solana/3aRvNjgAgcHBs3Dv1D6SLFMNHNLiMmm9eg64FBoppump", "View")</f>
        <v>View</v>
      </c>
    </row>
    <row r="107" spans="1:16" x14ac:dyDescent="0.25">
      <c r="A107" s="16" t="s">
        <v>1205</v>
      </c>
      <c r="B107" s="17">
        <v>174548</v>
      </c>
      <c r="C107" s="17">
        <v>0</v>
      </c>
      <c r="D107" s="17" t="s">
        <v>10157</v>
      </c>
      <c r="E107" s="17" t="s">
        <v>12202</v>
      </c>
      <c r="F107" s="17" t="s">
        <v>96</v>
      </c>
      <c r="G107" s="18" t="s">
        <v>4762</v>
      </c>
      <c r="H107" s="18" t="s">
        <v>98</v>
      </c>
      <c r="I107" s="17" t="s">
        <v>25242</v>
      </c>
      <c r="J107" s="17">
        <v>1</v>
      </c>
      <c r="K107" s="17">
        <v>0</v>
      </c>
      <c r="L107" s="17" t="s">
        <v>25243</v>
      </c>
      <c r="M107" s="19" t="s">
        <v>101</v>
      </c>
      <c r="N107" s="17" t="s">
        <v>2763</v>
      </c>
      <c r="O107" s="17" t="s">
        <v>25244</v>
      </c>
      <c r="P107" s="17" t="str">
        <f>HYPERLINK("https://photon-sol.tinyastro.io/en/lp/9KEzoyqTwksi9wonCwtRqX6PB7n2qq9Vt3QcUNPMpump?handle=676050794bc1b1657a56b", "View")</f>
        <v>View</v>
      </c>
    </row>
    <row r="108" spans="1:16" x14ac:dyDescent="0.25">
      <c r="A108" s="13" t="s">
        <v>25245</v>
      </c>
      <c r="B108" s="14">
        <v>466108</v>
      </c>
      <c r="C108" s="14">
        <v>466108</v>
      </c>
      <c r="D108" s="14" t="s">
        <v>8469</v>
      </c>
      <c r="E108" s="14" t="s">
        <v>2236</v>
      </c>
      <c r="F108" s="14" t="s">
        <v>5024</v>
      </c>
      <c r="G108" s="20" t="s">
        <v>4880</v>
      </c>
      <c r="H108" s="20" t="s">
        <v>25246</v>
      </c>
      <c r="I108" s="14" t="s">
        <v>88</v>
      </c>
      <c r="J108" s="14">
        <v>1</v>
      </c>
      <c r="K108" s="14">
        <v>1</v>
      </c>
      <c r="L108" s="14" t="s">
        <v>25247</v>
      </c>
      <c r="M108" s="14" t="s">
        <v>788</v>
      </c>
      <c r="N108" s="14" t="s">
        <v>3188</v>
      </c>
      <c r="O108" s="14" t="s">
        <v>25248</v>
      </c>
      <c r="P108" s="14" t="str">
        <f>HYPERLINK("https://photon-sol.tinyastro.io/en/lp/BRaCWBYssbpBcjS1Bh4SbzGcgygqTpiuxy4e7jXQpump?handle=676050794bc1b1657a56b", "View")</f>
        <v>View</v>
      </c>
    </row>
    <row r="109" spans="1:16" x14ac:dyDescent="0.25">
      <c r="A109" s="16" t="s">
        <v>25249</v>
      </c>
      <c r="B109" s="17">
        <v>178679</v>
      </c>
      <c r="C109" s="17">
        <v>0</v>
      </c>
      <c r="D109" s="17" t="s">
        <v>10157</v>
      </c>
      <c r="E109" s="17" t="s">
        <v>4687</v>
      </c>
      <c r="F109" s="17" t="s">
        <v>96</v>
      </c>
      <c r="G109" s="18" t="s">
        <v>1616</v>
      </c>
      <c r="H109" s="18" t="s">
        <v>98</v>
      </c>
      <c r="I109" s="17" t="s">
        <v>25250</v>
      </c>
      <c r="J109" s="17">
        <v>1</v>
      </c>
      <c r="K109" s="17">
        <v>0</v>
      </c>
      <c r="L109" s="17" t="s">
        <v>25251</v>
      </c>
      <c r="M109" s="19" t="s">
        <v>101</v>
      </c>
      <c r="N109" s="17" t="s">
        <v>517</v>
      </c>
      <c r="O109" s="17" t="s">
        <v>25252</v>
      </c>
      <c r="P109" s="17" t="str">
        <f>HYPERLINK("https://photon-sol.tinyastro.io/en/lp/9ZMRdUw79BZ2b6Qqw6PMAsLquNFpeiWStGRJS1Y2pump?handle=676050794bc1b1657a56b", "View")</f>
        <v>View</v>
      </c>
    </row>
    <row r="110" spans="1:16" x14ac:dyDescent="0.25">
      <c r="A110" s="13" t="s">
        <v>25253</v>
      </c>
      <c r="B110" s="14">
        <v>430453</v>
      </c>
      <c r="C110" s="14">
        <v>430453</v>
      </c>
      <c r="D110" s="14" t="s">
        <v>8469</v>
      </c>
      <c r="E110" s="14" t="s">
        <v>2661</v>
      </c>
      <c r="F110" s="14" t="s">
        <v>6058</v>
      </c>
      <c r="G110" s="15" t="s">
        <v>8279</v>
      </c>
      <c r="H110" s="15" t="s">
        <v>25254</v>
      </c>
      <c r="I110" s="14" t="s">
        <v>88</v>
      </c>
      <c r="J110" s="14">
        <v>1</v>
      </c>
      <c r="K110" s="14">
        <v>1</v>
      </c>
      <c r="L110" s="14" t="s">
        <v>25255</v>
      </c>
      <c r="M110" s="14" t="s">
        <v>179</v>
      </c>
      <c r="N110" s="14" t="s">
        <v>25256</v>
      </c>
      <c r="O110" s="14" t="s">
        <v>25257</v>
      </c>
      <c r="P110" s="14" t="str">
        <f>HYPERLINK("https://photon-sol.tinyastro.io/en/lp/8sH9qD6tmrDBTAt6aHBC4EUz2ZAKwyWYiCZy7mnRpump?handle=676050794bc1b1657a56b", "View")</f>
        <v>View</v>
      </c>
    </row>
    <row r="111" spans="1:16" x14ac:dyDescent="0.25">
      <c r="A111" s="16" t="s">
        <v>25258</v>
      </c>
      <c r="B111" s="17">
        <v>68518</v>
      </c>
      <c r="C111" s="17">
        <v>0</v>
      </c>
      <c r="D111" s="17" t="s">
        <v>10157</v>
      </c>
      <c r="E111" s="17" t="s">
        <v>4396</v>
      </c>
      <c r="F111" s="17" t="s">
        <v>96</v>
      </c>
      <c r="G111" s="18" t="s">
        <v>15868</v>
      </c>
      <c r="H111" s="18" t="s">
        <v>98</v>
      </c>
      <c r="I111" s="17" t="s">
        <v>25259</v>
      </c>
      <c r="J111" s="17">
        <v>1</v>
      </c>
      <c r="K111" s="17">
        <v>0</v>
      </c>
      <c r="L111" s="17" t="s">
        <v>25260</v>
      </c>
      <c r="M111" s="19" t="s">
        <v>101</v>
      </c>
      <c r="N111" s="17" t="s">
        <v>25261</v>
      </c>
      <c r="O111" s="17" t="s">
        <v>25262</v>
      </c>
      <c r="P111" s="17" t="str">
        <f>HYPERLINK("https://dexscreener.com/solana/ccGHvXzNxRsv39sSUYTBh161XAuc928MhsZoVgwpump", "View")</f>
        <v>View</v>
      </c>
    </row>
    <row r="112" spans="1:16" x14ac:dyDescent="0.25">
      <c r="A112" s="13" t="s">
        <v>25263</v>
      </c>
      <c r="B112" s="14">
        <v>210188</v>
      </c>
      <c r="C112" s="14">
        <v>0</v>
      </c>
      <c r="D112" s="14" t="s">
        <v>10157</v>
      </c>
      <c r="E112" s="14" t="s">
        <v>6161</v>
      </c>
      <c r="F112" s="14" t="s">
        <v>96</v>
      </c>
      <c r="G112" s="18" t="s">
        <v>9563</v>
      </c>
      <c r="H112" s="18" t="s">
        <v>98</v>
      </c>
      <c r="I112" s="14" t="s">
        <v>25264</v>
      </c>
      <c r="J112" s="14">
        <v>1</v>
      </c>
      <c r="K112" s="14">
        <v>0</v>
      </c>
      <c r="L112" s="14" t="s">
        <v>25265</v>
      </c>
      <c r="M112" s="19" t="s">
        <v>101</v>
      </c>
      <c r="N112" s="14" t="s">
        <v>2411</v>
      </c>
      <c r="O112" s="14" t="s">
        <v>25266</v>
      </c>
      <c r="P112" s="14" t="str">
        <f>HYPERLINK("https://photon-sol.tinyastro.io/en/lp/DxiyxCnYHvCwdvDQ2QpgoazbSCca4HGtAXYo1HmWpump?handle=676050794bc1b1657a56b", "View")</f>
        <v>View</v>
      </c>
    </row>
    <row r="113" spans="1:16" x14ac:dyDescent="0.25">
      <c r="A113" s="16" t="s">
        <v>25267</v>
      </c>
      <c r="B113" s="17">
        <v>149112</v>
      </c>
      <c r="C113" s="17">
        <v>74556</v>
      </c>
      <c r="D113" s="17" t="s">
        <v>8469</v>
      </c>
      <c r="E113" s="17" t="s">
        <v>2661</v>
      </c>
      <c r="F113" s="17" t="s">
        <v>4869</v>
      </c>
      <c r="G113" s="21" t="s">
        <v>2809</v>
      </c>
      <c r="H113" s="21" t="s">
        <v>25268</v>
      </c>
      <c r="I113" s="17" t="s">
        <v>88</v>
      </c>
      <c r="J113" s="17">
        <v>1</v>
      </c>
      <c r="K113" s="17">
        <v>1</v>
      </c>
      <c r="L113" s="17" t="s">
        <v>25269</v>
      </c>
      <c r="M113" s="17" t="s">
        <v>132</v>
      </c>
      <c r="N113" s="17" t="s">
        <v>25270</v>
      </c>
      <c r="O113" s="17" t="s">
        <v>25271</v>
      </c>
      <c r="P113" s="17" t="str">
        <f>HYPERLINK("https://photon-sol.tinyastro.io/en/lp/3YP4dPY8NkSnTbR4vUjxFQNVYmvhR9qcgAK89wowU2EK?handle=676050794bc1b1657a56b", "View")</f>
        <v>View</v>
      </c>
    </row>
    <row r="114" spans="1:16" x14ac:dyDescent="0.25">
      <c r="A114" s="13" t="s">
        <v>1273</v>
      </c>
      <c r="B114" s="14">
        <v>364683</v>
      </c>
      <c r="C114" s="14">
        <v>182342</v>
      </c>
      <c r="D114" s="14" t="s">
        <v>8469</v>
      </c>
      <c r="E114" s="14" t="s">
        <v>2882</v>
      </c>
      <c r="F114" s="14" t="s">
        <v>5220</v>
      </c>
      <c r="G114" s="21" t="s">
        <v>5077</v>
      </c>
      <c r="H114" s="21" t="s">
        <v>25272</v>
      </c>
      <c r="I114" s="14" t="s">
        <v>88</v>
      </c>
      <c r="J114" s="14">
        <v>1</v>
      </c>
      <c r="K114" s="14">
        <v>1</v>
      </c>
      <c r="L114" s="14" t="s">
        <v>25273</v>
      </c>
      <c r="M114" s="14" t="s">
        <v>414</v>
      </c>
      <c r="N114" s="14" t="s">
        <v>25274</v>
      </c>
      <c r="O114" s="14" t="s">
        <v>1279</v>
      </c>
      <c r="P114" s="14" t="str">
        <f>HYPERLINK("https://photon-sol.tinyastro.io/en/lp/GpKUvQfGPVhMM62e3aCcBe6tUcVqHXjLK45WySdq5dJf?handle=676050794bc1b1657a56b", "View")</f>
        <v>View</v>
      </c>
    </row>
    <row r="115" spans="1:16" x14ac:dyDescent="0.25">
      <c r="A115" s="16" t="s">
        <v>1100</v>
      </c>
      <c r="B115" s="17">
        <v>53648</v>
      </c>
      <c r="C115" s="17">
        <v>40236</v>
      </c>
      <c r="D115" s="17" t="s">
        <v>19880</v>
      </c>
      <c r="E115" s="17" t="s">
        <v>5919</v>
      </c>
      <c r="F115" s="17" t="s">
        <v>5058</v>
      </c>
      <c r="G115" s="21" t="s">
        <v>5919</v>
      </c>
      <c r="H115" s="21" t="s">
        <v>25275</v>
      </c>
      <c r="I115" s="17" t="s">
        <v>88</v>
      </c>
      <c r="J115" s="17">
        <v>1</v>
      </c>
      <c r="K115" s="17">
        <v>2</v>
      </c>
      <c r="L115" s="17" t="s">
        <v>25276</v>
      </c>
      <c r="M115" s="17" t="s">
        <v>2984</v>
      </c>
      <c r="N115" s="17" t="s">
        <v>25277</v>
      </c>
      <c r="O115" s="17" t="s">
        <v>1104</v>
      </c>
      <c r="P115" s="17" t="str">
        <f>HYPERLINK("https://dexscreener.com/solana/GbCBWwoJsYY5fyxbGarZCmRv6FaL8tTiEawNRZ5fpump", "View")</f>
        <v>View</v>
      </c>
    </row>
    <row r="116" spans="1:16" x14ac:dyDescent="0.25">
      <c r="A116" s="13" t="s">
        <v>25278</v>
      </c>
      <c r="B116" s="14">
        <v>448915</v>
      </c>
      <c r="C116" s="14">
        <v>448915</v>
      </c>
      <c r="D116" s="14" t="s">
        <v>19880</v>
      </c>
      <c r="E116" s="14" t="s">
        <v>6111</v>
      </c>
      <c r="F116" s="14" t="s">
        <v>4761</v>
      </c>
      <c r="G116" s="22" t="s">
        <v>3765</v>
      </c>
      <c r="H116" s="22" t="s">
        <v>25279</v>
      </c>
      <c r="I116" s="14" t="s">
        <v>88</v>
      </c>
      <c r="J116" s="14">
        <v>1</v>
      </c>
      <c r="K116" s="14">
        <v>2</v>
      </c>
      <c r="L116" s="14" t="s">
        <v>25280</v>
      </c>
      <c r="M116" s="14" t="s">
        <v>4922</v>
      </c>
      <c r="N116" s="14" t="s">
        <v>25281</v>
      </c>
      <c r="O116" s="14" t="s">
        <v>25282</v>
      </c>
      <c r="P116" s="14" t="str">
        <f>HYPERLINK("https://photon-sol.tinyastro.io/en/lp/2u9U8yHDERUGAWUrhr62NDva2sKZz6kiEJ8vssR3pump?handle=676050794bc1b1657a56b", "View")</f>
        <v>View</v>
      </c>
    </row>
    <row r="117" spans="1:16" x14ac:dyDescent="0.25">
      <c r="A117" s="16" t="s">
        <v>25283</v>
      </c>
      <c r="B117" s="17">
        <v>6473</v>
      </c>
      <c r="C117" s="17">
        <v>0</v>
      </c>
      <c r="D117" s="17" t="s">
        <v>10157</v>
      </c>
      <c r="E117" s="17" t="s">
        <v>4396</v>
      </c>
      <c r="F117" s="17" t="s">
        <v>96</v>
      </c>
      <c r="G117" s="18" t="s">
        <v>15868</v>
      </c>
      <c r="H117" s="18" t="s">
        <v>98</v>
      </c>
      <c r="I117" s="17" t="s">
        <v>25284</v>
      </c>
      <c r="J117" s="17">
        <v>1</v>
      </c>
      <c r="K117" s="17">
        <v>0</v>
      </c>
      <c r="L117" s="17" t="s">
        <v>25285</v>
      </c>
      <c r="M117" s="19" t="s">
        <v>101</v>
      </c>
      <c r="N117" s="17" t="s">
        <v>18928</v>
      </c>
      <c r="O117" s="17" t="s">
        <v>25286</v>
      </c>
      <c r="P117" s="17" t="str">
        <f>HYPERLINK("https://dexscreener.com/solana/6kJhG826LGowg7zG6PLd6tg7mqvVSdq2WzHhsfc7pump", "View")</f>
        <v>View</v>
      </c>
    </row>
    <row r="118" spans="1:16" x14ac:dyDescent="0.25">
      <c r="A118" s="13" t="s">
        <v>25287</v>
      </c>
      <c r="B118" s="14">
        <v>342419</v>
      </c>
      <c r="C118" s="14">
        <v>0</v>
      </c>
      <c r="D118" s="14" t="s">
        <v>10157</v>
      </c>
      <c r="E118" s="14" t="s">
        <v>3503</v>
      </c>
      <c r="F118" s="14" t="s">
        <v>96</v>
      </c>
      <c r="G118" s="18" t="s">
        <v>3293</v>
      </c>
      <c r="H118" s="18" t="s">
        <v>98</v>
      </c>
      <c r="I118" s="14" t="s">
        <v>25288</v>
      </c>
      <c r="J118" s="14">
        <v>1</v>
      </c>
      <c r="K118" s="14">
        <v>0</v>
      </c>
      <c r="L118" s="14" t="s">
        <v>25289</v>
      </c>
      <c r="M118" s="19" t="s">
        <v>101</v>
      </c>
      <c r="N118" s="14" t="s">
        <v>507</v>
      </c>
      <c r="O118" s="14" t="s">
        <v>25290</v>
      </c>
      <c r="P118" s="14" t="str">
        <f>HYPERLINK("https://photon-sol.tinyastro.io/en/lp/DYXWxvFEu5gxur2xmCUZzUvuUC7ynBWeDVmxnXfRpump?handle=676050794bc1b1657a56b", "View")</f>
        <v>View</v>
      </c>
    </row>
    <row r="119" spans="1:16" x14ac:dyDescent="0.25">
      <c r="A119" s="16" t="s">
        <v>25291</v>
      </c>
      <c r="B119" s="17">
        <v>122248</v>
      </c>
      <c r="C119" s="17">
        <v>122248</v>
      </c>
      <c r="D119" s="17" t="s">
        <v>8469</v>
      </c>
      <c r="E119" s="17" t="s">
        <v>3972</v>
      </c>
      <c r="F119" s="17" t="s">
        <v>4555</v>
      </c>
      <c r="G119" s="15" t="s">
        <v>9563</v>
      </c>
      <c r="H119" s="15" t="s">
        <v>25292</v>
      </c>
      <c r="I119" s="17" t="s">
        <v>88</v>
      </c>
      <c r="J119" s="17">
        <v>1</v>
      </c>
      <c r="K119" s="17">
        <v>1</v>
      </c>
      <c r="L119" s="17" t="s">
        <v>25293</v>
      </c>
      <c r="M119" s="17" t="s">
        <v>90</v>
      </c>
      <c r="N119" s="17" t="s">
        <v>25294</v>
      </c>
      <c r="O119" s="17" t="s">
        <v>25295</v>
      </c>
      <c r="P119" s="17" t="str">
        <f>HYPERLINK("https://dexscreener.com/solana/CdXRSHoiypJG76QjvHGhoLVD6HULp98PRjpCk5rZpump", "View")</f>
        <v>View</v>
      </c>
    </row>
    <row r="120" spans="1:16" x14ac:dyDescent="0.25">
      <c r="A120" s="13" t="s">
        <v>25296</v>
      </c>
      <c r="B120" s="14">
        <v>313653</v>
      </c>
      <c r="C120" s="14">
        <v>0</v>
      </c>
      <c r="D120" s="14" t="s">
        <v>10157</v>
      </c>
      <c r="E120" s="14" t="s">
        <v>4687</v>
      </c>
      <c r="F120" s="14" t="s">
        <v>96</v>
      </c>
      <c r="G120" s="18" t="s">
        <v>1616</v>
      </c>
      <c r="H120" s="18" t="s">
        <v>98</v>
      </c>
      <c r="I120" s="14" t="s">
        <v>25297</v>
      </c>
      <c r="J120" s="14">
        <v>1</v>
      </c>
      <c r="K120" s="14">
        <v>0</v>
      </c>
      <c r="L120" s="14" t="s">
        <v>25298</v>
      </c>
      <c r="M120" s="19" t="s">
        <v>101</v>
      </c>
      <c r="N120" s="14" t="s">
        <v>507</v>
      </c>
      <c r="O120" s="14" t="s">
        <v>25299</v>
      </c>
      <c r="P120" s="14" t="str">
        <f>HYPERLINK("https://photon-sol.tinyastro.io/en/lp/oQ5TK2a5VQdJ2uFjexAMxFc9SaPYbL2kGqwibrvpump?handle=676050794bc1b1657a56b", "View")</f>
        <v>View</v>
      </c>
    </row>
    <row r="121" spans="1:16" x14ac:dyDescent="0.25">
      <c r="A121" s="16" t="s">
        <v>25300</v>
      </c>
      <c r="B121" s="17">
        <v>80364</v>
      </c>
      <c r="C121" s="17">
        <v>40182</v>
      </c>
      <c r="D121" s="17" t="s">
        <v>10230</v>
      </c>
      <c r="E121" s="17" t="s">
        <v>4396</v>
      </c>
      <c r="F121" s="17" t="s">
        <v>5635</v>
      </c>
      <c r="G121" s="22" t="s">
        <v>5843</v>
      </c>
      <c r="H121" s="22" t="s">
        <v>25301</v>
      </c>
      <c r="I121" s="17" t="s">
        <v>88</v>
      </c>
      <c r="J121" s="17">
        <v>1</v>
      </c>
      <c r="K121" s="17">
        <v>1</v>
      </c>
      <c r="L121" s="17" t="s">
        <v>25302</v>
      </c>
      <c r="M121" s="17" t="s">
        <v>179</v>
      </c>
      <c r="N121" s="17" t="s">
        <v>25303</v>
      </c>
      <c r="O121" s="17" t="s">
        <v>25304</v>
      </c>
      <c r="P121" s="17" t="str">
        <f>HYPERLINK("https://dexscreener.com/solana/Huz7DeiAJKATSEofkS1Bry2NkCwkfcQuZFE2wRqRpump", "View")</f>
        <v>View</v>
      </c>
    </row>
    <row r="122" spans="1:16" x14ac:dyDescent="0.25">
      <c r="A122" s="13" t="s">
        <v>25305</v>
      </c>
      <c r="B122" s="14">
        <v>247568</v>
      </c>
      <c r="C122" s="14">
        <v>108311</v>
      </c>
      <c r="D122" s="14" t="s">
        <v>7153</v>
      </c>
      <c r="E122" s="14" t="s">
        <v>4396</v>
      </c>
      <c r="F122" s="14" t="s">
        <v>4700</v>
      </c>
      <c r="G122" s="22" t="s">
        <v>96</v>
      </c>
      <c r="H122" s="22" t="s">
        <v>4914</v>
      </c>
      <c r="I122" s="14" t="s">
        <v>88</v>
      </c>
      <c r="J122" s="14">
        <v>1</v>
      </c>
      <c r="K122" s="14">
        <v>2</v>
      </c>
      <c r="L122" s="14" t="s">
        <v>25306</v>
      </c>
      <c r="M122" s="14" t="s">
        <v>5695</v>
      </c>
      <c r="N122" s="14" t="s">
        <v>25307</v>
      </c>
      <c r="O122" s="14" t="s">
        <v>25308</v>
      </c>
      <c r="P122" s="14" t="str">
        <f>HYPERLINK("https://dexscreener.com/solana/GTLMdhtcHhqAbY3h8sKd9Y6yNLmYaT4NS3qgQr82HBCT", "View")</f>
        <v>View</v>
      </c>
    </row>
    <row r="123" spans="1:16" x14ac:dyDescent="0.25">
      <c r="A123" s="16" t="s">
        <v>25309</v>
      </c>
      <c r="B123" s="17">
        <v>104510</v>
      </c>
      <c r="C123" s="17">
        <v>0</v>
      </c>
      <c r="D123" s="17" t="s">
        <v>10157</v>
      </c>
      <c r="E123" s="17" t="s">
        <v>4665</v>
      </c>
      <c r="F123" s="17" t="s">
        <v>96</v>
      </c>
      <c r="G123" s="18" t="s">
        <v>2726</v>
      </c>
      <c r="H123" s="18" t="s">
        <v>98</v>
      </c>
      <c r="I123" s="17" t="s">
        <v>25310</v>
      </c>
      <c r="J123" s="17">
        <v>1</v>
      </c>
      <c r="K123" s="17">
        <v>0</v>
      </c>
      <c r="L123" s="17" t="s">
        <v>25311</v>
      </c>
      <c r="M123" s="19" t="s">
        <v>101</v>
      </c>
      <c r="N123" s="17" t="s">
        <v>25312</v>
      </c>
      <c r="O123" s="17" t="s">
        <v>25313</v>
      </c>
      <c r="P123" s="17" t="str">
        <f>HYPERLINK("https://dexscreener.com/solana/9M53sMUqbZKyBhqrfPW6erZModxadJMFUtRJahJFpump", "View")</f>
        <v>View</v>
      </c>
    </row>
    <row r="124" spans="1:16" x14ac:dyDescent="0.25">
      <c r="A124" s="13" t="s">
        <v>17544</v>
      </c>
      <c r="B124" s="14">
        <v>762900</v>
      </c>
      <c r="C124" s="14">
        <v>0</v>
      </c>
      <c r="D124" s="14" t="s">
        <v>1882</v>
      </c>
      <c r="E124" s="14" t="s">
        <v>15490</v>
      </c>
      <c r="F124" s="14" t="s">
        <v>96</v>
      </c>
      <c r="G124" s="18" t="s">
        <v>19405</v>
      </c>
      <c r="H124" s="18" t="s">
        <v>98</v>
      </c>
      <c r="I124" s="14" t="s">
        <v>25314</v>
      </c>
      <c r="J124" s="14">
        <v>1</v>
      </c>
      <c r="K124" s="14">
        <v>0</v>
      </c>
      <c r="L124" s="14" t="s">
        <v>25315</v>
      </c>
      <c r="M124" s="19" t="s">
        <v>101</v>
      </c>
      <c r="N124" s="14" t="s">
        <v>22916</v>
      </c>
      <c r="O124" s="14" t="s">
        <v>25316</v>
      </c>
      <c r="P124" s="14" t="str">
        <f>HYPERLINK("https://photon-sol.tinyastro.io/en/lp/AsDz6pFEZn7unPV8kC2kwetNNPbysVrreyhsUxNFpump?handle=676050794bc1b1657a56b", "View")</f>
        <v>View</v>
      </c>
    </row>
    <row r="125" spans="1:16" x14ac:dyDescent="0.25">
      <c r="A125" s="16" t="s">
        <v>25317</v>
      </c>
      <c r="B125" s="17">
        <v>537825</v>
      </c>
      <c r="C125" s="17">
        <v>0</v>
      </c>
      <c r="D125" s="17" t="s">
        <v>10157</v>
      </c>
      <c r="E125" s="17" t="s">
        <v>4396</v>
      </c>
      <c r="F125" s="17" t="s">
        <v>96</v>
      </c>
      <c r="G125" s="18" t="s">
        <v>15868</v>
      </c>
      <c r="H125" s="18" t="s">
        <v>98</v>
      </c>
      <c r="I125" s="17" t="s">
        <v>25318</v>
      </c>
      <c r="J125" s="17">
        <v>1</v>
      </c>
      <c r="K125" s="17">
        <v>0</v>
      </c>
      <c r="L125" s="17" t="s">
        <v>25319</v>
      </c>
      <c r="M125" s="19" t="s">
        <v>101</v>
      </c>
      <c r="N125" s="17" t="s">
        <v>25320</v>
      </c>
      <c r="O125" s="17" t="s">
        <v>25321</v>
      </c>
      <c r="P125" s="17" t="str">
        <f>HYPERLINK("https://dexscreener.com/solana/7CcKCBfQAar6ncAAz2ZFw7CYxAcxbb5faZhUN9LKpump", "View")</f>
        <v>View</v>
      </c>
    </row>
    <row r="126" spans="1:16" x14ac:dyDescent="0.25">
      <c r="A126" s="13" t="s">
        <v>25322</v>
      </c>
      <c r="B126" s="14">
        <v>386505</v>
      </c>
      <c r="C126" s="14">
        <v>0</v>
      </c>
      <c r="D126" s="14" t="s">
        <v>10157</v>
      </c>
      <c r="E126" s="14" t="s">
        <v>3316</v>
      </c>
      <c r="F126" s="14" t="s">
        <v>96</v>
      </c>
      <c r="G126" s="18" t="s">
        <v>4187</v>
      </c>
      <c r="H126" s="18" t="s">
        <v>98</v>
      </c>
      <c r="I126" s="14" t="s">
        <v>25323</v>
      </c>
      <c r="J126" s="14">
        <v>1</v>
      </c>
      <c r="K126" s="14">
        <v>0</v>
      </c>
      <c r="L126" s="14" t="s">
        <v>25324</v>
      </c>
      <c r="M126" s="19" t="s">
        <v>101</v>
      </c>
      <c r="N126" s="14" t="s">
        <v>507</v>
      </c>
      <c r="O126" s="14" t="s">
        <v>25325</v>
      </c>
      <c r="P126" s="14" t="str">
        <f>HYPERLINK("https://photon-sol.tinyastro.io/en/lp/J28UVBPDadosdAEcM9gbFpnrimeM8GKRLNQEb3UYpump?handle=676050794bc1b1657a56b", "View")</f>
        <v>View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9109-963E-4BCE-A615-82DFBF1D653B}">
  <dimension ref="A1:P25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HYPERLINK("https://gmgn.ai/sol/address/E4aSNyoBHHut4zhLokjV9L6h3cFP8v3uddHhUhqKdB91", "GMGN")</f>
        <v>GMGN</v>
      </c>
    </row>
    <row r="2" spans="1:14" x14ac:dyDescent="0.25">
      <c r="A2" s="3" t="s">
        <v>25326</v>
      </c>
      <c r="B2" s="3" t="s">
        <v>25327</v>
      </c>
      <c r="C2" s="3" t="s">
        <v>15647</v>
      </c>
      <c r="D2" s="3" t="s">
        <v>25328</v>
      </c>
      <c r="E2" s="3" t="s">
        <v>25329</v>
      </c>
      <c r="F2" s="3" t="s">
        <v>18</v>
      </c>
      <c r="G2" s="3" t="s">
        <v>11187</v>
      </c>
      <c r="H2" s="3">
        <v>237</v>
      </c>
      <c r="I2" s="3">
        <v>97</v>
      </c>
      <c r="J2" s="3" t="s">
        <v>25330</v>
      </c>
      <c r="K2" s="3" t="s">
        <v>414</v>
      </c>
      <c r="L2" s="3">
        <v>7</v>
      </c>
      <c r="M2" s="3">
        <v>499</v>
      </c>
      <c r="N2" s="3" t="str">
        <f>HYPERLINK("https://solscan.io/account/E4aSNyoBHHut4zhLokjV9L6h3cFP8v3uddHhUhqKdB91",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HYPERLINK("https://birdeye.so/profile/E4aSNyoBHHut4zhLokjV9L6h3cFP8v3uddHhUhqKdB91", "Birdeye")</f>
        <v>Birdeye</v>
      </c>
    </row>
    <row r="4" spans="1:14" x14ac:dyDescent="0.25">
      <c r="A4" s="1" t="s">
        <v>25</v>
      </c>
      <c r="B4" s="3" t="s">
        <v>8457</v>
      </c>
      <c r="C4" s="3"/>
      <c r="D4" s="3" t="s">
        <v>1775</v>
      </c>
      <c r="E4" s="3" t="s">
        <v>25331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25332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23</v>
      </c>
      <c r="D10" s="1">
        <v>3</v>
      </c>
      <c r="E10" s="1">
        <v>15</v>
      </c>
      <c r="F10" s="1">
        <v>2</v>
      </c>
      <c r="G10" s="1">
        <v>192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25333</v>
      </c>
      <c r="C11" s="1" t="s">
        <v>25334</v>
      </c>
      <c r="D11" s="1" t="s">
        <v>11191</v>
      </c>
      <c r="E11" s="1" t="s">
        <v>25335</v>
      </c>
      <c r="F11" s="1" t="s">
        <v>25333</v>
      </c>
      <c r="G11" s="1" t="s">
        <v>25336</v>
      </c>
      <c r="H11" s="3"/>
      <c r="I11" s="3" t="s">
        <v>50</v>
      </c>
      <c r="J11" s="3" t="s">
        <v>1570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22699</v>
      </c>
      <c r="C12" s="1" t="s">
        <v>24243</v>
      </c>
      <c r="D12" s="1" t="s">
        <v>25337</v>
      </c>
      <c r="E12" s="1" t="s">
        <v>32</v>
      </c>
      <c r="F12" s="1" t="s">
        <v>20573</v>
      </c>
      <c r="G12" s="1" t="s">
        <v>23736</v>
      </c>
      <c r="H12" s="3"/>
      <c r="I12" s="3" t="s">
        <v>59</v>
      </c>
      <c r="J12" s="3" t="s">
        <v>8467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64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25338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25339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16928</v>
      </c>
      <c r="B20" s="14">
        <v>11059</v>
      </c>
      <c r="C20" s="14">
        <v>5530</v>
      </c>
      <c r="D20" s="14" t="s">
        <v>19057</v>
      </c>
      <c r="E20" s="14" t="s">
        <v>5345</v>
      </c>
      <c r="F20" s="14" t="s">
        <v>15334</v>
      </c>
      <c r="G20" s="22" t="s">
        <v>4141</v>
      </c>
      <c r="H20" s="22" t="s">
        <v>21949</v>
      </c>
      <c r="I20" s="14" t="s">
        <v>88</v>
      </c>
      <c r="J20" s="14">
        <v>1</v>
      </c>
      <c r="K20" s="14">
        <v>1</v>
      </c>
      <c r="L20" s="14" t="s">
        <v>25340</v>
      </c>
      <c r="M20" s="14" t="s">
        <v>13641</v>
      </c>
      <c r="N20" s="14" t="s">
        <v>25341</v>
      </c>
      <c r="O20" s="14" t="s">
        <v>16935</v>
      </c>
      <c r="P20" s="14" t="str">
        <f>HYPERLINK("https://dexscreener.com/solana/3XFiHA2gexzBjqtM5Z7FjJhP6f28D2m79UihBCfkpump", "View")</f>
        <v>View</v>
      </c>
    </row>
    <row r="21" spans="1:16" x14ac:dyDescent="0.25">
      <c r="A21" s="16" t="s">
        <v>2842</v>
      </c>
      <c r="B21" s="17">
        <v>718</v>
      </c>
      <c r="C21" s="17">
        <v>0</v>
      </c>
      <c r="D21" s="17" t="s">
        <v>18981</v>
      </c>
      <c r="E21" s="17" t="s">
        <v>6212</v>
      </c>
      <c r="F21" s="17" t="s">
        <v>96</v>
      </c>
      <c r="G21" s="18" t="s">
        <v>2289</v>
      </c>
      <c r="H21" s="18" t="s">
        <v>98</v>
      </c>
      <c r="I21" s="17" t="s">
        <v>25342</v>
      </c>
      <c r="J21" s="17">
        <v>1</v>
      </c>
      <c r="K21" s="17">
        <v>0</v>
      </c>
      <c r="L21" s="17" t="s">
        <v>25343</v>
      </c>
      <c r="M21" s="19" t="s">
        <v>101</v>
      </c>
      <c r="N21" s="17" t="s">
        <v>25344</v>
      </c>
      <c r="O21" s="17" t="s">
        <v>8615</v>
      </c>
      <c r="P21" s="17" t="str">
        <f>HYPERLINK("https://dexscreener.com/solana/DRTeDJXZYYZxmq3tmgSPvLi3ef5E51cRH1KzzwXvC5M7", "View")</f>
        <v>View</v>
      </c>
    </row>
    <row r="22" spans="1:16" x14ac:dyDescent="0.25">
      <c r="A22" s="13" t="s">
        <v>25345</v>
      </c>
      <c r="B22" s="14">
        <v>62499</v>
      </c>
      <c r="C22" s="14">
        <v>31249</v>
      </c>
      <c r="D22" s="14" t="s">
        <v>19035</v>
      </c>
      <c r="E22" s="14" t="s">
        <v>6212</v>
      </c>
      <c r="F22" s="14" t="s">
        <v>11759</v>
      </c>
      <c r="G22" s="21" t="s">
        <v>16182</v>
      </c>
      <c r="H22" s="21" t="s">
        <v>25346</v>
      </c>
      <c r="I22" s="14" t="s">
        <v>88</v>
      </c>
      <c r="J22" s="14">
        <v>1</v>
      </c>
      <c r="K22" s="14">
        <v>1</v>
      </c>
      <c r="L22" s="14" t="s">
        <v>25347</v>
      </c>
      <c r="M22" s="14" t="s">
        <v>132</v>
      </c>
      <c r="N22" s="14" t="s">
        <v>25348</v>
      </c>
      <c r="O22" s="14" t="s">
        <v>25349</v>
      </c>
      <c r="P22" s="14" t="str">
        <f>HYPERLINK("https://dexscreener.com/solana/12HXYh3MHmyuraHtd82fGEKSwuhdsbPo1utXQKvXpump", "View")</f>
        <v>View</v>
      </c>
    </row>
    <row r="23" spans="1:16" x14ac:dyDescent="0.25">
      <c r="A23" s="16" t="s">
        <v>25350</v>
      </c>
      <c r="B23" s="17">
        <v>1885</v>
      </c>
      <c r="C23" s="17">
        <v>0</v>
      </c>
      <c r="D23" s="17" t="s">
        <v>10098</v>
      </c>
      <c r="E23" s="17" t="s">
        <v>6212</v>
      </c>
      <c r="F23" s="17" t="s">
        <v>96</v>
      </c>
      <c r="G23" s="18" t="s">
        <v>4181</v>
      </c>
      <c r="H23" s="18" t="s">
        <v>98</v>
      </c>
      <c r="I23" s="17" t="s">
        <v>25351</v>
      </c>
      <c r="J23" s="17">
        <v>1</v>
      </c>
      <c r="K23" s="17">
        <v>0</v>
      </c>
      <c r="L23" s="17" t="s">
        <v>25352</v>
      </c>
      <c r="M23" s="19" t="s">
        <v>101</v>
      </c>
      <c r="N23" s="17" t="s">
        <v>25353</v>
      </c>
      <c r="O23" s="17" t="s">
        <v>25354</v>
      </c>
      <c r="P23" s="17" t="str">
        <f>HYPERLINK("https://dexscreener.com/solana/7bpFPJqRpb8Wn8VX9rjNLWEsccCTjKqwmJ7wMX89VAzZ", "View")</f>
        <v>View</v>
      </c>
    </row>
    <row r="24" spans="1:16" x14ac:dyDescent="0.25">
      <c r="A24" s="13" t="s">
        <v>1794</v>
      </c>
      <c r="B24" s="14">
        <v>26422</v>
      </c>
      <c r="C24" s="14">
        <v>0</v>
      </c>
      <c r="D24" s="14" t="s">
        <v>18981</v>
      </c>
      <c r="E24" s="14" t="s">
        <v>6212</v>
      </c>
      <c r="F24" s="14" t="s">
        <v>96</v>
      </c>
      <c r="G24" s="18" t="s">
        <v>2289</v>
      </c>
      <c r="H24" s="18" t="s">
        <v>98</v>
      </c>
      <c r="I24" s="14" t="s">
        <v>25355</v>
      </c>
      <c r="J24" s="14">
        <v>1</v>
      </c>
      <c r="K24" s="14">
        <v>0</v>
      </c>
      <c r="L24" s="14" t="s">
        <v>25356</v>
      </c>
      <c r="M24" s="19" t="s">
        <v>101</v>
      </c>
      <c r="N24" s="14" t="s">
        <v>25357</v>
      </c>
      <c r="O24" s="14" t="s">
        <v>1802</v>
      </c>
      <c r="P24" s="14" t="str">
        <f>HYPERLINK("https://dexscreener.com/solana/WziqSdg6EGYooGBmoxeUWLe2Czwk7AsEH2J42cepump", "View")</f>
        <v>View</v>
      </c>
    </row>
    <row r="25" spans="1:16" x14ac:dyDescent="0.25">
      <c r="A25" s="16" t="s">
        <v>16659</v>
      </c>
      <c r="B25" s="17">
        <v>16074</v>
      </c>
      <c r="C25" s="17">
        <v>0</v>
      </c>
      <c r="D25" s="17" t="s">
        <v>10098</v>
      </c>
      <c r="E25" s="17" t="s">
        <v>6212</v>
      </c>
      <c r="F25" s="17" t="s">
        <v>96</v>
      </c>
      <c r="G25" s="18" t="s">
        <v>4181</v>
      </c>
      <c r="H25" s="18" t="s">
        <v>98</v>
      </c>
      <c r="I25" s="17" t="s">
        <v>25358</v>
      </c>
      <c r="J25" s="17">
        <v>1</v>
      </c>
      <c r="K25" s="17">
        <v>0</v>
      </c>
      <c r="L25" s="17" t="s">
        <v>25359</v>
      </c>
      <c r="M25" s="19" t="s">
        <v>101</v>
      </c>
      <c r="N25" s="17" t="s">
        <v>25360</v>
      </c>
      <c r="O25" s="17" t="s">
        <v>16664</v>
      </c>
      <c r="P25" s="17" t="str">
        <f>HYPERLINK("https://dexscreener.com/solana/DqWbfzoFmZPrrQP7MdqYvwZbCkBNu2fSSaJqUrqEVYyX", "View")</f>
        <v>View</v>
      </c>
    </row>
    <row r="26" spans="1:16" x14ac:dyDescent="0.25">
      <c r="A26" s="13" t="s">
        <v>23136</v>
      </c>
      <c r="B26" s="14">
        <v>56714</v>
      </c>
      <c r="C26" s="14">
        <v>0</v>
      </c>
      <c r="D26" s="14" t="s">
        <v>18981</v>
      </c>
      <c r="E26" s="14" t="s">
        <v>6212</v>
      </c>
      <c r="F26" s="14" t="s">
        <v>96</v>
      </c>
      <c r="G26" s="18" t="s">
        <v>2289</v>
      </c>
      <c r="H26" s="18" t="s">
        <v>98</v>
      </c>
      <c r="I26" s="14" t="s">
        <v>25361</v>
      </c>
      <c r="J26" s="14">
        <v>1</v>
      </c>
      <c r="K26" s="14">
        <v>0</v>
      </c>
      <c r="L26" s="14" t="s">
        <v>25362</v>
      </c>
      <c r="M26" s="19" t="s">
        <v>101</v>
      </c>
      <c r="N26" s="14" t="s">
        <v>25363</v>
      </c>
      <c r="O26" s="14" t="s">
        <v>23143</v>
      </c>
      <c r="P26" s="14" t="str">
        <f>HYPERLINK("https://dexscreener.com/solana/75gTkoZ1gEJXcA2Qqpqm8bes6QZVTEwnzQ3Xvz5tpump", "View")</f>
        <v>View</v>
      </c>
    </row>
    <row r="27" spans="1:16" x14ac:dyDescent="0.25">
      <c r="A27" s="16" t="s">
        <v>25364</v>
      </c>
      <c r="B27" s="17">
        <v>17086</v>
      </c>
      <c r="C27" s="17">
        <v>0</v>
      </c>
      <c r="D27" s="17" t="s">
        <v>18981</v>
      </c>
      <c r="E27" s="17" t="s">
        <v>6212</v>
      </c>
      <c r="F27" s="17" t="s">
        <v>96</v>
      </c>
      <c r="G27" s="18" t="s">
        <v>2289</v>
      </c>
      <c r="H27" s="18" t="s">
        <v>98</v>
      </c>
      <c r="I27" s="17" t="s">
        <v>25365</v>
      </c>
      <c r="J27" s="17">
        <v>1</v>
      </c>
      <c r="K27" s="17">
        <v>0</v>
      </c>
      <c r="L27" s="17" t="s">
        <v>25366</v>
      </c>
      <c r="M27" s="19" t="s">
        <v>101</v>
      </c>
      <c r="N27" s="17" t="s">
        <v>25367</v>
      </c>
      <c r="O27" s="17" t="s">
        <v>25368</v>
      </c>
      <c r="P27" s="17" t="str">
        <f>HYPERLINK("https://dexscreener.com/solana/G8aVC4nk5oPWzTHp4PDm3kAuixCebv9WRQMD93h9pump", "View")</f>
        <v>View</v>
      </c>
    </row>
    <row r="28" spans="1:16" x14ac:dyDescent="0.25">
      <c r="A28" s="13" t="s">
        <v>25369</v>
      </c>
      <c r="B28" s="14">
        <v>3660</v>
      </c>
      <c r="C28" s="14">
        <v>0</v>
      </c>
      <c r="D28" s="14" t="s">
        <v>18981</v>
      </c>
      <c r="E28" s="14" t="s">
        <v>3759</v>
      </c>
      <c r="F28" s="14" t="s">
        <v>96</v>
      </c>
      <c r="G28" s="18" t="s">
        <v>6131</v>
      </c>
      <c r="H28" s="18" t="s">
        <v>98</v>
      </c>
      <c r="I28" s="14" t="s">
        <v>25370</v>
      </c>
      <c r="J28" s="14">
        <v>1</v>
      </c>
      <c r="K28" s="14">
        <v>0</v>
      </c>
      <c r="L28" s="14" t="s">
        <v>25371</v>
      </c>
      <c r="M28" s="19" t="s">
        <v>101</v>
      </c>
      <c r="N28" s="14" t="s">
        <v>25372</v>
      </c>
      <c r="O28" s="14" t="s">
        <v>25373</v>
      </c>
      <c r="P28" s="14" t="str">
        <f>HYPERLINK("https://dexscreener.com/solana/APmLv2VarkC5yEjjutYkeK3byr9L2KwCgrVMWHWsgaG7", "View")</f>
        <v>View</v>
      </c>
    </row>
    <row r="29" spans="1:16" x14ac:dyDescent="0.25">
      <c r="A29" s="16" t="s">
        <v>25374</v>
      </c>
      <c r="B29" s="17">
        <v>5006</v>
      </c>
      <c r="C29" s="17">
        <v>0</v>
      </c>
      <c r="D29" s="17" t="s">
        <v>18981</v>
      </c>
      <c r="E29" s="17" t="s">
        <v>6212</v>
      </c>
      <c r="F29" s="17" t="s">
        <v>96</v>
      </c>
      <c r="G29" s="18" t="s">
        <v>2289</v>
      </c>
      <c r="H29" s="18" t="s">
        <v>98</v>
      </c>
      <c r="I29" s="17" t="s">
        <v>25375</v>
      </c>
      <c r="J29" s="17">
        <v>1</v>
      </c>
      <c r="K29" s="17">
        <v>0</v>
      </c>
      <c r="L29" s="17" t="s">
        <v>25376</v>
      </c>
      <c r="M29" s="19" t="s">
        <v>101</v>
      </c>
      <c r="N29" s="17" t="s">
        <v>25377</v>
      </c>
      <c r="O29" s="17" t="s">
        <v>25378</v>
      </c>
      <c r="P29" s="17" t="str">
        <f>HYPERLINK("https://dexscreener.com/solana/33aY2XDYFfbANyBKGiAGUb7kYb4sY9SqPcUZPrwRpump", "View")</f>
        <v>View</v>
      </c>
    </row>
    <row r="30" spans="1:16" x14ac:dyDescent="0.25">
      <c r="A30" s="13" t="s">
        <v>5030</v>
      </c>
      <c r="B30" s="14">
        <v>1396</v>
      </c>
      <c r="C30" s="14">
        <v>0</v>
      </c>
      <c r="D30" s="14" t="s">
        <v>10098</v>
      </c>
      <c r="E30" s="14" t="s">
        <v>6212</v>
      </c>
      <c r="F30" s="14" t="s">
        <v>96</v>
      </c>
      <c r="G30" s="18" t="s">
        <v>4181</v>
      </c>
      <c r="H30" s="18" t="s">
        <v>98</v>
      </c>
      <c r="I30" s="14" t="s">
        <v>25379</v>
      </c>
      <c r="J30" s="14">
        <v>1</v>
      </c>
      <c r="K30" s="14">
        <v>0</v>
      </c>
      <c r="L30" s="14" t="s">
        <v>25380</v>
      </c>
      <c r="M30" s="19" t="s">
        <v>101</v>
      </c>
      <c r="N30" s="14" t="s">
        <v>25381</v>
      </c>
      <c r="O30" s="14" t="s">
        <v>6498</v>
      </c>
      <c r="P30" s="14" t="str">
        <f>HYPERLINK("https://dexscreener.com/solana/4J5HoZWoKcbo2JQxEEVCKRBfUQtEroY1QdRrKtZFpump", "View")</f>
        <v>View</v>
      </c>
    </row>
    <row r="31" spans="1:16" x14ac:dyDescent="0.25">
      <c r="A31" s="16" t="s">
        <v>25382</v>
      </c>
      <c r="B31" s="17">
        <v>13524</v>
      </c>
      <c r="C31" s="17">
        <v>12172</v>
      </c>
      <c r="D31" s="17" t="s">
        <v>16942</v>
      </c>
      <c r="E31" s="17" t="s">
        <v>5346</v>
      </c>
      <c r="F31" s="17" t="s">
        <v>3670</v>
      </c>
      <c r="G31" s="21" t="s">
        <v>9597</v>
      </c>
      <c r="H31" s="21" t="s">
        <v>25383</v>
      </c>
      <c r="I31" s="17" t="s">
        <v>88</v>
      </c>
      <c r="J31" s="17">
        <v>1</v>
      </c>
      <c r="K31" s="17">
        <v>2</v>
      </c>
      <c r="L31" s="17" t="s">
        <v>25384</v>
      </c>
      <c r="M31" s="17" t="s">
        <v>240</v>
      </c>
      <c r="N31" s="17" t="s">
        <v>25385</v>
      </c>
      <c r="O31" s="17" t="s">
        <v>25386</v>
      </c>
      <c r="P31" s="17" t="str">
        <f>HYPERLINK("https://dexscreener.com/solana/2e4hookwoJmyAReeSRcTP5dE4myMnwfVvPSztDrjpump", "View")</f>
        <v>View</v>
      </c>
    </row>
    <row r="32" spans="1:16" x14ac:dyDescent="0.25">
      <c r="A32" s="13" t="s">
        <v>25387</v>
      </c>
      <c r="B32" s="14">
        <v>49121</v>
      </c>
      <c r="C32" s="14">
        <v>0</v>
      </c>
      <c r="D32" s="14" t="s">
        <v>18981</v>
      </c>
      <c r="E32" s="14" t="s">
        <v>6212</v>
      </c>
      <c r="F32" s="14" t="s">
        <v>96</v>
      </c>
      <c r="G32" s="18" t="s">
        <v>2289</v>
      </c>
      <c r="H32" s="18" t="s">
        <v>98</v>
      </c>
      <c r="I32" s="14" t="s">
        <v>25388</v>
      </c>
      <c r="J32" s="14">
        <v>1</v>
      </c>
      <c r="K32" s="14">
        <v>0</v>
      </c>
      <c r="L32" s="14" t="s">
        <v>25389</v>
      </c>
      <c r="M32" s="19" t="s">
        <v>101</v>
      </c>
      <c r="N32" s="14" t="s">
        <v>23993</v>
      </c>
      <c r="O32" s="14" t="s">
        <v>25390</v>
      </c>
      <c r="P32" s="14" t="str">
        <f>HYPERLINK("https://dexscreener.com/solana/Ay4Br5jCE3UqmhrSDysdAjo9c4F5vMjf7pHQh78Jpump", "View")</f>
        <v>View</v>
      </c>
    </row>
    <row r="33" spans="1:16" x14ac:dyDescent="0.25">
      <c r="A33" s="16" t="s">
        <v>16773</v>
      </c>
      <c r="B33" s="17">
        <v>167911</v>
      </c>
      <c r="C33" s="17">
        <v>0</v>
      </c>
      <c r="D33" s="17" t="s">
        <v>19035</v>
      </c>
      <c r="E33" s="17" t="s">
        <v>5098</v>
      </c>
      <c r="F33" s="17" t="s">
        <v>96</v>
      </c>
      <c r="G33" s="18" t="s">
        <v>17051</v>
      </c>
      <c r="H33" s="18" t="s">
        <v>98</v>
      </c>
      <c r="I33" s="17" t="s">
        <v>25391</v>
      </c>
      <c r="J33" s="17">
        <v>2</v>
      </c>
      <c r="K33" s="17">
        <v>0</v>
      </c>
      <c r="L33" s="17" t="s">
        <v>25392</v>
      </c>
      <c r="M33" s="19" t="s">
        <v>2923</v>
      </c>
      <c r="N33" s="17" t="s">
        <v>25393</v>
      </c>
      <c r="O33" s="17" t="s">
        <v>16776</v>
      </c>
      <c r="P33" s="17" t="str">
        <f>HYPERLINK("https://dexscreener.com/solana/2R9ZELvagkmWap97LS3pAmtFGmrKjApQGGBCA7ABpump", "View")</f>
        <v>View</v>
      </c>
    </row>
    <row r="34" spans="1:16" x14ac:dyDescent="0.25">
      <c r="A34" s="13" t="s">
        <v>19586</v>
      </c>
      <c r="B34" s="14">
        <v>123872</v>
      </c>
      <c r="C34" s="14">
        <v>118984</v>
      </c>
      <c r="D34" s="14" t="s">
        <v>25394</v>
      </c>
      <c r="E34" s="14" t="s">
        <v>9553</v>
      </c>
      <c r="F34" s="14" t="s">
        <v>8524</v>
      </c>
      <c r="G34" s="21" t="s">
        <v>21753</v>
      </c>
      <c r="H34" s="21" t="s">
        <v>25395</v>
      </c>
      <c r="I34" s="14" t="s">
        <v>88</v>
      </c>
      <c r="J34" s="14">
        <v>3</v>
      </c>
      <c r="K34" s="14">
        <v>10</v>
      </c>
      <c r="L34" s="14" t="s">
        <v>25396</v>
      </c>
      <c r="M34" s="14" t="s">
        <v>690</v>
      </c>
      <c r="N34" s="14" t="s">
        <v>25397</v>
      </c>
      <c r="O34" s="14" t="s">
        <v>19592</v>
      </c>
      <c r="P34" s="14" t="str">
        <f>HYPERLINK("https://dexscreener.com/solana/Dogg6xWSgkF8KbsHkTWD3Et4J9a8VBLZjrASURXGiLe1", "View")</f>
        <v>View</v>
      </c>
    </row>
    <row r="35" spans="1:16" x14ac:dyDescent="0.25">
      <c r="A35" s="16" t="s">
        <v>1755</v>
      </c>
      <c r="B35" s="17">
        <v>12810</v>
      </c>
      <c r="C35" s="17">
        <v>6405</v>
      </c>
      <c r="D35" s="17" t="s">
        <v>19035</v>
      </c>
      <c r="E35" s="17" t="s">
        <v>5346</v>
      </c>
      <c r="F35" s="17" t="s">
        <v>16240</v>
      </c>
      <c r="G35" s="21" t="s">
        <v>17610</v>
      </c>
      <c r="H35" s="21" t="s">
        <v>9075</v>
      </c>
      <c r="I35" s="17" t="s">
        <v>88</v>
      </c>
      <c r="J35" s="17">
        <v>1</v>
      </c>
      <c r="K35" s="17">
        <v>1</v>
      </c>
      <c r="L35" s="17" t="s">
        <v>25398</v>
      </c>
      <c r="M35" s="17" t="s">
        <v>364</v>
      </c>
      <c r="N35" s="17" t="s">
        <v>25399</v>
      </c>
      <c r="O35" s="17" t="s">
        <v>14911</v>
      </c>
      <c r="P35" s="17" t="str">
        <f>HYPERLINK("https://dexscreener.com/solana/82SP62Q6VL8Tuy5akaNVicvfJVgwDtjL7JqyBhcKpump", "View")</f>
        <v>View</v>
      </c>
    </row>
    <row r="36" spans="1:16" x14ac:dyDescent="0.25">
      <c r="A36" s="13" t="s">
        <v>17163</v>
      </c>
      <c r="B36" s="14">
        <v>21402</v>
      </c>
      <c r="C36" s="14">
        <v>0</v>
      </c>
      <c r="D36" s="14" t="s">
        <v>18981</v>
      </c>
      <c r="E36" s="14" t="s">
        <v>5346</v>
      </c>
      <c r="F36" s="14" t="s">
        <v>96</v>
      </c>
      <c r="G36" s="18" t="s">
        <v>3800</v>
      </c>
      <c r="H36" s="18" t="s">
        <v>98</v>
      </c>
      <c r="I36" s="14" t="s">
        <v>25400</v>
      </c>
      <c r="J36" s="14">
        <v>1</v>
      </c>
      <c r="K36" s="14">
        <v>0</v>
      </c>
      <c r="L36" s="14" t="s">
        <v>25401</v>
      </c>
      <c r="M36" s="19" t="s">
        <v>101</v>
      </c>
      <c r="N36" s="14" t="s">
        <v>25402</v>
      </c>
      <c r="O36" s="14" t="s">
        <v>25403</v>
      </c>
      <c r="P36" s="14" t="str">
        <f>HYPERLINK("https://dexscreener.com/solana/DEGRZALfkV1KAPbV82Xb5hjsZYvwS6VAmGG1KSbc3KAv", "View")</f>
        <v>View</v>
      </c>
    </row>
    <row r="37" spans="1:16" x14ac:dyDescent="0.25">
      <c r="A37" s="16" t="s">
        <v>25404</v>
      </c>
      <c r="B37" s="17">
        <v>14589</v>
      </c>
      <c r="C37" s="17">
        <v>0</v>
      </c>
      <c r="D37" s="17" t="s">
        <v>18981</v>
      </c>
      <c r="E37" s="17" t="s">
        <v>5346</v>
      </c>
      <c r="F37" s="17" t="s">
        <v>96</v>
      </c>
      <c r="G37" s="18" t="s">
        <v>3800</v>
      </c>
      <c r="H37" s="18" t="s">
        <v>98</v>
      </c>
      <c r="I37" s="17" t="s">
        <v>25405</v>
      </c>
      <c r="J37" s="17">
        <v>1</v>
      </c>
      <c r="K37" s="17">
        <v>0</v>
      </c>
      <c r="L37" s="17" t="s">
        <v>25406</v>
      </c>
      <c r="M37" s="19" t="s">
        <v>101</v>
      </c>
      <c r="N37" s="17" t="s">
        <v>25407</v>
      </c>
      <c r="O37" s="17" t="s">
        <v>25408</v>
      </c>
      <c r="P37" s="17" t="str">
        <f>HYPERLINK("https://dexscreener.com/solana/6K8ChKN9UMLSTkkKCjpyDjZE84EpQzYRDDEhah1117jg", "View")</f>
        <v>View</v>
      </c>
    </row>
    <row r="38" spans="1:16" x14ac:dyDescent="0.25">
      <c r="A38" s="13" t="s">
        <v>25409</v>
      </c>
      <c r="B38" s="14">
        <v>28219</v>
      </c>
      <c r="C38" s="14">
        <v>0</v>
      </c>
      <c r="D38" s="14" t="s">
        <v>18981</v>
      </c>
      <c r="E38" s="14" t="s">
        <v>5346</v>
      </c>
      <c r="F38" s="14" t="s">
        <v>96</v>
      </c>
      <c r="G38" s="18" t="s">
        <v>3800</v>
      </c>
      <c r="H38" s="18" t="s">
        <v>98</v>
      </c>
      <c r="I38" s="14" t="s">
        <v>25410</v>
      </c>
      <c r="J38" s="14">
        <v>1</v>
      </c>
      <c r="K38" s="14">
        <v>0</v>
      </c>
      <c r="L38" s="14" t="s">
        <v>25411</v>
      </c>
      <c r="M38" s="19" t="s">
        <v>101</v>
      </c>
      <c r="N38" s="14" t="s">
        <v>25412</v>
      </c>
      <c r="O38" s="14" t="s">
        <v>25413</v>
      </c>
      <c r="P38" s="14" t="str">
        <f>HYPERLINK("https://dexscreener.com/solana/9RLS414pwe1RvCQDFNMU31jtPAnLUVULPqzSM1ipump", "View")</f>
        <v>View</v>
      </c>
    </row>
    <row r="39" spans="1:16" x14ac:dyDescent="0.25">
      <c r="A39" s="16" t="s">
        <v>25414</v>
      </c>
      <c r="B39" s="17">
        <v>40781030</v>
      </c>
      <c r="C39" s="17">
        <v>0</v>
      </c>
      <c r="D39" s="17" t="s">
        <v>18981</v>
      </c>
      <c r="E39" s="17" t="s">
        <v>5346</v>
      </c>
      <c r="F39" s="17" t="s">
        <v>96</v>
      </c>
      <c r="G39" s="18" t="s">
        <v>3800</v>
      </c>
      <c r="H39" s="18" t="s">
        <v>98</v>
      </c>
      <c r="I39" s="17" t="s">
        <v>25415</v>
      </c>
      <c r="J39" s="17">
        <v>1</v>
      </c>
      <c r="K39" s="17">
        <v>0</v>
      </c>
      <c r="L39" s="17" t="s">
        <v>25416</v>
      </c>
      <c r="M39" s="19" t="s">
        <v>101</v>
      </c>
      <c r="N39" s="17" t="s">
        <v>25417</v>
      </c>
      <c r="O39" s="17" t="s">
        <v>25418</v>
      </c>
      <c r="P39" s="17" t="str">
        <f>HYPERLINK("https://dexscreener.com/solana/GL4JmwGFFeKEXjbsSC4hFq6EqTwcNGss52DiLw4m7Z9c", "View")</f>
        <v>View</v>
      </c>
    </row>
    <row r="40" spans="1:16" x14ac:dyDescent="0.25">
      <c r="A40" s="13" t="s">
        <v>9930</v>
      </c>
      <c r="B40" s="14">
        <v>6518</v>
      </c>
      <c r="C40" s="14">
        <v>0</v>
      </c>
      <c r="D40" s="14" t="s">
        <v>18981</v>
      </c>
      <c r="E40" s="14" t="s">
        <v>5346</v>
      </c>
      <c r="F40" s="14" t="s">
        <v>96</v>
      </c>
      <c r="G40" s="18" t="s">
        <v>3800</v>
      </c>
      <c r="H40" s="18" t="s">
        <v>98</v>
      </c>
      <c r="I40" s="14" t="s">
        <v>25419</v>
      </c>
      <c r="J40" s="14">
        <v>1</v>
      </c>
      <c r="K40" s="14">
        <v>0</v>
      </c>
      <c r="L40" s="14" t="s">
        <v>25420</v>
      </c>
      <c r="M40" s="19" t="s">
        <v>101</v>
      </c>
      <c r="N40" s="14" t="s">
        <v>25421</v>
      </c>
      <c r="O40" s="14" t="s">
        <v>9936</v>
      </c>
      <c r="P40" s="14" t="str">
        <f>HYPERLINK("https://dexscreener.com/solana/F4aLcMxQy6CPcXAuER3J5QgB89n4fqBMs2bcrqQBpump", "View")</f>
        <v>View</v>
      </c>
    </row>
    <row r="41" spans="1:16" x14ac:dyDescent="0.25">
      <c r="A41" s="16" t="s">
        <v>18450</v>
      </c>
      <c r="B41" s="17">
        <v>49401</v>
      </c>
      <c r="C41" s="17">
        <v>0</v>
      </c>
      <c r="D41" s="17" t="s">
        <v>18981</v>
      </c>
      <c r="E41" s="17" t="s">
        <v>5346</v>
      </c>
      <c r="F41" s="17" t="s">
        <v>96</v>
      </c>
      <c r="G41" s="18" t="s">
        <v>3800</v>
      </c>
      <c r="H41" s="18" t="s">
        <v>98</v>
      </c>
      <c r="I41" s="17" t="s">
        <v>25422</v>
      </c>
      <c r="J41" s="17">
        <v>1</v>
      </c>
      <c r="K41" s="17">
        <v>0</v>
      </c>
      <c r="L41" s="17" t="s">
        <v>25423</v>
      </c>
      <c r="M41" s="19" t="s">
        <v>101</v>
      </c>
      <c r="N41" s="17" t="s">
        <v>25424</v>
      </c>
      <c r="O41" s="17" t="s">
        <v>18454</v>
      </c>
      <c r="P41" s="17" t="str">
        <f>HYPERLINK("https://dexscreener.com/solana/CvARs26ujuCphpnFQZ1Lxsk5R6YaHZ5uKUJoRnoLpump", "View")</f>
        <v>View</v>
      </c>
    </row>
    <row r="42" spans="1:16" x14ac:dyDescent="0.25">
      <c r="A42" s="13" t="s">
        <v>558</v>
      </c>
      <c r="B42" s="14">
        <v>16618</v>
      </c>
      <c r="C42" s="14">
        <v>0</v>
      </c>
      <c r="D42" s="14" t="s">
        <v>18981</v>
      </c>
      <c r="E42" s="14" t="s">
        <v>5346</v>
      </c>
      <c r="F42" s="14" t="s">
        <v>96</v>
      </c>
      <c r="G42" s="18" t="s">
        <v>3800</v>
      </c>
      <c r="H42" s="18" t="s">
        <v>98</v>
      </c>
      <c r="I42" s="14" t="s">
        <v>25425</v>
      </c>
      <c r="J42" s="14">
        <v>1</v>
      </c>
      <c r="K42" s="14">
        <v>0</v>
      </c>
      <c r="L42" s="14" t="s">
        <v>25426</v>
      </c>
      <c r="M42" s="19" t="s">
        <v>101</v>
      </c>
      <c r="N42" s="14" t="s">
        <v>25427</v>
      </c>
      <c r="O42" s="14" t="s">
        <v>25064</v>
      </c>
      <c r="P42" s="14" t="str">
        <f>HYPERLINK("https://dexscreener.com/solana/451zhKaaoX9jt68s5rWpmSKp8uKSu9LZwNmsj5XLpump", "View")</f>
        <v>View</v>
      </c>
    </row>
    <row r="43" spans="1:16" x14ac:dyDescent="0.25">
      <c r="A43" s="16" t="s">
        <v>5126</v>
      </c>
      <c r="B43" s="17">
        <v>87453</v>
      </c>
      <c r="C43" s="17">
        <v>43726</v>
      </c>
      <c r="D43" s="17" t="s">
        <v>25428</v>
      </c>
      <c r="E43" s="17" t="s">
        <v>4396</v>
      </c>
      <c r="F43" s="17" t="s">
        <v>12036</v>
      </c>
      <c r="G43" s="22" t="s">
        <v>15974</v>
      </c>
      <c r="H43" s="22" t="s">
        <v>25429</v>
      </c>
      <c r="I43" s="17" t="s">
        <v>88</v>
      </c>
      <c r="J43" s="17">
        <v>1</v>
      </c>
      <c r="K43" s="17">
        <v>1</v>
      </c>
      <c r="L43" s="17" t="s">
        <v>25430</v>
      </c>
      <c r="M43" s="17" t="s">
        <v>538</v>
      </c>
      <c r="N43" s="17" t="s">
        <v>25431</v>
      </c>
      <c r="O43" s="17" t="s">
        <v>25432</v>
      </c>
      <c r="P43" s="17" t="str">
        <f>HYPERLINK("https://dexscreener.com/solana/scatYPdryopAPpriuyn5a4UyPSD9weFP4KCKq9Ykskp", "View")</f>
        <v>View</v>
      </c>
    </row>
    <row r="44" spans="1:16" x14ac:dyDescent="0.25">
      <c r="A44" s="13" t="s">
        <v>11117</v>
      </c>
      <c r="B44" s="14">
        <v>59065</v>
      </c>
      <c r="C44" s="14">
        <v>29533</v>
      </c>
      <c r="D44" s="14" t="s">
        <v>25433</v>
      </c>
      <c r="E44" s="14" t="s">
        <v>4679</v>
      </c>
      <c r="F44" s="14" t="s">
        <v>12136</v>
      </c>
      <c r="G44" s="22" t="s">
        <v>5359</v>
      </c>
      <c r="H44" s="22" t="s">
        <v>25434</v>
      </c>
      <c r="I44" s="14" t="s">
        <v>88</v>
      </c>
      <c r="J44" s="14">
        <v>2</v>
      </c>
      <c r="K44" s="14">
        <v>2</v>
      </c>
      <c r="L44" s="14" t="s">
        <v>25435</v>
      </c>
      <c r="M44" s="14" t="s">
        <v>13641</v>
      </c>
      <c r="N44" s="14" t="s">
        <v>25436</v>
      </c>
      <c r="O44" s="14" t="s">
        <v>25437</v>
      </c>
      <c r="P44" s="14" t="str">
        <f>HYPERLINK("https://dexscreener.com/solana/RodhH2Xivnpt9AjK1ZniRap6TTcK1yx9CJmZ5zqPipo", "View")</f>
        <v>View</v>
      </c>
    </row>
    <row r="45" spans="1:16" x14ac:dyDescent="0.25">
      <c r="A45" s="16" t="s">
        <v>25438</v>
      </c>
      <c r="B45" s="17">
        <v>33813</v>
      </c>
      <c r="C45" s="17">
        <v>0</v>
      </c>
      <c r="D45" s="17" t="s">
        <v>18981</v>
      </c>
      <c r="E45" s="17" t="s">
        <v>5346</v>
      </c>
      <c r="F45" s="17" t="s">
        <v>96</v>
      </c>
      <c r="G45" s="18" t="s">
        <v>3800</v>
      </c>
      <c r="H45" s="18" t="s">
        <v>98</v>
      </c>
      <c r="I45" s="17" t="s">
        <v>25439</v>
      </c>
      <c r="J45" s="17">
        <v>1</v>
      </c>
      <c r="K45" s="17">
        <v>0</v>
      </c>
      <c r="L45" s="17" t="s">
        <v>25440</v>
      </c>
      <c r="M45" s="19" t="s">
        <v>101</v>
      </c>
      <c r="N45" s="17" t="s">
        <v>25441</v>
      </c>
      <c r="O45" s="17" t="s">
        <v>25442</v>
      </c>
      <c r="P45" s="17" t="str">
        <f>HYPERLINK("https://dexscreener.com/solana/DB4aNrmNiNeSVeCwRKaAM9NxpWdPvm9TXUW8nsAgpump", "View")</f>
        <v>View</v>
      </c>
    </row>
    <row r="46" spans="1:16" x14ac:dyDescent="0.25">
      <c r="A46" s="13" t="s">
        <v>3071</v>
      </c>
      <c r="B46" s="14">
        <v>75827</v>
      </c>
      <c r="C46" s="14">
        <v>0</v>
      </c>
      <c r="D46" s="14" t="s">
        <v>19057</v>
      </c>
      <c r="E46" s="14" t="s">
        <v>15950</v>
      </c>
      <c r="F46" s="14" t="s">
        <v>96</v>
      </c>
      <c r="G46" s="18" t="s">
        <v>7951</v>
      </c>
      <c r="H46" s="18" t="s">
        <v>98</v>
      </c>
      <c r="I46" s="14" t="s">
        <v>25443</v>
      </c>
      <c r="J46" s="14">
        <v>2</v>
      </c>
      <c r="K46" s="14">
        <v>0</v>
      </c>
      <c r="L46" s="14" t="s">
        <v>25444</v>
      </c>
      <c r="M46" s="14" t="s">
        <v>117</v>
      </c>
      <c r="N46" s="14" t="s">
        <v>25445</v>
      </c>
      <c r="O46" s="14" t="s">
        <v>18521</v>
      </c>
      <c r="P46" s="14" t="str">
        <f>HYPERLINK("https://dexscreener.com/solana/27vMFjJerzLd5iZX2tRWL4eHUTr5Lfh5YWdakU3Zpump", "View")</f>
        <v>View</v>
      </c>
    </row>
    <row r="47" spans="1:16" x14ac:dyDescent="0.25">
      <c r="A47" s="16" t="s">
        <v>13038</v>
      </c>
      <c r="B47" s="17">
        <v>48117</v>
      </c>
      <c r="C47" s="17">
        <v>24058</v>
      </c>
      <c r="D47" s="17" t="s">
        <v>19057</v>
      </c>
      <c r="E47" s="17" t="s">
        <v>5346</v>
      </c>
      <c r="F47" s="17" t="s">
        <v>16240</v>
      </c>
      <c r="G47" s="21" t="s">
        <v>11559</v>
      </c>
      <c r="H47" s="21" t="s">
        <v>25446</v>
      </c>
      <c r="I47" s="17" t="s">
        <v>88</v>
      </c>
      <c r="J47" s="17">
        <v>1</v>
      </c>
      <c r="K47" s="17">
        <v>1</v>
      </c>
      <c r="L47" s="17" t="s">
        <v>25447</v>
      </c>
      <c r="M47" s="17" t="s">
        <v>4719</v>
      </c>
      <c r="N47" s="17" t="s">
        <v>25448</v>
      </c>
      <c r="O47" s="17" t="s">
        <v>18555</v>
      </c>
      <c r="P47" s="17" t="str">
        <f>HYPERLINK("https://dexscreener.com/solana/AdKzRJoVKdJ8BNwPy2DiYiujimLr9GQQdc32sQhHpump", "View")</f>
        <v>View</v>
      </c>
    </row>
    <row r="48" spans="1:16" x14ac:dyDescent="0.25">
      <c r="A48" s="13" t="s">
        <v>11577</v>
      </c>
      <c r="B48" s="14">
        <v>972</v>
      </c>
      <c r="C48" s="14">
        <v>486</v>
      </c>
      <c r="D48" s="14" t="s">
        <v>1289</v>
      </c>
      <c r="E48" s="14" t="s">
        <v>5346</v>
      </c>
      <c r="F48" s="14" t="s">
        <v>22820</v>
      </c>
      <c r="G48" s="21" t="s">
        <v>12036</v>
      </c>
      <c r="H48" s="21" t="s">
        <v>25449</v>
      </c>
      <c r="I48" s="14" t="s">
        <v>88</v>
      </c>
      <c r="J48" s="14">
        <v>1</v>
      </c>
      <c r="K48" s="14">
        <v>1</v>
      </c>
      <c r="L48" s="14" t="s">
        <v>25450</v>
      </c>
      <c r="M48" s="14" t="s">
        <v>699</v>
      </c>
      <c r="N48" s="14" t="s">
        <v>25451</v>
      </c>
      <c r="O48" s="14" t="s">
        <v>11581</v>
      </c>
      <c r="P48" s="14" t="str">
        <f>HYPERLINK("https://dexscreener.com/solana/GJAFwWjJ3vnTsrQVabjBVK2TYB1YtRCQXRDfDgUnpump", "View")</f>
        <v>View</v>
      </c>
    </row>
    <row r="49" spans="1:16" x14ac:dyDescent="0.25">
      <c r="A49" s="16" t="s">
        <v>13165</v>
      </c>
      <c r="B49" s="17">
        <v>66059</v>
      </c>
      <c r="C49" s="17">
        <v>0</v>
      </c>
      <c r="D49" s="17" t="s">
        <v>864</v>
      </c>
      <c r="E49" s="17" t="s">
        <v>5346</v>
      </c>
      <c r="F49" s="17" t="s">
        <v>96</v>
      </c>
      <c r="G49" s="18" t="s">
        <v>3800</v>
      </c>
      <c r="H49" s="18" t="s">
        <v>98</v>
      </c>
      <c r="I49" s="17" t="s">
        <v>25452</v>
      </c>
      <c r="J49" s="17">
        <v>1</v>
      </c>
      <c r="K49" s="17">
        <v>0</v>
      </c>
      <c r="L49" s="17" t="s">
        <v>25453</v>
      </c>
      <c r="M49" s="19" t="s">
        <v>101</v>
      </c>
      <c r="N49" s="17" t="s">
        <v>15880</v>
      </c>
      <c r="O49" s="17" t="s">
        <v>25454</v>
      </c>
      <c r="P49" s="17" t="str">
        <f>HYPERLINK("https://dexscreener.com/solana/4f9Nc1vPWvcbGP9Zfi6TWD9tApyMgBrqmXexNZnR4Wmo", "View")</f>
        <v>View</v>
      </c>
    </row>
    <row r="50" spans="1:16" x14ac:dyDescent="0.25">
      <c r="A50" s="13" t="s">
        <v>25455</v>
      </c>
      <c r="B50" s="14">
        <v>107076</v>
      </c>
      <c r="C50" s="14">
        <v>80307</v>
      </c>
      <c r="D50" s="14" t="s">
        <v>25456</v>
      </c>
      <c r="E50" s="14" t="s">
        <v>5346</v>
      </c>
      <c r="F50" s="14" t="s">
        <v>5675</v>
      </c>
      <c r="G50" s="22" t="s">
        <v>5552</v>
      </c>
      <c r="H50" s="22" t="s">
        <v>25457</v>
      </c>
      <c r="I50" s="14" t="s">
        <v>88</v>
      </c>
      <c r="J50" s="14">
        <v>1</v>
      </c>
      <c r="K50" s="14">
        <v>2</v>
      </c>
      <c r="L50" s="14" t="s">
        <v>25458</v>
      </c>
      <c r="M50" s="14" t="s">
        <v>745</v>
      </c>
      <c r="N50" s="14" t="s">
        <v>15841</v>
      </c>
      <c r="O50" s="14" t="s">
        <v>25459</v>
      </c>
      <c r="P50" s="14" t="str">
        <f>HYPERLINK("https://dexscreener.com/solana/CgaBF2AkhhV5oEA7bM2ffF7Hstf25e1Vw8D6tu1mpump", "View")</f>
        <v>View</v>
      </c>
    </row>
    <row r="51" spans="1:16" x14ac:dyDescent="0.25">
      <c r="A51" s="16" t="s">
        <v>22586</v>
      </c>
      <c r="B51" s="17">
        <v>497</v>
      </c>
      <c r="C51" s="17">
        <v>0</v>
      </c>
      <c r="D51" s="17" t="s">
        <v>10098</v>
      </c>
      <c r="E51" s="17" t="s">
        <v>5346</v>
      </c>
      <c r="F51" s="17" t="s">
        <v>96</v>
      </c>
      <c r="G51" s="18" t="s">
        <v>5854</v>
      </c>
      <c r="H51" s="18" t="s">
        <v>98</v>
      </c>
      <c r="I51" s="17" t="s">
        <v>25460</v>
      </c>
      <c r="J51" s="17">
        <v>1</v>
      </c>
      <c r="K51" s="17">
        <v>0</v>
      </c>
      <c r="L51" s="17" t="s">
        <v>25461</v>
      </c>
      <c r="M51" s="19" t="s">
        <v>101</v>
      </c>
      <c r="N51" s="17" t="s">
        <v>25462</v>
      </c>
      <c r="O51" s="17" t="s">
        <v>22591</v>
      </c>
      <c r="P51" s="17" t="str">
        <f>HYPERLINK("https://dexscreener.com/solana/9jZgvgS2bWtQiYzv48GcWzY4tnkeRSANbTm8Kp1LmSyS", "View")</f>
        <v>View</v>
      </c>
    </row>
    <row r="52" spans="1:16" x14ac:dyDescent="0.25">
      <c r="A52" s="13" t="s">
        <v>519</v>
      </c>
      <c r="B52" s="14">
        <v>2619</v>
      </c>
      <c r="C52" s="14">
        <v>0</v>
      </c>
      <c r="D52" s="14" t="s">
        <v>10098</v>
      </c>
      <c r="E52" s="14" t="s">
        <v>5346</v>
      </c>
      <c r="F52" s="14" t="s">
        <v>96</v>
      </c>
      <c r="G52" s="18" t="s">
        <v>5854</v>
      </c>
      <c r="H52" s="18" t="s">
        <v>98</v>
      </c>
      <c r="I52" s="14" t="s">
        <v>25463</v>
      </c>
      <c r="J52" s="14">
        <v>1</v>
      </c>
      <c r="K52" s="14">
        <v>0</v>
      </c>
      <c r="L52" s="14" t="s">
        <v>25464</v>
      </c>
      <c r="M52" s="19" t="s">
        <v>101</v>
      </c>
      <c r="N52" s="14" t="s">
        <v>25465</v>
      </c>
      <c r="O52" s="14" t="s">
        <v>525</v>
      </c>
      <c r="P52" s="14" t="str">
        <f>HYPERLINK("https://dexscreener.com/solana/CS7LmjtuugEUWtFgfyto79nrksKigv7Fdcp9qPuigdLs", "View")</f>
        <v>View</v>
      </c>
    </row>
    <row r="53" spans="1:16" x14ac:dyDescent="0.25">
      <c r="A53" s="16" t="s">
        <v>15064</v>
      </c>
      <c r="B53" s="17">
        <v>21886</v>
      </c>
      <c r="C53" s="17">
        <v>32701</v>
      </c>
      <c r="D53" s="17" t="s">
        <v>25466</v>
      </c>
      <c r="E53" s="17" t="s">
        <v>5346</v>
      </c>
      <c r="F53" s="17" t="s">
        <v>25467</v>
      </c>
      <c r="G53" s="21" t="s">
        <v>12719</v>
      </c>
      <c r="H53" s="21" t="s">
        <v>25468</v>
      </c>
      <c r="I53" s="17" t="s">
        <v>88</v>
      </c>
      <c r="J53" s="17">
        <v>1</v>
      </c>
      <c r="K53" s="17">
        <v>7</v>
      </c>
      <c r="L53" s="17" t="s">
        <v>25469</v>
      </c>
      <c r="M53" s="17" t="s">
        <v>699</v>
      </c>
      <c r="N53" s="17" t="s">
        <v>25470</v>
      </c>
      <c r="O53" s="17" t="s">
        <v>15070</v>
      </c>
      <c r="P53" s="17" t="str">
        <f>HYPERLINK("https://dexscreener.com/solana/2KgAN8nLAU74wjiyKi85m4ZT6Z9MtqrUTGfse8Xapump", "View")</f>
        <v>View</v>
      </c>
    </row>
    <row r="54" spans="1:16" x14ac:dyDescent="0.25">
      <c r="A54" s="13" t="s">
        <v>25471</v>
      </c>
      <c r="B54" s="14">
        <v>24791</v>
      </c>
      <c r="C54" s="14">
        <v>0</v>
      </c>
      <c r="D54" s="14" t="s">
        <v>10098</v>
      </c>
      <c r="E54" s="14" t="s">
        <v>5346</v>
      </c>
      <c r="F54" s="14" t="s">
        <v>96</v>
      </c>
      <c r="G54" s="18" t="s">
        <v>5854</v>
      </c>
      <c r="H54" s="18" t="s">
        <v>98</v>
      </c>
      <c r="I54" s="14" t="s">
        <v>25472</v>
      </c>
      <c r="J54" s="14">
        <v>1</v>
      </c>
      <c r="K54" s="14">
        <v>0</v>
      </c>
      <c r="L54" s="14" t="s">
        <v>25473</v>
      </c>
      <c r="M54" s="19" t="s">
        <v>101</v>
      </c>
      <c r="N54" s="14" t="s">
        <v>25474</v>
      </c>
      <c r="O54" s="14" t="s">
        <v>25475</v>
      </c>
      <c r="P54" s="14" t="str">
        <f>HYPERLINK("https://dexscreener.com/solana/9ZiBsj8MivwYw4GkNrZ3F3p3tfCwJrJqKdFgBwBCpump", "View")</f>
        <v>View</v>
      </c>
    </row>
    <row r="55" spans="1:16" x14ac:dyDescent="0.25">
      <c r="A55" s="16" t="s">
        <v>16914</v>
      </c>
      <c r="B55" s="17">
        <v>14754</v>
      </c>
      <c r="C55" s="17">
        <v>0</v>
      </c>
      <c r="D55" s="17" t="s">
        <v>864</v>
      </c>
      <c r="E55" s="17" t="s">
        <v>5346</v>
      </c>
      <c r="F55" s="17" t="s">
        <v>96</v>
      </c>
      <c r="G55" s="18" t="s">
        <v>3800</v>
      </c>
      <c r="H55" s="18" t="s">
        <v>98</v>
      </c>
      <c r="I55" s="17" t="s">
        <v>25476</v>
      </c>
      <c r="J55" s="17">
        <v>1</v>
      </c>
      <c r="K55" s="17">
        <v>0</v>
      </c>
      <c r="L55" s="17" t="s">
        <v>25477</v>
      </c>
      <c r="M55" s="19" t="s">
        <v>101</v>
      </c>
      <c r="N55" s="17" t="s">
        <v>25478</v>
      </c>
      <c r="O55" s="17" t="s">
        <v>16918</v>
      </c>
      <c r="P55" s="17" t="str">
        <f>HYPERLINK("https://dexscreener.com/solana/TrUPjEqGpUph6sMJX8C3yYja9u4RcVUGTCkGG4xLrjG", "View")</f>
        <v>View</v>
      </c>
    </row>
    <row r="56" spans="1:16" x14ac:dyDescent="0.25">
      <c r="A56" s="13" t="s">
        <v>4518</v>
      </c>
      <c r="B56" s="14">
        <v>671</v>
      </c>
      <c r="C56" s="14">
        <v>0</v>
      </c>
      <c r="D56" s="14" t="s">
        <v>10098</v>
      </c>
      <c r="E56" s="14" t="s">
        <v>5346</v>
      </c>
      <c r="F56" s="14" t="s">
        <v>96</v>
      </c>
      <c r="G56" s="18" t="s">
        <v>5854</v>
      </c>
      <c r="H56" s="18" t="s">
        <v>98</v>
      </c>
      <c r="I56" s="14" t="s">
        <v>25479</v>
      </c>
      <c r="J56" s="14">
        <v>1</v>
      </c>
      <c r="K56" s="14">
        <v>0</v>
      </c>
      <c r="L56" s="14" t="s">
        <v>25480</v>
      </c>
      <c r="M56" s="19" t="s">
        <v>101</v>
      </c>
      <c r="N56" s="14" t="s">
        <v>25481</v>
      </c>
      <c r="O56" s="14" t="s">
        <v>4525</v>
      </c>
      <c r="P56" s="14" t="str">
        <f>HYPERLINK("https://dexscreener.com/solana/FqvtZ2UFR9we82Ni4LeacC1zyTiQ77usDo31DUokpump", "View")</f>
        <v>View</v>
      </c>
    </row>
    <row r="57" spans="1:16" x14ac:dyDescent="0.25">
      <c r="A57" s="16" t="s">
        <v>25482</v>
      </c>
      <c r="B57" s="17">
        <v>5493</v>
      </c>
      <c r="C57" s="17">
        <v>0</v>
      </c>
      <c r="D57" s="17" t="s">
        <v>10098</v>
      </c>
      <c r="E57" s="17" t="s">
        <v>5346</v>
      </c>
      <c r="F57" s="17" t="s">
        <v>96</v>
      </c>
      <c r="G57" s="18" t="s">
        <v>5854</v>
      </c>
      <c r="H57" s="18" t="s">
        <v>98</v>
      </c>
      <c r="I57" s="17" t="s">
        <v>25483</v>
      </c>
      <c r="J57" s="17">
        <v>1</v>
      </c>
      <c r="K57" s="17">
        <v>0</v>
      </c>
      <c r="L57" s="17" t="s">
        <v>25484</v>
      </c>
      <c r="M57" s="19" t="s">
        <v>101</v>
      </c>
      <c r="N57" s="17" t="s">
        <v>24316</v>
      </c>
      <c r="O57" s="17" t="s">
        <v>25485</v>
      </c>
      <c r="P57" s="17" t="str">
        <f>HYPERLINK("https://dexscreener.com/solana/DAGSe6vgNDw3n3aHmd38AtePooK475FA3YnsuCN5pump", "View")</f>
        <v>View</v>
      </c>
    </row>
    <row r="58" spans="1:16" x14ac:dyDescent="0.25">
      <c r="A58" s="13" t="s">
        <v>11697</v>
      </c>
      <c r="B58" s="14">
        <v>63212</v>
      </c>
      <c r="C58" s="14">
        <v>51978</v>
      </c>
      <c r="D58" s="14" t="s">
        <v>25486</v>
      </c>
      <c r="E58" s="14" t="s">
        <v>4180</v>
      </c>
      <c r="F58" s="14" t="s">
        <v>24493</v>
      </c>
      <c r="G58" s="21" t="s">
        <v>3758</v>
      </c>
      <c r="H58" s="21" t="s">
        <v>25487</v>
      </c>
      <c r="I58" s="14" t="s">
        <v>88</v>
      </c>
      <c r="J58" s="14">
        <v>4</v>
      </c>
      <c r="K58" s="14">
        <v>5</v>
      </c>
      <c r="L58" s="14" t="s">
        <v>25488</v>
      </c>
      <c r="M58" s="14" t="s">
        <v>4413</v>
      </c>
      <c r="N58" s="14" t="s">
        <v>25489</v>
      </c>
      <c r="O58" s="14" t="s">
        <v>11702</v>
      </c>
      <c r="P58" s="14" t="str">
        <f>HYPERLINK("https://dexscreener.com/solana/EvNBoWwZFF6pPpjTnNSzrurxkDfw1PGUmih1eAStpump", "View")</f>
        <v>View</v>
      </c>
    </row>
    <row r="59" spans="1:16" x14ac:dyDescent="0.25">
      <c r="A59" s="16" t="s">
        <v>25490</v>
      </c>
      <c r="B59" s="17">
        <v>3060</v>
      </c>
      <c r="C59" s="17">
        <v>1530</v>
      </c>
      <c r="D59" s="17" t="s">
        <v>19607</v>
      </c>
      <c r="E59" s="17" t="s">
        <v>9553</v>
      </c>
      <c r="F59" s="17" t="s">
        <v>4951</v>
      </c>
      <c r="G59" s="20" t="s">
        <v>5299</v>
      </c>
      <c r="H59" s="20" t="s">
        <v>25491</v>
      </c>
      <c r="I59" s="17" t="s">
        <v>88</v>
      </c>
      <c r="J59" s="17">
        <v>3</v>
      </c>
      <c r="K59" s="17">
        <v>1</v>
      </c>
      <c r="L59" s="17" t="s">
        <v>25492</v>
      </c>
      <c r="M59" s="17" t="s">
        <v>479</v>
      </c>
      <c r="N59" s="17" t="s">
        <v>25493</v>
      </c>
      <c r="O59" s="17" t="s">
        <v>25494</v>
      </c>
      <c r="P59" s="17" t="str">
        <f>HYPERLINK("https://dexscreener.com/solana/BkVeSP2GsXV3AYoRJBSZTpFE8sXmcuGnRQcFgoWspump", "View")</f>
        <v>View</v>
      </c>
    </row>
    <row r="60" spans="1:16" x14ac:dyDescent="0.25">
      <c r="A60" s="13" t="s">
        <v>23897</v>
      </c>
      <c r="B60" s="14">
        <v>31835</v>
      </c>
      <c r="C60" s="14">
        <v>20737</v>
      </c>
      <c r="D60" s="14" t="s">
        <v>19607</v>
      </c>
      <c r="E60" s="14" t="s">
        <v>4679</v>
      </c>
      <c r="F60" s="14" t="s">
        <v>2871</v>
      </c>
      <c r="G60" s="22" t="s">
        <v>20083</v>
      </c>
      <c r="H60" s="22" t="s">
        <v>25495</v>
      </c>
      <c r="I60" s="14" t="s">
        <v>88</v>
      </c>
      <c r="J60" s="14">
        <v>2</v>
      </c>
      <c r="K60" s="14">
        <v>2</v>
      </c>
      <c r="L60" s="14" t="s">
        <v>25496</v>
      </c>
      <c r="M60" s="14" t="s">
        <v>4454</v>
      </c>
      <c r="N60" s="14" t="s">
        <v>25497</v>
      </c>
      <c r="O60" s="14" t="s">
        <v>23900</v>
      </c>
      <c r="P60" s="14" t="str">
        <f>HYPERLINK("https://dexscreener.com/solana/9b8jL2wcVjBFpieC5TUR76BDJ6sW8Eghd3fyq5VJmzir", "View")</f>
        <v>View</v>
      </c>
    </row>
    <row r="61" spans="1:16" x14ac:dyDescent="0.25">
      <c r="A61" s="16" t="s">
        <v>8025</v>
      </c>
      <c r="B61" s="17">
        <v>8625</v>
      </c>
      <c r="C61" s="17">
        <v>0</v>
      </c>
      <c r="D61" s="17" t="s">
        <v>10098</v>
      </c>
      <c r="E61" s="17" t="s">
        <v>5346</v>
      </c>
      <c r="F61" s="17" t="s">
        <v>96</v>
      </c>
      <c r="G61" s="18" t="s">
        <v>5854</v>
      </c>
      <c r="H61" s="18" t="s">
        <v>98</v>
      </c>
      <c r="I61" s="17" t="s">
        <v>25498</v>
      </c>
      <c r="J61" s="17">
        <v>1</v>
      </c>
      <c r="K61" s="17">
        <v>0</v>
      </c>
      <c r="L61" s="17" t="s">
        <v>25499</v>
      </c>
      <c r="M61" s="19" t="s">
        <v>101</v>
      </c>
      <c r="N61" s="17" t="s">
        <v>25500</v>
      </c>
      <c r="O61" s="17" t="s">
        <v>25501</v>
      </c>
      <c r="P61" s="17" t="str">
        <f>HYPERLINK("https://dexscreener.com/solana/4sx9a8c81cPWYPy3QVptKcgZu87ncixZp5d2cxeVpump", "View")</f>
        <v>View</v>
      </c>
    </row>
    <row r="62" spans="1:16" x14ac:dyDescent="0.25">
      <c r="A62" s="13" t="s">
        <v>15961</v>
      </c>
      <c r="B62" s="14">
        <v>5829</v>
      </c>
      <c r="C62" s="14">
        <v>5246</v>
      </c>
      <c r="D62" s="14" t="s">
        <v>25456</v>
      </c>
      <c r="E62" s="14" t="s">
        <v>5346</v>
      </c>
      <c r="F62" s="14" t="s">
        <v>16312</v>
      </c>
      <c r="G62" s="21" t="s">
        <v>7639</v>
      </c>
      <c r="H62" s="21" t="s">
        <v>25502</v>
      </c>
      <c r="I62" s="14" t="s">
        <v>88</v>
      </c>
      <c r="J62" s="14">
        <v>1</v>
      </c>
      <c r="K62" s="14">
        <v>2</v>
      </c>
      <c r="L62" s="14" t="s">
        <v>25503</v>
      </c>
      <c r="M62" s="14" t="s">
        <v>117</v>
      </c>
      <c r="N62" s="14" t="s">
        <v>25504</v>
      </c>
      <c r="O62" s="14" t="s">
        <v>15966</v>
      </c>
      <c r="P62" s="14" t="str">
        <f>HYPERLINK("https://dexscreener.com/solana/9MnKTgwFyXJgnZumHGT9NdHuzm98ACjkNwpLniLhpump", "View")</f>
        <v>View</v>
      </c>
    </row>
    <row r="63" spans="1:16" x14ac:dyDescent="0.25">
      <c r="A63" s="16" t="s">
        <v>19384</v>
      </c>
      <c r="B63" s="17">
        <v>29269</v>
      </c>
      <c r="C63" s="17">
        <v>0</v>
      </c>
      <c r="D63" s="17" t="s">
        <v>10098</v>
      </c>
      <c r="E63" s="17" t="s">
        <v>5346</v>
      </c>
      <c r="F63" s="17" t="s">
        <v>96</v>
      </c>
      <c r="G63" s="18" t="s">
        <v>5854</v>
      </c>
      <c r="H63" s="18" t="s">
        <v>98</v>
      </c>
      <c r="I63" s="17" t="s">
        <v>25505</v>
      </c>
      <c r="J63" s="17">
        <v>1</v>
      </c>
      <c r="K63" s="17">
        <v>0</v>
      </c>
      <c r="L63" s="17" t="s">
        <v>25506</v>
      </c>
      <c r="M63" s="19" t="s">
        <v>101</v>
      </c>
      <c r="N63" s="17" t="s">
        <v>25507</v>
      </c>
      <c r="O63" s="17" t="s">
        <v>19387</v>
      </c>
      <c r="P63" s="17" t="str">
        <f>HYPERLINK("https://dexscreener.com/solana/55kg2An8ucQzEzXpvNVpYXq9579dETmgkbYVud1vpump", "View")</f>
        <v>View</v>
      </c>
    </row>
    <row r="64" spans="1:16" x14ac:dyDescent="0.25">
      <c r="A64" s="13" t="s">
        <v>11659</v>
      </c>
      <c r="B64" s="14">
        <v>22337</v>
      </c>
      <c r="C64" s="14">
        <v>0</v>
      </c>
      <c r="D64" s="14" t="s">
        <v>10098</v>
      </c>
      <c r="E64" s="14" t="s">
        <v>5346</v>
      </c>
      <c r="F64" s="14" t="s">
        <v>96</v>
      </c>
      <c r="G64" s="18" t="s">
        <v>5854</v>
      </c>
      <c r="H64" s="18" t="s">
        <v>98</v>
      </c>
      <c r="I64" s="14" t="s">
        <v>25508</v>
      </c>
      <c r="J64" s="14">
        <v>1</v>
      </c>
      <c r="K64" s="14">
        <v>0</v>
      </c>
      <c r="L64" s="14" t="s">
        <v>25509</v>
      </c>
      <c r="M64" s="19" t="s">
        <v>101</v>
      </c>
      <c r="N64" s="14" t="s">
        <v>25510</v>
      </c>
      <c r="O64" s="14" t="s">
        <v>11664</v>
      </c>
      <c r="P64" s="14" t="str">
        <f>HYPERLINK("https://dexscreener.com/solana/4zdAbkyoYoT2F8ZSt6va4WZrmAwgFCfQsTEUo8zNpump", "View")</f>
        <v>View</v>
      </c>
    </row>
    <row r="65" spans="1:16" x14ac:dyDescent="0.25">
      <c r="A65" s="16" t="s">
        <v>25511</v>
      </c>
      <c r="B65" s="17">
        <v>41409</v>
      </c>
      <c r="C65" s="17">
        <v>20704</v>
      </c>
      <c r="D65" s="17" t="s">
        <v>1289</v>
      </c>
      <c r="E65" s="17" t="s">
        <v>5346</v>
      </c>
      <c r="F65" s="17" t="s">
        <v>4665</v>
      </c>
      <c r="G65" s="21" t="s">
        <v>3993</v>
      </c>
      <c r="H65" s="21" t="s">
        <v>25512</v>
      </c>
      <c r="I65" s="17" t="s">
        <v>88</v>
      </c>
      <c r="J65" s="17">
        <v>1</v>
      </c>
      <c r="K65" s="17">
        <v>1</v>
      </c>
      <c r="L65" s="17" t="s">
        <v>25513</v>
      </c>
      <c r="M65" s="17" t="s">
        <v>132</v>
      </c>
      <c r="N65" s="17" t="s">
        <v>25514</v>
      </c>
      <c r="O65" s="17" t="s">
        <v>25515</v>
      </c>
      <c r="P65" s="17" t="str">
        <f>HYPERLINK("https://dexscreener.com/solana/GFGSBt8NUqXa6w33dScPXoJQsq7iNpjLXaB7FNj5pump", "View")</f>
        <v>View</v>
      </c>
    </row>
    <row r="66" spans="1:16" x14ac:dyDescent="0.25">
      <c r="A66" s="2" t="s">
        <v>7188</v>
      </c>
      <c r="B66" s="2">
        <v>69098</v>
      </c>
      <c r="C66" s="2">
        <v>0</v>
      </c>
      <c r="D66" s="2" t="s">
        <v>10098</v>
      </c>
      <c r="E66" s="2" t="s">
        <v>5346</v>
      </c>
      <c r="F66" s="2" t="s">
        <v>96</v>
      </c>
      <c r="G66" s="2" t="s">
        <v>5854</v>
      </c>
      <c r="H66" s="2" t="s">
        <v>98</v>
      </c>
      <c r="I66" s="2" t="s">
        <v>25516</v>
      </c>
      <c r="J66" s="2">
        <v>1</v>
      </c>
      <c r="K66" s="2">
        <v>0</v>
      </c>
      <c r="L66" s="2" t="s">
        <v>25517</v>
      </c>
      <c r="M66" s="2" t="s">
        <v>101</v>
      </c>
      <c r="N66" s="2" t="s">
        <v>18769</v>
      </c>
      <c r="O66" s="2" t="s">
        <v>7195</v>
      </c>
      <c r="P66" s="2" t="str">
        <f>HYPERLINK("https://dexscreener.com/solana/G8ZgBbTkQHEWFFesz246E4d4TpcwTuoXXafzebuipump", "View")</f>
        <v>View</v>
      </c>
    </row>
    <row r="67" spans="1:16" x14ac:dyDescent="0.25">
      <c r="A67" s="16"/>
      <c r="B67" s="17"/>
      <c r="C67" s="17"/>
      <c r="D67" s="17"/>
      <c r="E67" s="17"/>
      <c r="F67" s="17"/>
      <c r="G67" s="18"/>
      <c r="H67" s="18"/>
      <c r="I67" s="17"/>
      <c r="J67" s="17"/>
      <c r="K67" s="17"/>
      <c r="L67" s="17"/>
      <c r="M67" s="19"/>
      <c r="N67" s="17"/>
      <c r="O67" s="17"/>
      <c r="P67" s="17"/>
    </row>
    <row r="68" spans="1:16" x14ac:dyDescent="0.25">
      <c r="A68" s="13" t="s">
        <v>10277</v>
      </c>
      <c r="B68" s="14">
        <v>74921</v>
      </c>
      <c r="C68" s="14">
        <v>0</v>
      </c>
      <c r="D68" s="14" t="s">
        <v>10098</v>
      </c>
      <c r="E68" s="14" t="s">
        <v>5346</v>
      </c>
      <c r="F68" s="14" t="s">
        <v>96</v>
      </c>
      <c r="G68" s="18" t="s">
        <v>5854</v>
      </c>
      <c r="H68" s="18" t="s">
        <v>98</v>
      </c>
      <c r="I68" s="14" t="s">
        <v>25518</v>
      </c>
      <c r="J68" s="14">
        <v>1</v>
      </c>
      <c r="K68" s="14">
        <v>0</v>
      </c>
      <c r="L68" s="14" t="s">
        <v>25519</v>
      </c>
      <c r="M68" s="19" t="s">
        <v>101</v>
      </c>
      <c r="N68" s="14" t="s">
        <v>25520</v>
      </c>
      <c r="O68" s="14" t="s">
        <v>10282</v>
      </c>
      <c r="P68" s="14" t="str">
        <f>HYPERLINK("https://dexscreener.com/solana/BEk5erCFDjoVEZYUJV2gJAVrp6CERSEgtY7CsWFYpump", "View")</f>
        <v>View</v>
      </c>
    </row>
    <row r="69" spans="1:16" x14ac:dyDescent="0.25">
      <c r="A69" s="16" t="s">
        <v>24380</v>
      </c>
      <c r="B69" s="17">
        <v>17383</v>
      </c>
      <c r="C69" s="17">
        <v>0</v>
      </c>
      <c r="D69" s="17" t="s">
        <v>10098</v>
      </c>
      <c r="E69" s="17" t="s">
        <v>5346</v>
      </c>
      <c r="F69" s="17" t="s">
        <v>96</v>
      </c>
      <c r="G69" s="18" t="s">
        <v>5854</v>
      </c>
      <c r="H69" s="18" t="s">
        <v>98</v>
      </c>
      <c r="I69" s="17" t="s">
        <v>25521</v>
      </c>
      <c r="J69" s="17">
        <v>1</v>
      </c>
      <c r="K69" s="17">
        <v>0</v>
      </c>
      <c r="L69" s="17" t="s">
        <v>25522</v>
      </c>
      <c r="M69" s="19" t="s">
        <v>101</v>
      </c>
      <c r="N69" s="17" t="s">
        <v>25523</v>
      </c>
      <c r="O69" s="17" t="s">
        <v>25524</v>
      </c>
      <c r="P69" s="17" t="str">
        <f>HYPERLINK("https://dexscreener.com/solana/2tvQMBiB4aoxsXhgAPWSUpE1Cas5eSU3bNWa6p6Rpump", "View")</f>
        <v>View</v>
      </c>
    </row>
    <row r="70" spans="1:16" x14ac:dyDescent="0.25">
      <c r="A70" s="13" t="s">
        <v>25525</v>
      </c>
      <c r="B70" s="14">
        <v>560920</v>
      </c>
      <c r="C70" s="14">
        <v>0</v>
      </c>
      <c r="D70" s="14" t="s">
        <v>864</v>
      </c>
      <c r="E70" s="14" t="s">
        <v>2347</v>
      </c>
      <c r="F70" s="14" t="s">
        <v>96</v>
      </c>
      <c r="G70" s="18" t="s">
        <v>5849</v>
      </c>
      <c r="H70" s="18" t="s">
        <v>98</v>
      </c>
      <c r="I70" s="14" t="s">
        <v>25526</v>
      </c>
      <c r="J70" s="14">
        <v>1</v>
      </c>
      <c r="K70" s="14">
        <v>0</v>
      </c>
      <c r="L70" s="14" t="s">
        <v>25527</v>
      </c>
      <c r="M70" s="19" t="s">
        <v>101</v>
      </c>
      <c r="N70" s="14" t="s">
        <v>880</v>
      </c>
      <c r="O70" s="14" t="s">
        <v>25528</v>
      </c>
      <c r="P70" s="14" t="str">
        <f>HYPERLINK("https://photon-sol.tinyastro.io/en/lp/3ukzVXdDBwyPP3vDFMq952iGZC3B792FqMsE4WXcpump?handle=676050794bc1b1657a56b", "View")</f>
        <v>View</v>
      </c>
    </row>
    <row r="71" spans="1:16" x14ac:dyDescent="0.25">
      <c r="A71" s="16" t="s">
        <v>11855</v>
      </c>
      <c r="B71" s="17">
        <v>54236</v>
      </c>
      <c r="C71" s="17">
        <v>0</v>
      </c>
      <c r="D71" s="17" t="s">
        <v>10098</v>
      </c>
      <c r="E71" s="17" t="s">
        <v>5346</v>
      </c>
      <c r="F71" s="17" t="s">
        <v>96</v>
      </c>
      <c r="G71" s="18" t="s">
        <v>5854</v>
      </c>
      <c r="H71" s="18" t="s">
        <v>98</v>
      </c>
      <c r="I71" s="17" t="s">
        <v>25529</v>
      </c>
      <c r="J71" s="17">
        <v>1</v>
      </c>
      <c r="K71" s="17">
        <v>0</v>
      </c>
      <c r="L71" s="17" t="s">
        <v>25530</v>
      </c>
      <c r="M71" s="19" t="s">
        <v>101</v>
      </c>
      <c r="N71" s="17" t="s">
        <v>25531</v>
      </c>
      <c r="O71" s="17" t="s">
        <v>11860</v>
      </c>
      <c r="P71" s="17" t="str">
        <f>HYPERLINK("https://dexscreener.com/solana/HkzxcLMCFFCvsA1zfzfTWgpsCGAJW2n7eu6EVwPspump", "View")</f>
        <v>View</v>
      </c>
    </row>
    <row r="72" spans="1:16" x14ac:dyDescent="0.25">
      <c r="A72" s="13" t="s">
        <v>10297</v>
      </c>
      <c r="B72" s="14">
        <v>6715</v>
      </c>
      <c r="C72" s="14">
        <v>0</v>
      </c>
      <c r="D72" s="14" t="s">
        <v>864</v>
      </c>
      <c r="E72" s="14" t="s">
        <v>5346</v>
      </c>
      <c r="F72" s="14" t="s">
        <v>96</v>
      </c>
      <c r="G72" s="18" t="s">
        <v>3800</v>
      </c>
      <c r="H72" s="18" t="s">
        <v>98</v>
      </c>
      <c r="I72" s="14" t="s">
        <v>25532</v>
      </c>
      <c r="J72" s="14">
        <v>1</v>
      </c>
      <c r="K72" s="14">
        <v>0</v>
      </c>
      <c r="L72" s="14" t="s">
        <v>25533</v>
      </c>
      <c r="M72" s="19" t="s">
        <v>101</v>
      </c>
      <c r="N72" s="14" t="s">
        <v>23774</v>
      </c>
      <c r="O72" s="14" t="s">
        <v>10301</v>
      </c>
      <c r="P72" s="14" t="str">
        <f>HYPERLINK("https://dexscreener.com/solana/6WSppYPevaDEZxdmW2WoHLoSnJMeVyqz8Rqkm8MCpump", "View")</f>
        <v>View</v>
      </c>
    </row>
    <row r="73" spans="1:16" x14ac:dyDescent="0.25">
      <c r="A73" s="16" t="s">
        <v>1205</v>
      </c>
      <c r="B73" s="17">
        <v>30466</v>
      </c>
      <c r="C73" s="17">
        <v>0</v>
      </c>
      <c r="D73" s="17" t="s">
        <v>10098</v>
      </c>
      <c r="E73" s="17" t="s">
        <v>5346</v>
      </c>
      <c r="F73" s="17" t="s">
        <v>96</v>
      </c>
      <c r="G73" s="18" t="s">
        <v>5854</v>
      </c>
      <c r="H73" s="18" t="s">
        <v>98</v>
      </c>
      <c r="I73" s="17" t="s">
        <v>25534</v>
      </c>
      <c r="J73" s="17">
        <v>1</v>
      </c>
      <c r="K73" s="17">
        <v>0</v>
      </c>
      <c r="L73" s="17" t="s">
        <v>25535</v>
      </c>
      <c r="M73" s="19" t="s">
        <v>101</v>
      </c>
      <c r="N73" s="17" t="s">
        <v>25536</v>
      </c>
      <c r="O73" s="17" t="s">
        <v>10208</v>
      </c>
      <c r="P73" s="17" t="str">
        <f>HYPERLINK("https://dexscreener.com/solana/79yTpy8uwmAkrdgZdq6ZSBTvxKsgPrNqTLvYQBh1pump", "View")</f>
        <v>View</v>
      </c>
    </row>
    <row r="74" spans="1:16" x14ac:dyDescent="0.25">
      <c r="A74" s="13" t="s">
        <v>831</v>
      </c>
      <c r="B74" s="14">
        <v>8603</v>
      </c>
      <c r="C74" s="14">
        <v>0</v>
      </c>
      <c r="D74" s="14" t="s">
        <v>25456</v>
      </c>
      <c r="E74" s="14" t="s">
        <v>5674</v>
      </c>
      <c r="F74" s="14" t="s">
        <v>96</v>
      </c>
      <c r="G74" s="18" t="s">
        <v>25537</v>
      </c>
      <c r="H74" s="18" t="s">
        <v>98</v>
      </c>
      <c r="I74" s="14" t="s">
        <v>25538</v>
      </c>
      <c r="J74" s="14">
        <v>3</v>
      </c>
      <c r="K74" s="14">
        <v>0</v>
      </c>
      <c r="L74" s="14" t="s">
        <v>25539</v>
      </c>
      <c r="M74" s="14" t="s">
        <v>132</v>
      </c>
      <c r="N74" s="14" t="s">
        <v>25540</v>
      </c>
      <c r="O74" s="14" t="s">
        <v>838</v>
      </c>
      <c r="P74" s="14" t="str">
        <f>HYPERLINK("https://dexscreener.com/solana/4qNX615pV1oufdodNoiBzUsrUE3ww57DYg6LsUtupump", "View")</f>
        <v>View</v>
      </c>
    </row>
    <row r="75" spans="1:16" x14ac:dyDescent="0.25">
      <c r="A75" s="16" t="s">
        <v>25541</v>
      </c>
      <c r="B75" s="17">
        <v>64698</v>
      </c>
      <c r="C75" s="17">
        <v>0</v>
      </c>
      <c r="D75" s="17" t="s">
        <v>10098</v>
      </c>
      <c r="E75" s="17" t="s">
        <v>5346</v>
      </c>
      <c r="F75" s="17" t="s">
        <v>96</v>
      </c>
      <c r="G75" s="18" t="s">
        <v>5854</v>
      </c>
      <c r="H75" s="18" t="s">
        <v>98</v>
      </c>
      <c r="I75" s="17" t="s">
        <v>25542</v>
      </c>
      <c r="J75" s="17">
        <v>1</v>
      </c>
      <c r="K75" s="17">
        <v>0</v>
      </c>
      <c r="L75" s="17" t="s">
        <v>25543</v>
      </c>
      <c r="M75" s="19" t="s">
        <v>101</v>
      </c>
      <c r="N75" s="17" t="s">
        <v>25544</v>
      </c>
      <c r="O75" s="17" t="s">
        <v>25545</v>
      </c>
      <c r="P75" s="17" t="str">
        <f>HYPERLINK("https://dexscreener.com/solana/HJ5ANAEi53ZVNpE9faprT4b96gZeoSC6hXDcTWxKpump", "View")</f>
        <v>View</v>
      </c>
    </row>
    <row r="76" spans="1:16" x14ac:dyDescent="0.25">
      <c r="A76" s="13" t="s">
        <v>1080</v>
      </c>
      <c r="B76" s="14">
        <v>98362</v>
      </c>
      <c r="C76" s="14">
        <v>0</v>
      </c>
      <c r="D76" s="14" t="s">
        <v>864</v>
      </c>
      <c r="E76" s="14" t="s">
        <v>5346</v>
      </c>
      <c r="F76" s="14" t="s">
        <v>96</v>
      </c>
      <c r="G76" s="18" t="s">
        <v>3800</v>
      </c>
      <c r="H76" s="18" t="s">
        <v>98</v>
      </c>
      <c r="I76" s="14" t="s">
        <v>25546</v>
      </c>
      <c r="J76" s="14">
        <v>1</v>
      </c>
      <c r="K76" s="14">
        <v>0</v>
      </c>
      <c r="L76" s="14" t="s">
        <v>25547</v>
      </c>
      <c r="M76" s="19" t="s">
        <v>101</v>
      </c>
      <c r="N76" s="14" t="s">
        <v>25548</v>
      </c>
      <c r="O76" s="14" t="s">
        <v>1084</v>
      </c>
      <c r="P76" s="14" t="str">
        <f>HYPERLINK("https://dexscreener.com/solana/EDNB87kSED7ER2Qe39xSsXDyjSK6LqBSyv6v8ocepump", "View")</f>
        <v>View</v>
      </c>
    </row>
    <row r="77" spans="1:16" x14ac:dyDescent="0.25">
      <c r="A77" s="16" t="s">
        <v>25549</v>
      </c>
      <c r="B77" s="17">
        <v>3261</v>
      </c>
      <c r="C77" s="17">
        <v>0</v>
      </c>
      <c r="D77" s="17" t="s">
        <v>864</v>
      </c>
      <c r="E77" s="17" t="s">
        <v>5346</v>
      </c>
      <c r="F77" s="17" t="s">
        <v>96</v>
      </c>
      <c r="G77" s="18" t="s">
        <v>3800</v>
      </c>
      <c r="H77" s="18" t="s">
        <v>98</v>
      </c>
      <c r="I77" s="17" t="s">
        <v>25550</v>
      </c>
      <c r="J77" s="17">
        <v>1</v>
      </c>
      <c r="K77" s="17">
        <v>0</v>
      </c>
      <c r="L77" s="17" t="s">
        <v>25551</v>
      </c>
      <c r="M77" s="19" t="s">
        <v>101</v>
      </c>
      <c r="N77" s="17" t="s">
        <v>25552</v>
      </c>
      <c r="O77" s="17" t="s">
        <v>25553</v>
      </c>
      <c r="P77" s="17" t="str">
        <f>HYPERLINK("https://dexscreener.com/solana/CoseJDEHxsfjjQs5CaXWGd4PH2irHam2FxeuwN2jyAL9", "View")</f>
        <v>View</v>
      </c>
    </row>
    <row r="78" spans="1:16" x14ac:dyDescent="0.25">
      <c r="A78" s="13" t="s">
        <v>10349</v>
      </c>
      <c r="B78" s="14">
        <v>64158</v>
      </c>
      <c r="C78" s="14">
        <v>0</v>
      </c>
      <c r="D78" s="14" t="s">
        <v>864</v>
      </c>
      <c r="E78" s="14" t="s">
        <v>5346</v>
      </c>
      <c r="F78" s="14" t="s">
        <v>96</v>
      </c>
      <c r="G78" s="18" t="s">
        <v>3800</v>
      </c>
      <c r="H78" s="18" t="s">
        <v>98</v>
      </c>
      <c r="I78" s="14" t="s">
        <v>25554</v>
      </c>
      <c r="J78" s="14">
        <v>1</v>
      </c>
      <c r="K78" s="14">
        <v>0</v>
      </c>
      <c r="L78" s="14" t="s">
        <v>25555</v>
      </c>
      <c r="M78" s="19" t="s">
        <v>101</v>
      </c>
      <c r="N78" s="14" t="s">
        <v>25556</v>
      </c>
      <c r="O78" s="14" t="s">
        <v>10353</v>
      </c>
      <c r="P78" s="14" t="str">
        <f>HYPERLINK("https://dexscreener.com/solana/F6W6jbpRb6zxZ9BmH96Gw1L5LrBf8z1AcJKF4dUJpump", "View")</f>
        <v>View</v>
      </c>
    </row>
    <row r="79" spans="1:16" x14ac:dyDescent="0.25">
      <c r="A79" s="16" t="s">
        <v>16544</v>
      </c>
      <c r="B79" s="17">
        <v>12717</v>
      </c>
      <c r="C79" s="17">
        <v>0</v>
      </c>
      <c r="D79" s="17" t="s">
        <v>864</v>
      </c>
      <c r="E79" s="17" t="s">
        <v>5346</v>
      </c>
      <c r="F79" s="17" t="s">
        <v>96</v>
      </c>
      <c r="G79" s="18" t="s">
        <v>3800</v>
      </c>
      <c r="H79" s="18" t="s">
        <v>98</v>
      </c>
      <c r="I79" s="17" t="s">
        <v>25557</v>
      </c>
      <c r="J79" s="17">
        <v>1</v>
      </c>
      <c r="K79" s="17">
        <v>0</v>
      </c>
      <c r="L79" s="17" t="s">
        <v>25558</v>
      </c>
      <c r="M79" s="19" t="s">
        <v>101</v>
      </c>
      <c r="N79" s="17" t="s">
        <v>25559</v>
      </c>
      <c r="O79" s="17" t="s">
        <v>16550</v>
      </c>
      <c r="P79" s="17" t="str">
        <f>HYPERLINK("https://dexscreener.com/solana/A8Dq4ooRzg53tSbhrUhDskX9tYTE4CYfLDbWY6n2pump", "View")</f>
        <v>View</v>
      </c>
    </row>
    <row r="80" spans="1:16" x14ac:dyDescent="0.25">
      <c r="A80" s="13" t="s">
        <v>10509</v>
      </c>
      <c r="B80" s="14">
        <v>61747</v>
      </c>
      <c r="C80" s="14">
        <v>0</v>
      </c>
      <c r="D80" s="14" t="s">
        <v>10098</v>
      </c>
      <c r="E80" s="14" t="s">
        <v>5346</v>
      </c>
      <c r="F80" s="14" t="s">
        <v>96</v>
      </c>
      <c r="G80" s="18" t="s">
        <v>5854</v>
      </c>
      <c r="H80" s="18" t="s">
        <v>98</v>
      </c>
      <c r="I80" s="14" t="s">
        <v>25560</v>
      </c>
      <c r="J80" s="14">
        <v>1</v>
      </c>
      <c r="K80" s="14">
        <v>0</v>
      </c>
      <c r="L80" s="14" t="s">
        <v>25561</v>
      </c>
      <c r="M80" s="19" t="s">
        <v>101</v>
      </c>
      <c r="N80" s="14" t="s">
        <v>25562</v>
      </c>
      <c r="O80" s="14" t="s">
        <v>25563</v>
      </c>
      <c r="P80" s="14" t="str">
        <f>HYPERLINK("https://dexscreener.com/solana/EL8tDCUCCkcYpfMQKVghcc8yWSRHJFtnRYBtfJjgpump", "View")</f>
        <v>View</v>
      </c>
    </row>
    <row r="81" spans="1:16" x14ac:dyDescent="0.25">
      <c r="A81" s="16" t="s">
        <v>25564</v>
      </c>
      <c r="B81" s="17">
        <v>5016</v>
      </c>
      <c r="C81" s="17">
        <v>0</v>
      </c>
      <c r="D81" s="17" t="s">
        <v>864</v>
      </c>
      <c r="E81" s="17" t="s">
        <v>5346</v>
      </c>
      <c r="F81" s="17" t="s">
        <v>96</v>
      </c>
      <c r="G81" s="18" t="s">
        <v>3800</v>
      </c>
      <c r="H81" s="18" t="s">
        <v>98</v>
      </c>
      <c r="I81" s="17" t="s">
        <v>25565</v>
      </c>
      <c r="J81" s="17">
        <v>1</v>
      </c>
      <c r="K81" s="17">
        <v>0</v>
      </c>
      <c r="L81" s="17" t="s">
        <v>25566</v>
      </c>
      <c r="M81" s="19" t="s">
        <v>101</v>
      </c>
      <c r="N81" s="17" t="s">
        <v>19164</v>
      </c>
      <c r="O81" s="17" t="s">
        <v>25567</v>
      </c>
      <c r="P81" s="17" t="str">
        <f>HYPERLINK("https://dexscreener.com/solana/6Rwcmkz9yiYVM5EzyMcr4JsQPGEAWhcUvLvfBperYnUt", "View")</f>
        <v>View</v>
      </c>
    </row>
    <row r="82" spans="1:16" x14ac:dyDescent="0.25">
      <c r="A82" s="13" t="s">
        <v>18698</v>
      </c>
      <c r="B82" s="14">
        <v>4481</v>
      </c>
      <c r="C82" s="14">
        <v>0</v>
      </c>
      <c r="D82" s="14" t="s">
        <v>864</v>
      </c>
      <c r="E82" s="14" t="s">
        <v>5346</v>
      </c>
      <c r="F82" s="14" t="s">
        <v>96</v>
      </c>
      <c r="G82" s="18" t="s">
        <v>3800</v>
      </c>
      <c r="H82" s="18" t="s">
        <v>98</v>
      </c>
      <c r="I82" s="14" t="s">
        <v>25568</v>
      </c>
      <c r="J82" s="14">
        <v>1</v>
      </c>
      <c r="K82" s="14">
        <v>0</v>
      </c>
      <c r="L82" s="14" t="s">
        <v>25569</v>
      </c>
      <c r="M82" s="19" t="s">
        <v>101</v>
      </c>
      <c r="N82" s="14" t="s">
        <v>25570</v>
      </c>
      <c r="O82" s="14" t="s">
        <v>25571</v>
      </c>
      <c r="P82" s="14" t="str">
        <f>HYPERLINK("https://dexscreener.com/solana/CJJbVYyrX92FjZGWn6Ckg9SnszxGF33C6okcKsmFpump", "View")</f>
        <v>View</v>
      </c>
    </row>
    <row r="83" spans="1:16" x14ac:dyDescent="0.25">
      <c r="A83" s="16" t="s">
        <v>25572</v>
      </c>
      <c r="B83" s="17">
        <v>325</v>
      </c>
      <c r="C83" s="17">
        <v>0</v>
      </c>
      <c r="D83" s="17" t="s">
        <v>10098</v>
      </c>
      <c r="E83" s="17" t="s">
        <v>5346</v>
      </c>
      <c r="F83" s="17" t="s">
        <v>96</v>
      </c>
      <c r="G83" s="18" t="s">
        <v>5854</v>
      </c>
      <c r="H83" s="18" t="s">
        <v>98</v>
      </c>
      <c r="I83" s="17" t="s">
        <v>25573</v>
      </c>
      <c r="J83" s="17">
        <v>1</v>
      </c>
      <c r="K83" s="17">
        <v>0</v>
      </c>
      <c r="L83" s="17" t="s">
        <v>25574</v>
      </c>
      <c r="M83" s="19" t="s">
        <v>101</v>
      </c>
      <c r="N83" s="17" t="s">
        <v>25575</v>
      </c>
      <c r="O83" s="17" t="s">
        <v>25576</v>
      </c>
      <c r="P83" s="17" t="str">
        <f>HYPERLINK("https://dexscreener.com/solana/Fch1oixTPri8zxBnmdCEADoJW2toyFHxqDZacQkwdvSP", "View")</f>
        <v>View</v>
      </c>
    </row>
    <row r="84" spans="1:16" x14ac:dyDescent="0.25">
      <c r="A84" s="13" t="s">
        <v>15071</v>
      </c>
      <c r="B84" s="14">
        <v>398</v>
      </c>
      <c r="C84" s="14">
        <v>0</v>
      </c>
      <c r="D84" s="14" t="s">
        <v>1289</v>
      </c>
      <c r="E84" s="14" t="s">
        <v>15950</v>
      </c>
      <c r="F84" s="14" t="s">
        <v>96</v>
      </c>
      <c r="G84" s="18" t="s">
        <v>7951</v>
      </c>
      <c r="H84" s="18" t="s">
        <v>98</v>
      </c>
      <c r="I84" s="14" t="s">
        <v>25577</v>
      </c>
      <c r="J84" s="14">
        <v>2</v>
      </c>
      <c r="K84" s="14">
        <v>0</v>
      </c>
      <c r="L84" s="14" t="s">
        <v>25578</v>
      </c>
      <c r="M84" s="14" t="s">
        <v>132</v>
      </c>
      <c r="N84" s="14" t="s">
        <v>25579</v>
      </c>
      <c r="O84" s="14" t="s">
        <v>15079</v>
      </c>
      <c r="P84" s="14" t="str">
        <f>HYPERLINK("https://dexscreener.com/solana/HeJUFDxfJSzYFUuHLxkMqCgytU31G6mjP4wKviwqpump", "View")</f>
        <v>View</v>
      </c>
    </row>
    <row r="85" spans="1:16" x14ac:dyDescent="0.25">
      <c r="A85" s="16" t="s">
        <v>17345</v>
      </c>
      <c r="B85" s="17">
        <v>21890</v>
      </c>
      <c r="C85" s="17">
        <v>0</v>
      </c>
      <c r="D85" s="17" t="s">
        <v>864</v>
      </c>
      <c r="E85" s="17" t="s">
        <v>5346</v>
      </c>
      <c r="F85" s="17" t="s">
        <v>96</v>
      </c>
      <c r="G85" s="18" t="s">
        <v>3800</v>
      </c>
      <c r="H85" s="18" t="s">
        <v>98</v>
      </c>
      <c r="I85" s="17" t="s">
        <v>25580</v>
      </c>
      <c r="J85" s="17">
        <v>1</v>
      </c>
      <c r="K85" s="17">
        <v>0</v>
      </c>
      <c r="L85" s="17" t="s">
        <v>25581</v>
      </c>
      <c r="M85" s="19" t="s">
        <v>101</v>
      </c>
      <c r="N85" s="17" t="s">
        <v>25582</v>
      </c>
      <c r="O85" s="17" t="s">
        <v>25583</v>
      </c>
      <c r="P85" s="17" t="str">
        <f>HYPERLINK("https://dexscreener.com/solana/BoTqar9bsJjd1aroqYvAimxW5ADy59VgfBpCFQ47TRet", "View")</f>
        <v>View</v>
      </c>
    </row>
    <row r="86" spans="1:16" x14ac:dyDescent="0.25">
      <c r="A86" s="13" t="s">
        <v>22287</v>
      </c>
      <c r="B86" s="14">
        <v>38519</v>
      </c>
      <c r="C86" s="14">
        <v>32924</v>
      </c>
      <c r="D86" s="14" t="s">
        <v>25584</v>
      </c>
      <c r="E86" s="14" t="s">
        <v>21364</v>
      </c>
      <c r="F86" s="14" t="s">
        <v>18482</v>
      </c>
      <c r="G86" s="21" t="s">
        <v>3570</v>
      </c>
      <c r="H86" s="21" t="s">
        <v>25585</v>
      </c>
      <c r="I86" s="14" t="s">
        <v>88</v>
      </c>
      <c r="J86" s="14">
        <v>3</v>
      </c>
      <c r="K86" s="14">
        <v>3</v>
      </c>
      <c r="L86" s="14" t="s">
        <v>25586</v>
      </c>
      <c r="M86" s="14" t="s">
        <v>150</v>
      </c>
      <c r="N86" s="14" t="s">
        <v>25587</v>
      </c>
      <c r="O86" s="14" t="s">
        <v>22294</v>
      </c>
      <c r="P86" s="14" t="str">
        <f>HYPERLINK("https://dexscreener.com/solana/Fosp9yoXQBdx8YqyURZePYzgpCnxp9XsfnQq69DRvvU4", "View")</f>
        <v>View</v>
      </c>
    </row>
    <row r="87" spans="1:16" x14ac:dyDescent="0.25">
      <c r="A87" s="16" t="s">
        <v>1122</v>
      </c>
      <c r="B87" s="17">
        <v>10769</v>
      </c>
      <c r="C87" s="17">
        <v>0</v>
      </c>
      <c r="D87" s="17" t="s">
        <v>883</v>
      </c>
      <c r="E87" s="17" t="s">
        <v>15950</v>
      </c>
      <c r="F87" s="17" t="s">
        <v>96</v>
      </c>
      <c r="G87" s="18" t="s">
        <v>17545</v>
      </c>
      <c r="H87" s="18" t="s">
        <v>98</v>
      </c>
      <c r="I87" s="17" t="s">
        <v>25588</v>
      </c>
      <c r="J87" s="17">
        <v>2</v>
      </c>
      <c r="K87" s="17">
        <v>0</v>
      </c>
      <c r="L87" s="17" t="s">
        <v>25589</v>
      </c>
      <c r="M87" s="17" t="s">
        <v>132</v>
      </c>
      <c r="N87" s="17" t="s">
        <v>25590</v>
      </c>
      <c r="O87" s="17" t="s">
        <v>1130</v>
      </c>
      <c r="P87" s="17" t="str">
        <f>HYPERLINK("https://dexscreener.com/solana/CSEkG3mT5P1GUf4HZTHdVk1syKFN6gQWokbZ4jDWpump", "View")</f>
        <v>View</v>
      </c>
    </row>
    <row r="88" spans="1:16" x14ac:dyDescent="0.25">
      <c r="A88" s="13" t="s">
        <v>5218</v>
      </c>
      <c r="B88" s="14">
        <v>118477</v>
      </c>
      <c r="C88" s="14">
        <v>0</v>
      </c>
      <c r="D88" s="14" t="s">
        <v>864</v>
      </c>
      <c r="E88" s="14" t="s">
        <v>5346</v>
      </c>
      <c r="F88" s="14" t="s">
        <v>96</v>
      </c>
      <c r="G88" s="18" t="s">
        <v>3800</v>
      </c>
      <c r="H88" s="18" t="s">
        <v>98</v>
      </c>
      <c r="I88" s="14" t="s">
        <v>25591</v>
      </c>
      <c r="J88" s="14">
        <v>1</v>
      </c>
      <c r="K88" s="14">
        <v>0</v>
      </c>
      <c r="L88" s="14" t="s">
        <v>25592</v>
      </c>
      <c r="M88" s="19" t="s">
        <v>101</v>
      </c>
      <c r="N88" s="14" t="s">
        <v>25593</v>
      </c>
      <c r="O88" s="14" t="s">
        <v>25594</v>
      </c>
      <c r="P88" s="14" t="str">
        <f>HYPERLINK("https://dexscreener.com/solana/2DADkJ3D1XrXvvPNjCndSjKyck1tbeKJufVUgyPmpump", "View")</f>
        <v>View</v>
      </c>
    </row>
    <row r="89" spans="1:16" x14ac:dyDescent="0.25">
      <c r="A89" s="16" t="s">
        <v>24589</v>
      </c>
      <c r="B89" s="17">
        <v>90237</v>
      </c>
      <c r="C89" s="17">
        <v>0</v>
      </c>
      <c r="D89" s="17" t="s">
        <v>864</v>
      </c>
      <c r="E89" s="17" t="s">
        <v>5346</v>
      </c>
      <c r="F89" s="17" t="s">
        <v>96</v>
      </c>
      <c r="G89" s="18" t="s">
        <v>3800</v>
      </c>
      <c r="H89" s="18" t="s">
        <v>98</v>
      </c>
      <c r="I89" s="17" t="s">
        <v>25595</v>
      </c>
      <c r="J89" s="17">
        <v>1</v>
      </c>
      <c r="K89" s="17">
        <v>0</v>
      </c>
      <c r="L89" s="17" t="s">
        <v>25596</v>
      </c>
      <c r="M89" s="19" t="s">
        <v>101</v>
      </c>
      <c r="N89" s="17" t="s">
        <v>25597</v>
      </c>
      <c r="O89" s="17" t="s">
        <v>25598</v>
      </c>
      <c r="P89" s="17" t="str">
        <f>HYPERLINK("https://dexscreener.com/solana/STCVQT4YQGGVsp9o2xYRjYPM6mcM6ZBs3mxicHXpump", "View")</f>
        <v>View</v>
      </c>
    </row>
    <row r="90" spans="1:16" x14ac:dyDescent="0.25">
      <c r="A90" s="13" t="s">
        <v>25599</v>
      </c>
      <c r="B90" s="14">
        <v>247</v>
      </c>
      <c r="C90" s="14">
        <v>0</v>
      </c>
      <c r="D90" s="14" t="s">
        <v>864</v>
      </c>
      <c r="E90" s="14" t="s">
        <v>5346</v>
      </c>
      <c r="F90" s="14" t="s">
        <v>96</v>
      </c>
      <c r="G90" s="18" t="s">
        <v>3800</v>
      </c>
      <c r="H90" s="18" t="s">
        <v>98</v>
      </c>
      <c r="I90" s="14" t="s">
        <v>25600</v>
      </c>
      <c r="J90" s="14">
        <v>1</v>
      </c>
      <c r="K90" s="14">
        <v>0</v>
      </c>
      <c r="L90" s="14" t="s">
        <v>25601</v>
      </c>
      <c r="M90" s="19" t="s">
        <v>101</v>
      </c>
      <c r="N90" s="14" t="s">
        <v>25602</v>
      </c>
      <c r="O90" s="14" t="s">
        <v>25603</v>
      </c>
      <c r="P90" s="14" t="str">
        <f>HYPERLINK("https://dexscreener.com/solana/8eAUrugF8ToBmkg4CpJjTY9AcPx1UBMdExw2Ju84MCG4", "View")</f>
        <v>View</v>
      </c>
    </row>
    <row r="91" spans="1:16" x14ac:dyDescent="0.25">
      <c r="A91" s="16" t="s">
        <v>25604</v>
      </c>
      <c r="B91" s="17">
        <v>7749</v>
      </c>
      <c r="C91" s="17">
        <v>0</v>
      </c>
      <c r="D91" s="17" t="s">
        <v>864</v>
      </c>
      <c r="E91" s="17" t="s">
        <v>5346</v>
      </c>
      <c r="F91" s="17" t="s">
        <v>96</v>
      </c>
      <c r="G91" s="18" t="s">
        <v>3800</v>
      </c>
      <c r="H91" s="18" t="s">
        <v>98</v>
      </c>
      <c r="I91" s="17" t="s">
        <v>25605</v>
      </c>
      <c r="J91" s="17">
        <v>1</v>
      </c>
      <c r="K91" s="17">
        <v>0</v>
      </c>
      <c r="L91" s="17" t="s">
        <v>25606</v>
      </c>
      <c r="M91" s="19" t="s">
        <v>101</v>
      </c>
      <c r="N91" s="17" t="s">
        <v>25607</v>
      </c>
      <c r="O91" s="17" t="s">
        <v>25608</v>
      </c>
      <c r="P91" s="17" t="str">
        <f>HYPERLINK("https://dexscreener.com/solana/3VR9UzXZn56Xstds3g7X8E6TtsSc6AKEJUrRYeVKpump", "View")</f>
        <v>View</v>
      </c>
    </row>
    <row r="92" spans="1:16" x14ac:dyDescent="0.25">
      <c r="A92" s="13" t="s">
        <v>11496</v>
      </c>
      <c r="B92" s="14">
        <v>6624</v>
      </c>
      <c r="C92" s="14">
        <v>0</v>
      </c>
      <c r="D92" s="14" t="s">
        <v>864</v>
      </c>
      <c r="E92" s="14" t="s">
        <v>5346</v>
      </c>
      <c r="F92" s="14" t="s">
        <v>96</v>
      </c>
      <c r="G92" s="18" t="s">
        <v>3800</v>
      </c>
      <c r="H92" s="18" t="s">
        <v>98</v>
      </c>
      <c r="I92" s="14" t="s">
        <v>25609</v>
      </c>
      <c r="J92" s="14">
        <v>1</v>
      </c>
      <c r="K92" s="14">
        <v>0</v>
      </c>
      <c r="L92" s="14" t="s">
        <v>25610</v>
      </c>
      <c r="M92" s="19" t="s">
        <v>101</v>
      </c>
      <c r="N92" s="14" t="s">
        <v>11501</v>
      </c>
      <c r="O92" s="14" t="s">
        <v>11502</v>
      </c>
      <c r="P92" s="14" t="str">
        <f>HYPERLINK("https://dexscreener.com/solana/dFVMDELpHeSL4CfCmNiuGS6XRyxSAgP7AwW266Lpump", "View")</f>
        <v>View</v>
      </c>
    </row>
    <row r="93" spans="1:16" x14ac:dyDescent="0.25">
      <c r="A93" s="16" t="s">
        <v>25611</v>
      </c>
      <c r="B93" s="17">
        <v>13713</v>
      </c>
      <c r="C93" s="17">
        <v>5121</v>
      </c>
      <c r="D93" s="17" t="s">
        <v>913</v>
      </c>
      <c r="E93" s="17" t="s">
        <v>11780</v>
      </c>
      <c r="F93" s="17" t="s">
        <v>5345</v>
      </c>
      <c r="G93" s="20" t="s">
        <v>3728</v>
      </c>
      <c r="H93" s="20" t="s">
        <v>25612</v>
      </c>
      <c r="I93" s="17" t="s">
        <v>88</v>
      </c>
      <c r="J93" s="17">
        <v>2</v>
      </c>
      <c r="K93" s="17">
        <v>1</v>
      </c>
      <c r="L93" s="17" t="s">
        <v>25613</v>
      </c>
      <c r="M93" s="17" t="s">
        <v>699</v>
      </c>
      <c r="N93" s="17" t="s">
        <v>25614</v>
      </c>
      <c r="O93" s="17" t="s">
        <v>25615</v>
      </c>
      <c r="P93" s="17" t="str">
        <f>HYPERLINK("https://dexscreener.com/solana/7RrLheV7dSecVka3MfjYb4Wa6Z6uegNyzhpFeERsfFZP", "View")</f>
        <v>View</v>
      </c>
    </row>
    <row r="94" spans="1:16" x14ac:dyDescent="0.25">
      <c r="A94" s="13" t="s">
        <v>10480</v>
      </c>
      <c r="B94" s="14">
        <v>12344</v>
      </c>
      <c r="C94" s="14">
        <v>0</v>
      </c>
      <c r="D94" s="14" t="s">
        <v>10098</v>
      </c>
      <c r="E94" s="14" t="s">
        <v>5346</v>
      </c>
      <c r="F94" s="14" t="s">
        <v>96</v>
      </c>
      <c r="G94" s="18" t="s">
        <v>5854</v>
      </c>
      <c r="H94" s="18" t="s">
        <v>98</v>
      </c>
      <c r="I94" s="14" t="s">
        <v>25616</v>
      </c>
      <c r="J94" s="14">
        <v>1</v>
      </c>
      <c r="K94" s="14">
        <v>0</v>
      </c>
      <c r="L94" s="14" t="s">
        <v>25617</v>
      </c>
      <c r="M94" s="19" t="s">
        <v>101</v>
      </c>
      <c r="N94" s="14" t="s">
        <v>25618</v>
      </c>
      <c r="O94" s="14" t="s">
        <v>10484</v>
      </c>
      <c r="P94" s="14" t="str">
        <f>HYPERLINK("https://dexscreener.com/solana/4ytpWfVCpJ2nSjahbioPkejnLVBsc7FGZi2hCojppump", "View")</f>
        <v>View</v>
      </c>
    </row>
    <row r="95" spans="1:16" x14ac:dyDescent="0.25">
      <c r="A95" s="16" t="s">
        <v>10516</v>
      </c>
      <c r="B95" s="17">
        <v>41896</v>
      </c>
      <c r="C95" s="17">
        <v>0</v>
      </c>
      <c r="D95" s="17" t="s">
        <v>864</v>
      </c>
      <c r="E95" s="17" t="s">
        <v>5346</v>
      </c>
      <c r="F95" s="17" t="s">
        <v>96</v>
      </c>
      <c r="G95" s="18" t="s">
        <v>3800</v>
      </c>
      <c r="H95" s="18" t="s">
        <v>98</v>
      </c>
      <c r="I95" s="17" t="s">
        <v>25619</v>
      </c>
      <c r="J95" s="17">
        <v>1</v>
      </c>
      <c r="K95" s="17">
        <v>0</v>
      </c>
      <c r="L95" s="17" t="s">
        <v>25620</v>
      </c>
      <c r="M95" s="19" t="s">
        <v>101</v>
      </c>
      <c r="N95" s="17" t="s">
        <v>25621</v>
      </c>
      <c r="O95" s="17" t="s">
        <v>10522</v>
      </c>
      <c r="P95" s="17" t="str">
        <f>HYPERLINK("https://dexscreener.com/solana/8X7emJy8CV5pK7UjyBKCywdfc4MTKShpUddqrqyepump", "View")</f>
        <v>View</v>
      </c>
    </row>
    <row r="96" spans="1:16" x14ac:dyDescent="0.25">
      <c r="A96" s="13" t="s">
        <v>10542</v>
      </c>
      <c r="B96" s="14">
        <v>7090</v>
      </c>
      <c r="C96" s="14">
        <v>6381</v>
      </c>
      <c r="D96" s="14" t="s">
        <v>18041</v>
      </c>
      <c r="E96" s="14" t="s">
        <v>5346</v>
      </c>
      <c r="F96" s="14" t="s">
        <v>3799</v>
      </c>
      <c r="G96" s="21" t="s">
        <v>17184</v>
      </c>
      <c r="H96" s="21" t="s">
        <v>25622</v>
      </c>
      <c r="I96" s="14" t="s">
        <v>88</v>
      </c>
      <c r="J96" s="14">
        <v>1</v>
      </c>
      <c r="K96" s="14">
        <v>2</v>
      </c>
      <c r="L96" s="14" t="s">
        <v>25623</v>
      </c>
      <c r="M96" s="14" t="s">
        <v>745</v>
      </c>
      <c r="N96" s="14" t="s">
        <v>25624</v>
      </c>
      <c r="O96" s="14" t="s">
        <v>10549</v>
      </c>
      <c r="P96" s="14" t="str">
        <f>HYPERLINK("https://dexscreener.com/solana/D57CP6MA7G5idNmxAuigU6W8uPeiGvDVuuwh4z2ypump", "View")</f>
        <v>View</v>
      </c>
    </row>
    <row r="97" spans="1:16" x14ac:dyDescent="0.25">
      <c r="A97" s="16" t="s">
        <v>693</v>
      </c>
      <c r="B97" s="17">
        <v>26705</v>
      </c>
      <c r="C97" s="17">
        <v>0</v>
      </c>
      <c r="D97" s="17" t="s">
        <v>864</v>
      </c>
      <c r="E97" s="17" t="s">
        <v>5346</v>
      </c>
      <c r="F97" s="17" t="s">
        <v>96</v>
      </c>
      <c r="G97" s="18" t="s">
        <v>3800</v>
      </c>
      <c r="H97" s="18" t="s">
        <v>98</v>
      </c>
      <c r="I97" s="17" t="s">
        <v>25625</v>
      </c>
      <c r="J97" s="17">
        <v>1</v>
      </c>
      <c r="K97" s="17">
        <v>0</v>
      </c>
      <c r="L97" s="17" t="s">
        <v>25626</v>
      </c>
      <c r="M97" s="19" t="s">
        <v>101</v>
      </c>
      <c r="N97" s="17" t="s">
        <v>25627</v>
      </c>
      <c r="O97" s="17" t="s">
        <v>701</v>
      </c>
      <c r="P97" s="17" t="str">
        <f>HYPERLINK("https://dexscreener.com/solana/A6J6iU22H4dzFsHiSRcPdwYCGtJLNFupDotwhKgfpump", "View")</f>
        <v>View</v>
      </c>
    </row>
    <row r="98" spans="1:16" x14ac:dyDescent="0.25">
      <c r="A98" s="13" t="s">
        <v>8063</v>
      </c>
      <c r="B98" s="14">
        <v>7663</v>
      </c>
      <c r="C98" s="14">
        <v>0</v>
      </c>
      <c r="D98" s="14" t="s">
        <v>864</v>
      </c>
      <c r="E98" s="14" t="s">
        <v>5346</v>
      </c>
      <c r="F98" s="14" t="s">
        <v>96</v>
      </c>
      <c r="G98" s="18" t="s">
        <v>3800</v>
      </c>
      <c r="H98" s="18" t="s">
        <v>98</v>
      </c>
      <c r="I98" s="14" t="s">
        <v>25628</v>
      </c>
      <c r="J98" s="14">
        <v>1</v>
      </c>
      <c r="K98" s="14">
        <v>0</v>
      </c>
      <c r="L98" s="14" t="s">
        <v>25629</v>
      </c>
      <c r="M98" s="19" t="s">
        <v>101</v>
      </c>
      <c r="N98" s="14" t="s">
        <v>25630</v>
      </c>
      <c r="O98" s="14" t="s">
        <v>8071</v>
      </c>
      <c r="P98" s="14" t="str">
        <f>HYPERLINK("https://dexscreener.com/solana/AgHg9Q1s9aUhU7YNMH7c5pvCghFVSFcnCEJ4ePKjrDZg", "View")</f>
        <v>View</v>
      </c>
    </row>
    <row r="99" spans="1:16" x14ac:dyDescent="0.25">
      <c r="A99" s="16" t="s">
        <v>25631</v>
      </c>
      <c r="B99" s="17">
        <v>2372953</v>
      </c>
      <c r="C99" s="17">
        <v>0</v>
      </c>
      <c r="D99" s="17" t="s">
        <v>864</v>
      </c>
      <c r="E99" s="17" t="s">
        <v>5346</v>
      </c>
      <c r="F99" s="17" t="s">
        <v>96</v>
      </c>
      <c r="G99" s="18" t="s">
        <v>3800</v>
      </c>
      <c r="H99" s="18" t="s">
        <v>98</v>
      </c>
      <c r="I99" s="17" t="s">
        <v>25632</v>
      </c>
      <c r="J99" s="17">
        <v>1</v>
      </c>
      <c r="K99" s="17">
        <v>0</v>
      </c>
      <c r="L99" s="17" t="s">
        <v>4103</v>
      </c>
      <c r="M99" s="19" t="s">
        <v>101</v>
      </c>
      <c r="N99" s="17" t="s">
        <v>25633</v>
      </c>
      <c r="O99" s="17" t="s">
        <v>25634</v>
      </c>
      <c r="P99" s="17" t="str">
        <f>HYPERLINK("https://dexscreener.com/solana/6DSqVXg9WLTWgz6LACqxN757QdHe1sCqkUfojWmxWtok", "View")</f>
        <v>View</v>
      </c>
    </row>
    <row r="100" spans="1:16" x14ac:dyDescent="0.25">
      <c r="A100" s="13" t="s">
        <v>613</v>
      </c>
      <c r="B100" s="14">
        <v>8118</v>
      </c>
      <c r="C100" s="14">
        <v>0</v>
      </c>
      <c r="D100" s="14" t="s">
        <v>883</v>
      </c>
      <c r="E100" s="14" t="s">
        <v>15950</v>
      </c>
      <c r="F100" s="14" t="s">
        <v>96</v>
      </c>
      <c r="G100" s="18" t="s">
        <v>17545</v>
      </c>
      <c r="H100" s="18" t="s">
        <v>98</v>
      </c>
      <c r="I100" s="14" t="s">
        <v>25635</v>
      </c>
      <c r="J100" s="14">
        <v>2</v>
      </c>
      <c r="K100" s="14">
        <v>0</v>
      </c>
      <c r="L100" s="14" t="s">
        <v>25636</v>
      </c>
      <c r="M100" s="14" t="s">
        <v>132</v>
      </c>
      <c r="N100" s="14" t="s">
        <v>25637</v>
      </c>
      <c r="O100" s="14" t="s">
        <v>618</v>
      </c>
      <c r="P100" s="14" t="str">
        <f>HYPERLINK("https://dexscreener.com/solana/PD11M8MB8qQUAiWzyEK4JwfS8rt7Set6av6a5JYpump", "View")</f>
        <v>View</v>
      </c>
    </row>
    <row r="101" spans="1:16" x14ac:dyDescent="0.25">
      <c r="A101" s="16" t="s">
        <v>18855</v>
      </c>
      <c r="B101" s="17">
        <v>16249</v>
      </c>
      <c r="C101" s="17">
        <v>0</v>
      </c>
      <c r="D101" s="17" t="s">
        <v>864</v>
      </c>
      <c r="E101" s="17" t="s">
        <v>5346</v>
      </c>
      <c r="F101" s="17" t="s">
        <v>96</v>
      </c>
      <c r="G101" s="18" t="s">
        <v>3800</v>
      </c>
      <c r="H101" s="18" t="s">
        <v>98</v>
      </c>
      <c r="I101" s="17" t="s">
        <v>25638</v>
      </c>
      <c r="J101" s="17">
        <v>1</v>
      </c>
      <c r="K101" s="17">
        <v>0</v>
      </c>
      <c r="L101" s="17" t="s">
        <v>25639</v>
      </c>
      <c r="M101" s="19" t="s">
        <v>101</v>
      </c>
      <c r="N101" s="17" t="s">
        <v>25640</v>
      </c>
      <c r="O101" s="17" t="s">
        <v>18859</v>
      </c>
      <c r="P101" s="17" t="str">
        <f>HYPERLINK("https://dexscreener.com/solana/FyEUKDB7DjfANVJTwSWPkta3yK8bRjSn2nB9y41Qpump", "View")</f>
        <v>View</v>
      </c>
    </row>
    <row r="102" spans="1:16" x14ac:dyDescent="0.25">
      <c r="A102" s="13" t="s">
        <v>809</v>
      </c>
      <c r="B102" s="14">
        <v>1778</v>
      </c>
      <c r="C102" s="14">
        <v>0</v>
      </c>
      <c r="D102" s="14" t="s">
        <v>10387</v>
      </c>
      <c r="E102" s="14" t="s">
        <v>5674</v>
      </c>
      <c r="F102" s="14" t="s">
        <v>96</v>
      </c>
      <c r="G102" s="18" t="s">
        <v>20641</v>
      </c>
      <c r="H102" s="18" t="s">
        <v>98</v>
      </c>
      <c r="I102" s="14" t="s">
        <v>25641</v>
      </c>
      <c r="J102" s="14">
        <v>3</v>
      </c>
      <c r="K102" s="14">
        <v>0</v>
      </c>
      <c r="L102" s="14" t="s">
        <v>25642</v>
      </c>
      <c r="M102" s="14" t="s">
        <v>132</v>
      </c>
      <c r="N102" s="14" t="s">
        <v>25643</v>
      </c>
      <c r="O102" s="14" t="s">
        <v>816</v>
      </c>
      <c r="P102" s="14" t="str">
        <f>HYPERLINK("https://dexscreener.com/solana/BoAQaykj3LtkM2Brevc7cQcRAzpqcsP47nJ2rkyopump", "View")</f>
        <v>View</v>
      </c>
    </row>
    <row r="103" spans="1:16" x14ac:dyDescent="0.25">
      <c r="A103" s="16" t="s">
        <v>12759</v>
      </c>
      <c r="B103" s="17">
        <v>17264</v>
      </c>
      <c r="C103" s="17">
        <v>0</v>
      </c>
      <c r="D103" s="17" t="s">
        <v>864</v>
      </c>
      <c r="E103" s="17" t="s">
        <v>5346</v>
      </c>
      <c r="F103" s="17" t="s">
        <v>96</v>
      </c>
      <c r="G103" s="18" t="s">
        <v>3800</v>
      </c>
      <c r="H103" s="18" t="s">
        <v>98</v>
      </c>
      <c r="I103" s="17" t="s">
        <v>25644</v>
      </c>
      <c r="J103" s="17">
        <v>1</v>
      </c>
      <c r="K103" s="17">
        <v>0</v>
      </c>
      <c r="L103" s="17" t="s">
        <v>25645</v>
      </c>
      <c r="M103" s="19" t="s">
        <v>101</v>
      </c>
      <c r="N103" s="17" t="s">
        <v>25646</v>
      </c>
      <c r="O103" s="17" t="s">
        <v>12766</v>
      </c>
      <c r="P103" s="17" t="str">
        <f>HYPERLINK("https://dexscreener.com/solana/9GpthvTPDpN19HeyvExoyazRhtq3agtg2nbcS7Topump", "View")</f>
        <v>View</v>
      </c>
    </row>
    <row r="104" spans="1:16" x14ac:dyDescent="0.25">
      <c r="A104" s="13" t="s">
        <v>4553</v>
      </c>
      <c r="B104" s="14">
        <v>1163</v>
      </c>
      <c r="C104" s="14">
        <v>0</v>
      </c>
      <c r="D104" s="14" t="s">
        <v>864</v>
      </c>
      <c r="E104" s="14" t="s">
        <v>5346</v>
      </c>
      <c r="F104" s="14" t="s">
        <v>96</v>
      </c>
      <c r="G104" s="18" t="s">
        <v>3800</v>
      </c>
      <c r="H104" s="18" t="s">
        <v>98</v>
      </c>
      <c r="I104" s="14" t="s">
        <v>25647</v>
      </c>
      <c r="J104" s="14">
        <v>1</v>
      </c>
      <c r="K104" s="14">
        <v>0</v>
      </c>
      <c r="L104" s="14" t="s">
        <v>25648</v>
      </c>
      <c r="M104" s="19" t="s">
        <v>101</v>
      </c>
      <c r="N104" s="14" t="s">
        <v>25649</v>
      </c>
      <c r="O104" s="14" t="s">
        <v>4560</v>
      </c>
      <c r="P104" s="14" t="str">
        <f>HYPERLINK("https://dexscreener.com/solana/3BeJ9zCgQhaqKMu2HgKJ79yQBChD1Pf3hPwRX44fpump", "View")</f>
        <v>View</v>
      </c>
    </row>
    <row r="105" spans="1:16" x14ac:dyDescent="0.25">
      <c r="A105" s="16" t="s">
        <v>7423</v>
      </c>
      <c r="B105" s="17">
        <v>5816</v>
      </c>
      <c r="C105" s="17">
        <v>5788</v>
      </c>
      <c r="D105" s="17" t="s">
        <v>25650</v>
      </c>
      <c r="E105" s="17" t="s">
        <v>5821</v>
      </c>
      <c r="F105" s="17" t="s">
        <v>13810</v>
      </c>
      <c r="G105" s="21" t="s">
        <v>11453</v>
      </c>
      <c r="H105" s="21" t="s">
        <v>25651</v>
      </c>
      <c r="I105" s="17" t="s">
        <v>88</v>
      </c>
      <c r="J105" s="17">
        <v>3</v>
      </c>
      <c r="K105" s="17">
        <v>5</v>
      </c>
      <c r="L105" s="17" t="s">
        <v>25652</v>
      </c>
      <c r="M105" s="17" t="s">
        <v>479</v>
      </c>
      <c r="N105" s="17" t="s">
        <v>25653</v>
      </c>
      <c r="O105" s="17" t="s">
        <v>7430</v>
      </c>
      <c r="P105" s="17" t="str">
        <f>HYPERLINK("https://dexscreener.com/solana/CzLSujWBLFsSjncfkh59rUFqvafWcY5tzedWJSuypump", "View")</f>
        <v>View</v>
      </c>
    </row>
    <row r="106" spans="1:16" x14ac:dyDescent="0.25">
      <c r="A106" s="13" t="s">
        <v>17382</v>
      </c>
      <c r="B106" s="14">
        <v>14861</v>
      </c>
      <c r="C106" s="14">
        <v>7430</v>
      </c>
      <c r="D106" s="14" t="s">
        <v>1289</v>
      </c>
      <c r="E106" s="14" t="s">
        <v>5345</v>
      </c>
      <c r="F106" s="14" t="s">
        <v>11675</v>
      </c>
      <c r="G106" s="22" t="s">
        <v>5140</v>
      </c>
      <c r="H106" s="22" t="s">
        <v>25654</v>
      </c>
      <c r="I106" s="14" t="s">
        <v>88</v>
      </c>
      <c r="J106" s="14">
        <v>1</v>
      </c>
      <c r="K106" s="14">
        <v>1</v>
      </c>
      <c r="L106" s="14" t="s">
        <v>25655</v>
      </c>
      <c r="M106" s="14" t="s">
        <v>240</v>
      </c>
      <c r="N106" s="14" t="s">
        <v>17385</v>
      </c>
      <c r="O106" s="14" t="s">
        <v>17386</v>
      </c>
      <c r="P106" s="14" t="str">
        <f>HYPERLINK("https://dexscreener.com/solana/BvSyXBvy76mUgzLSbvvT4NQw5rSM4P5zAsdnvqUJpump", "View")</f>
        <v>View</v>
      </c>
    </row>
    <row r="107" spans="1:16" x14ac:dyDescent="0.25">
      <c r="A107" s="16" t="s">
        <v>25656</v>
      </c>
      <c r="B107" s="17">
        <v>26735</v>
      </c>
      <c r="C107" s="17">
        <v>0</v>
      </c>
      <c r="D107" s="17" t="s">
        <v>10098</v>
      </c>
      <c r="E107" s="17" t="s">
        <v>5346</v>
      </c>
      <c r="F107" s="17" t="s">
        <v>96</v>
      </c>
      <c r="G107" s="18" t="s">
        <v>5854</v>
      </c>
      <c r="H107" s="18" t="s">
        <v>98</v>
      </c>
      <c r="I107" s="17" t="s">
        <v>25657</v>
      </c>
      <c r="J107" s="17">
        <v>1</v>
      </c>
      <c r="K107" s="17">
        <v>0</v>
      </c>
      <c r="L107" s="17" t="s">
        <v>25658</v>
      </c>
      <c r="M107" s="19" t="s">
        <v>101</v>
      </c>
      <c r="N107" s="17" t="s">
        <v>25659</v>
      </c>
      <c r="O107" s="17" t="s">
        <v>25660</v>
      </c>
      <c r="P107" s="17" t="str">
        <f>HYPERLINK("https://dexscreener.com/solana/Awif5iQnv1J2x6RHJrh3cNyaH2ghu47DsJfRgFwSpump", "View")</f>
        <v>View</v>
      </c>
    </row>
    <row r="108" spans="1:16" x14ac:dyDescent="0.25">
      <c r="A108" s="13" t="s">
        <v>25661</v>
      </c>
      <c r="B108" s="14">
        <v>3200065</v>
      </c>
      <c r="C108" s="14">
        <v>0</v>
      </c>
      <c r="D108" s="14" t="s">
        <v>864</v>
      </c>
      <c r="E108" s="14" t="s">
        <v>5346</v>
      </c>
      <c r="F108" s="14" t="s">
        <v>96</v>
      </c>
      <c r="G108" s="18" t="s">
        <v>3800</v>
      </c>
      <c r="H108" s="18" t="s">
        <v>98</v>
      </c>
      <c r="I108" s="14" t="s">
        <v>25662</v>
      </c>
      <c r="J108" s="14">
        <v>1</v>
      </c>
      <c r="K108" s="14">
        <v>0</v>
      </c>
      <c r="L108" s="14" t="s">
        <v>25663</v>
      </c>
      <c r="M108" s="19" t="s">
        <v>101</v>
      </c>
      <c r="N108" s="14" t="s">
        <v>25633</v>
      </c>
      <c r="O108" s="14" t="s">
        <v>25664</v>
      </c>
      <c r="P108" s="14" t="str">
        <f>HYPERLINK("https://dexscreener.com/solana/D2JGRcNqq1mLzyL4ruCb27pzYw8FF3nTK4hMz6GmMW56", "View")</f>
        <v>View</v>
      </c>
    </row>
    <row r="109" spans="1:16" x14ac:dyDescent="0.25">
      <c r="A109" s="16" t="s">
        <v>25665</v>
      </c>
      <c r="B109" s="17">
        <v>33870954</v>
      </c>
      <c r="C109" s="17">
        <v>0</v>
      </c>
      <c r="D109" s="17" t="s">
        <v>864</v>
      </c>
      <c r="E109" s="17" t="s">
        <v>5346</v>
      </c>
      <c r="F109" s="17" t="s">
        <v>96</v>
      </c>
      <c r="G109" s="18" t="s">
        <v>3800</v>
      </c>
      <c r="H109" s="18" t="s">
        <v>98</v>
      </c>
      <c r="I109" s="17" t="s">
        <v>25666</v>
      </c>
      <c r="J109" s="17">
        <v>1</v>
      </c>
      <c r="K109" s="17">
        <v>0</v>
      </c>
      <c r="L109" s="17" t="s">
        <v>25667</v>
      </c>
      <c r="M109" s="19" t="s">
        <v>101</v>
      </c>
      <c r="N109" s="17" t="s">
        <v>25668</v>
      </c>
      <c r="O109" s="17" t="s">
        <v>25669</v>
      </c>
      <c r="P109" s="17" t="str">
        <f>HYPERLINK("https://dexscreener.com/solana/54FkyFRq4iea7ArZEWrKXFXWcxNEuiVEhTTP6YLLm2hU", "View")</f>
        <v>View</v>
      </c>
    </row>
    <row r="110" spans="1:16" x14ac:dyDescent="0.25">
      <c r="A110" s="13" t="s">
        <v>19643</v>
      </c>
      <c r="B110" s="14">
        <v>54502</v>
      </c>
      <c r="C110" s="14">
        <v>49052</v>
      </c>
      <c r="D110" s="14" t="s">
        <v>25670</v>
      </c>
      <c r="E110" s="14" t="s">
        <v>11780</v>
      </c>
      <c r="F110" s="14" t="s">
        <v>2758</v>
      </c>
      <c r="G110" s="21" t="s">
        <v>4072</v>
      </c>
      <c r="H110" s="21" t="s">
        <v>25671</v>
      </c>
      <c r="I110" s="14" t="s">
        <v>88</v>
      </c>
      <c r="J110" s="14">
        <v>2</v>
      </c>
      <c r="K110" s="14">
        <v>6</v>
      </c>
      <c r="L110" s="14" t="s">
        <v>25672</v>
      </c>
      <c r="M110" s="14" t="s">
        <v>699</v>
      </c>
      <c r="N110" s="14" t="s">
        <v>25673</v>
      </c>
      <c r="O110" s="14" t="s">
        <v>19648</v>
      </c>
      <c r="P110" s="14" t="str">
        <f>HYPERLINK("https://dexscreener.com/solana/4amstKcbziHCqwev9esMtRGDTdjHSviiNXT7WtajgjUq", "View")</f>
        <v>View</v>
      </c>
    </row>
    <row r="111" spans="1:16" x14ac:dyDescent="0.25">
      <c r="A111" s="16" t="s">
        <v>24914</v>
      </c>
      <c r="B111" s="17">
        <v>33775</v>
      </c>
      <c r="C111" s="17">
        <v>0</v>
      </c>
      <c r="D111" s="17" t="s">
        <v>1289</v>
      </c>
      <c r="E111" s="17" t="s">
        <v>15950</v>
      </c>
      <c r="F111" s="17" t="s">
        <v>96</v>
      </c>
      <c r="G111" s="18" t="s">
        <v>7951</v>
      </c>
      <c r="H111" s="18" t="s">
        <v>98</v>
      </c>
      <c r="I111" s="17" t="s">
        <v>25674</v>
      </c>
      <c r="J111" s="17">
        <v>2</v>
      </c>
      <c r="K111" s="17">
        <v>0</v>
      </c>
      <c r="L111" s="17" t="s">
        <v>25675</v>
      </c>
      <c r="M111" s="17" t="s">
        <v>179</v>
      </c>
      <c r="N111" s="17" t="s">
        <v>25676</v>
      </c>
      <c r="O111" s="17" t="s">
        <v>25677</v>
      </c>
      <c r="P111" s="17" t="str">
        <f>HYPERLINK("https://dexscreener.com/solana/D85UjuRzazGeSS24E8yFy4DtKczmipwFNew4SKe1dEBy", "View")</f>
        <v>View</v>
      </c>
    </row>
    <row r="112" spans="1:16" x14ac:dyDescent="0.25">
      <c r="A112" s="13" t="s">
        <v>9575</v>
      </c>
      <c r="B112" s="14">
        <v>83405</v>
      </c>
      <c r="C112" s="14">
        <v>0</v>
      </c>
      <c r="D112" s="14" t="s">
        <v>864</v>
      </c>
      <c r="E112" s="14" t="s">
        <v>5346</v>
      </c>
      <c r="F112" s="14" t="s">
        <v>96</v>
      </c>
      <c r="G112" s="18" t="s">
        <v>3800</v>
      </c>
      <c r="H112" s="18" t="s">
        <v>98</v>
      </c>
      <c r="I112" s="14" t="s">
        <v>25678</v>
      </c>
      <c r="J112" s="14">
        <v>1</v>
      </c>
      <c r="K112" s="14">
        <v>0</v>
      </c>
      <c r="L112" s="14" t="s">
        <v>25679</v>
      </c>
      <c r="M112" s="19" t="s">
        <v>101</v>
      </c>
      <c r="N112" s="14" t="s">
        <v>25680</v>
      </c>
      <c r="O112" s="14" t="s">
        <v>25681</v>
      </c>
      <c r="P112" s="14" t="str">
        <f>HYPERLINK("https://dexscreener.com/solana/74Eyos32V2B6ineYgAcRMZsiDpz65z7sXHq7D5MSMYgF", "View")</f>
        <v>View</v>
      </c>
    </row>
    <row r="113" spans="1:16" x14ac:dyDescent="0.25">
      <c r="A113" s="16" t="s">
        <v>13777</v>
      </c>
      <c r="B113" s="17">
        <v>95678</v>
      </c>
      <c r="C113" s="17">
        <v>0</v>
      </c>
      <c r="D113" s="17" t="s">
        <v>10098</v>
      </c>
      <c r="E113" s="17" t="s">
        <v>5346</v>
      </c>
      <c r="F113" s="17" t="s">
        <v>96</v>
      </c>
      <c r="G113" s="18" t="s">
        <v>5854</v>
      </c>
      <c r="H113" s="18" t="s">
        <v>98</v>
      </c>
      <c r="I113" s="17" t="s">
        <v>25682</v>
      </c>
      <c r="J113" s="17">
        <v>1</v>
      </c>
      <c r="K113" s="17">
        <v>0</v>
      </c>
      <c r="L113" s="17" t="s">
        <v>25683</v>
      </c>
      <c r="M113" s="19" t="s">
        <v>101</v>
      </c>
      <c r="N113" s="17" t="s">
        <v>10661</v>
      </c>
      <c r="O113" s="17" t="s">
        <v>25684</v>
      </c>
      <c r="P113" s="17" t="str">
        <f>HYPERLINK("https://dexscreener.com/solana/A9fLFNoev8jbob6Toy8K5hpG9Ls3xZ8rtHTAEikKpump", "View")</f>
        <v>View</v>
      </c>
    </row>
    <row r="114" spans="1:16" x14ac:dyDescent="0.25">
      <c r="A114" s="13" t="s">
        <v>8311</v>
      </c>
      <c r="B114" s="14">
        <v>17273</v>
      </c>
      <c r="C114" s="14">
        <v>0</v>
      </c>
      <c r="D114" s="14" t="s">
        <v>864</v>
      </c>
      <c r="E114" s="14" t="s">
        <v>5346</v>
      </c>
      <c r="F114" s="14" t="s">
        <v>96</v>
      </c>
      <c r="G114" s="18" t="s">
        <v>3800</v>
      </c>
      <c r="H114" s="18" t="s">
        <v>98</v>
      </c>
      <c r="I114" s="14" t="s">
        <v>25685</v>
      </c>
      <c r="J114" s="14">
        <v>1</v>
      </c>
      <c r="K114" s="14">
        <v>0</v>
      </c>
      <c r="L114" s="14" t="s">
        <v>25686</v>
      </c>
      <c r="M114" s="19" t="s">
        <v>101</v>
      </c>
      <c r="N114" s="14" t="s">
        <v>25687</v>
      </c>
      <c r="O114" s="14" t="s">
        <v>25688</v>
      </c>
      <c r="P114" s="14" t="str">
        <f>HYPERLINK("https://dexscreener.com/solana/EH2tRrNn2TfD2c1vNLMrNaxa4wskzEnzb1Vo5YDRpump", "View")</f>
        <v>View</v>
      </c>
    </row>
    <row r="115" spans="1:16" x14ac:dyDescent="0.25">
      <c r="A115" s="16" t="s">
        <v>25689</v>
      </c>
      <c r="B115" s="17">
        <v>54409</v>
      </c>
      <c r="C115" s="17">
        <v>48968</v>
      </c>
      <c r="D115" s="17" t="s">
        <v>1347</v>
      </c>
      <c r="E115" s="17" t="s">
        <v>5345</v>
      </c>
      <c r="F115" s="17" t="s">
        <v>4521</v>
      </c>
      <c r="G115" s="21" t="s">
        <v>3771</v>
      </c>
      <c r="H115" s="21" t="s">
        <v>25690</v>
      </c>
      <c r="I115" s="17" t="s">
        <v>88</v>
      </c>
      <c r="J115" s="17">
        <v>1</v>
      </c>
      <c r="K115" s="17">
        <v>3</v>
      </c>
      <c r="L115" s="17" t="s">
        <v>25691</v>
      </c>
      <c r="M115" s="17" t="s">
        <v>2145</v>
      </c>
      <c r="N115" s="17" t="s">
        <v>25692</v>
      </c>
      <c r="O115" s="17" t="s">
        <v>25693</v>
      </c>
      <c r="P115" s="17" t="str">
        <f>HYPERLINK("https://dexscreener.com/solana/G9b9Lt78x5JXhFLeDY4ZAfMkWWugnbsfKBR2qipJWXaT", "View")</f>
        <v>View</v>
      </c>
    </row>
    <row r="116" spans="1:16" x14ac:dyDescent="0.25">
      <c r="A116" s="13" t="s">
        <v>5184</v>
      </c>
      <c r="B116" s="14">
        <v>1279</v>
      </c>
      <c r="C116" s="14">
        <v>0</v>
      </c>
      <c r="D116" s="14" t="s">
        <v>864</v>
      </c>
      <c r="E116" s="14" t="s">
        <v>5346</v>
      </c>
      <c r="F116" s="14" t="s">
        <v>96</v>
      </c>
      <c r="G116" s="18" t="s">
        <v>3800</v>
      </c>
      <c r="H116" s="18" t="s">
        <v>98</v>
      </c>
      <c r="I116" s="14" t="s">
        <v>25694</v>
      </c>
      <c r="J116" s="14">
        <v>1</v>
      </c>
      <c r="K116" s="14">
        <v>0</v>
      </c>
      <c r="L116" s="14" t="s">
        <v>25695</v>
      </c>
      <c r="M116" s="19" t="s">
        <v>101</v>
      </c>
      <c r="N116" s="14" t="s">
        <v>25696</v>
      </c>
      <c r="O116" s="14" t="s">
        <v>17034</v>
      </c>
      <c r="P116" s="14" t="str">
        <f>HYPERLINK("https://dexscreener.com/solana/J9SXKctbZVws65vjBHL91mqStzq5an1xZxdi6a4h853o", "View")</f>
        <v>View</v>
      </c>
    </row>
    <row r="117" spans="1:16" x14ac:dyDescent="0.25">
      <c r="A117" s="16" t="s">
        <v>25697</v>
      </c>
      <c r="B117" s="17">
        <v>48887</v>
      </c>
      <c r="C117" s="17">
        <v>43999</v>
      </c>
      <c r="D117" s="17" t="s">
        <v>1281</v>
      </c>
      <c r="E117" s="17" t="s">
        <v>5346</v>
      </c>
      <c r="F117" s="17" t="s">
        <v>3682</v>
      </c>
      <c r="G117" s="21" t="s">
        <v>3897</v>
      </c>
      <c r="H117" s="21" t="s">
        <v>25698</v>
      </c>
      <c r="I117" s="17" t="s">
        <v>88</v>
      </c>
      <c r="J117" s="17">
        <v>1</v>
      </c>
      <c r="K117" s="17">
        <v>3</v>
      </c>
      <c r="L117" s="17" t="s">
        <v>25699</v>
      </c>
      <c r="M117" s="17" t="s">
        <v>132</v>
      </c>
      <c r="N117" s="17" t="s">
        <v>25700</v>
      </c>
      <c r="O117" s="17" t="s">
        <v>25701</v>
      </c>
      <c r="P117" s="17" t="str">
        <f>HYPERLINK("https://dexscreener.com/solana/BdYqxVbfofR5SrwwDdMhf6P7oGWQnbydFjY3ySpppump", "View")</f>
        <v>View</v>
      </c>
    </row>
    <row r="118" spans="1:16" x14ac:dyDescent="0.25">
      <c r="A118" s="13" t="s">
        <v>25702</v>
      </c>
      <c r="B118" s="14">
        <v>57907</v>
      </c>
      <c r="C118" s="14">
        <v>28953</v>
      </c>
      <c r="D118" s="14" t="s">
        <v>883</v>
      </c>
      <c r="E118" s="14" t="s">
        <v>5346</v>
      </c>
      <c r="F118" s="14" t="s">
        <v>2605</v>
      </c>
      <c r="G118" s="21" t="s">
        <v>1639</v>
      </c>
      <c r="H118" s="21" t="s">
        <v>25703</v>
      </c>
      <c r="I118" s="14" t="s">
        <v>88</v>
      </c>
      <c r="J118" s="14">
        <v>1</v>
      </c>
      <c r="K118" s="14">
        <v>1</v>
      </c>
      <c r="L118" s="14" t="s">
        <v>25704</v>
      </c>
      <c r="M118" s="14" t="s">
        <v>680</v>
      </c>
      <c r="N118" s="14" t="s">
        <v>25705</v>
      </c>
      <c r="O118" s="14" t="s">
        <v>25706</v>
      </c>
      <c r="P118" s="14" t="str">
        <f>HYPERLINK("https://dexscreener.com/solana/7WMh8NGrjgqQGUF8UX6GRwAAAfVJ57EvgzvDsgEmpump", "View")</f>
        <v>View</v>
      </c>
    </row>
    <row r="119" spans="1:16" x14ac:dyDescent="0.25">
      <c r="A119" s="16" t="s">
        <v>25707</v>
      </c>
      <c r="B119" s="17">
        <v>27441</v>
      </c>
      <c r="C119" s="17">
        <v>0</v>
      </c>
      <c r="D119" s="17" t="s">
        <v>864</v>
      </c>
      <c r="E119" s="17" t="s">
        <v>5346</v>
      </c>
      <c r="F119" s="17" t="s">
        <v>96</v>
      </c>
      <c r="G119" s="18" t="s">
        <v>3800</v>
      </c>
      <c r="H119" s="18" t="s">
        <v>98</v>
      </c>
      <c r="I119" s="17" t="s">
        <v>25708</v>
      </c>
      <c r="J119" s="17">
        <v>1</v>
      </c>
      <c r="K119" s="17">
        <v>0</v>
      </c>
      <c r="L119" s="17" t="s">
        <v>25709</v>
      </c>
      <c r="M119" s="19" t="s">
        <v>101</v>
      </c>
      <c r="N119" s="17" t="s">
        <v>25710</v>
      </c>
      <c r="O119" s="17" t="s">
        <v>25711</v>
      </c>
      <c r="P119" s="17" t="str">
        <f>HYPERLINK("https://dexscreener.com/solana/J9RY5NrR3i6jxJctdy955Dc4tjCF5PHyh7BQZb6Cpump", "View")</f>
        <v>View</v>
      </c>
    </row>
    <row r="120" spans="1:16" x14ac:dyDescent="0.25">
      <c r="A120" s="13" t="s">
        <v>25712</v>
      </c>
      <c r="B120" s="14">
        <v>2513</v>
      </c>
      <c r="C120" s="14">
        <v>0</v>
      </c>
      <c r="D120" s="14" t="s">
        <v>10098</v>
      </c>
      <c r="E120" s="14" t="s">
        <v>5346</v>
      </c>
      <c r="F120" s="14" t="s">
        <v>96</v>
      </c>
      <c r="G120" s="18" t="s">
        <v>5854</v>
      </c>
      <c r="H120" s="18" t="s">
        <v>98</v>
      </c>
      <c r="I120" s="14" t="s">
        <v>25713</v>
      </c>
      <c r="J120" s="14">
        <v>1</v>
      </c>
      <c r="K120" s="14">
        <v>0</v>
      </c>
      <c r="L120" s="14" t="s">
        <v>25714</v>
      </c>
      <c r="M120" s="19" t="s">
        <v>101</v>
      </c>
      <c r="N120" s="14" t="s">
        <v>25715</v>
      </c>
      <c r="O120" s="14" t="s">
        <v>25716</v>
      </c>
      <c r="P120" s="14" t="str">
        <f>HYPERLINK("https://dexscreener.com/solana/41revsxLUZnoiUQoMT9eBVCzi4cs8Xbs48rp53gcpump", "View")</f>
        <v>View</v>
      </c>
    </row>
    <row r="121" spans="1:16" x14ac:dyDescent="0.25">
      <c r="A121" s="16" t="s">
        <v>7328</v>
      </c>
      <c r="B121" s="17">
        <v>5670</v>
      </c>
      <c r="C121" s="17">
        <v>0</v>
      </c>
      <c r="D121" s="17" t="s">
        <v>864</v>
      </c>
      <c r="E121" s="17" t="s">
        <v>5346</v>
      </c>
      <c r="F121" s="17" t="s">
        <v>96</v>
      </c>
      <c r="G121" s="18" t="s">
        <v>3800</v>
      </c>
      <c r="H121" s="18" t="s">
        <v>98</v>
      </c>
      <c r="I121" s="17" t="s">
        <v>25717</v>
      </c>
      <c r="J121" s="17">
        <v>1</v>
      </c>
      <c r="K121" s="17">
        <v>0</v>
      </c>
      <c r="L121" s="17" t="s">
        <v>25718</v>
      </c>
      <c r="M121" s="19" t="s">
        <v>101</v>
      </c>
      <c r="N121" s="17" t="s">
        <v>22657</v>
      </c>
      <c r="O121" s="17" t="s">
        <v>7335</v>
      </c>
      <c r="P121" s="17" t="str">
        <f>HYPERLINK("https://dexscreener.com/solana/2ymAjUoJdiNZgKy6vKfJ2WQ6AExck3cZbAX26g6Qpump", "View")</f>
        <v>View</v>
      </c>
    </row>
    <row r="122" spans="1:16" x14ac:dyDescent="0.25">
      <c r="A122" s="13" t="s">
        <v>16919</v>
      </c>
      <c r="B122" s="14">
        <v>5368</v>
      </c>
      <c r="C122" s="14">
        <v>0</v>
      </c>
      <c r="D122" s="14" t="s">
        <v>10098</v>
      </c>
      <c r="E122" s="14" t="s">
        <v>5346</v>
      </c>
      <c r="F122" s="14" t="s">
        <v>96</v>
      </c>
      <c r="G122" s="18" t="s">
        <v>5854</v>
      </c>
      <c r="H122" s="18" t="s">
        <v>98</v>
      </c>
      <c r="I122" s="14" t="s">
        <v>25719</v>
      </c>
      <c r="J122" s="14">
        <v>1</v>
      </c>
      <c r="K122" s="14">
        <v>0</v>
      </c>
      <c r="L122" s="14" t="s">
        <v>25720</v>
      </c>
      <c r="M122" s="19" t="s">
        <v>101</v>
      </c>
      <c r="N122" s="14" t="s">
        <v>25721</v>
      </c>
      <c r="O122" s="14" t="s">
        <v>16924</v>
      </c>
      <c r="P122" s="14" t="str">
        <f>HYPERLINK("https://dexscreener.com/solana/F2xBLb6jj39LJ5rg6wh8VaTq9CLEvDqLFL9gxmEapump", "View")</f>
        <v>View</v>
      </c>
    </row>
    <row r="123" spans="1:16" x14ac:dyDescent="0.25">
      <c r="A123" s="16" t="s">
        <v>10703</v>
      </c>
      <c r="B123" s="17">
        <v>1806</v>
      </c>
      <c r="C123" s="17">
        <v>0</v>
      </c>
      <c r="D123" s="17" t="s">
        <v>864</v>
      </c>
      <c r="E123" s="17" t="s">
        <v>5346</v>
      </c>
      <c r="F123" s="17" t="s">
        <v>96</v>
      </c>
      <c r="G123" s="18" t="s">
        <v>3800</v>
      </c>
      <c r="H123" s="18" t="s">
        <v>98</v>
      </c>
      <c r="I123" s="17" t="s">
        <v>25722</v>
      </c>
      <c r="J123" s="17">
        <v>1</v>
      </c>
      <c r="K123" s="17">
        <v>0</v>
      </c>
      <c r="L123" s="17" t="s">
        <v>25723</v>
      </c>
      <c r="M123" s="19" t="s">
        <v>101</v>
      </c>
      <c r="N123" s="17" t="s">
        <v>25724</v>
      </c>
      <c r="O123" s="17" t="s">
        <v>10709</v>
      </c>
      <c r="P123" s="17" t="str">
        <f>HYPERLINK("https://dexscreener.com/solana/CUzSRjBvqFFq45mg6j9oyQrDxyUTHEKM2xqKzDkZpump", "View")</f>
        <v>View</v>
      </c>
    </row>
    <row r="124" spans="1:16" x14ac:dyDescent="0.25">
      <c r="A124" s="13" t="s">
        <v>25725</v>
      </c>
      <c r="B124" s="14">
        <v>11842</v>
      </c>
      <c r="C124" s="14">
        <v>0</v>
      </c>
      <c r="D124" s="14" t="s">
        <v>864</v>
      </c>
      <c r="E124" s="14" t="s">
        <v>5346</v>
      </c>
      <c r="F124" s="14" t="s">
        <v>96</v>
      </c>
      <c r="G124" s="18" t="s">
        <v>3800</v>
      </c>
      <c r="H124" s="18" t="s">
        <v>98</v>
      </c>
      <c r="I124" s="14" t="s">
        <v>25726</v>
      </c>
      <c r="J124" s="14">
        <v>1</v>
      </c>
      <c r="K124" s="14">
        <v>0</v>
      </c>
      <c r="L124" s="14" t="s">
        <v>25727</v>
      </c>
      <c r="M124" s="19" t="s">
        <v>101</v>
      </c>
      <c r="N124" s="14" t="s">
        <v>25728</v>
      </c>
      <c r="O124" s="14" t="s">
        <v>25729</v>
      </c>
      <c r="P124" s="14" t="str">
        <f>HYPERLINK("https://dexscreener.com/solana/zGh48JtNHVBb5evgoZLXwgPD2Qu4MhkWdJLGDAupump", "View")</f>
        <v>View</v>
      </c>
    </row>
    <row r="125" spans="1:16" x14ac:dyDescent="0.25">
      <c r="A125" s="16" t="s">
        <v>25730</v>
      </c>
      <c r="B125" s="17">
        <v>8140</v>
      </c>
      <c r="C125" s="17">
        <v>0</v>
      </c>
      <c r="D125" s="17" t="s">
        <v>10098</v>
      </c>
      <c r="E125" s="17" t="s">
        <v>5346</v>
      </c>
      <c r="F125" s="17" t="s">
        <v>96</v>
      </c>
      <c r="G125" s="18" t="s">
        <v>5854</v>
      </c>
      <c r="H125" s="18" t="s">
        <v>98</v>
      </c>
      <c r="I125" s="17" t="s">
        <v>25731</v>
      </c>
      <c r="J125" s="17">
        <v>1</v>
      </c>
      <c r="K125" s="17">
        <v>0</v>
      </c>
      <c r="L125" s="17" t="s">
        <v>25732</v>
      </c>
      <c r="M125" s="19" t="s">
        <v>101</v>
      </c>
      <c r="N125" s="17" t="s">
        <v>25733</v>
      </c>
      <c r="O125" s="17" t="s">
        <v>25734</v>
      </c>
      <c r="P125" s="17" t="str">
        <f>HYPERLINK("https://dexscreener.com/solana/C2Tfxi3qhAHKjUHWG5TJCkavZ3DwzX3RNbPja4RNpump", "View")</f>
        <v>View</v>
      </c>
    </row>
    <row r="126" spans="1:16" x14ac:dyDescent="0.25">
      <c r="A126" s="13" t="s">
        <v>25735</v>
      </c>
      <c r="B126" s="14">
        <v>95656</v>
      </c>
      <c r="C126" s="14">
        <v>0</v>
      </c>
      <c r="D126" s="14" t="s">
        <v>864</v>
      </c>
      <c r="E126" s="14" t="s">
        <v>5346</v>
      </c>
      <c r="F126" s="14" t="s">
        <v>96</v>
      </c>
      <c r="G126" s="18" t="s">
        <v>3800</v>
      </c>
      <c r="H126" s="18" t="s">
        <v>98</v>
      </c>
      <c r="I126" s="14" t="s">
        <v>25736</v>
      </c>
      <c r="J126" s="14">
        <v>1</v>
      </c>
      <c r="K126" s="14">
        <v>0</v>
      </c>
      <c r="L126" s="14" t="s">
        <v>25737</v>
      </c>
      <c r="M126" s="19" t="s">
        <v>101</v>
      </c>
      <c r="N126" s="14" t="s">
        <v>25738</v>
      </c>
      <c r="O126" s="14" t="s">
        <v>25739</v>
      </c>
      <c r="P126" s="14" t="str">
        <f>HYPERLINK("https://dexscreener.com/solana/13FQzLX3jKmZUSP6sScHWCA26cXwYyfx2VAESw1ypump", "View")</f>
        <v>View</v>
      </c>
    </row>
    <row r="127" spans="1:16" x14ac:dyDescent="0.25">
      <c r="A127" s="16" t="s">
        <v>17042</v>
      </c>
      <c r="B127" s="17">
        <v>4821</v>
      </c>
      <c r="C127" s="17">
        <v>0</v>
      </c>
      <c r="D127" s="17" t="s">
        <v>1289</v>
      </c>
      <c r="E127" s="17" t="s">
        <v>3563</v>
      </c>
      <c r="F127" s="17" t="s">
        <v>96</v>
      </c>
      <c r="G127" s="18" t="s">
        <v>19405</v>
      </c>
      <c r="H127" s="18" t="s">
        <v>98</v>
      </c>
      <c r="I127" s="17" t="s">
        <v>25740</v>
      </c>
      <c r="J127" s="17">
        <v>2</v>
      </c>
      <c r="K127" s="17">
        <v>0</v>
      </c>
      <c r="L127" s="17" t="s">
        <v>25741</v>
      </c>
      <c r="M127" s="17" t="s">
        <v>414</v>
      </c>
      <c r="N127" s="17" t="s">
        <v>22398</v>
      </c>
      <c r="O127" s="17" t="s">
        <v>17049</v>
      </c>
      <c r="P127" s="17" t="str">
        <f>HYPERLINK("https://dexscreener.com/solana/3eMtc3qcr7BEjyzdvY5sGNaibXKanZpm24EowXcex1yp", "View")</f>
        <v>View</v>
      </c>
    </row>
    <row r="128" spans="1:16" x14ac:dyDescent="0.25">
      <c r="A128" s="13" t="s">
        <v>25742</v>
      </c>
      <c r="B128" s="14">
        <v>90845</v>
      </c>
      <c r="C128" s="14">
        <v>0</v>
      </c>
      <c r="D128" s="14" t="s">
        <v>25743</v>
      </c>
      <c r="E128" s="14" t="s">
        <v>3700</v>
      </c>
      <c r="F128" s="14" t="s">
        <v>96</v>
      </c>
      <c r="G128" s="18" t="s">
        <v>25744</v>
      </c>
      <c r="H128" s="18" t="s">
        <v>98</v>
      </c>
      <c r="I128" s="14" t="s">
        <v>25745</v>
      </c>
      <c r="J128" s="14">
        <v>7</v>
      </c>
      <c r="K128" s="14">
        <v>0</v>
      </c>
      <c r="L128" s="14" t="s">
        <v>25746</v>
      </c>
      <c r="M128" s="14" t="s">
        <v>4297</v>
      </c>
      <c r="N128" s="14" t="s">
        <v>25747</v>
      </c>
      <c r="O128" s="14" t="s">
        <v>25748</v>
      </c>
      <c r="P128" s="14" t="str">
        <f>HYPERLINK("https://dexscreener.com/solana/4zrWJVoPFfVrSs6Bt7YDm5Lbwt86FeHZUJJ8p9GXpump", "View")</f>
        <v>View</v>
      </c>
    </row>
    <row r="129" spans="1:16" x14ac:dyDescent="0.25">
      <c r="A129" s="16" t="s">
        <v>25749</v>
      </c>
      <c r="B129" s="17">
        <v>1488</v>
      </c>
      <c r="C129" s="17">
        <v>0</v>
      </c>
      <c r="D129" s="17" t="s">
        <v>864</v>
      </c>
      <c r="E129" s="17" t="s">
        <v>5346</v>
      </c>
      <c r="F129" s="17" t="s">
        <v>96</v>
      </c>
      <c r="G129" s="18" t="s">
        <v>3800</v>
      </c>
      <c r="H129" s="18" t="s">
        <v>98</v>
      </c>
      <c r="I129" s="17" t="s">
        <v>25750</v>
      </c>
      <c r="J129" s="17">
        <v>1</v>
      </c>
      <c r="K129" s="17">
        <v>0</v>
      </c>
      <c r="L129" s="17" t="s">
        <v>25751</v>
      </c>
      <c r="M129" s="19" t="s">
        <v>101</v>
      </c>
      <c r="N129" s="17" t="s">
        <v>22398</v>
      </c>
      <c r="O129" s="17" t="s">
        <v>25752</v>
      </c>
      <c r="P129" s="17" t="str">
        <f>HYPERLINK("https://dexscreener.com/solana/CFyaDC9yjmE71wYw633HavRN3VQ3aq37sYujARR1pump", "View")</f>
        <v>View</v>
      </c>
    </row>
    <row r="130" spans="1:16" x14ac:dyDescent="0.25">
      <c r="A130" s="13" t="s">
        <v>18802</v>
      </c>
      <c r="B130" s="14">
        <v>26685</v>
      </c>
      <c r="C130" s="14">
        <v>13342</v>
      </c>
      <c r="D130" s="14" t="s">
        <v>1289</v>
      </c>
      <c r="E130" s="14" t="s">
        <v>5345</v>
      </c>
      <c r="F130" s="14" t="s">
        <v>4224</v>
      </c>
      <c r="G130" s="22" t="s">
        <v>5715</v>
      </c>
      <c r="H130" s="22" t="s">
        <v>25753</v>
      </c>
      <c r="I130" s="14" t="s">
        <v>88</v>
      </c>
      <c r="J130" s="14">
        <v>1</v>
      </c>
      <c r="K130" s="14">
        <v>1</v>
      </c>
      <c r="L130" s="14" t="s">
        <v>25754</v>
      </c>
      <c r="M130" s="14" t="s">
        <v>414</v>
      </c>
      <c r="N130" s="14" t="s">
        <v>25755</v>
      </c>
      <c r="O130" s="14" t="s">
        <v>18807</v>
      </c>
      <c r="P130" s="14" t="str">
        <f>HYPERLINK("https://dexscreener.com/solana/6iezmEdeiUCzGGq4kjgyWvFDuajTPNWZqjzV3G2Qpump", "View")</f>
        <v>View</v>
      </c>
    </row>
    <row r="131" spans="1:16" x14ac:dyDescent="0.25">
      <c r="A131" s="16" t="s">
        <v>12775</v>
      </c>
      <c r="B131" s="17">
        <v>100135</v>
      </c>
      <c r="C131" s="17">
        <v>90122</v>
      </c>
      <c r="D131" s="17" t="s">
        <v>1347</v>
      </c>
      <c r="E131" s="17" t="s">
        <v>5346</v>
      </c>
      <c r="F131" s="17" t="s">
        <v>6107</v>
      </c>
      <c r="G131" s="21" t="s">
        <v>3563</v>
      </c>
      <c r="H131" s="21" t="s">
        <v>25756</v>
      </c>
      <c r="I131" s="17" t="s">
        <v>88</v>
      </c>
      <c r="J131" s="17">
        <v>1</v>
      </c>
      <c r="K131" s="17">
        <v>3</v>
      </c>
      <c r="L131" s="17" t="s">
        <v>25757</v>
      </c>
      <c r="M131" s="17" t="s">
        <v>1714</v>
      </c>
      <c r="N131" s="17" t="s">
        <v>25758</v>
      </c>
      <c r="O131" s="17" t="s">
        <v>12780</v>
      </c>
      <c r="P131" s="17" t="str">
        <f>HYPERLINK("https://dexscreener.com/solana/6jLRzB2RFKtyTK9YDxpY7KXkm284e4Eqwce4fqPapump", "View")</f>
        <v>View</v>
      </c>
    </row>
    <row r="132" spans="1:16" x14ac:dyDescent="0.25">
      <c r="A132" s="13" t="s">
        <v>25759</v>
      </c>
      <c r="B132" s="14">
        <v>6265</v>
      </c>
      <c r="C132" s="14">
        <v>0</v>
      </c>
      <c r="D132" s="14" t="s">
        <v>864</v>
      </c>
      <c r="E132" s="14" t="s">
        <v>5346</v>
      </c>
      <c r="F132" s="14" t="s">
        <v>96</v>
      </c>
      <c r="G132" s="18" t="s">
        <v>3800</v>
      </c>
      <c r="H132" s="18" t="s">
        <v>98</v>
      </c>
      <c r="I132" s="14" t="s">
        <v>25760</v>
      </c>
      <c r="J132" s="14">
        <v>1</v>
      </c>
      <c r="K132" s="14">
        <v>0</v>
      </c>
      <c r="L132" s="14" t="s">
        <v>25761</v>
      </c>
      <c r="M132" s="19" t="s">
        <v>101</v>
      </c>
      <c r="N132" s="14" t="s">
        <v>25762</v>
      </c>
      <c r="O132" s="14" t="s">
        <v>25763</v>
      </c>
      <c r="P132" s="14" t="str">
        <f>HYPERLINK("https://dexscreener.com/solana/GjjDzSuRzbzf8bQbcZR1RgEpPmmHKyTMqksQJhx5pump", "View")</f>
        <v>View</v>
      </c>
    </row>
    <row r="133" spans="1:16" x14ac:dyDescent="0.25">
      <c r="A133" s="16" t="s">
        <v>25764</v>
      </c>
      <c r="B133" s="17">
        <v>5384</v>
      </c>
      <c r="C133" s="17">
        <v>0</v>
      </c>
      <c r="D133" s="17" t="s">
        <v>864</v>
      </c>
      <c r="E133" s="17" t="s">
        <v>5346</v>
      </c>
      <c r="F133" s="17" t="s">
        <v>96</v>
      </c>
      <c r="G133" s="18" t="s">
        <v>3800</v>
      </c>
      <c r="H133" s="18" t="s">
        <v>98</v>
      </c>
      <c r="I133" s="17" t="s">
        <v>25765</v>
      </c>
      <c r="J133" s="17">
        <v>1</v>
      </c>
      <c r="K133" s="17">
        <v>0</v>
      </c>
      <c r="L133" s="17" t="s">
        <v>25766</v>
      </c>
      <c r="M133" s="19" t="s">
        <v>101</v>
      </c>
      <c r="N133" s="17" t="s">
        <v>25767</v>
      </c>
      <c r="O133" s="17" t="s">
        <v>25768</v>
      </c>
      <c r="P133" s="17" t="str">
        <f>HYPERLINK("https://dexscreener.com/solana/4DEFCb5t4Ww2YScco6mUhQNCpkB76ps1ev8nbNfvpump", "View")</f>
        <v>View</v>
      </c>
    </row>
    <row r="134" spans="1:16" x14ac:dyDescent="0.25">
      <c r="A134" s="13" t="s">
        <v>25769</v>
      </c>
      <c r="B134" s="14">
        <v>5879</v>
      </c>
      <c r="C134" s="14">
        <v>0</v>
      </c>
      <c r="D134" s="14" t="s">
        <v>864</v>
      </c>
      <c r="E134" s="14" t="s">
        <v>5346</v>
      </c>
      <c r="F134" s="14" t="s">
        <v>96</v>
      </c>
      <c r="G134" s="18" t="s">
        <v>3800</v>
      </c>
      <c r="H134" s="18" t="s">
        <v>98</v>
      </c>
      <c r="I134" s="14" t="s">
        <v>10815</v>
      </c>
      <c r="J134" s="14">
        <v>1</v>
      </c>
      <c r="K134" s="14">
        <v>0</v>
      </c>
      <c r="L134" s="14" t="s">
        <v>25770</v>
      </c>
      <c r="M134" s="19" t="s">
        <v>101</v>
      </c>
      <c r="N134" s="14" t="s">
        <v>25771</v>
      </c>
      <c r="O134" s="14" t="s">
        <v>25772</v>
      </c>
      <c r="P134" s="14" t="str">
        <f>HYPERLINK("https://dexscreener.com/solana/8sWKTMrh9bWUrvykK4H3jzEzGbEqvJNpS2f7joYKpump", "View")</f>
        <v>View</v>
      </c>
    </row>
    <row r="135" spans="1:16" x14ac:dyDescent="0.25">
      <c r="A135" s="16" t="s">
        <v>11766</v>
      </c>
      <c r="B135" s="17">
        <v>26087</v>
      </c>
      <c r="C135" s="17">
        <v>0</v>
      </c>
      <c r="D135" s="17" t="s">
        <v>864</v>
      </c>
      <c r="E135" s="17" t="s">
        <v>5346</v>
      </c>
      <c r="F135" s="17" t="s">
        <v>96</v>
      </c>
      <c r="G135" s="18" t="s">
        <v>3800</v>
      </c>
      <c r="H135" s="18" t="s">
        <v>98</v>
      </c>
      <c r="I135" s="17" t="s">
        <v>25773</v>
      </c>
      <c r="J135" s="17">
        <v>1</v>
      </c>
      <c r="K135" s="17">
        <v>0</v>
      </c>
      <c r="L135" s="17" t="s">
        <v>25774</v>
      </c>
      <c r="M135" s="19" t="s">
        <v>101</v>
      </c>
      <c r="N135" s="17" t="s">
        <v>507</v>
      </c>
      <c r="O135" s="17" t="s">
        <v>25775</v>
      </c>
      <c r="P135" s="17" t="str">
        <f>HYPERLINK("https://dexscreener.com/solana/D3sjstAjtDTWwovWnUXZvcjs5iuhQVDRE1vvsZLfpump", "View")</f>
        <v>View</v>
      </c>
    </row>
    <row r="136" spans="1:16" x14ac:dyDescent="0.25">
      <c r="A136" s="13" t="s">
        <v>10736</v>
      </c>
      <c r="B136" s="14">
        <v>13215</v>
      </c>
      <c r="C136" s="14">
        <v>8322</v>
      </c>
      <c r="D136" s="14" t="s">
        <v>19348</v>
      </c>
      <c r="E136" s="14" t="s">
        <v>15950</v>
      </c>
      <c r="F136" s="14" t="s">
        <v>4679</v>
      </c>
      <c r="G136" s="21" t="s">
        <v>14402</v>
      </c>
      <c r="H136" s="21" t="s">
        <v>25776</v>
      </c>
      <c r="I136" s="14" t="s">
        <v>88</v>
      </c>
      <c r="J136" s="14">
        <v>2</v>
      </c>
      <c r="K136" s="14">
        <v>3</v>
      </c>
      <c r="L136" s="14" t="s">
        <v>25777</v>
      </c>
      <c r="M136" s="14" t="s">
        <v>5027</v>
      </c>
      <c r="N136" s="14" t="s">
        <v>25778</v>
      </c>
      <c r="O136" s="14" t="s">
        <v>10743</v>
      </c>
      <c r="P136" s="14" t="str">
        <f>HYPERLINK("https://dexscreener.com/solana/HuiVprCHCucHUb5bX6EXFJd7wuwvdASFzzge4ahXpump", "View")</f>
        <v>View</v>
      </c>
    </row>
    <row r="137" spans="1:16" x14ac:dyDescent="0.25">
      <c r="A137" s="16" t="s">
        <v>25779</v>
      </c>
      <c r="B137" s="17">
        <v>3178</v>
      </c>
      <c r="C137" s="17">
        <v>0</v>
      </c>
      <c r="D137" s="17" t="s">
        <v>10098</v>
      </c>
      <c r="E137" s="17" t="s">
        <v>5346</v>
      </c>
      <c r="F137" s="17" t="s">
        <v>96</v>
      </c>
      <c r="G137" s="18" t="s">
        <v>5854</v>
      </c>
      <c r="H137" s="18" t="s">
        <v>98</v>
      </c>
      <c r="I137" s="17" t="s">
        <v>25780</v>
      </c>
      <c r="J137" s="17">
        <v>1</v>
      </c>
      <c r="K137" s="17">
        <v>0</v>
      </c>
      <c r="L137" s="17" t="s">
        <v>25781</v>
      </c>
      <c r="M137" s="19" t="s">
        <v>101</v>
      </c>
      <c r="N137" s="17" t="s">
        <v>25782</v>
      </c>
      <c r="O137" s="17" t="s">
        <v>25783</v>
      </c>
      <c r="P137" s="17" t="str">
        <f>HYPERLINK("https://dexscreener.com/solana/FqnqT1GKi8S4Gyk5wnSKvJjXW48HqGtKJt9WS4o2pump", "View")</f>
        <v>View</v>
      </c>
    </row>
    <row r="138" spans="1:16" x14ac:dyDescent="0.25">
      <c r="A138" s="13" t="s">
        <v>1975</v>
      </c>
      <c r="B138" s="14">
        <v>46211</v>
      </c>
      <c r="C138" s="14">
        <v>0</v>
      </c>
      <c r="D138" s="14" t="s">
        <v>10098</v>
      </c>
      <c r="E138" s="14" t="s">
        <v>5346</v>
      </c>
      <c r="F138" s="14" t="s">
        <v>96</v>
      </c>
      <c r="G138" s="18" t="s">
        <v>5854</v>
      </c>
      <c r="H138" s="18" t="s">
        <v>98</v>
      </c>
      <c r="I138" s="14" t="s">
        <v>25784</v>
      </c>
      <c r="J138" s="14">
        <v>1</v>
      </c>
      <c r="K138" s="14">
        <v>0</v>
      </c>
      <c r="L138" s="14" t="s">
        <v>25785</v>
      </c>
      <c r="M138" s="19" t="s">
        <v>101</v>
      </c>
      <c r="N138" s="14" t="s">
        <v>25786</v>
      </c>
      <c r="O138" s="14" t="s">
        <v>19616</v>
      </c>
      <c r="P138" s="14" t="str">
        <f>HYPERLINK("https://dexscreener.com/solana/GYeGsWZ2q7T4YWrRYVYCV1xvg6n9d1AAoMoPwqppump", "View")</f>
        <v>View</v>
      </c>
    </row>
    <row r="139" spans="1:16" x14ac:dyDescent="0.25">
      <c r="A139" s="16" t="s">
        <v>5913</v>
      </c>
      <c r="B139" s="17">
        <v>4078</v>
      </c>
      <c r="C139" s="17">
        <v>0</v>
      </c>
      <c r="D139" s="17" t="s">
        <v>10098</v>
      </c>
      <c r="E139" s="17" t="s">
        <v>5346</v>
      </c>
      <c r="F139" s="17" t="s">
        <v>96</v>
      </c>
      <c r="G139" s="18" t="s">
        <v>5854</v>
      </c>
      <c r="H139" s="18" t="s">
        <v>98</v>
      </c>
      <c r="I139" s="17" t="s">
        <v>25787</v>
      </c>
      <c r="J139" s="17">
        <v>1</v>
      </c>
      <c r="K139" s="17">
        <v>0</v>
      </c>
      <c r="L139" s="17" t="s">
        <v>25788</v>
      </c>
      <c r="M139" s="19" t="s">
        <v>101</v>
      </c>
      <c r="N139" s="17" t="s">
        <v>15807</v>
      </c>
      <c r="O139" s="17" t="s">
        <v>5918</v>
      </c>
      <c r="P139" s="17" t="str">
        <f>HYPERLINK("https://dexscreener.com/solana/fDJVuPCzsi4pfc5wBEan5PEUDPvtvcTWm5gjLAtpump", "View")</f>
        <v>View</v>
      </c>
    </row>
    <row r="140" spans="1:16" x14ac:dyDescent="0.25">
      <c r="A140" s="13" t="s">
        <v>25789</v>
      </c>
      <c r="B140" s="14">
        <v>60848</v>
      </c>
      <c r="C140" s="14">
        <v>0</v>
      </c>
      <c r="D140" s="14" t="s">
        <v>883</v>
      </c>
      <c r="E140" s="14" t="s">
        <v>11780</v>
      </c>
      <c r="F140" s="14" t="s">
        <v>96</v>
      </c>
      <c r="G140" s="18" t="s">
        <v>4007</v>
      </c>
      <c r="H140" s="18" t="s">
        <v>98</v>
      </c>
      <c r="I140" s="14" t="s">
        <v>25790</v>
      </c>
      <c r="J140" s="14">
        <v>2</v>
      </c>
      <c r="K140" s="14">
        <v>0</v>
      </c>
      <c r="L140" s="14" t="s">
        <v>25791</v>
      </c>
      <c r="M140" s="14" t="s">
        <v>1714</v>
      </c>
      <c r="N140" s="14" t="s">
        <v>25792</v>
      </c>
      <c r="O140" s="14" t="s">
        <v>25793</v>
      </c>
      <c r="P140" s="14" t="str">
        <f>HYPERLINK("https://dexscreener.com/solana/8M7i3nDc9JpqBzCgGaz76cqBBtNBqGx8yBNyUbkpump", "View")</f>
        <v>View</v>
      </c>
    </row>
    <row r="141" spans="1:16" x14ac:dyDescent="0.25">
      <c r="A141" s="16" t="s">
        <v>25123</v>
      </c>
      <c r="B141" s="17">
        <v>11401</v>
      </c>
      <c r="C141" s="17">
        <v>0</v>
      </c>
      <c r="D141" s="17" t="s">
        <v>864</v>
      </c>
      <c r="E141" s="17" t="s">
        <v>5346</v>
      </c>
      <c r="F141" s="17" t="s">
        <v>96</v>
      </c>
      <c r="G141" s="18" t="s">
        <v>3800</v>
      </c>
      <c r="H141" s="18" t="s">
        <v>98</v>
      </c>
      <c r="I141" s="17" t="s">
        <v>25794</v>
      </c>
      <c r="J141" s="17">
        <v>1</v>
      </c>
      <c r="K141" s="17">
        <v>0</v>
      </c>
      <c r="L141" s="17" t="s">
        <v>25795</v>
      </c>
      <c r="M141" s="19" t="s">
        <v>101</v>
      </c>
      <c r="N141" s="17" t="s">
        <v>25796</v>
      </c>
      <c r="O141" s="17" t="s">
        <v>25797</v>
      </c>
      <c r="P141" s="17" t="str">
        <f>HYPERLINK("https://dexscreener.com/solana/8DJFdAgWWVgTs3vurYyjVhCPZ6TEeiR3KjC18DaSpump", "View")</f>
        <v>View</v>
      </c>
    </row>
    <row r="142" spans="1:16" x14ac:dyDescent="0.25">
      <c r="A142" s="13" t="s">
        <v>25798</v>
      </c>
      <c r="B142" s="14">
        <v>24</v>
      </c>
      <c r="C142" s="14">
        <v>0</v>
      </c>
      <c r="D142" s="14" t="s">
        <v>864</v>
      </c>
      <c r="E142" s="14" t="s">
        <v>5346</v>
      </c>
      <c r="F142" s="14" t="s">
        <v>96</v>
      </c>
      <c r="G142" s="18" t="s">
        <v>3800</v>
      </c>
      <c r="H142" s="18" t="s">
        <v>98</v>
      </c>
      <c r="I142" s="14" t="s">
        <v>14174</v>
      </c>
      <c r="J142" s="14">
        <v>1</v>
      </c>
      <c r="K142" s="14">
        <v>0</v>
      </c>
      <c r="L142" s="14" t="s">
        <v>25799</v>
      </c>
      <c r="M142" s="19" t="s">
        <v>101</v>
      </c>
      <c r="N142" s="14" t="s">
        <v>25800</v>
      </c>
      <c r="O142" s="14" t="s">
        <v>25801</v>
      </c>
      <c r="P142" s="14" t="str">
        <f>HYPERLINK("https://dexscreener.com/solana/3TWgDvYBL2YPET2LxnWAwsMeoA8aL4DutNuwat2pKCjC", "View")</f>
        <v>View</v>
      </c>
    </row>
    <row r="143" spans="1:16" x14ac:dyDescent="0.25">
      <c r="A143" s="16" t="s">
        <v>17293</v>
      </c>
      <c r="B143" s="17">
        <v>40006</v>
      </c>
      <c r="C143" s="17">
        <v>0</v>
      </c>
      <c r="D143" s="17" t="s">
        <v>864</v>
      </c>
      <c r="E143" s="17" t="s">
        <v>5346</v>
      </c>
      <c r="F143" s="17" t="s">
        <v>96</v>
      </c>
      <c r="G143" s="18" t="s">
        <v>3800</v>
      </c>
      <c r="H143" s="18" t="s">
        <v>98</v>
      </c>
      <c r="I143" s="17" t="s">
        <v>25802</v>
      </c>
      <c r="J143" s="17">
        <v>1</v>
      </c>
      <c r="K143" s="17">
        <v>0</v>
      </c>
      <c r="L143" s="17" t="s">
        <v>25803</v>
      </c>
      <c r="M143" s="19" t="s">
        <v>101</v>
      </c>
      <c r="N143" s="17" t="s">
        <v>25804</v>
      </c>
      <c r="O143" s="17" t="s">
        <v>17297</v>
      </c>
      <c r="P143" s="17" t="str">
        <f>HYPERLINK("https://dexscreener.com/solana/655Jywgb8V2xCJeL7h73cs4eqCNQh8kMR2toUHmzpump", "View")</f>
        <v>View</v>
      </c>
    </row>
    <row r="144" spans="1:16" x14ac:dyDescent="0.25">
      <c r="A144" s="13" t="s">
        <v>25805</v>
      </c>
      <c r="B144" s="14">
        <v>64201</v>
      </c>
      <c r="C144" s="14">
        <v>0</v>
      </c>
      <c r="D144" s="14" t="s">
        <v>1289</v>
      </c>
      <c r="E144" s="14" t="s">
        <v>11780</v>
      </c>
      <c r="F144" s="14" t="s">
        <v>96</v>
      </c>
      <c r="G144" s="18" t="s">
        <v>3780</v>
      </c>
      <c r="H144" s="18" t="s">
        <v>98</v>
      </c>
      <c r="I144" s="14" t="s">
        <v>25806</v>
      </c>
      <c r="J144" s="14">
        <v>2</v>
      </c>
      <c r="K144" s="14">
        <v>0</v>
      </c>
      <c r="L144" s="14" t="s">
        <v>25807</v>
      </c>
      <c r="M144" s="14" t="s">
        <v>4385</v>
      </c>
      <c r="N144" s="14" t="s">
        <v>25808</v>
      </c>
      <c r="O144" s="14" t="s">
        <v>25809</v>
      </c>
      <c r="P144" s="14" t="str">
        <f>HYPERLINK("https://dexscreener.com/solana/5vHFaW2f16gkpxcfDp7J3a3cjtrdJH7ErJVShFXCpump", "View")</f>
        <v>View</v>
      </c>
    </row>
    <row r="145" spans="1:16" x14ac:dyDescent="0.25">
      <c r="A145" s="16" t="s">
        <v>25810</v>
      </c>
      <c r="B145" s="17">
        <v>19161</v>
      </c>
      <c r="C145" s="17">
        <v>0</v>
      </c>
      <c r="D145" s="17" t="s">
        <v>913</v>
      </c>
      <c r="E145" s="17" t="s">
        <v>9553</v>
      </c>
      <c r="F145" s="17" t="s">
        <v>96</v>
      </c>
      <c r="G145" s="18" t="s">
        <v>25811</v>
      </c>
      <c r="H145" s="18" t="s">
        <v>98</v>
      </c>
      <c r="I145" s="17" t="s">
        <v>25812</v>
      </c>
      <c r="J145" s="17">
        <v>3</v>
      </c>
      <c r="K145" s="17">
        <v>0</v>
      </c>
      <c r="L145" s="17" t="s">
        <v>25813</v>
      </c>
      <c r="M145" s="17" t="s">
        <v>745</v>
      </c>
      <c r="N145" s="17" t="s">
        <v>25814</v>
      </c>
      <c r="O145" s="17" t="s">
        <v>25815</v>
      </c>
      <c r="P145" s="17" t="str">
        <f>HYPERLINK("https://dexscreener.com/solana/34pMsy5UsAmjaXDk6WYEcxZJQYL5zwpt7rBG5VSYeJ76", "View")</f>
        <v>View</v>
      </c>
    </row>
    <row r="146" spans="1:16" x14ac:dyDescent="0.25">
      <c r="A146" s="13" t="s">
        <v>18829</v>
      </c>
      <c r="B146" s="14">
        <v>1002</v>
      </c>
      <c r="C146" s="14">
        <v>0</v>
      </c>
      <c r="D146" s="14" t="s">
        <v>10098</v>
      </c>
      <c r="E146" s="14" t="s">
        <v>5346</v>
      </c>
      <c r="F146" s="14" t="s">
        <v>96</v>
      </c>
      <c r="G146" s="18" t="s">
        <v>5854</v>
      </c>
      <c r="H146" s="18" t="s">
        <v>98</v>
      </c>
      <c r="I146" s="14" t="s">
        <v>25816</v>
      </c>
      <c r="J146" s="14">
        <v>1</v>
      </c>
      <c r="K146" s="14">
        <v>0</v>
      </c>
      <c r="L146" s="14" t="s">
        <v>25817</v>
      </c>
      <c r="M146" s="19" t="s">
        <v>101</v>
      </c>
      <c r="N146" s="14" t="s">
        <v>25818</v>
      </c>
      <c r="O146" s="14" t="s">
        <v>18834</v>
      </c>
      <c r="P146" s="14" t="str">
        <f>HYPERLINK("https://dexscreener.com/solana/HtCqD3o5aF1RXcyGi6AW11PoB3bZmFdA8kvVyhJrpump", "View")</f>
        <v>View</v>
      </c>
    </row>
    <row r="147" spans="1:16" x14ac:dyDescent="0.25">
      <c r="A147" s="16" t="s">
        <v>16271</v>
      </c>
      <c r="B147" s="17">
        <v>4125</v>
      </c>
      <c r="C147" s="17">
        <v>0</v>
      </c>
      <c r="D147" s="17" t="s">
        <v>864</v>
      </c>
      <c r="E147" s="17" t="s">
        <v>5346</v>
      </c>
      <c r="F147" s="17" t="s">
        <v>96</v>
      </c>
      <c r="G147" s="18" t="s">
        <v>3800</v>
      </c>
      <c r="H147" s="18" t="s">
        <v>98</v>
      </c>
      <c r="I147" s="17" t="s">
        <v>25819</v>
      </c>
      <c r="J147" s="17">
        <v>1</v>
      </c>
      <c r="K147" s="17">
        <v>0</v>
      </c>
      <c r="L147" s="17" t="s">
        <v>25820</v>
      </c>
      <c r="M147" s="19" t="s">
        <v>101</v>
      </c>
      <c r="N147" s="17" t="s">
        <v>25821</v>
      </c>
      <c r="O147" s="17" t="s">
        <v>16276</v>
      </c>
      <c r="P147" s="17" t="str">
        <f>HYPERLINK("https://dexscreener.com/solana/6JGSHS9GrE9uG8ix63w3DPMYHrgrJ6J4QyHbBhAepump", "View")</f>
        <v>View</v>
      </c>
    </row>
    <row r="148" spans="1:16" x14ac:dyDescent="0.25">
      <c r="A148" s="13" t="s">
        <v>25822</v>
      </c>
      <c r="B148" s="14">
        <v>2479</v>
      </c>
      <c r="C148" s="14">
        <v>0</v>
      </c>
      <c r="D148" s="14" t="s">
        <v>864</v>
      </c>
      <c r="E148" s="14" t="s">
        <v>5346</v>
      </c>
      <c r="F148" s="14" t="s">
        <v>96</v>
      </c>
      <c r="G148" s="18" t="s">
        <v>3800</v>
      </c>
      <c r="H148" s="18" t="s">
        <v>98</v>
      </c>
      <c r="I148" s="14" t="s">
        <v>25823</v>
      </c>
      <c r="J148" s="14">
        <v>1</v>
      </c>
      <c r="K148" s="14">
        <v>0</v>
      </c>
      <c r="L148" s="14" t="s">
        <v>25824</v>
      </c>
      <c r="M148" s="19" t="s">
        <v>101</v>
      </c>
      <c r="N148" s="14" t="s">
        <v>25825</v>
      </c>
      <c r="O148" s="14" t="s">
        <v>25826</v>
      </c>
      <c r="P148" s="14" t="str">
        <f>HYPERLINK("https://dexscreener.com/solana/GRFK7sv4KhkMzJ7BXDUBy4PLyZVBeXuW1FeaT6Mnpump", "View")</f>
        <v>View</v>
      </c>
    </row>
    <row r="149" spans="1:16" x14ac:dyDescent="0.25">
      <c r="A149" s="16" t="s">
        <v>25827</v>
      </c>
      <c r="B149" s="17">
        <v>1289</v>
      </c>
      <c r="C149" s="17">
        <v>0</v>
      </c>
      <c r="D149" s="17" t="s">
        <v>864</v>
      </c>
      <c r="E149" s="17" t="s">
        <v>5346</v>
      </c>
      <c r="F149" s="17" t="s">
        <v>96</v>
      </c>
      <c r="G149" s="18" t="s">
        <v>3800</v>
      </c>
      <c r="H149" s="18" t="s">
        <v>98</v>
      </c>
      <c r="I149" s="17" t="s">
        <v>25828</v>
      </c>
      <c r="J149" s="17">
        <v>1</v>
      </c>
      <c r="K149" s="17">
        <v>0</v>
      </c>
      <c r="L149" s="17" t="s">
        <v>25829</v>
      </c>
      <c r="M149" s="19" t="s">
        <v>101</v>
      </c>
      <c r="N149" s="17" t="s">
        <v>25696</v>
      </c>
      <c r="O149" s="17" t="s">
        <v>25830</v>
      </c>
      <c r="P149" s="17" t="str">
        <f>HYPERLINK("https://dexscreener.com/solana/DLScRnWofxiYGqnvZWGy9Gt98MPqKdznaK4TRukxpump", "View")</f>
        <v>View</v>
      </c>
    </row>
    <row r="150" spans="1:16" x14ac:dyDescent="0.25">
      <c r="A150" s="13" t="s">
        <v>25831</v>
      </c>
      <c r="B150" s="14">
        <v>9331</v>
      </c>
      <c r="C150" s="14">
        <v>0</v>
      </c>
      <c r="D150" s="14" t="s">
        <v>1289</v>
      </c>
      <c r="E150" s="14" t="s">
        <v>3563</v>
      </c>
      <c r="F150" s="14" t="s">
        <v>96</v>
      </c>
      <c r="G150" s="18" t="s">
        <v>4043</v>
      </c>
      <c r="H150" s="18" t="s">
        <v>98</v>
      </c>
      <c r="I150" s="14" t="s">
        <v>25832</v>
      </c>
      <c r="J150" s="14">
        <v>2</v>
      </c>
      <c r="K150" s="14">
        <v>0</v>
      </c>
      <c r="L150" s="14" t="s">
        <v>25833</v>
      </c>
      <c r="M150" s="14" t="s">
        <v>132</v>
      </c>
      <c r="N150" s="14" t="s">
        <v>25834</v>
      </c>
      <c r="O150" s="14" t="s">
        <v>25835</v>
      </c>
      <c r="P150" s="14" t="str">
        <f>HYPERLINK("https://dexscreener.com/solana/2eCVVZ4tomqn4eyuA9Gh5PSKrjNXGwgMhPALGtAkpump", "View")</f>
        <v>View</v>
      </c>
    </row>
    <row r="151" spans="1:16" x14ac:dyDescent="0.25">
      <c r="A151" s="16" t="s">
        <v>25836</v>
      </c>
      <c r="B151" s="17">
        <v>27135</v>
      </c>
      <c r="C151" s="17">
        <v>0</v>
      </c>
      <c r="D151" s="17" t="s">
        <v>864</v>
      </c>
      <c r="E151" s="17" t="s">
        <v>4396</v>
      </c>
      <c r="F151" s="17" t="s">
        <v>96</v>
      </c>
      <c r="G151" s="18" t="s">
        <v>4739</v>
      </c>
      <c r="H151" s="18" t="s">
        <v>98</v>
      </c>
      <c r="I151" s="17" t="s">
        <v>25837</v>
      </c>
      <c r="J151" s="17">
        <v>1</v>
      </c>
      <c r="K151" s="17">
        <v>0</v>
      </c>
      <c r="L151" s="17" t="s">
        <v>25838</v>
      </c>
      <c r="M151" s="19" t="s">
        <v>101</v>
      </c>
      <c r="N151" s="17" t="s">
        <v>25839</v>
      </c>
      <c r="O151" s="17" t="s">
        <v>25840</v>
      </c>
      <c r="P151" s="17" t="str">
        <f>HYPERLINK("https://dexscreener.com/solana/9R7kGuRaTvprGcZCZQg71XjqUPsKCeBLaut6c8Thpump", "View")</f>
        <v>View</v>
      </c>
    </row>
    <row r="152" spans="1:16" x14ac:dyDescent="0.25">
      <c r="A152" s="13" t="s">
        <v>25841</v>
      </c>
      <c r="B152" s="14">
        <v>89098</v>
      </c>
      <c r="C152" s="14">
        <v>0</v>
      </c>
      <c r="D152" s="14" t="s">
        <v>864</v>
      </c>
      <c r="E152" s="14" t="s">
        <v>4396</v>
      </c>
      <c r="F152" s="14" t="s">
        <v>96</v>
      </c>
      <c r="G152" s="18" t="s">
        <v>4739</v>
      </c>
      <c r="H152" s="18" t="s">
        <v>98</v>
      </c>
      <c r="I152" s="14" t="s">
        <v>25842</v>
      </c>
      <c r="J152" s="14">
        <v>1</v>
      </c>
      <c r="K152" s="14">
        <v>0</v>
      </c>
      <c r="L152" s="14" t="s">
        <v>25843</v>
      </c>
      <c r="M152" s="19" t="s">
        <v>101</v>
      </c>
      <c r="N152" s="14" t="s">
        <v>25844</v>
      </c>
      <c r="O152" s="14" t="s">
        <v>25845</v>
      </c>
      <c r="P152" s="14" t="str">
        <f>HYPERLINK("https://dexscreener.com/solana/D7L1XbVQqmnKFHhNABnNwGiqKxoDbpVw12V2bciKpump", "View")</f>
        <v>View</v>
      </c>
    </row>
    <row r="153" spans="1:16" x14ac:dyDescent="0.25">
      <c r="A153" s="16" t="s">
        <v>10597</v>
      </c>
      <c r="B153" s="17">
        <v>40208</v>
      </c>
      <c r="C153" s="17">
        <v>0</v>
      </c>
      <c r="D153" s="17" t="s">
        <v>10098</v>
      </c>
      <c r="E153" s="17" t="s">
        <v>4396</v>
      </c>
      <c r="F153" s="17" t="s">
        <v>96</v>
      </c>
      <c r="G153" s="18" t="s">
        <v>14118</v>
      </c>
      <c r="H153" s="18" t="s">
        <v>98</v>
      </c>
      <c r="I153" s="17" t="s">
        <v>25846</v>
      </c>
      <c r="J153" s="17">
        <v>1</v>
      </c>
      <c r="K153" s="17">
        <v>0</v>
      </c>
      <c r="L153" s="17" t="s">
        <v>25847</v>
      </c>
      <c r="M153" s="19" t="s">
        <v>101</v>
      </c>
      <c r="N153" s="17" t="s">
        <v>25848</v>
      </c>
      <c r="O153" s="17" t="s">
        <v>25849</v>
      </c>
      <c r="P153" s="17" t="str">
        <f>HYPERLINK("https://dexscreener.com/solana/9vke4XQg345j4TjuDVRciSyWPKvb95wPU2Sfy6NXpump", "View")</f>
        <v>View</v>
      </c>
    </row>
    <row r="154" spans="1:16" x14ac:dyDescent="0.25">
      <c r="A154" s="13" t="s">
        <v>16538</v>
      </c>
      <c r="B154" s="14">
        <v>1861</v>
      </c>
      <c r="C154" s="14">
        <v>0</v>
      </c>
      <c r="D154" s="14" t="s">
        <v>864</v>
      </c>
      <c r="E154" s="14" t="s">
        <v>4396</v>
      </c>
      <c r="F154" s="14" t="s">
        <v>96</v>
      </c>
      <c r="G154" s="18" t="s">
        <v>4739</v>
      </c>
      <c r="H154" s="18" t="s">
        <v>98</v>
      </c>
      <c r="I154" s="14" t="s">
        <v>25850</v>
      </c>
      <c r="J154" s="14">
        <v>1</v>
      </c>
      <c r="K154" s="14">
        <v>0</v>
      </c>
      <c r="L154" s="14" t="s">
        <v>25851</v>
      </c>
      <c r="M154" s="19" t="s">
        <v>101</v>
      </c>
      <c r="N154" s="14" t="s">
        <v>25852</v>
      </c>
      <c r="O154" s="14" t="s">
        <v>25853</v>
      </c>
      <c r="P154" s="14" t="str">
        <f>HYPERLINK("https://dexscreener.com/solana/HbfxH6RJZLsbdpfuy12AXKoWi1uLHrFLSx31ceqYpfTr", "View")</f>
        <v>View</v>
      </c>
    </row>
    <row r="155" spans="1:16" x14ac:dyDescent="0.25">
      <c r="A155" s="16" t="s">
        <v>25854</v>
      </c>
      <c r="B155" s="17">
        <v>9119</v>
      </c>
      <c r="C155" s="17">
        <v>4559</v>
      </c>
      <c r="D155" s="17" t="s">
        <v>1289</v>
      </c>
      <c r="E155" s="17" t="s">
        <v>5572</v>
      </c>
      <c r="F155" s="17" t="s">
        <v>2186</v>
      </c>
      <c r="G155" s="22" t="s">
        <v>6161</v>
      </c>
      <c r="H155" s="22" t="s">
        <v>2598</v>
      </c>
      <c r="I155" s="17" t="s">
        <v>88</v>
      </c>
      <c r="J155" s="17">
        <v>1</v>
      </c>
      <c r="K155" s="17">
        <v>1</v>
      </c>
      <c r="L155" s="17" t="s">
        <v>19609</v>
      </c>
      <c r="M155" s="17" t="s">
        <v>4454</v>
      </c>
      <c r="N155" s="17" t="s">
        <v>25855</v>
      </c>
      <c r="O155" s="17" t="s">
        <v>25856</v>
      </c>
      <c r="P155" s="17" t="str">
        <f>HYPERLINK("https://dexscreener.com/solana/BVG3BJH4ghUPJT9mCi7JbziNwx3dqRTzgo9x5poGpump", "View")</f>
        <v>View</v>
      </c>
    </row>
    <row r="156" spans="1:16" x14ac:dyDescent="0.25">
      <c r="A156" s="13" t="s">
        <v>25857</v>
      </c>
      <c r="B156" s="14">
        <v>20496</v>
      </c>
      <c r="C156" s="14">
        <v>0</v>
      </c>
      <c r="D156" s="14" t="s">
        <v>864</v>
      </c>
      <c r="E156" s="14" t="s">
        <v>4396</v>
      </c>
      <c r="F156" s="14" t="s">
        <v>96</v>
      </c>
      <c r="G156" s="18" t="s">
        <v>4739</v>
      </c>
      <c r="H156" s="18" t="s">
        <v>98</v>
      </c>
      <c r="I156" s="14" t="s">
        <v>25858</v>
      </c>
      <c r="J156" s="14">
        <v>1</v>
      </c>
      <c r="K156" s="14">
        <v>0</v>
      </c>
      <c r="L156" s="14" t="s">
        <v>25859</v>
      </c>
      <c r="M156" s="19" t="s">
        <v>101</v>
      </c>
      <c r="N156" s="14" t="s">
        <v>25860</v>
      </c>
      <c r="O156" s="14" t="s">
        <v>25861</v>
      </c>
      <c r="P156" s="14" t="str">
        <f>HYPERLINK("https://dexscreener.com/solana/5VvzXybL3Zdz8DaCi7QqbFh1hDP9g3gNiKoPoeqBpump", "View")</f>
        <v>View</v>
      </c>
    </row>
    <row r="157" spans="1:16" x14ac:dyDescent="0.25">
      <c r="A157" s="16" t="s">
        <v>23797</v>
      </c>
      <c r="B157" s="17">
        <v>44833</v>
      </c>
      <c r="C157" s="17">
        <v>22417</v>
      </c>
      <c r="D157" s="17" t="s">
        <v>1289</v>
      </c>
      <c r="E157" s="17" t="s">
        <v>4396</v>
      </c>
      <c r="F157" s="17" t="s">
        <v>8575</v>
      </c>
      <c r="G157" s="22" t="s">
        <v>4687</v>
      </c>
      <c r="H157" s="22" t="s">
        <v>25862</v>
      </c>
      <c r="I157" s="17" t="s">
        <v>88</v>
      </c>
      <c r="J157" s="17">
        <v>1</v>
      </c>
      <c r="K157" s="17">
        <v>1</v>
      </c>
      <c r="L157" s="17" t="s">
        <v>25863</v>
      </c>
      <c r="M157" s="17" t="s">
        <v>179</v>
      </c>
      <c r="N157" s="17" t="s">
        <v>25864</v>
      </c>
      <c r="O157" s="17" t="s">
        <v>23801</v>
      </c>
      <c r="P157" s="17" t="str">
        <f>HYPERLINK("https://dexscreener.com/solana/DuxiyDpEPM4y5cDxUiX81mST8W82XVS5i8N6AnsWYiUe", "View")</f>
        <v>View</v>
      </c>
    </row>
    <row r="158" spans="1:16" x14ac:dyDescent="0.25">
      <c r="A158" s="13" t="s">
        <v>25865</v>
      </c>
      <c r="B158" s="14">
        <v>64654</v>
      </c>
      <c r="C158" s="14">
        <v>0</v>
      </c>
      <c r="D158" s="14" t="s">
        <v>864</v>
      </c>
      <c r="E158" s="14" t="s">
        <v>4396</v>
      </c>
      <c r="F158" s="14" t="s">
        <v>96</v>
      </c>
      <c r="G158" s="18" t="s">
        <v>4739</v>
      </c>
      <c r="H158" s="18" t="s">
        <v>98</v>
      </c>
      <c r="I158" s="14" t="s">
        <v>25866</v>
      </c>
      <c r="J158" s="14">
        <v>1</v>
      </c>
      <c r="K158" s="14">
        <v>0</v>
      </c>
      <c r="L158" s="14" t="s">
        <v>25867</v>
      </c>
      <c r="M158" s="19" t="s">
        <v>101</v>
      </c>
      <c r="N158" s="14" t="s">
        <v>507</v>
      </c>
      <c r="O158" s="14" t="s">
        <v>25868</v>
      </c>
      <c r="P158" s="14" t="str">
        <f>HYPERLINK("https://dexscreener.com/solana/rPZQXLN4FuzUf28Vk5RMjHtjX3xYUc7LCTBPCYv3SDz", "View")</f>
        <v>View</v>
      </c>
    </row>
    <row r="159" spans="1:16" x14ac:dyDescent="0.25">
      <c r="A159" s="16" t="s">
        <v>17301</v>
      </c>
      <c r="B159" s="17">
        <v>80899</v>
      </c>
      <c r="C159" s="17">
        <v>0</v>
      </c>
      <c r="D159" s="17" t="s">
        <v>864</v>
      </c>
      <c r="E159" s="17" t="s">
        <v>4396</v>
      </c>
      <c r="F159" s="17" t="s">
        <v>96</v>
      </c>
      <c r="G159" s="18" t="s">
        <v>4739</v>
      </c>
      <c r="H159" s="18" t="s">
        <v>98</v>
      </c>
      <c r="I159" s="17" t="s">
        <v>25869</v>
      </c>
      <c r="J159" s="17">
        <v>1</v>
      </c>
      <c r="K159" s="17">
        <v>0</v>
      </c>
      <c r="L159" s="17" t="s">
        <v>25870</v>
      </c>
      <c r="M159" s="19" t="s">
        <v>101</v>
      </c>
      <c r="N159" s="17" t="s">
        <v>23705</v>
      </c>
      <c r="O159" s="17" t="s">
        <v>17304</v>
      </c>
      <c r="P159" s="17" t="str">
        <f>HYPERLINK("https://dexscreener.com/solana/E8Qve3129KybYBPaZHHfLKRuGhCTF2WSp52exACwpump", "View")</f>
        <v>View</v>
      </c>
    </row>
    <row r="160" spans="1:16" x14ac:dyDescent="0.25">
      <c r="A160" s="13" t="s">
        <v>25871</v>
      </c>
      <c r="B160" s="14">
        <v>4307</v>
      </c>
      <c r="C160" s="14">
        <v>0</v>
      </c>
      <c r="D160" s="14" t="s">
        <v>864</v>
      </c>
      <c r="E160" s="14" t="s">
        <v>4396</v>
      </c>
      <c r="F160" s="14" t="s">
        <v>96</v>
      </c>
      <c r="G160" s="18" t="s">
        <v>4739</v>
      </c>
      <c r="H160" s="18" t="s">
        <v>98</v>
      </c>
      <c r="I160" s="14" t="s">
        <v>25872</v>
      </c>
      <c r="J160" s="14">
        <v>1</v>
      </c>
      <c r="K160" s="14">
        <v>0</v>
      </c>
      <c r="L160" s="14" t="s">
        <v>25873</v>
      </c>
      <c r="M160" s="19" t="s">
        <v>101</v>
      </c>
      <c r="N160" s="14" t="s">
        <v>25874</v>
      </c>
      <c r="O160" s="14" t="s">
        <v>25875</v>
      </c>
      <c r="P160" s="14" t="str">
        <f>HYPERLINK("https://dexscreener.com/solana/GegBq6qGirNSVPbDcHNbG89xUcFTqNDwfSKt85T8pump", "View")</f>
        <v>View</v>
      </c>
    </row>
    <row r="161" spans="1:16" x14ac:dyDescent="0.25">
      <c r="A161" s="16" t="s">
        <v>13587</v>
      </c>
      <c r="B161" s="17">
        <v>32503</v>
      </c>
      <c r="C161" s="17">
        <v>0</v>
      </c>
      <c r="D161" s="17" t="s">
        <v>864</v>
      </c>
      <c r="E161" s="17" t="s">
        <v>4396</v>
      </c>
      <c r="F161" s="17" t="s">
        <v>96</v>
      </c>
      <c r="G161" s="18" t="s">
        <v>4739</v>
      </c>
      <c r="H161" s="18" t="s">
        <v>98</v>
      </c>
      <c r="I161" s="17" t="s">
        <v>25876</v>
      </c>
      <c r="J161" s="17">
        <v>1</v>
      </c>
      <c r="K161" s="17">
        <v>0</v>
      </c>
      <c r="L161" s="17" t="s">
        <v>25877</v>
      </c>
      <c r="M161" s="19" t="s">
        <v>101</v>
      </c>
      <c r="N161" s="17" t="s">
        <v>25878</v>
      </c>
      <c r="O161" s="17" t="s">
        <v>25879</v>
      </c>
      <c r="P161" s="17" t="str">
        <f>HYPERLINK("https://dexscreener.com/solana/Az1ZAoXLdERDVwc8Q56yRGYG3wxmxjzHYPtnJVwzpump", "View")</f>
        <v>View</v>
      </c>
    </row>
    <row r="162" spans="1:16" x14ac:dyDescent="0.25">
      <c r="A162" s="13" t="s">
        <v>25880</v>
      </c>
      <c r="B162" s="14">
        <v>2127</v>
      </c>
      <c r="C162" s="14">
        <v>0</v>
      </c>
      <c r="D162" s="14" t="s">
        <v>864</v>
      </c>
      <c r="E162" s="14" t="s">
        <v>4396</v>
      </c>
      <c r="F162" s="14" t="s">
        <v>96</v>
      </c>
      <c r="G162" s="18" t="s">
        <v>4739</v>
      </c>
      <c r="H162" s="18" t="s">
        <v>98</v>
      </c>
      <c r="I162" s="14" t="s">
        <v>25881</v>
      </c>
      <c r="J162" s="14">
        <v>1</v>
      </c>
      <c r="K162" s="14">
        <v>0</v>
      </c>
      <c r="L162" s="14" t="s">
        <v>25882</v>
      </c>
      <c r="M162" s="19" t="s">
        <v>101</v>
      </c>
      <c r="N162" s="14" t="s">
        <v>25883</v>
      </c>
      <c r="O162" s="14" t="s">
        <v>25884</v>
      </c>
      <c r="P162" s="14" t="str">
        <f>HYPERLINK("https://dexscreener.com/solana/CB48KiK1oi1tWtjmPWxVR2NPeEr9ewzmZQ8ERk79Ue4b", "View")</f>
        <v>View</v>
      </c>
    </row>
    <row r="163" spans="1:16" x14ac:dyDescent="0.25">
      <c r="A163" s="16" t="s">
        <v>17312</v>
      </c>
      <c r="B163" s="17">
        <v>42394</v>
      </c>
      <c r="C163" s="17">
        <v>0</v>
      </c>
      <c r="D163" s="17" t="s">
        <v>864</v>
      </c>
      <c r="E163" s="17" t="s">
        <v>4396</v>
      </c>
      <c r="F163" s="17" t="s">
        <v>96</v>
      </c>
      <c r="G163" s="18" t="s">
        <v>4739</v>
      </c>
      <c r="H163" s="18" t="s">
        <v>98</v>
      </c>
      <c r="I163" s="17" t="s">
        <v>25885</v>
      </c>
      <c r="J163" s="17">
        <v>1</v>
      </c>
      <c r="K163" s="17">
        <v>0</v>
      </c>
      <c r="L163" s="17" t="s">
        <v>25886</v>
      </c>
      <c r="M163" s="19" t="s">
        <v>101</v>
      </c>
      <c r="N163" s="17" t="s">
        <v>25887</v>
      </c>
      <c r="O163" s="17" t="s">
        <v>17315</v>
      </c>
      <c r="P163" s="17" t="str">
        <f>HYPERLINK("https://dexscreener.com/solana/Bu8tzATJze1tCtjXfy8g54heQ9vzYF3nm5sMe5gVpump", "View")</f>
        <v>View</v>
      </c>
    </row>
    <row r="164" spans="1:16" x14ac:dyDescent="0.25">
      <c r="A164" s="13" t="s">
        <v>12145</v>
      </c>
      <c r="B164" s="14">
        <v>99714</v>
      </c>
      <c r="C164" s="14">
        <v>0</v>
      </c>
      <c r="D164" s="14" t="s">
        <v>864</v>
      </c>
      <c r="E164" s="14" t="s">
        <v>4396</v>
      </c>
      <c r="F164" s="14" t="s">
        <v>96</v>
      </c>
      <c r="G164" s="18" t="s">
        <v>4739</v>
      </c>
      <c r="H164" s="18" t="s">
        <v>98</v>
      </c>
      <c r="I164" s="14" t="s">
        <v>25888</v>
      </c>
      <c r="J164" s="14">
        <v>1</v>
      </c>
      <c r="K164" s="14">
        <v>0</v>
      </c>
      <c r="L164" s="14" t="s">
        <v>25889</v>
      </c>
      <c r="M164" s="19" t="s">
        <v>101</v>
      </c>
      <c r="N164" s="14" t="s">
        <v>25890</v>
      </c>
      <c r="O164" s="14" t="s">
        <v>25891</v>
      </c>
      <c r="P164" s="14" t="str">
        <f>HYPERLINK("https://dexscreener.com/solana/73JvffFeoML6hPabvUWrGBwHobRBkvKA5wSV55Cspump", "View")</f>
        <v>View</v>
      </c>
    </row>
    <row r="165" spans="1:16" x14ac:dyDescent="0.25">
      <c r="A165" s="16" t="s">
        <v>25892</v>
      </c>
      <c r="B165" s="17">
        <v>2355</v>
      </c>
      <c r="C165" s="17">
        <v>0</v>
      </c>
      <c r="D165" s="17" t="s">
        <v>864</v>
      </c>
      <c r="E165" s="17" t="s">
        <v>4396</v>
      </c>
      <c r="F165" s="17" t="s">
        <v>96</v>
      </c>
      <c r="G165" s="18" t="s">
        <v>4739</v>
      </c>
      <c r="H165" s="18" t="s">
        <v>98</v>
      </c>
      <c r="I165" s="17" t="s">
        <v>25893</v>
      </c>
      <c r="J165" s="17">
        <v>1</v>
      </c>
      <c r="K165" s="17">
        <v>0</v>
      </c>
      <c r="L165" s="17" t="s">
        <v>25894</v>
      </c>
      <c r="M165" s="19" t="s">
        <v>101</v>
      </c>
      <c r="N165" s="17" t="s">
        <v>25895</v>
      </c>
      <c r="O165" s="17" t="s">
        <v>25896</v>
      </c>
      <c r="P165" s="17" t="str">
        <f>HYPERLINK("https://dexscreener.com/solana/3ag1Mj9AKz9FAkCQ6gAEhpLSX8B2pUbPdkb9iBsDLZNB", "View")</f>
        <v>View</v>
      </c>
    </row>
    <row r="166" spans="1:16" x14ac:dyDescent="0.25">
      <c r="A166" s="13" t="s">
        <v>18808</v>
      </c>
      <c r="B166" s="14">
        <v>103653</v>
      </c>
      <c r="C166" s="14">
        <v>103653</v>
      </c>
      <c r="D166" s="14" t="s">
        <v>1289</v>
      </c>
      <c r="E166" s="14" t="s">
        <v>5345</v>
      </c>
      <c r="F166" s="14" t="s">
        <v>9671</v>
      </c>
      <c r="G166" s="21" t="s">
        <v>16246</v>
      </c>
      <c r="H166" s="21" t="s">
        <v>25897</v>
      </c>
      <c r="I166" s="14" t="s">
        <v>88</v>
      </c>
      <c r="J166" s="14">
        <v>1</v>
      </c>
      <c r="K166" s="14">
        <v>1</v>
      </c>
      <c r="L166" s="14" t="s">
        <v>25898</v>
      </c>
      <c r="M166" s="14" t="s">
        <v>117</v>
      </c>
      <c r="N166" s="14" t="s">
        <v>25899</v>
      </c>
      <c r="O166" s="14" t="s">
        <v>18812</v>
      </c>
      <c r="P166" s="14" t="str">
        <f>HYPERLINK("https://dexscreener.com/solana/4dx69VLhJGpswMGdVb2thWsuykyhWRZrrVjLZ1mgpump", "View")</f>
        <v>View</v>
      </c>
    </row>
    <row r="167" spans="1:16" x14ac:dyDescent="0.25">
      <c r="A167" s="16" t="s">
        <v>25900</v>
      </c>
      <c r="B167" s="17">
        <v>43766</v>
      </c>
      <c r="C167" s="17">
        <v>0</v>
      </c>
      <c r="D167" s="17" t="s">
        <v>1289</v>
      </c>
      <c r="E167" s="17" t="s">
        <v>4679</v>
      </c>
      <c r="F167" s="17" t="s">
        <v>96</v>
      </c>
      <c r="G167" s="18" t="s">
        <v>2739</v>
      </c>
      <c r="H167" s="18" t="s">
        <v>98</v>
      </c>
      <c r="I167" s="17" t="s">
        <v>25901</v>
      </c>
      <c r="J167" s="17">
        <v>2</v>
      </c>
      <c r="K167" s="17">
        <v>0</v>
      </c>
      <c r="L167" s="17" t="s">
        <v>25902</v>
      </c>
      <c r="M167" s="17" t="s">
        <v>2617</v>
      </c>
      <c r="N167" s="17" t="s">
        <v>25903</v>
      </c>
      <c r="O167" s="17" t="s">
        <v>25904</v>
      </c>
      <c r="P167" s="17" t="str">
        <f>HYPERLINK("https://dexscreener.com/solana/FDTJzoVQ7rHPFyKhyJzdHh1nbX66sBKPzmknWsobpump", "View")</f>
        <v>View</v>
      </c>
    </row>
    <row r="168" spans="1:16" x14ac:dyDescent="0.25">
      <c r="A168" s="13" t="s">
        <v>25905</v>
      </c>
      <c r="B168" s="14">
        <v>265786</v>
      </c>
      <c r="C168" s="14">
        <v>0</v>
      </c>
      <c r="D168" s="14" t="s">
        <v>10098</v>
      </c>
      <c r="E168" s="14" t="s">
        <v>5345</v>
      </c>
      <c r="F168" s="14" t="s">
        <v>96</v>
      </c>
      <c r="G168" s="18" t="s">
        <v>16114</v>
      </c>
      <c r="H168" s="18" t="s">
        <v>98</v>
      </c>
      <c r="I168" s="14" t="s">
        <v>25906</v>
      </c>
      <c r="J168" s="14">
        <v>1</v>
      </c>
      <c r="K168" s="14">
        <v>0</v>
      </c>
      <c r="L168" s="14" t="s">
        <v>25907</v>
      </c>
      <c r="M168" s="19" t="s">
        <v>101</v>
      </c>
      <c r="N168" s="14" t="s">
        <v>25908</v>
      </c>
      <c r="O168" s="14" t="s">
        <v>25909</v>
      </c>
      <c r="P168" s="14" t="str">
        <f>HYPERLINK("https://dexscreener.com/solana/ExbN9KVhLMZT1Pt6uEQ5eMyWdfbTAvdLP9cBTwaK8EHL", "View")</f>
        <v>View</v>
      </c>
    </row>
    <row r="169" spans="1:16" x14ac:dyDescent="0.25">
      <c r="A169" s="16" t="s">
        <v>12145</v>
      </c>
      <c r="B169" s="17">
        <v>254193</v>
      </c>
      <c r="C169" s="17">
        <v>0</v>
      </c>
      <c r="D169" s="17" t="s">
        <v>10098</v>
      </c>
      <c r="E169" s="17" t="s">
        <v>5345</v>
      </c>
      <c r="F169" s="17" t="s">
        <v>96</v>
      </c>
      <c r="G169" s="18" t="s">
        <v>16114</v>
      </c>
      <c r="H169" s="18" t="s">
        <v>98</v>
      </c>
      <c r="I169" s="17" t="s">
        <v>25910</v>
      </c>
      <c r="J169" s="17">
        <v>1</v>
      </c>
      <c r="K169" s="17">
        <v>0</v>
      </c>
      <c r="L169" s="17" t="s">
        <v>25911</v>
      </c>
      <c r="M169" s="19" t="s">
        <v>101</v>
      </c>
      <c r="N169" s="17" t="s">
        <v>25912</v>
      </c>
      <c r="O169" s="17" t="s">
        <v>25913</v>
      </c>
      <c r="P169" s="17" t="str">
        <f>HYPERLINK("https://dexscreener.com/solana/5147jVC5SBeYUWQoo6NTSQodGB8ZMDp7JhVRSkv2nA4W", "View")</f>
        <v>View</v>
      </c>
    </row>
    <row r="170" spans="1:16" x14ac:dyDescent="0.25">
      <c r="A170" s="13" t="s">
        <v>1057</v>
      </c>
      <c r="B170" s="14">
        <v>5633</v>
      </c>
      <c r="C170" s="14">
        <v>0</v>
      </c>
      <c r="D170" s="14" t="s">
        <v>10098</v>
      </c>
      <c r="E170" s="14" t="s">
        <v>5345</v>
      </c>
      <c r="F170" s="14" t="s">
        <v>96</v>
      </c>
      <c r="G170" s="18" t="s">
        <v>16114</v>
      </c>
      <c r="H170" s="18" t="s">
        <v>98</v>
      </c>
      <c r="I170" s="14" t="s">
        <v>25914</v>
      </c>
      <c r="J170" s="14">
        <v>1</v>
      </c>
      <c r="K170" s="14">
        <v>0</v>
      </c>
      <c r="L170" s="14" t="s">
        <v>25915</v>
      </c>
      <c r="M170" s="19" t="s">
        <v>101</v>
      </c>
      <c r="N170" s="14" t="s">
        <v>25916</v>
      </c>
      <c r="O170" s="14" t="s">
        <v>1061</v>
      </c>
      <c r="P170" s="14" t="str">
        <f>HYPERLINK("https://dexscreener.com/solana/HeCFQ5hiDZRKVYEuDF1LYBfbYfqAg98CQtbrTR7ipump", "View")</f>
        <v>View</v>
      </c>
    </row>
    <row r="171" spans="1:16" x14ac:dyDescent="0.25">
      <c r="A171" s="16" t="s">
        <v>25917</v>
      </c>
      <c r="B171" s="17">
        <v>126107</v>
      </c>
      <c r="C171" s="17">
        <v>0</v>
      </c>
      <c r="D171" s="17" t="s">
        <v>864</v>
      </c>
      <c r="E171" s="17" t="s">
        <v>5345</v>
      </c>
      <c r="F171" s="17" t="s">
        <v>96</v>
      </c>
      <c r="G171" s="18" t="s">
        <v>5370</v>
      </c>
      <c r="H171" s="18" t="s">
        <v>98</v>
      </c>
      <c r="I171" s="17" t="s">
        <v>25918</v>
      </c>
      <c r="J171" s="17">
        <v>1</v>
      </c>
      <c r="K171" s="17">
        <v>0</v>
      </c>
      <c r="L171" s="17" t="s">
        <v>25919</v>
      </c>
      <c r="M171" s="19" t="s">
        <v>101</v>
      </c>
      <c r="N171" s="17" t="s">
        <v>16454</v>
      </c>
      <c r="O171" s="17" t="s">
        <v>25920</v>
      </c>
      <c r="P171" s="17" t="str">
        <f>HYPERLINK("https://dexscreener.com/solana/8aTY1MBjcyXpqioGTcescFXfHgtdQrHzjmoEB7chpump", "View")</f>
        <v>View</v>
      </c>
    </row>
    <row r="172" spans="1:16" x14ac:dyDescent="0.25">
      <c r="A172" s="13" t="s">
        <v>25921</v>
      </c>
      <c r="B172" s="14">
        <v>36840</v>
      </c>
      <c r="C172" s="14">
        <v>0</v>
      </c>
      <c r="D172" s="14" t="s">
        <v>10098</v>
      </c>
      <c r="E172" s="14" t="s">
        <v>5345</v>
      </c>
      <c r="F172" s="14" t="s">
        <v>96</v>
      </c>
      <c r="G172" s="18" t="s">
        <v>16114</v>
      </c>
      <c r="H172" s="18" t="s">
        <v>98</v>
      </c>
      <c r="I172" s="14" t="s">
        <v>25922</v>
      </c>
      <c r="J172" s="14">
        <v>1</v>
      </c>
      <c r="K172" s="14">
        <v>0</v>
      </c>
      <c r="L172" s="14" t="s">
        <v>25923</v>
      </c>
      <c r="M172" s="19" t="s">
        <v>101</v>
      </c>
      <c r="N172" s="14" t="s">
        <v>25924</v>
      </c>
      <c r="O172" s="14" t="s">
        <v>25925</v>
      </c>
      <c r="P172" s="14" t="str">
        <f>HYPERLINK("https://dexscreener.com/solana/6rVy5oRuLzwgJP82KYHKaVNvdwCeWAa74WZrtKUSpump", "View")</f>
        <v>View</v>
      </c>
    </row>
    <row r="173" spans="1:16" x14ac:dyDescent="0.25">
      <c r="A173" s="16" t="s">
        <v>25926</v>
      </c>
      <c r="B173" s="17">
        <v>311496</v>
      </c>
      <c r="C173" s="17">
        <v>0</v>
      </c>
      <c r="D173" s="17" t="s">
        <v>10098</v>
      </c>
      <c r="E173" s="17" t="s">
        <v>5345</v>
      </c>
      <c r="F173" s="17" t="s">
        <v>96</v>
      </c>
      <c r="G173" s="18" t="s">
        <v>16114</v>
      </c>
      <c r="H173" s="18" t="s">
        <v>98</v>
      </c>
      <c r="I173" s="17" t="s">
        <v>25927</v>
      </c>
      <c r="J173" s="17">
        <v>1</v>
      </c>
      <c r="K173" s="17">
        <v>0</v>
      </c>
      <c r="L173" s="17" t="s">
        <v>25928</v>
      </c>
      <c r="M173" s="19" t="s">
        <v>101</v>
      </c>
      <c r="N173" s="17" t="s">
        <v>25929</v>
      </c>
      <c r="O173" s="17" t="s">
        <v>25930</v>
      </c>
      <c r="P173" s="17" t="str">
        <f>HYPERLINK("https://dexscreener.com/solana/C7sM1YAEbpxEy1GzmPe98hQPxoBdat85mUHcUfmppump", "View")</f>
        <v>View</v>
      </c>
    </row>
    <row r="174" spans="1:16" x14ac:dyDescent="0.25">
      <c r="A174" s="13" t="s">
        <v>25931</v>
      </c>
      <c r="B174" s="14">
        <v>318045</v>
      </c>
      <c r="C174" s="14">
        <v>0</v>
      </c>
      <c r="D174" s="14" t="s">
        <v>864</v>
      </c>
      <c r="E174" s="14" t="s">
        <v>5345</v>
      </c>
      <c r="F174" s="14" t="s">
        <v>96</v>
      </c>
      <c r="G174" s="18" t="s">
        <v>5370</v>
      </c>
      <c r="H174" s="18" t="s">
        <v>98</v>
      </c>
      <c r="I174" s="14" t="s">
        <v>25932</v>
      </c>
      <c r="J174" s="14">
        <v>1</v>
      </c>
      <c r="K174" s="14">
        <v>0</v>
      </c>
      <c r="L174" s="14" t="s">
        <v>25933</v>
      </c>
      <c r="M174" s="19" t="s">
        <v>101</v>
      </c>
      <c r="N174" s="14" t="s">
        <v>25934</v>
      </c>
      <c r="O174" s="14" t="s">
        <v>25935</v>
      </c>
      <c r="P174" s="14" t="str">
        <f>HYPERLINK("https://dexscreener.com/solana/4mFEgazY55VcYdVPsz9ruXJ6J7eFMBKf61vKzqenpump", "View")</f>
        <v>View</v>
      </c>
    </row>
    <row r="175" spans="1:16" x14ac:dyDescent="0.25">
      <c r="A175" s="16" t="s">
        <v>25936</v>
      </c>
      <c r="B175" s="17">
        <v>41574</v>
      </c>
      <c r="C175" s="17">
        <v>0</v>
      </c>
      <c r="D175" s="17" t="s">
        <v>864</v>
      </c>
      <c r="E175" s="17" t="s">
        <v>5345</v>
      </c>
      <c r="F175" s="17" t="s">
        <v>96</v>
      </c>
      <c r="G175" s="18" t="s">
        <v>5370</v>
      </c>
      <c r="H175" s="18" t="s">
        <v>98</v>
      </c>
      <c r="I175" s="17" t="s">
        <v>25937</v>
      </c>
      <c r="J175" s="17">
        <v>1</v>
      </c>
      <c r="K175" s="17">
        <v>0</v>
      </c>
      <c r="L175" s="17" t="s">
        <v>25938</v>
      </c>
      <c r="M175" s="19" t="s">
        <v>101</v>
      </c>
      <c r="N175" s="17" t="s">
        <v>25939</v>
      </c>
      <c r="O175" s="17" t="s">
        <v>25940</v>
      </c>
      <c r="P175" s="17" t="str">
        <f>HYPERLINK("https://dexscreener.com/solana/F47vvwFYuLioQsqEVAjqdY6Yihc8wVRiUcfHGcBR9XUs", "View")</f>
        <v>View</v>
      </c>
    </row>
    <row r="176" spans="1:16" x14ac:dyDescent="0.25">
      <c r="A176" s="13" t="s">
        <v>25941</v>
      </c>
      <c r="B176" s="14">
        <v>16449</v>
      </c>
      <c r="C176" s="14">
        <v>0</v>
      </c>
      <c r="D176" s="14" t="s">
        <v>864</v>
      </c>
      <c r="E176" s="14" t="s">
        <v>5345</v>
      </c>
      <c r="F176" s="14" t="s">
        <v>96</v>
      </c>
      <c r="G176" s="18" t="s">
        <v>5370</v>
      </c>
      <c r="H176" s="18" t="s">
        <v>98</v>
      </c>
      <c r="I176" s="14" t="s">
        <v>25942</v>
      </c>
      <c r="J176" s="14">
        <v>1</v>
      </c>
      <c r="K176" s="14">
        <v>0</v>
      </c>
      <c r="L176" s="14" t="s">
        <v>25943</v>
      </c>
      <c r="M176" s="19" t="s">
        <v>101</v>
      </c>
      <c r="N176" s="14" t="s">
        <v>25944</v>
      </c>
      <c r="O176" s="14" t="s">
        <v>25945</v>
      </c>
      <c r="P176" s="14" t="str">
        <f>HYPERLINK("https://dexscreener.com/solana/HQXwjVBUU2fvvrM7xNq6gfX3vsACkqHtZo7mwKwUpump", "View")</f>
        <v>View</v>
      </c>
    </row>
    <row r="177" spans="1:16" x14ac:dyDescent="0.25">
      <c r="A177" s="16" t="s">
        <v>25946</v>
      </c>
      <c r="B177" s="17">
        <v>6300</v>
      </c>
      <c r="C177" s="17">
        <v>0</v>
      </c>
      <c r="D177" s="17" t="s">
        <v>864</v>
      </c>
      <c r="E177" s="17" t="s">
        <v>5345</v>
      </c>
      <c r="F177" s="17" t="s">
        <v>96</v>
      </c>
      <c r="G177" s="18" t="s">
        <v>5370</v>
      </c>
      <c r="H177" s="18" t="s">
        <v>98</v>
      </c>
      <c r="I177" s="17" t="s">
        <v>25947</v>
      </c>
      <c r="J177" s="17">
        <v>1</v>
      </c>
      <c r="K177" s="17">
        <v>0</v>
      </c>
      <c r="L177" s="17" t="s">
        <v>25948</v>
      </c>
      <c r="M177" s="19" t="s">
        <v>101</v>
      </c>
      <c r="N177" s="17" t="s">
        <v>25949</v>
      </c>
      <c r="O177" s="17" t="s">
        <v>25950</v>
      </c>
      <c r="P177" s="17" t="str">
        <f>HYPERLINK("https://dexscreener.com/solana/fqcdfYCuMmgCnR3NWa1AxYG7Cfez39nStKVpHT9PAPh", "View")</f>
        <v>View</v>
      </c>
    </row>
    <row r="178" spans="1:16" x14ac:dyDescent="0.25">
      <c r="A178" s="13" t="s">
        <v>25300</v>
      </c>
      <c r="B178" s="14">
        <v>40662</v>
      </c>
      <c r="C178" s="14">
        <v>0</v>
      </c>
      <c r="D178" s="14" t="s">
        <v>864</v>
      </c>
      <c r="E178" s="14" t="s">
        <v>5345</v>
      </c>
      <c r="F178" s="14" t="s">
        <v>96</v>
      </c>
      <c r="G178" s="18" t="s">
        <v>5370</v>
      </c>
      <c r="H178" s="18" t="s">
        <v>98</v>
      </c>
      <c r="I178" s="14" t="s">
        <v>25951</v>
      </c>
      <c r="J178" s="14">
        <v>1</v>
      </c>
      <c r="K178" s="14">
        <v>0</v>
      </c>
      <c r="L178" s="14" t="s">
        <v>25952</v>
      </c>
      <c r="M178" s="19" t="s">
        <v>101</v>
      </c>
      <c r="N178" s="14" t="s">
        <v>25953</v>
      </c>
      <c r="O178" s="14" t="s">
        <v>25304</v>
      </c>
      <c r="P178" s="14" t="str">
        <f>HYPERLINK("https://dexscreener.com/solana/Huz7DeiAJKATSEofkS1Bry2NkCwkfcQuZFE2wRqRpump", "View")</f>
        <v>View</v>
      </c>
    </row>
    <row r="179" spans="1:16" x14ac:dyDescent="0.25">
      <c r="A179" s="16" t="s">
        <v>25954</v>
      </c>
      <c r="B179" s="17">
        <v>154156</v>
      </c>
      <c r="C179" s="17">
        <v>0</v>
      </c>
      <c r="D179" s="17" t="s">
        <v>864</v>
      </c>
      <c r="E179" s="17" t="s">
        <v>5345</v>
      </c>
      <c r="F179" s="17" t="s">
        <v>96</v>
      </c>
      <c r="G179" s="18" t="s">
        <v>5370</v>
      </c>
      <c r="H179" s="18" t="s">
        <v>98</v>
      </c>
      <c r="I179" s="17" t="s">
        <v>25955</v>
      </c>
      <c r="J179" s="17">
        <v>1</v>
      </c>
      <c r="K179" s="17">
        <v>0</v>
      </c>
      <c r="L179" s="17" t="s">
        <v>25956</v>
      </c>
      <c r="M179" s="19" t="s">
        <v>101</v>
      </c>
      <c r="N179" s="17" t="s">
        <v>25957</v>
      </c>
      <c r="O179" s="17" t="s">
        <v>25958</v>
      </c>
      <c r="P179" s="17" t="str">
        <f>HYPERLINK("https://dexscreener.com/solana/wJKaQEDxnBXwj4RCqNKE3K8NZaG992bZYnottcupump", "View")</f>
        <v>View</v>
      </c>
    </row>
    <row r="180" spans="1:16" x14ac:dyDescent="0.25">
      <c r="A180" s="13" t="s">
        <v>11246</v>
      </c>
      <c r="B180" s="14">
        <v>53826</v>
      </c>
      <c r="C180" s="14">
        <v>0</v>
      </c>
      <c r="D180" s="14" t="s">
        <v>864</v>
      </c>
      <c r="E180" s="14" t="s">
        <v>5345</v>
      </c>
      <c r="F180" s="14" t="s">
        <v>96</v>
      </c>
      <c r="G180" s="18" t="s">
        <v>5370</v>
      </c>
      <c r="H180" s="18" t="s">
        <v>98</v>
      </c>
      <c r="I180" s="14" t="s">
        <v>25959</v>
      </c>
      <c r="J180" s="14">
        <v>1</v>
      </c>
      <c r="K180" s="14">
        <v>0</v>
      </c>
      <c r="L180" s="14" t="s">
        <v>25960</v>
      </c>
      <c r="M180" s="19" t="s">
        <v>101</v>
      </c>
      <c r="N180" s="14" t="s">
        <v>25961</v>
      </c>
      <c r="O180" s="14" t="s">
        <v>11250</v>
      </c>
      <c r="P180" s="14" t="str">
        <f>HYPERLINK("https://dexscreener.com/solana/3cFVS5jQNVgFQxBJiuuZL1jKa3fs7uhCetjKHSSipump", "View")</f>
        <v>View</v>
      </c>
    </row>
    <row r="181" spans="1:16" x14ac:dyDescent="0.25">
      <c r="A181" s="16" t="s">
        <v>25962</v>
      </c>
      <c r="B181" s="17">
        <v>21073</v>
      </c>
      <c r="C181" s="17">
        <v>0</v>
      </c>
      <c r="D181" s="17" t="s">
        <v>864</v>
      </c>
      <c r="E181" s="17" t="s">
        <v>5345</v>
      </c>
      <c r="F181" s="17" t="s">
        <v>96</v>
      </c>
      <c r="G181" s="18" t="s">
        <v>5370</v>
      </c>
      <c r="H181" s="18" t="s">
        <v>98</v>
      </c>
      <c r="I181" s="17" t="s">
        <v>25963</v>
      </c>
      <c r="J181" s="17">
        <v>1</v>
      </c>
      <c r="K181" s="17">
        <v>0</v>
      </c>
      <c r="L181" s="17" t="s">
        <v>25964</v>
      </c>
      <c r="M181" s="19" t="s">
        <v>101</v>
      </c>
      <c r="N181" s="17" t="s">
        <v>25965</v>
      </c>
      <c r="O181" s="17" t="s">
        <v>25966</v>
      </c>
      <c r="P181" s="17" t="str">
        <f>HYPERLINK("https://dexscreener.com/solana/HoCunqcWb8b3PtuX8aPvvF3R2nCmfjmTj32zSgSvpump", "View")</f>
        <v>View</v>
      </c>
    </row>
    <row r="182" spans="1:16" x14ac:dyDescent="0.25">
      <c r="A182" s="13" t="s">
        <v>17348</v>
      </c>
      <c r="B182" s="14">
        <v>4539</v>
      </c>
      <c r="C182" s="14">
        <v>0</v>
      </c>
      <c r="D182" s="14" t="s">
        <v>864</v>
      </c>
      <c r="E182" s="14" t="s">
        <v>5345</v>
      </c>
      <c r="F182" s="14" t="s">
        <v>96</v>
      </c>
      <c r="G182" s="18" t="s">
        <v>5370</v>
      </c>
      <c r="H182" s="18" t="s">
        <v>98</v>
      </c>
      <c r="I182" s="14" t="s">
        <v>25967</v>
      </c>
      <c r="J182" s="14">
        <v>1</v>
      </c>
      <c r="K182" s="14">
        <v>0</v>
      </c>
      <c r="L182" s="14" t="s">
        <v>25968</v>
      </c>
      <c r="M182" s="19" t="s">
        <v>101</v>
      </c>
      <c r="N182" s="14" t="s">
        <v>17351</v>
      </c>
      <c r="O182" s="14" t="s">
        <v>17352</v>
      </c>
      <c r="P182" s="14" t="str">
        <f>HYPERLINK("https://dexscreener.com/solana/BVxi7Le7GDcdiHg5teDQZKHhUC1aaQjy48La9yMPpump", "View")</f>
        <v>View</v>
      </c>
    </row>
    <row r="183" spans="1:16" x14ac:dyDescent="0.25">
      <c r="A183" s="16" t="s">
        <v>25969</v>
      </c>
      <c r="B183" s="17">
        <v>127973</v>
      </c>
      <c r="C183" s="17">
        <v>0</v>
      </c>
      <c r="D183" s="17" t="s">
        <v>10098</v>
      </c>
      <c r="E183" s="17" t="s">
        <v>5345</v>
      </c>
      <c r="F183" s="17" t="s">
        <v>96</v>
      </c>
      <c r="G183" s="18" t="s">
        <v>16114</v>
      </c>
      <c r="H183" s="18" t="s">
        <v>98</v>
      </c>
      <c r="I183" s="17" t="s">
        <v>25970</v>
      </c>
      <c r="J183" s="17">
        <v>1</v>
      </c>
      <c r="K183" s="17">
        <v>0</v>
      </c>
      <c r="L183" s="17" t="s">
        <v>25971</v>
      </c>
      <c r="M183" s="19" t="s">
        <v>101</v>
      </c>
      <c r="N183" s="17" t="s">
        <v>25972</v>
      </c>
      <c r="O183" s="17" t="s">
        <v>25973</v>
      </c>
      <c r="P183" s="17" t="str">
        <f>HYPERLINK("https://dexscreener.com/solana/J9sVEJz5FMkJ8RrVQvtfTm3fyy5BKFi2PqpVJCmJpump", "View")</f>
        <v>View</v>
      </c>
    </row>
    <row r="184" spans="1:16" x14ac:dyDescent="0.25">
      <c r="A184" s="13" t="s">
        <v>25974</v>
      </c>
      <c r="B184" s="14">
        <v>15236</v>
      </c>
      <c r="C184" s="14">
        <v>7404</v>
      </c>
      <c r="D184" s="14" t="s">
        <v>25975</v>
      </c>
      <c r="E184" s="14" t="s">
        <v>3548</v>
      </c>
      <c r="F184" s="14" t="s">
        <v>16351</v>
      </c>
      <c r="G184" s="22" t="s">
        <v>11559</v>
      </c>
      <c r="H184" s="22" t="s">
        <v>25976</v>
      </c>
      <c r="I184" s="14" t="s">
        <v>88</v>
      </c>
      <c r="J184" s="14">
        <v>3</v>
      </c>
      <c r="K184" s="14">
        <v>3</v>
      </c>
      <c r="L184" s="14" t="s">
        <v>25977</v>
      </c>
      <c r="M184" s="14" t="s">
        <v>699</v>
      </c>
      <c r="N184" s="14" t="s">
        <v>25978</v>
      </c>
      <c r="O184" s="14" t="s">
        <v>25979</v>
      </c>
      <c r="P184" s="14" t="str">
        <f>HYPERLINK("https://dexscreener.com/solana/FskzSqy7Pi1f3nWorr4WhhQboxzyv8fv6Q2e8xyDpump", "View")</f>
        <v>View</v>
      </c>
    </row>
    <row r="185" spans="1:16" x14ac:dyDescent="0.25">
      <c r="A185" s="16" t="s">
        <v>25980</v>
      </c>
      <c r="B185" s="17">
        <v>10802</v>
      </c>
      <c r="C185" s="17">
        <v>0</v>
      </c>
      <c r="D185" s="17" t="s">
        <v>10098</v>
      </c>
      <c r="E185" s="17" t="s">
        <v>5345</v>
      </c>
      <c r="F185" s="17" t="s">
        <v>96</v>
      </c>
      <c r="G185" s="18" t="s">
        <v>16114</v>
      </c>
      <c r="H185" s="18" t="s">
        <v>98</v>
      </c>
      <c r="I185" s="17" t="s">
        <v>25981</v>
      </c>
      <c r="J185" s="17">
        <v>1</v>
      </c>
      <c r="K185" s="17">
        <v>0</v>
      </c>
      <c r="L185" s="17" t="s">
        <v>25982</v>
      </c>
      <c r="M185" s="19" t="s">
        <v>101</v>
      </c>
      <c r="N185" s="17" t="s">
        <v>25983</v>
      </c>
      <c r="O185" s="17" t="s">
        <v>25984</v>
      </c>
      <c r="P185" s="17" t="str">
        <f>HYPERLINK("https://dexscreener.com/solana/CKMYq8fN5NyqEhttWr8xj4Q2fyEJv686QANnT7dopump", "View")</f>
        <v>View</v>
      </c>
    </row>
    <row r="186" spans="1:16" x14ac:dyDescent="0.25">
      <c r="A186" s="13" t="s">
        <v>5741</v>
      </c>
      <c r="B186" s="14">
        <v>147693</v>
      </c>
      <c r="C186" s="14">
        <v>73847</v>
      </c>
      <c r="D186" s="14" t="s">
        <v>883</v>
      </c>
      <c r="E186" s="14" t="s">
        <v>5345</v>
      </c>
      <c r="F186" s="14" t="s">
        <v>3859</v>
      </c>
      <c r="G186" s="22" t="s">
        <v>5077</v>
      </c>
      <c r="H186" s="22" t="s">
        <v>25985</v>
      </c>
      <c r="I186" s="14" t="s">
        <v>88</v>
      </c>
      <c r="J186" s="14">
        <v>1</v>
      </c>
      <c r="K186" s="14">
        <v>1</v>
      </c>
      <c r="L186" s="14" t="s">
        <v>25986</v>
      </c>
      <c r="M186" s="14" t="s">
        <v>364</v>
      </c>
      <c r="N186" s="14" t="s">
        <v>25987</v>
      </c>
      <c r="O186" s="14" t="s">
        <v>25988</v>
      </c>
      <c r="P186" s="14" t="str">
        <f>HYPERLINK("https://dexscreener.com/solana/Fv4FYb2YnPWsLnk4wtYXZebTVYAHX22wkp2w3a7fpump", "View")</f>
        <v>View</v>
      </c>
    </row>
    <row r="187" spans="1:16" x14ac:dyDescent="0.25">
      <c r="A187" s="16" t="s">
        <v>12396</v>
      </c>
      <c r="B187" s="17">
        <v>36124</v>
      </c>
      <c r="C187" s="17">
        <v>32511</v>
      </c>
      <c r="D187" s="17" t="s">
        <v>1281</v>
      </c>
      <c r="E187" s="17" t="s">
        <v>5345</v>
      </c>
      <c r="F187" s="17" t="s">
        <v>23926</v>
      </c>
      <c r="G187" s="21" t="s">
        <v>4180</v>
      </c>
      <c r="H187" s="21" t="s">
        <v>25989</v>
      </c>
      <c r="I187" s="17" t="s">
        <v>88</v>
      </c>
      <c r="J187" s="17">
        <v>1</v>
      </c>
      <c r="K187" s="17">
        <v>3</v>
      </c>
      <c r="L187" s="17" t="s">
        <v>25990</v>
      </c>
      <c r="M187" s="17" t="s">
        <v>414</v>
      </c>
      <c r="N187" s="17" t="s">
        <v>25991</v>
      </c>
      <c r="O187" s="17" t="s">
        <v>25992</v>
      </c>
      <c r="P187" s="17" t="str">
        <f>HYPERLINK("https://dexscreener.com/solana/9fkCspSqRWqFGcmV4yB1ek2gmmm8zNsATkZy6DTRSpwA", "View")</f>
        <v>View</v>
      </c>
    </row>
    <row r="188" spans="1:16" x14ac:dyDescent="0.25">
      <c r="A188" s="13" t="s">
        <v>25993</v>
      </c>
      <c r="B188" s="14">
        <v>77675</v>
      </c>
      <c r="C188" s="14">
        <v>0</v>
      </c>
      <c r="D188" s="14" t="s">
        <v>883</v>
      </c>
      <c r="E188" s="14" t="s">
        <v>4679</v>
      </c>
      <c r="F188" s="14" t="s">
        <v>96</v>
      </c>
      <c r="G188" s="18" t="s">
        <v>5436</v>
      </c>
      <c r="H188" s="18" t="s">
        <v>98</v>
      </c>
      <c r="I188" s="14" t="s">
        <v>25994</v>
      </c>
      <c r="J188" s="14">
        <v>2</v>
      </c>
      <c r="K188" s="14">
        <v>0</v>
      </c>
      <c r="L188" s="14" t="s">
        <v>25995</v>
      </c>
      <c r="M188" s="14" t="s">
        <v>788</v>
      </c>
      <c r="N188" s="14" t="s">
        <v>25996</v>
      </c>
      <c r="O188" s="14" t="s">
        <v>25997</v>
      </c>
      <c r="P188" s="14" t="str">
        <f>HYPERLINK("https://dexscreener.com/solana/8x9c5qa4nvakKo5wHPbPa5xvTVMKmS26w4DRpCQLCLk3", "View")</f>
        <v>View</v>
      </c>
    </row>
    <row r="189" spans="1:16" x14ac:dyDescent="0.25">
      <c r="A189" s="16" t="s">
        <v>25998</v>
      </c>
      <c r="B189" s="17">
        <v>28129</v>
      </c>
      <c r="C189" s="17">
        <v>0</v>
      </c>
      <c r="D189" s="17" t="s">
        <v>864</v>
      </c>
      <c r="E189" s="17" t="s">
        <v>5345</v>
      </c>
      <c r="F189" s="17" t="s">
        <v>96</v>
      </c>
      <c r="G189" s="18" t="s">
        <v>5370</v>
      </c>
      <c r="H189" s="18" t="s">
        <v>98</v>
      </c>
      <c r="I189" s="17" t="s">
        <v>25999</v>
      </c>
      <c r="J189" s="17">
        <v>1</v>
      </c>
      <c r="K189" s="17">
        <v>0</v>
      </c>
      <c r="L189" s="17" t="s">
        <v>26000</v>
      </c>
      <c r="M189" s="19" t="s">
        <v>101</v>
      </c>
      <c r="N189" s="17" t="s">
        <v>26001</v>
      </c>
      <c r="O189" s="17" t="s">
        <v>26002</v>
      </c>
      <c r="P189" s="17" t="str">
        <f>HYPERLINK("https://dexscreener.com/solana/2tUS7AK6V9eLHYLZNuNkRiskw1L2sFe9Rvgo1Jr8pump", "View")</f>
        <v>View</v>
      </c>
    </row>
    <row r="190" spans="1:16" x14ac:dyDescent="0.25">
      <c r="A190" s="13" t="s">
        <v>17129</v>
      </c>
      <c r="B190" s="14">
        <v>86987</v>
      </c>
      <c r="C190" s="14">
        <v>0</v>
      </c>
      <c r="D190" s="14" t="s">
        <v>864</v>
      </c>
      <c r="E190" s="14" t="s">
        <v>5345</v>
      </c>
      <c r="F190" s="14" t="s">
        <v>96</v>
      </c>
      <c r="G190" s="18" t="s">
        <v>5370</v>
      </c>
      <c r="H190" s="18" t="s">
        <v>98</v>
      </c>
      <c r="I190" s="14" t="s">
        <v>26003</v>
      </c>
      <c r="J190" s="14">
        <v>1</v>
      </c>
      <c r="K190" s="14">
        <v>0</v>
      </c>
      <c r="L190" s="14" t="s">
        <v>26004</v>
      </c>
      <c r="M190" s="19" t="s">
        <v>101</v>
      </c>
      <c r="N190" s="14" t="s">
        <v>26005</v>
      </c>
      <c r="O190" s="14" t="s">
        <v>26006</v>
      </c>
      <c r="P190" s="14" t="str">
        <f>HYPERLINK("https://dexscreener.com/solana/5BcypcSTzVSJNjHJLahngfkY6Ktp7JQVuoA9N7Xrpump", "View")</f>
        <v>View</v>
      </c>
    </row>
    <row r="191" spans="1:16" x14ac:dyDescent="0.25">
      <c r="A191" s="16" t="s">
        <v>7383</v>
      </c>
      <c r="B191" s="17">
        <v>98138</v>
      </c>
      <c r="C191" s="17">
        <v>87749</v>
      </c>
      <c r="D191" s="17" t="s">
        <v>26007</v>
      </c>
      <c r="E191" s="17" t="s">
        <v>4679</v>
      </c>
      <c r="F191" s="17" t="s">
        <v>3104</v>
      </c>
      <c r="G191" s="21" t="s">
        <v>13404</v>
      </c>
      <c r="H191" s="21" t="s">
        <v>26008</v>
      </c>
      <c r="I191" s="17" t="s">
        <v>88</v>
      </c>
      <c r="J191" s="17">
        <v>2</v>
      </c>
      <c r="K191" s="17">
        <v>4</v>
      </c>
      <c r="L191" s="17" t="s">
        <v>26009</v>
      </c>
      <c r="M191" s="17" t="s">
        <v>364</v>
      </c>
      <c r="N191" s="17" t="s">
        <v>26010</v>
      </c>
      <c r="O191" s="17" t="s">
        <v>7389</v>
      </c>
      <c r="P191" s="17" t="str">
        <f>HYPERLINK("https://dexscreener.com/solana/8iWsK2WH3AGviQwAnt43zvc8yLy6QMUSuv8PK2A7pump", "View")</f>
        <v>View</v>
      </c>
    </row>
    <row r="192" spans="1:16" x14ac:dyDescent="0.25">
      <c r="A192" s="13" t="s">
        <v>5658</v>
      </c>
      <c r="B192" s="14">
        <v>3613</v>
      </c>
      <c r="C192" s="14">
        <v>1806</v>
      </c>
      <c r="D192" s="14" t="s">
        <v>883</v>
      </c>
      <c r="E192" s="14" t="s">
        <v>5345</v>
      </c>
      <c r="F192" s="14" t="s">
        <v>3260</v>
      </c>
      <c r="G192" s="22" t="s">
        <v>5380</v>
      </c>
      <c r="H192" s="22" t="s">
        <v>26011</v>
      </c>
      <c r="I192" s="14" t="s">
        <v>88</v>
      </c>
      <c r="J192" s="14">
        <v>1</v>
      </c>
      <c r="K192" s="14">
        <v>1</v>
      </c>
      <c r="L192" s="14" t="s">
        <v>26012</v>
      </c>
      <c r="M192" s="14" t="s">
        <v>132</v>
      </c>
      <c r="N192" s="14" t="s">
        <v>15742</v>
      </c>
      <c r="O192" s="14" t="s">
        <v>15135</v>
      </c>
      <c r="P192" s="14" t="str">
        <f>HYPERLINK("https://dexscreener.com/solana/HUdqc5MR5h3FssESabPnQ1GTgTcPvnNudAuLj5J6a9sU", "View")</f>
        <v>View</v>
      </c>
    </row>
    <row r="193" spans="1:16" x14ac:dyDescent="0.25">
      <c r="A193" s="16" t="s">
        <v>26013</v>
      </c>
      <c r="B193" s="17">
        <v>17584</v>
      </c>
      <c r="C193" s="17">
        <v>0</v>
      </c>
      <c r="D193" s="17" t="s">
        <v>864</v>
      </c>
      <c r="E193" s="17" t="s">
        <v>5345</v>
      </c>
      <c r="F193" s="17" t="s">
        <v>96</v>
      </c>
      <c r="G193" s="18" t="s">
        <v>5370</v>
      </c>
      <c r="H193" s="18" t="s">
        <v>98</v>
      </c>
      <c r="I193" s="17" t="s">
        <v>26014</v>
      </c>
      <c r="J193" s="17">
        <v>1</v>
      </c>
      <c r="K193" s="17">
        <v>0</v>
      </c>
      <c r="L193" s="17" t="s">
        <v>26015</v>
      </c>
      <c r="M193" s="19" t="s">
        <v>101</v>
      </c>
      <c r="N193" s="17" t="s">
        <v>26016</v>
      </c>
      <c r="O193" s="17" t="s">
        <v>26017</v>
      </c>
      <c r="P193" s="17" t="str">
        <f>HYPERLINK("https://dexscreener.com/solana/A2khRbhRJNrAEHj95htivC4cR4VbJwfssDH5FPPbP4m9", "View")</f>
        <v>View</v>
      </c>
    </row>
    <row r="194" spans="1:16" x14ac:dyDescent="0.25">
      <c r="A194" s="13" t="s">
        <v>25810</v>
      </c>
      <c r="B194" s="14">
        <v>311216</v>
      </c>
      <c r="C194" s="14">
        <v>0</v>
      </c>
      <c r="D194" s="14" t="s">
        <v>864</v>
      </c>
      <c r="E194" s="14" t="s">
        <v>5345</v>
      </c>
      <c r="F194" s="14" t="s">
        <v>96</v>
      </c>
      <c r="G194" s="18" t="s">
        <v>5370</v>
      </c>
      <c r="H194" s="18" t="s">
        <v>98</v>
      </c>
      <c r="I194" s="14" t="s">
        <v>26018</v>
      </c>
      <c r="J194" s="14">
        <v>1</v>
      </c>
      <c r="K194" s="14">
        <v>0</v>
      </c>
      <c r="L194" s="14" t="s">
        <v>26019</v>
      </c>
      <c r="M194" s="19" t="s">
        <v>101</v>
      </c>
      <c r="N194" s="14" t="s">
        <v>25929</v>
      </c>
      <c r="O194" s="14" t="s">
        <v>26020</v>
      </c>
      <c r="P194" s="14" t="str">
        <f>HYPERLINK("https://dexscreener.com/solana/8GJTkhLHTAzb7H8SEJfwDo1oWDNSPPGVU1R1xJ7Gpump", "View")</f>
        <v>View</v>
      </c>
    </row>
    <row r="195" spans="1:16" x14ac:dyDescent="0.25">
      <c r="A195" s="16" t="s">
        <v>23816</v>
      </c>
      <c r="B195" s="17">
        <v>94062</v>
      </c>
      <c r="C195" s="17">
        <v>47031</v>
      </c>
      <c r="D195" s="17" t="s">
        <v>883</v>
      </c>
      <c r="E195" s="17" t="s">
        <v>5345</v>
      </c>
      <c r="F195" s="17" t="s">
        <v>17326</v>
      </c>
      <c r="G195" s="22" t="s">
        <v>5680</v>
      </c>
      <c r="H195" s="22" t="s">
        <v>26021</v>
      </c>
      <c r="I195" s="17" t="s">
        <v>88</v>
      </c>
      <c r="J195" s="17">
        <v>1</v>
      </c>
      <c r="K195" s="17">
        <v>1</v>
      </c>
      <c r="L195" s="17" t="s">
        <v>26022</v>
      </c>
      <c r="M195" s="17" t="s">
        <v>132</v>
      </c>
      <c r="N195" s="17" t="s">
        <v>26023</v>
      </c>
      <c r="O195" s="17" t="s">
        <v>23821</v>
      </c>
      <c r="P195" s="17" t="str">
        <f>HYPERLINK("https://dexscreener.com/solana/GVmFmB4KW8uXRfjiwbh9JcCRCBFtKy5SQ2BFvdoipump", "View")</f>
        <v>View</v>
      </c>
    </row>
    <row r="196" spans="1:16" x14ac:dyDescent="0.25">
      <c r="A196" s="13" t="s">
        <v>26024</v>
      </c>
      <c r="B196" s="14">
        <v>2591</v>
      </c>
      <c r="C196" s="14">
        <v>0</v>
      </c>
      <c r="D196" s="14" t="s">
        <v>864</v>
      </c>
      <c r="E196" s="14" t="s">
        <v>5345</v>
      </c>
      <c r="F196" s="14" t="s">
        <v>96</v>
      </c>
      <c r="G196" s="18" t="s">
        <v>5370</v>
      </c>
      <c r="H196" s="18" t="s">
        <v>98</v>
      </c>
      <c r="I196" s="14" t="s">
        <v>26025</v>
      </c>
      <c r="J196" s="14">
        <v>1</v>
      </c>
      <c r="K196" s="14">
        <v>0</v>
      </c>
      <c r="L196" s="14" t="s">
        <v>26026</v>
      </c>
      <c r="M196" s="19" t="s">
        <v>101</v>
      </c>
      <c r="N196" s="14" t="s">
        <v>26027</v>
      </c>
      <c r="O196" s="14" t="s">
        <v>26028</v>
      </c>
      <c r="P196" s="14" t="str">
        <f>HYPERLINK("https://dexscreener.com/solana/CQSzJzwW5H1oyWrp6QhfUKYYwyovbSiVDKnAxNfb1tJC", "View")</f>
        <v>View</v>
      </c>
    </row>
    <row r="197" spans="1:16" x14ac:dyDescent="0.25">
      <c r="A197" s="16" t="s">
        <v>17416</v>
      </c>
      <c r="B197" s="17">
        <v>46236</v>
      </c>
      <c r="C197" s="17">
        <v>0</v>
      </c>
      <c r="D197" s="17" t="s">
        <v>864</v>
      </c>
      <c r="E197" s="17" t="s">
        <v>5345</v>
      </c>
      <c r="F197" s="17" t="s">
        <v>96</v>
      </c>
      <c r="G197" s="18" t="s">
        <v>5370</v>
      </c>
      <c r="H197" s="18" t="s">
        <v>98</v>
      </c>
      <c r="I197" s="17" t="s">
        <v>26029</v>
      </c>
      <c r="J197" s="17">
        <v>1</v>
      </c>
      <c r="K197" s="17">
        <v>0</v>
      </c>
      <c r="L197" s="17" t="s">
        <v>26030</v>
      </c>
      <c r="M197" s="19" t="s">
        <v>101</v>
      </c>
      <c r="N197" s="17" t="s">
        <v>26031</v>
      </c>
      <c r="O197" s="17" t="s">
        <v>17420</v>
      </c>
      <c r="P197" s="17" t="str">
        <f>HYPERLINK("https://dexscreener.com/solana/7CSWFsrB3gPc5o5hxKTJCUbFDq4QyTWpjVG76S1Xpump", "View")</f>
        <v>View</v>
      </c>
    </row>
    <row r="198" spans="1:16" x14ac:dyDescent="0.25">
      <c r="A198" s="13" t="s">
        <v>22314</v>
      </c>
      <c r="B198" s="14">
        <v>80421</v>
      </c>
      <c r="C198" s="14">
        <v>0</v>
      </c>
      <c r="D198" s="14" t="s">
        <v>864</v>
      </c>
      <c r="E198" s="14" t="s">
        <v>5345</v>
      </c>
      <c r="F198" s="14" t="s">
        <v>96</v>
      </c>
      <c r="G198" s="18" t="s">
        <v>5370</v>
      </c>
      <c r="H198" s="18" t="s">
        <v>98</v>
      </c>
      <c r="I198" s="14" t="s">
        <v>26032</v>
      </c>
      <c r="J198" s="14">
        <v>1</v>
      </c>
      <c r="K198" s="14">
        <v>0</v>
      </c>
      <c r="L198" s="14" t="s">
        <v>26033</v>
      </c>
      <c r="M198" s="19" t="s">
        <v>101</v>
      </c>
      <c r="N198" s="14" t="s">
        <v>26034</v>
      </c>
      <c r="O198" s="14" t="s">
        <v>26035</v>
      </c>
      <c r="P198" s="14" t="str">
        <f>HYPERLINK("https://dexscreener.com/solana/5PQ9K3NA7Hf8ZYwB5TuUfMiD9mNzd8P1S1fkc8rmpump", "View")</f>
        <v>View</v>
      </c>
    </row>
    <row r="199" spans="1:16" x14ac:dyDescent="0.25">
      <c r="A199" s="16" t="s">
        <v>26036</v>
      </c>
      <c r="B199" s="17">
        <v>1419</v>
      </c>
      <c r="C199" s="17">
        <v>0</v>
      </c>
      <c r="D199" s="17" t="s">
        <v>883</v>
      </c>
      <c r="E199" s="17" t="s">
        <v>4679</v>
      </c>
      <c r="F199" s="17" t="s">
        <v>96</v>
      </c>
      <c r="G199" s="18" t="s">
        <v>5436</v>
      </c>
      <c r="H199" s="18" t="s">
        <v>98</v>
      </c>
      <c r="I199" s="17" t="s">
        <v>26037</v>
      </c>
      <c r="J199" s="17">
        <v>2</v>
      </c>
      <c r="K199" s="17">
        <v>0</v>
      </c>
      <c r="L199" s="17" t="s">
        <v>26038</v>
      </c>
      <c r="M199" s="17" t="s">
        <v>132</v>
      </c>
      <c r="N199" s="17" t="s">
        <v>26039</v>
      </c>
      <c r="O199" s="17" t="s">
        <v>26040</v>
      </c>
      <c r="P199" s="17" t="str">
        <f>HYPERLINK("https://dexscreener.com/solana/8NNXWrWVctNw1UFeaBypffimTdcLCcD8XJzHvYsmgwpF", "View")</f>
        <v>View</v>
      </c>
    </row>
    <row r="200" spans="1:16" x14ac:dyDescent="0.25">
      <c r="A200" s="13" t="s">
        <v>9647</v>
      </c>
      <c r="B200" s="14">
        <v>100279</v>
      </c>
      <c r="C200" s="14">
        <v>0</v>
      </c>
      <c r="D200" s="14" t="s">
        <v>864</v>
      </c>
      <c r="E200" s="14" t="s">
        <v>5345</v>
      </c>
      <c r="F200" s="14" t="s">
        <v>96</v>
      </c>
      <c r="G200" s="18" t="s">
        <v>5370</v>
      </c>
      <c r="H200" s="18" t="s">
        <v>98</v>
      </c>
      <c r="I200" s="14" t="s">
        <v>26041</v>
      </c>
      <c r="J200" s="14">
        <v>1</v>
      </c>
      <c r="K200" s="14">
        <v>0</v>
      </c>
      <c r="L200" s="14" t="s">
        <v>26042</v>
      </c>
      <c r="M200" s="19" t="s">
        <v>101</v>
      </c>
      <c r="N200" s="14" t="s">
        <v>26043</v>
      </c>
      <c r="O200" s="14" t="s">
        <v>26044</v>
      </c>
      <c r="P200" s="14" t="str">
        <f>HYPERLINK("https://dexscreener.com/solana/EsNwBBJS7yR5ieUfsL5YrEFoVTmvL1Jk9MqcXxqEpump", "View")</f>
        <v>View</v>
      </c>
    </row>
    <row r="201" spans="1:16" x14ac:dyDescent="0.25">
      <c r="A201" s="16" t="s">
        <v>5936</v>
      </c>
      <c r="B201" s="17">
        <v>128825</v>
      </c>
      <c r="C201" s="17">
        <v>122384</v>
      </c>
      <c r="D201" s="17" t="s">
        <v>19626</v>
      </c>
      <c r="E201" s="17" t="s">
        <v>5345</v>
      </c>
      <c r="F201" s="17" t="s">
        <v>3617</v>
      </c>
      <c r="G201" s="21" t="s">
        <v>15634</v>
      </c>
      <c r="H201" s="21" t="s">
        <v>26045</v>
      </c>
      <c r="I201" s="17" t="s">
        <v>88</v>
      </c>
      <c r="J201" s="17">
        <v>1</v>
      </c>
      <c r="K201" s="17">
        <v>4</v>
      </c>
      <c r="L201" s="17" t="s">
        <v>26046</v>
      </c>
      <c r="M201" s="17" t="s">
        <v>690</v>
      </c>
      <c r="N201" s="17" t="s">
        <v>26047</v>
      </c>
      <c r="O201" s="17" t="s">
        <v>5940</v>
      </c>
      <c r="P201" s="17" t="str">
        <f>HYPERLINK("https://dexscreener.com/solana/DFwxYdmfLJsPTyrNJCapGadF58Y74e2TFpVAyhbgpump", "View")</f>
        <v>View</v>
      </c>
    </row>
    <row r="202" spans="1:16" x14ac:dyDescent="0.25">
      <c r="A202" s="13" t="s">
        <v>26048</v>
      </c>
      <c r="B202" s="14">
        <v>44209</v>
      </c>
      <c r="C202" s="14">
        <v>22105</v>
      </c>
      <c r="D202" s="14" t="s">
        <v>1289</v>
      </c>
      <c r="E202" s="14" t="s">
        <v>5345</v>
      </c>
      <c r="F202" s="14" t="s">
        <v>9683</v>
      </c>
      <c r="G202" s="21" t="s">
        <v>11534</v>
      </c>
      <c r="H202" s="21" t="s">
        <v>26049</v>
      </c>
      <c r="I202" s="14" t="s">
        <v>88</v>
      </c>
      <c r="J202" s="14">
        <v>1</v>
      </c>
      <c r="K202" s="14">
        <v>1</v>
      </c>
      <c r="L202" s="14" t="s">
        <v>26050</v>
      </c>
      <c r="M202" s="14" t="s">
        <v>132</v>
      </c>
      <c r="N202" s="14" t="s">
        <v>26051</v>
      </c>
      <c r="O202" s="14" t="s">
        <v>26052</v>
      </c>
      <c r="P202" s="14" t="str">
        <f>HYPERLINK("https://dexscreener.com/solana/8TzfHZa6ZnvvGsQfnFC5wGrCiqbN9nD2KMjyabfrpump", "View")</f>
        <v>View</v>
      </c>
    </row>
    <row r="203" spans="1:16" x14ac:dyDescent="0.25">
      <c r="A203" s="16" t="s">
        <v>17851</v>
      </c>
      <c r="B203" s="17">
        <v>6925</v>
      </c>
      <c r="C203" s="17">
        <v>0</v>
      </c>
      <c r="D203" s="17" t="s">
        <v>864</v>
      </c>
      <c r="E203" s="17" t="s">
        <v>5345</v>
      </c>
      <c r="F203" s="17" t="s">
        <v>96</v>
      </c>
      <c r="G203" s="18" t="s">
        <v>5370</v>
      </c>
      <c r="H203" s="18" t="s">
        <v>98</v>
      </c>
      <c r="I203" s="17" t="s">
        <v>26053</v>
      </c>
      <c r="J203" s="17">
        <v>1</v>
      </c>
      <c r="K203" s="17">
        <v>0</v>
      </c>
      <c r="L203" s="17" t="s">
        <v>26054</v>
      </c>
      <c r="M203" s="19" t="s">
        <v>101</v>
      </c>
      <c r="N203" s="17" t="s">
        <v>26055</v>
      </c>
      <c r="O203" s="17" t="s">
        <v>26056</v>
      </c>
      <c r="P203" s="17" t="str">
        <f>HYPERLINK("https://dexscreener.com/solana/3dwu2tw7kBFZvWEdJMbPCGm7MBwgziABChLV1kGspump", "View")</f>
        <v>View</v>
      </c>
    </row>
    <row r="204" spans="1:16" x14ac:dyDescent="0.25">
      <c r="A204" s="13" t="s">
        <v>26057</v>
      </c>
      <c r="B204" s="14">
        <v>62650</v>
      </c>
      <c r="C204" s="14">
        <v>0</v>
      </c>
      <c r="D204" s="14" t="s">
        <v>864</v>
      </c>
      <c r="E204" s="14" t="s">
        <v>5345</v>
      </c>
      <c r="F204" s="14" t="s">
        <v>96</v>
      </c>
      <c r="G204" s="18" t="s">
        <v>5370</v>
      </c>
      <c r="H204" s="18" t="s">
        <v>98</v>
      </c>
      <c r="I204" s="14" t="s">
        <v>26058</v>
      </c>
      <c r="J204" s="14">
        <v>1</v>
      </c>
      <c r="K204" s="14">
        <v>0</v>
      </c>
      <c r="L204" s="14" t="s">
        <v>26059</v>
      </c>
      <c r="M204" s="19" t="s">
        <v>101</v>
      </c>
      <c r="N204" s="14" t="s">
        <v>26060</v>
      </c>
      <c r="O204" s="14" t="s">
        <v>26061</v>
      </c>
      <c r="P204" s="14" t="str">
        <f>HYPERLINK("https://dexscreener.com/solana/E1HerxvmX2pYoH5bUX9WepS3D5bzp3eHfryCxccN79hZ", "View")</f>
        <v>View</v>
      </c>
    </row>
    <row r="205" spans="1:16" x14ac:dyDescent="0.25">
      <c r="A205" s="16" t="s">
        <v>17457</v>
      </c>
      <c r="B205" s="17">
        <v>2713</v>
      </c>
      <c r="C205" s="17">
        <v>0</v>
      </c>
      <c r="D205" s="17" t="s">
        <v>10098</v>
      </c>
      <c r="E205" s="17" t="s">
        <v>5345</v>
      </c>
      <c r="F205" s="17" t="s">
        <v>96</v>
      </c>
      <c r="G205" s="18" t="s">
        <v>16114</v>
      </c>
      <c r="H205" s="18" t="s">
        <v>98</v>
      </c>
      <c r="I205" s="17" t="s">
        <v>26062</v>
      </c>
      <c r="J205" s="17">
        <v>1</v>
      </c>
      <c r="K205" s="17">
        <v>0</v>
      </c>
      <c r="L205" s="17" t="s">
        <v>26063</v>
      </c>
      <c r="M205" s="19" t="s">
        <v>101</v>
      </c>
      <c r="N205" s="17" t="s">
        <v>25633</v>
      </c>
      <c r="O205" s="17" t="s">
        <v>26064</v>
      </c>
      <c r="P205" s="17" t="str">
        <f>HYPERLINK("https://dexscreener.com/solana/7DGJnYfJrYiP5CKBx6wpbu8F5Ya1swdFoesuCrAKCzZc", "View")</f>
        <v>View</v>
      </c>
    </row>
    <row r="206" spans="1:16" x14ac:dyDescent="0.25">
      <c r="A206" s="13" t="s">
        <v>26065</v>
      </c>
      <c r="B206" s="14">
        <v>142293</v>
      </c>
      <c r="C206" s="14">
        <v>0</v>
      </c>
      <c r="D206" s="14" t="s">
        <v>10098</v>
      </c>
      <c r="E206" s="14" t="s">
        <v>5345</v>
      </c>
      <c r="F206" s="14" t="s">
        <v>96</v>
      </c>
      <c r="G206" s="18" t="s">
        <v>16114</v>
      </c>
      <c r="H206" s="18" t="s">
        <v>98</v>
      </c>
      <c r="I206" s="14" t="s">
        <v>26066</v>
      </c>
      <c r="J206" s="14">
        <v>1</v>
      </c>
      <c r="K206" s="14">
        <v>0</v>
      </c>
      <c r="L206" s="14" t="s">
        <v>26067</v>
      </c>
      <c r="M206" s="19" t="s">
        <v>101</v>
      </c>
      <c r="N206" s="14" t="s">
        <v>26068</v>
      </c>
      <c r="O206" s="14" t="s">
        <v>26069</v>
      </c>
      <c r="P206" s="14" t="str">
        <f>HYPERLINK("https://dexscreener.com/solana/7pr18GQuN39tkdDbhJgcVuXvb9xE4G3vreVACccWpump", "View")</f>
        <v>View</v>
      </c>
    </row>
    <row r="207" spans="1:16" x14ac:dyDescent="0.25">
      <c r="A207" s="16" t="s">
        <v>26070</v>
      </c>
      <c r="B207" s="17">
        <v>2253</v>
      </c>
      <c r="C207" s="17">
        <v>0</v>
      </c>
      <c r="D207" s="17" t="s">
        <v>10098</v>
      </c>
      <c r="E207" s="17" t="s">
        <v>5345</v>
      </c>
      <c r="F207" s="17" t="s">
        <v>96</v>
      </c>
      <c r="G207" s="18" t="s">
        <v>16114</v>
      </c>
      <c r="H207" s="18" t="s">
        <v>98</v>
      </c>
      <c r="I207" s="17" t="s">
        <v>26071</v>
      </c>
      <c r="J207" s="17">
        <v>1</v>
      </c>
      <c r="K207" s="17">
        <v>0</v>
      </c>
      <c r="L207" s="17" t="s">
        <v>26072</v>
      </c>
      <c r="M207" s="19" t="s">
        <v>101</v>
      </c>
      <c r="N207" s="17" t="s">
        <v>26073</v>
      </c>
      <c r="O207" s="17" t="s">
        <v>26074</v>
      </c>
      <c r="P207" s="17" t="str">
        <f>HYPERLINK("https://dexscreener.com/solana/2fUFhZyd47Mapv9wcfXh5gnQwFXtqcYu9xAN4THBpump", "View")</f>
        <v>View</v>
      </c>
    </row>
    <row r="208" spans="1:16" x14ac:dyDescent="0.25">
      <c r="A208" s="13" t="s">
        <v>26075</v>
      </c>
      <c r="B208" s="14">
        <v>3441</v>
      </c>
      <c r="C208" s="14">
        <v>1720</v>
      </c>
      <c r="D208" s="14" t="s">
        <v>1289</v>
      </c>
      <c r="E208" s="14" t="s">
        <v>5345</v>
      </c>
      <c r="F208" s="14" t="s">
        <v>3563</v>
      </c>
      <c r="G208" s="22" t="s">
        <v>4989</v>
      </c>
      <c r="H208" s="22" t="s">
        <v>26076</v>
      </c>
      <c r="I208" s="14" t="s">
        <v>88</v>
      </c>
      <c r="J208" s="14">
        <v>1</v>
      </c>
      <c r="K208" s="14">
        <v>1</v>
      </c>
      <c r="L208" s="14" t="s">
        <v>26077</v>
      </c>
      <c r="M208" s="14" t="s">
        <v>132</v>
      </c>
      <c r="N208" s="14" t="s">
        <v>26078</v>
      </c>
      <c r="O208" s="14" t="s">
        <v>26079</v>
      </c>
      <c r="P208" s="14" t="str">
        <f>HYPERLINK("https://dexscreener.com/solana/6tVZVjcppH2BZ9Xj5yFU1Zt34m2rYcyDqqpSeMDZpump", "View")</f>
        <v>View</v>
      </c>
    </row>
    <row r="209" spans="1:16" x14ac:dyDescent="0.25">
      <c r="A209" s="16" t="s">
        <v>26080</v>
      </c>
      <c r="B209" s="17">
        <v>23523</v>
      </c>
      <c r="C209" s="17">
        <v>0</v>
      </c>
      <c r="D209" s="17" t="s">
        <v>10098</v>
      </c>
      <c r="E209" s="17" t="s">
        <v>5345</v>
      </c>
      <c r="F209" s="17" t="s">
        <v>96</v>
      </c>
      <c r="G209" s="18" t="s">
        <v>16114</v>
      </c>
      <c r="H209" s="18" t="s">
        <v>98</v>
      </c>
      <c r="I209" s="17" t="s">
        <v>26081</v>
      </c>
      <c r="J209" s="17">
        <v>1</v>
      </c>
      <c r="K209" s="17">
        <v>0</v>
      </c>
      <c r="L209" s="17" t="s">
        <v>26082</v>
      </c>
      <c r="M209" s="19" t="s">
        <v>101</v>
      </c>
      <c r="N209" s="17" t="s">
        <v>507</v>
      </c>
      <c r="O209" s="17" t="s">
        <v>26083</v>
      </c>
      <c r="P209" s="17" t="str">
        <f>HYPERLINK("https://dexscreener.com/solana/58yjHn8mGdgGYCu5A6WiE1MbBHidZqC9N6b3trwupump", "View")</f>
        <v>View</v>
      </c>
    </row>
    <row r="210" spans="1:16" x14ac:dyDescent="0.25">
      <c r="A210" s="13" t="s">
        <v>6195</v>
      </c>
      <c r="B210" s="14">
        <v>138915</v>
      </c>
      <c r="C210" s="14">
        <v>0</v>
      </c>
      <c r="D210" s="14" t="s">
        <v>10098</v>
      </c>
      <c r="E210" s="14" t="s">
        <v>5345</v>
      </c>
      <c r="F210" s="14" t="s">
        <v>96</v>
      </c>
      <c r="G210" s="18" t="s">
        <v>16114</v>
      </c>
      <c r="H210" s="18" t="s">
        <v>98</v>
      </c>
      <c r="I210" s="14" t="s">
        <v>26084</v>
      </c>
      <c r="J210" s="14">
        <v>1</v>
      </c>
      <c r="K210" s="14">
        <v>0</v>
      </c>
      <c r="L210" s="14" t="s">
        <v>26085</v>
      </c>
      <c r="M210" s="19" t="s">
        <v>101</v>
      </c>
      <c r="N210" s="14" t="s">
        <v>26086</v>
      </c>
      <c r="O210" s="14" t="s">
        <v>18960</v>
      </c>
      <c r="P210" s="14" t="str">
        <f>HYPERLINK("https://dexscreener.com/solana/4wvuT22Marg5RWgmw9cB6PVsTPAmxsFBFauybXV4pump", "View")</f>
        <v>View</v>
      </c>
    </row>
    <row r="211" spans="1:16" x14ac:dyDescent="0.25">
      <c r="A211" s="16" t="s">
        <v>2302</v>
      </c>
      <c r="B211" s="17">
        <v>292502</v>
      </c>
      <c r="C211" s="17">
        <v>0</v>
      </c>
      <c r="D211" s="17" t="s">
        <v>10098</v>
      </c>
      <c r="E211" s="17" t="s">
        <v>5345</v>
      </c>
      <c r="F211" s="17" t="s">
        <v>96</v>
      </c>
      <c r="G211" s="18" t="s">
        <v>16114</v>
      </c>
      <c r="H211" s="18" t="s">
        <v>98</v>
      </c>
      <c r="I211" s="17" t="s">
        <v>26087</v>
      </c>
      <c r="J211" s="17">
        <v>1</v>
      </c>
      <c r="K211" s="17">
        <v>0</v>
      </c>
      <c r="L211" s="17" t="s">
        <v>26088</v>
      </c>
      <c r="M211" s="19" t="s">
        <v>101</v>
      </c>
      <c r="N211" s="17" t="s">
        <v>26089</v>
      </c>
      <c r="O211" s="17" t="s">
        <v>26090</v>
      </c>
      <c r="P211" s="17" t="str">
        <f>HYPERLINK("https://dexscreener.com/solana/6V6q3A6x3SjQEx3cmHEwhcLrBvUMABZrJHE1CYppump", "View")</f>
        <v>View</v>
      </c>
    </row>
    <row r="212" spans="1:16" x14ac:dyDescent="0.25">
      <c r="A212" s="13" t="s">
        <v>6195</v>
      </c>
      <c r="B212" s="14">
        <v>71005</v>
      </c>
      <c r="C212" s="14">
        <v>0</v>
      </c>
      <c r="D212" s="14" t="s">
        <v>883</v>
      </c>
      <c r="E212" s="14" t="s">
        <v>4679</v>
      </c>
      <c r="F212" s="14" t="s">
        <v>96</v>
      </c>
      <c r="G212" s="18" t="s">
        <v>5436</v>
      </c>
      <c r="H212" s="18" t="s">
        <v>98</v>
      </c>
      <c r="I212" s="14" t="s">
        <v>26091</v>
      </c>
      <c r="J212" s="14">
        <v>2</v>
      </c>
      <c r="K212" s="14">
        <v>0</v>
      </c>
      <c r="L212" s="14" t="s">
        <v>26092</v>
      </c>
      <c r="M212" s="14" t="s">
        <v>1448</v>
      </c>
      <c r="N212" s="14" t="s">
        <v>26093</v>
      </c>
      <c r="O212" s="14" t="s">
        <v>26094</v>
      </c>
      <c r="P212" s="14" t="str">
        <f>HYPERLINK("https://dexscreener.com/solana/6yG3pna19rfYm1k1P7eBTDhFqyFkyrW16j5iZwMWpump", "View")</f>
        <v>View</v>
      </c>
    </row>
    <row r="213" spans="1:16" x14ac:dyDescent="0.25">
      <c r="A213" s="16" t="s">
        <v>8679</v>
      </c>
      <c r="B213" s="17">
        <v>27430</v>
      </c>
      <c r="C213" s="17">
        <v>0</v>
      </c>
      <c r="D213" s="17" t="s">
        <v>10098</v>
      </c>
      <c r="E213" s="17" t="s">
        <v>5345</v>
      </c>
      <c r="F213" s="17" t="s">
        <v>96</v>
      </c>
      <c r="G213" s="18" t="s">
        <v>16114</v>
      </c>
      <c r="H213" s="18" t="s">
        <v>98</v>
      </c>
      <c r="I213" s="17" t="s">
        <v>26095</v>
      </c>
      <c r="J213" s="17">
        <v>1</v>
      </c>
      <c r="K213" s="17">
        <v>0</v>
      </c>
      <c r="L213" s="17" t="s">
        <v>26096</v>
      </c>
      <c r="M213" s="19" t="s">
        <v>101</v>
      </c>
      <c r="N213" s="17" t="s">
        <v>507</v>
      </c>
      <c r="O213" s="17" t="s">
        <v>26097</v>
      </c>
      <c r="P213" s="17" t="str">
        <f>HYPERLINK("https://dexscreener.com/solana/AVVAVwmhoziPgr13c2wZt3nUn6iuSPAY6NdvoPCwaHQH", "View")</f>
        <v>View</v>
      </c>
    </row>
    <row r="214" spans="1:16" x14ac:dyDescent="0.25">
      <c r="A214" s="13" t="s">
        <v>26098</v>
      </c>
      <c r="B214" s="14">
        <v>2495</v>
      </c>
      <c r="C214" s="14">
        <v>0</v>
      </c>
      <c r="D214" s="14" t="s">
        <v>864</v>
      </c>
      <c r="E214" s="14" t="s">
        <v>5345</v>
      </c>
      <c r="F214" s="14" t="s">
        <v>96</v>
      </c>
      <c r="G214" s="18" t="s">
        <v>5370</v>
      </c>
      <c r="H214" s="18" t="s">
        <v>98</v>
      </c>
      <c r="I214" s="14" t="s">
        <v>26099</v>
      </c>
      <c r="J214" s="14">
        <v>1</v>
      </c>
      <c r="K214" s="14">
        <v>0</v>
      </c>
      <c r="L214" s="14" t="s">
        <v>26100</v>
      </c>
      <c r="M214" s="19" t="s">
        <v>101</v>
      </c>
      <c r="N214" s="14" t="s">
        <v>26101</v>
      </c>
      <c r="O214" s="14" t="s">
        <v>26102</v>
      </c>
      <c r="P214" s="14" t="str">
        <f>HYPERLINK("https://dexscreener.com/solana/8Sk1mazEDN1L6P6E9di4Xgza3icJw4Za9KUKqnUNEQrM", "View")</f>
        <v>View</v>
      </c>
    </row>
    <row r="215" spans="1:16" x14ac:dyDescent="0.25">
      <c r="A215" s="16" t="s">
        <v>26103</v>
      </c>
      <c r="B215" s="17">
        <v>162441</v>
      </c>
      <c r="C215" s="17">
        <v>0</v>
      </c>
      <c r="D215" s="17" t="s">
        <v>864</v>
      </c>
      <c r="E215" s="17" t="s">
        <v>5345</v>
      </c>
      <c r="F215" s="17" t="s">
        <v>96</v>
      </c>
      <c r="G215" s="18" t="s">
        <v>5370</v>
      </c>
      <c r="H215" s="18" t="s">
        <v>98</v>
      </c>
      <c r="I215" s="17" t="s">
        <v>26104</v>
      </c>
      <c r="J215" s="17">
        <v>1</v>
      </c>
      <c r="K215" s="17">
        <v>0</v>
      </c>
      <c r="L215" s="17" t="s">
        <v>26105</v>
      </c>
      <c r="M215" s="19" t="s">
        <v>101</v>
      </c>
      <c r="N215" s="17" t="s">
        <v>26106</v>
      </c>
      <c r="O215" s="17" t="s">
        <v>26107</v>
      </c>
      <c r="P215" s="17" t="str">
        <f>HYPERLINK("https://dexscreener.com/solana/EJ6r55VaTxKwaPTBWU6naLsUoSnBJ59Q3jZtE5wrpump", "View")</f>
        <v>View</v>
      </c>
    </row>
    <row r="216" spans="1:16" x14ac:dyDescent="0.25">
      <c r="A216" s="13" t="s">
        <v>26108</v>
      </c>
      <c r="B216" s="14">
        <v>125094</v>
      </c>
      <c r="C216" s="14">
        <v>0</v>
      </c>
      <c r="D216" s="14" t="s">
        <v>864</v>
      </c>
      <c r="E216" s="14" t="s">
        <v>5345</v>
      </c>
      <c r="F216" s="14" t="s">
        <v>96</v>
      </c>
      <c r="G216" s="18" t="s">
        <v>5370</v>
      </c>
      <c r="H216" s="18" t="s">
        <v>98</v>
      </c>
      <c r="I216" s="14" t="s">
        <v>26109</v>
      </c>
      <c r="J216" s="14">
        <v>1</v>
      </c>
      <c r="K216" s="14">
        <v>0</v>
      </c>
      <c r="L216" s="14" t="s">
        <v>26110</v>
      </c>
      <c r="M216" s="19" t="s">
        <v>101</v>
      </c>
      <c r="N216" s="14" t="s">
        <v>26111</v>
      </c>
      <c r="O216" s="14" t="s">
        <v>26112</v>
      </c>
      <c r="P216" s="14" t="str">
        <f>HYPERLINK("https://dexscreener.com/solana/F9yiB9kPzCQKE8vP9jZfHXXuTL9z1FKTaZvqqKXdpump", "View")</f>
        <v>View</v>
      </c>
    </row>
    <row r="217" spans="1:16" x14ac:dyDescent="0.25">
      <c r="A217" s="16" t="s">
        <v>26113</v>
      </c>
      <c r="B217" s="17">
        <v>5508</v>
      </c>
      <c r="C217" s="17">
        <v>0</v>
      </c>
      <c r="D217" s="17" t="s">
        <v>864</v>
      </c>
      <c r="E217" s="17" t="s">
        <v>5345</v>
      </c>
      <c r="F217" s="17" t="s">
        <v>96</v>
      </c>
      <c r="G217" s="18" t="s">
        <v>5370</v>
      </c>
      <c r="H217" s="18" t="s">
        <v>98</v>
      </c>
      <c r="I217" s="17" t="s">
        <v>26114</v>
      </c>
      <c r="J217" s="17">
        <v>1</v>
      </c>
      <c r="K217" s="17">
        <v>0</v>
      </c>
      <c r="L217" s="17" t="s">
        <v>26115</v>
      </c>
      <c r="M217" s="19" t="s">
        <v>101</v>
      </c>
      <c r="N217" s="17" t="s">
        <v>25825</v>
      </c>
      <c r="O217" s="17" t="s">
        <v>26116</v>
      </c>
      <c r="P217" s="17" t="str">
        <f>HYPERLINK("https://dexscreener.com/solana/FvER7SsvY5GqAMawf7Qfb5MnUUmDdbPNPg4nCa4zHoLw", "View")</f>
        <v>View</v>
      </c>
    </row>
    <row r="218" spans="1:16" x14ac:dyDescent="0.25">
      <c r="A218" s="13" t="s">
        <v>26117</v>
      </c>
      <c r="B218" s="14">
        <v>122641</v>
      </c>
      <c r="C218" s="14">
        <v>0</v>
      </c>
      <c r="D218" s="14" t="s">
        <v>883</v>
      </c>
      <c r="E218" s="14" t="s">
        <v>4679</v>
      </c>
      <c r="F218" s="14" t="s">
        <v>96</v>
      </c>
      <c r="G218" s="18" t="s">
        <v>5436</v>
      </c>
      <c r="H218" s="18" t="s">
        <v>98</v>
      </c>
      <c r="I218" s="14" t="s">
        <v>26118</v>
      </c>
      <c r="J218" s="14">
        <v>2</v>
      </c>
      <c r="K218" s="14">
        <v>0</v>
      </c>
      <c r="L218" s="14" t="s">
        <v>26119</v>
      </c>
      <c r="M218" s="14" t="s">
        <v>117</v>
      </c>
      <c r="N218" s="14" t="s">
        <v>26120</v>
      </c>
      <c r="O218" s="14" t="s">
        <v>26121</v>
      </c>
      <c r="P218" s="14" t="str">
        <f>HYPERLINK("https://dexscreener.com/solana/QuDZc6m9TDhGJgT1bGTHXBfDabdpLx8sbQeB44xpump", "View")</f>
        <v>View</v>
      </c>
    </row>
    <row r="219" spans="1:16" x14ac:dyDescent="0.25">
      <c r="A219" s="16" t="s">
        <v>15198</v>
      </c>
      <c r="B219" s="17">
        <v>12633</v>
      </c>
      <c r="C219" s="17">
        <v>0</v>
      </c>
      <c r="D219" s="17" t="s">
        <v>864</v>
      </c>
      <c r="E219" s="17" t="s">
        <v>5345</v>
      </c>
      <c r="F219" s="17" t="s">
        <v>96</v>
      </c>
      <c r="G219" s="18" t="s">
        <v>5370</v>
      </c>
      <c r="H219" s="18" t="s">
        <v>98</v>
      </c>
      <c r="I219" s="17" t="s">
        <v>26122</v>
      </c>
      <c r="J219" s="17">
        <v>1</v>
      </c>
      <c r="K219" s="17">
        <v>0</v>
      </c>
      <c r="L219" s="17" t="s">
        <v>26123</v>
      </c>
      <c r="M219" s="19" t="s">
        <v>101</v>
      </c>
      <c r="N219" s="17" t="s">
        <v>26124</v>
      </c>
      <c r="O219" s="17" t="s">
        <v>26125</v>
      </c>
      <c r="P219" s="17" t="str">
        <f>HYPERLINK("https://dexscreener.com/solana/yw1qQQ8Y1o1QMd4binGzyDxgwQZfrKATgvNS2azpump", "View")</f>
        <v>View</v>
      </c>
    </row>
    <row r="220" spans="1:16" x14ac:dyDescent="0.25">
      <c r="A220" s="13" t="s">
        <v>11154</v>
      </c>
      <c r="B220" s="14">
        <v>128026</v>
      </c>
      <c r="C220" s="14">
        <v>0</v>
      </c>
      <c r="D220" s="14" t="s">
        <v>864</v>
      </c>
      <c r="E220" s="14" t="s">
        <v>5345</v>
      </c>
      <c r="F220" s="14" t="s">
        <v>96</v>
      </c>
      <c r="G220" s="18" t="s">
        <v>5370</v>
      </c>
      <c r="H220" s="18" t="s">
        <v>98</v>
      </c>
      <c r="I220" s="14" t="s">
        <v>26126</v>
      </c>
      <c r="J220" s="14">
        <v>1</v>
      </c>
      <c r="K220" s="14">
        <v>0</v>
      </c>
      <c r="L220" s="14" t="s">
        <v>26127</v>
      </c>
      <c r="M220" s="19" t="s">
        <v>101</v>
      </c>
      <c r="N220" s="14" t="s">
        <v>26128</v>
      </c>
      <c r="O220" s="14" t="s">
        <v>26129</v>
      </c>
      <c r="P220" s="14" t="str">
        <f>HYPERLINK("https://dexscreener.com/solana/FcgY2rCHmzWpV5BHJYa3xcUhsEreQyAJ1vD2d2uzpump", "View")</f>
        <v>View</v>
      </c>
    </row>
    <row r="221" spans="1:16" x14ac:dyDescent="0.25">
      <c r="A221" s="16" t="s">
        <v>26130</v>
      </c>
      <c r="B221" s="17">
        <v>1650</v>
      </c>
      <c r="C221" s="17">
        <v>0</v>
      </c>
      <c r="D221" s="17" t="s">
        <v>864</v>
      </c>
      <c r="E221" s="17" t="s">
        <v>5345</v>
      </c>
      <c r="F221" s="17" t="s">
        <v>96</v>
      </c>
      <c r="G221" s="18" t="s">
        <v>5370</v>
      </c>
      <c r="H221" s="18" t="s">
        <v>98</v>
      </c>
      <c r="I221" s="17" t="s">
        <v>26131</v>
      </c>
      <c r="J221" s="17">
        <v>1</v>
      </c>
      <c r="K221" s="17">
        <v>0</v>
      </c>
      <c r="L221" s="17" t="s">
        <v>26132</v>
      </c>
      <c r="M221" s="19" t="s">
        <v>101</v>
      </c>
      <c r="N221" s="17" t="s">
        <v>26133</v>
      </c>
      <c r="O221" s="17" t="s">
        <v>26134</v>
      </c>
      <c r="P221" s="17" t="str">
        <f>HYPERLINK("https://dexscreener.com/solana/GYKmdfcUmZVrqfcH1g579BGjuzSRijj3LBuwv79rpump", "View")</f>
        <v>View</v>
      </c>
    </row>
    <row r="222" spans="1:16" x14ac:dyDescent="0.25">
      <c r="A222" s="13" t="s">
        <v>26135</v>
      </c>
      <c r="B222" s="14">
        <v>39889</v>
      </c>
      <c r="C222" s="14">
        <v>0</v>
      </c>
      <c r="D222" s="14" t="s">
        <v>864</v>
      </c>
      <c r="E222" s="14" t="s">
        <v>5345</v>
      </c>
      <c r="F222" s="14" t="s">
        <v>96</v>
      </c>
      <c r="G222" s="18" t="s">
        <v>5370</v>
      </c>
      <c r="H222" s="18" t="s">
        <v>98</v>
      </c>
      <c r="I222" s="14" t="s">
        <v>26136</v>
      </c>
      <c r="J222" s="14">
        <v>1</v>
      </c>
      <c r="K222" s="14">
        <v>0</v>
      </c>
      <c r="L222" s="14" t="s">
        <v>26137</v>
      </c>
      <c r="M222" s="19" t="s">
        <v>101</v>
      </c>
      <c r="N222" s="14" t="s">
        <v>26138</v>
      </c>
      <c r="O222" s="14" t="s">
        <v>26139</v>
      </c>
      <c r="P222" s="14" t="str">
        <f>HYPERLINK("https://dexscreener.com/solana/ETQ1eizmor3uMnPByaRDdzqVDa67XBdxNuWB61t5pump", "View")</f>
        <v>View</v>
      </c>
    </row>
    <row r="223" spans="1:16" x14ac:dyDescent="0.25">
      <c r="A223" s="16" t="s">
        <v>26140</v>
      </c>
      <c r="B223" s="17">
        <v>55644</v>
      </c>
      <c r="C223" s="17">
        <v>0</v>
      </c>
      <c r="D223" s="17" t="s">
        <v>864</v>
      </c>
      <c r="E223" s="17" t="s">
        <v>5345</v>
      </c>
      <c r="F223" s="17" t="s">
        <v>96</v>
      </c>
      <c r="G223" s="18" t="s">
        <v>5370</v>
      </c>
      <c r="H223" s="18" t="s">
        <v>98</v>
      </c>
      <c r="I223" s="17" t="s">
        <v>26141</v>
      </c>
      <c r="J223" s="17">
        <v>1</v>
      </c>
      <c r="K223" s="17">
        <v>0</v>
      </c>
      <c r="L223" s="17" t="s">
        <v>26142</v>
      </c>
      <c r="M223" s="19" t="s">
        <v>101</v>
      </c>
      <c r="N223" s="17" t="s">
        <v>26143</v>
      </c>
      <c r="O223" s="17" t="s">
        <v>26144</v>
      </c>
      <c r="P223" s="17" t="str">
        <f>HYPERLINK("https://dexscreener.com/solana/CpN2Wvw9Er1hfrK1J6L2u93Tw3V9RJU4EArFRdsC2mGY", "View")</f>
        <v>View</v>
      </c>
    </row>
    <row r="224" spans="1:16" x14ac:dyDescent="0.25">
      <c r="A224" s="13" t="s">
        <v>26145</v>
      </c>
      <c r="B224" s="14">
        <v>130794</v>
      </c>
      <c r="C224" s="14">
        <v>0</v>
      </c>
      <c r="D224" s="14" t="s">
        <v>864</v>
      </c>
      <c r="E224" s="14" t="s">
        <v>5345</v>
      </c>
      <c r="F224" s="14" t="s">
        <v>96</v>
      </c>
      <c r="G224" s="18" t="s">
        <v>5370</v>
      </c>
      <c r="H224" s="18" t="s">
        <v>98</v>
      </c>
      <c r="I224" s="14" t="s">
        <v>26146</v>
      </c>
      <c r="J224" s="14">
        <v>1</v>
      </c>
      <c r="K224" s="14">
        <v>0</v>
      </c>
      <c r="L224" s="14" t="s">
        <v>26147</v>
      </c>
      <c r="M224" s="19" t="s">
        <v>101</v>
      </c>
      <c r="N224" s="14" t="s">
        <v>26148</v>
      </c>
      <c r="O224" s="14" t="s">
        <v>26149</v>
      </c>
      <c r="P224" s="14" t="str">
        <f>HYPERLINK("https://dexscreener.com/solana/G4A5da43abPuwmiLDqCDhNX9YTUrwidP7mTS4HHppump", "View")</f>
        <v>View</v>
      </c>
    </row>
    <row r="225" spans="1:16" x14ac:dyDescent="0.25">
      <c r="A225" s="16" t="s">
        <v>26150</v>
      </c>
      <c r="B225" s="17">
        <v>91323</v>
      </c>
      <c r="C225" s="17">
        <v>0</v>
      </c>
      <c r="D225" s="17" t="s">
        <v>883</v>
      </c>
      <c r="E225" s="17" t="s">
        <v>4679</v>
      </c>
      <c r="F225" s="17" t="s">
        <v>96</v>
      </c>
      <c r="G225" s="18" t="s">
        <v>5436</v>
      </c>
      <c r="H225" s="18" t="s">
        <v>98</v>
      </c>
      <c r="I225" s="17" t="s">
        <v>26151</v>
      </c>
      <c r="J225" s="17">
        <v>2</v>
      </c>
      <c r="K225" s="17">
        <v>0</v>
      </c>
      <c r="L225" s="17" t="s">
        <v>26152</v>
      </c>
      <c r="M225" s="17" t="s">
        <v>132</v>
      </c>
      <c r="N225" s="17" t="s">
        <v>26153</v>
      </c>
      <c r="O225" s="17" t="s">
        <v>26154</v>
      </c>
      <c r="P225" s="17" t="str">
        <f>HYPERLINK("https://dexscreener.com/solana/7TdauvKoUa939cHiArFFArVb2FVSVjm61b2BG9CspAEz", "View")</f>
        <v>View</v>
      </c>
    </row>
    <row r="226" spans="1:16" x14ac:dyDescent="0.25">
      <c r="A226" s="13" t="s">
        <v>26155</v>
      </c>
      <c r="B226" s="14">
        <v>99355</v>
      </c>
      <c r="C226" s="14">
        <v>0</v>
      </c>
      <c r="D226" s="14" t="s">
        <v>864</v>
      </c>
      <c r="E226" s="14" t="s">
        <v>5345</v>
      </c>
      <c r="F226" s="14" t="s">
        <v>96</v>
      </c>
      <c r="G226" s="18" t="s">
        <v>5370</v>
      </c>
      <c r="H226" s="18" t="s">
        <v>98</v>
      </c>
      <c r="I226" s="14" t="s">
        <v>26156</v>
      </c>
      <c r="J226" s="14">
        <v>1</v>
      </c>
      <c r="K226" s="14">
        <v>0</v>
      </c>
      <c r="L226" s="14" t="s">
        <v>26157</v>
      </c>
      <c r="M226" s="19" t="s">
        <v>101</v>
      </c>
      <c r="N226" s="14" t="s">
        <v>26158</v>
      </c>
      <c r="O226" s="14" t="s">
        <v>26159</v>
      </c>
      <c r="P226" s="14" t="str">
        <f>HYPERLINK("https://dexscreener.com/solana/DmaDxPxGhFmw1q8PGqRTLBMMdU7CLpn1RRybz6kpump", "View")</f>
        <v>View</v>
      </c>
    </row>
    <row r="227" spans="1:16" x14ac:dyDescent="0.25">
      <c r="A227" s="16" t="s">
        <v>11960</v>
      </c>
      <c r="B227" s="17">
        <v>15008</v>
      </c>
      <c r="C227" s="17">
        <v>11174</v>
      </c>
      <c r="D227" s="17" t="s">
        <v>26160</v>
      </c>
      <c r="E227" s="17" t="s">
        <v>3548</v>
      </c>
      <c r="F227" s="17" t="s">
        <v>16291</v>
      </c>
      <c r="G227" s="22" t="s">
        <v>20051</v>
      </c>
      <c r="H227" s="22" t="s">
        <v>26161</v>
      </c>
      <c r="I227" s="17" t="s">
        <v>88</v>
      </c>
      <c r="J227" s="17">
        <v>3</v>
      </c>
      <c r="K227" s="17">
        <v>4</v>
      </c>
      <c r="L227" s="17" t="s">
        <v>26162</v>
      </c>
      <c r="M227" s="17" t="s">
        <v>150</v>
      </c>
      <c r="N227" s="17" t="s">
        <v>26163</v>
      </c>
      <c r="O227" s="17" t="s">
        <v>11965</v>
      </c>
      <c r="P227" s="17" t="str">
        <f>HYPERLINK("https://dexscreener.com/solana/E6AujzX54E1ZoPDFP2CyG3HHUVKygEkp6DRqig61pump", "View")</f>
        <v>View</v>
      </c>
    </row>
    <row r="228" spans="1:16" x14ac:dyDescent="0.25">
      <c r="A228" s="13" t="s">
        <v>26164</v>
      </c>
      <c r="B228" s="14">
        <v>103993</v>
      </c>
      <c r="C228" s="14">
        <v>0</v>
      </c>
      <c r="D228" s="14" t="s">
        <v>864</v>
      </c>
      <c r="E228" s="14" t="s">
        <v>5345</v>
      </c>
      <c r="F228" s="14" t="s">
        <v>96</v>
      </c>
      <c r="G228" s="18" t="s">
        <v>5370</v>
      </c>
      <c r="H228" s="18" t="s">
        <v>98</v>
      </c>
      <c r="I228" s="14" t="s">
        <v>26165</v>
      </c>
      <c r="J228" s="14">
        <v>1</v>
      </c>
      <c r="K228" s="14">
        <v>0</v>
      </c>
      <c r="L228" s="14" t="s">
        <v>26166</v>
      </c>
      <c r="M228" s="19" t="s">
        <v>101</v>
      </c>
      <c r="N228" s="14" t="s">
        <v>507</v>
      </c>
      <c r="O228" s="14" t="s">
        <v>26167</v>
      </c>
      <c r="P228" s="14" t="str">
        <f>HYPERLINK("https://dexscreener.com/solana/C7xGvy9yE6FF2AYgJi2CCdRoUnPZLPhADRJgAQP3pump", "View")</f>
        <v>View</v>
      </c>
    </row>
    <row r="229" spans="1:16" x14ac:dyDescent="0.25">
      <c r="A229" s="16" t="s">
        <v>26168</v>
      </c>
      <c r="B229" s="17">
        <v>137379</v>
      </c>
      <c r="C229" s="17">
        <v>0</v>
      </c>
      <c r="D229" s="17" t="s">
        <v>864</v>
      </c>
      <c r="E229" s="17" t="s">
        <v>5345</v>
      </c>
      <c r="F229" s="17" t="s">
        <v>96</v>
      </c>
      <c r="G229" s="18" t="s">
        <v>5370</v>
      </c>
      <c r="H229" s="18" t="s">
        <v>98</v>
      </c>
      <c r="I229" s="17" t="s">
        <v>26169</v>
      </c>
      <c r="J229" s="17">
        <v>1</v>
      </c>
      <c r="K229" s="17">
        <v>0</v>
      </c>
      <c r="L229" s="17" t="s">
        <v>26170</v>
      </c>
      <c r="M229" s="19" t="s">
        <v>101</v>
      </c>
      <c r="N229" s="17" t="s">
        <v>26171</v>
      </c>
      <c r="O229" s="17" t="s">
        <v>26172</v>
      </c>
      <c r="P229" s="17" t="str">
        <f>HYPERLINK("https://dexscreener.com/solana/12WnYcuH8DonpxzgLADujkdNHWNBoFXakhLZP9Y2pump", "View")</f>
        <v>View</v>
      </c>
    </row>
    <row r="230" spans="1:16" x14ac:dyDescent="0.25">
      <c r="A230" s="13" t="s">
        <v>10986</v>
      </c>
      <c r="B230" s="14">
        <v>170084</v>
      </c>
      <c r="C230" s="14">
        <v>0</v>
      </c>
      <c r="D230" s="14" t="s">
        <v>864</v>
      </c>
      <c r="E230" s="14" t="s">
        <v>5345</v>
      </c>
      <c r="F230" s="14" t="s">
        <v>96</v>
      </c>
      <c r="G230" s="18" t="s">
        <v>5370</v>
      </c>
      <c r="H230" s="18" t="s">
        <v>98</v>
      </c>
      <c r="I230" s="14" t="s">
        <v>26173</v>
      </c>
      <c r="J230" s="14">
        <v>1</v>
      </c>
      <c r="K230" s="14">
        <v>0</v>
      </c>
      <c r="L230" s="14" t="s">
        <v>26174</v>
      </c>
      <c r="M230" s="19" t="s">
        <v>101</v>
      </c>
      <c r="N230" s="14" t="s">
        <v>26175</v>
      </c>
      <c r="O230" s="14" t="s">
        <v>26176</v>
      </c>
      <c r="P230" s="14" t="str">
        <f>HYPERLINK("https://dexscreener.com/solana/3NiacqbMpCbPr1NdUSZ6LDvqbTtCqEgnJn6dhdGzpump", "View")</f>
        <v>View</v>
      </c>
    </row>
    <row r="231" spans="1:16" x14ac:dyDescent="0.25">
      <c r="A231" s="16" t="s">
        <v>26177</v>
      </c>
      <c r="B231" s="17">
        <v>7751</v>
      </c>
      <c r="C231" s="17">
        <v>0</v>
      </c>
      <c r="D231" s="17" t="s">
        <v>864</v>
      </c>
      <c r="E231" s="17" t="s">
        <v>5345</v>
      </c>
      <c r="F231" s="17" t="s">
        <v>96</v>
      </c>
      <c r="G231" s="18" t="s">
        <v>5370</v>
      </c>
      <c r="H231" s="18" t="s">
        <v>98</v>
      </c>
      <c r="I231" s="17" t="s">
        <v>26178</v>
      </c>
      <c r="J231" s="17">
        <v>1</v>
      </c>
      <c r="K231" s="17">
        <v>0</v>
      </c>
      <c r="L231" s="17" t="s">
        <v>26179</v>
      </c>
      <c r="M231" s="19" t="s">
        <v>101</v>
      </c>
      <c r="N231" s="17" t="s">
        <v>26180</v>
      </c>
      <c r="O231" s="17" t="s">
        <v>26181</v>
      </c>
      <c r="P231" s="17" t="str">
        <f>HYPERLINK("https://dexscreener.com/solana/Dyg9HthwdkenToccZQM76TjWFoqSPfQd5d8iR8vspump", "View")</f>
        <v>View</v>
      </c>
    </row>
    <row r="232" spans="1:16" x14ac:dyDescent="0.25">
      <c r="A232" s="13" t="s">
        <v>15264</v>
      </c>
      <c r="B232" s="14">
        <v>3319</v>
      </c>
      <c r="C232" s="14">
        <v>0</v>
      </c>
      <c r="D232" s="14" t="s">
        <v>864</v>
      </c>
      <c r="E232" s="14" t="s">
        <v>5345</v>
      </c>
      <c r="F232" s="14" t="s">
        <v>96</v>
      </c>
      <c r="G232" s="18" t="s">
        <v>5370</v>
      </c>
      <c r="H232" s="18" t="s">
        <v>98</v>
      </c>
      <c r="I232" s="14" t="s">
        <v>26182</v>
      </c>
      <c r="J232" s="14">
        <v>1</v>
      </c>
      <c r="K232" s="14">
        <v>0</v>
      </c>
      <c r="L232" s="14" t="s">
        <v>26183</v>
      </c>
      <c r="M232" s="19" t="s">
        <v>101</v>
      </c>
      <c r="N232" s="14" t="s">
        <v>26184</v>
      </c>
      <c r="O232" s="14" t="s">
        <v>15270</v>
      </c>
      <c r="P232" s="14" t="str">
        <f>HYPERLINK("https://dexscreener.com/solana/7D7BRcBYepfi77vxySapmeqRNN1wsBBxnFPJGbH5pump", "View")</f>
        <v>View</v>
      </c>
    </row>
    <row r="233" spans="1:16" x14ac:dyDescent="0.25">
      <c r="A233" s="16" t="s">
        <v>10986</v>
      </c>
      <c r="B233" s="17">
        <v>220802</v>
      </c>
      <c r="C233" s="17">
        <v>0</v>
      </c>
      <c r="D233" s="17" t="s">
        <v>1289</v>
      </c>
      <c r="E233" s="17" t="s">
        <v>4679</v>
      </c>
      <c r="F233" s="17" t="s">
        <v>96</v>
      </c>
      <c r="G233" s="18" t="s">
        <v>2739</v>
      </c>
      <c r="H233" s="18" t="s">
        <v>98</v>
      </c>
      <c r="I233" s="17" t="s">
        <v>26185</v>
      </c>
      <c r="J233" s="17">
        <v>2</v>
      </c>
      <c r="K233" s="17">
        <v>0</v>
      </c>
      <c r="L233" s="17" t="s">
        <v>26186</v>
      </c>
      <c r="M233" s="19" t="s">
        <v>3033</v>
      </c>
      <c r="N233" s="17" t="s">
        <v>26187</v>
      </c>
      <c r="O233" s="17" t="s">
        <v>26188</v>
      </c>
      <c r="P233" s="17" t="str">
        <f>HYPERLINK("https://dexscreener.com/solana/8n8gwZkBvWtdsTXcG4qTpRUKHd7twcQu5dL7WuZipump", "View")</f>
        <v>View</v>
      </c>
    </row>
    <row r="234" spans="1:16" x14ac:dyDescent="0.25">
      <c r="A234" s="13" t="s">
        <v>26189</v>
      </c>
      <c r="B234" s="14">
        <v>13474</v>
      </c>
      <c r="C234" s="14">
        <v>0</v>
      </c>
      <c r="D234" s="14" t="s">
        <v>10098</v>
      </c>
      <c r="E234" s="14" t="s">
        <v>5345</v>
      </c>
      <c r="F234" s="14" t="s">
        <v>96</v>
      </c>
      <c r="G234" s="18" t="s">
        <v>16114</v>
      </c>
      <c r="H234" s="18" t="s">
        <v>98</v>
      </c>
      <c r="I234" s="14" t="s">
        <v>26190</v>
      </c>
      <c r="J234" s="14">
        <v>1</v>
      </c>
      <c r="K234" s="14">
        <v>0</v>
      </c>
      <c r="L234" s="14" t="s">
        <v>26191</v>
      </c>
      <c r="M234" s="19" t="s">
        <v>101</v>
      </c>
      <c r="N234" s="14" t="s">
        <v>26192</v>
      </c>
      <c r="O234" s="14" t="s">
        <v>26193</v>
      </c>
      <c r="P234" s="14" t="str">
        <f>HYPERLINK("https://dexscreener.com/solana/BE9WCtE9p36RX4kmsN5VDd8MSc5QwJQcARbSL3R8pump", "View")</f>
        <v>View</v>
      </c>
    </row>
    <row r="235" spans="1:16" x14ac:dyDescent="0.25">
      <c r="A235" s="16" t="s">
        <v>1463</v>
      </c>
      <c r="B235" s="17">
        <v>88688</v>
      </c>
      <c r="C235" s="17">
        <v>0</v>
      </c>
      <c r="D235" s="17" t="s">
        <v>883</v>
      </c>
      <c r="E235" s="17" t="s">
        <v>4679</v>
      </c>
      <c r="F235" s="17" t="s">
        <v>96</v>
      </c>
      <c r="G235" s="18" t="s">
        <v>5436</v>
      </c>
      <c r="H235" s="18" t="s">
        <v>98</v>
      </c>
      <c r="I235" s="17" t="s">
        <v>26194</v>
      </c>
      <c r="J235" s="17">
        <v>2</v>
      </c>
      <c r="K235" s="17">
        <v>0</v>
      </c>
      <c r="L235" s="17" t="s">
        <v>26195</v>
      </c>
      <c r="M235" s="17" t="s">
        <v>117</v>
      </c>
      <c r="N235" s="17" t="s">
        <v>26196</v>
      </c>
      <c r="O235" s="17" t="s">
        <v>1467</v>
      </c>
      <c r="P235" s="17" t="str">
        <f>HYPERLINK("https://dexscreener.com/solana/G4RJPzVfDWxxZogJpKA2WyF4nYorrmkMTnRjuPQiEK6j", "View")</f>
        <v>View</v>
      </c>
    </row>
    <row r="236" spans="1:16" x14ac:dyDescent="0.25">
      <c r="A236" s="13" t="s">
        <v>26197</v>
      </c>
      <c r="B236" s="14">
        <v>19709</v>
      </c>
      <c r="C236" s="14">
        <v>0</v>
      </c>
      <c r="D236" s="14" t="s">
        <v>864</v>
      </c>
      <c r="E236" s="14" t="s">
        <v>5345</v>
      </c>
      <c r="F236" s="14" t="s">
        <v>96</v>
      </c>
      <c r="G236" s="18" t="s">
        <v>5370</v>
      </c>
      <c r="H236" s="18" t="s">
        <v>98</v>
      </c>
      <c r="I236" s="14" t="s">
        <v>26198</v>
      </c>
      <c r="J236" s="14">
        <v>1</v>
      </c>
      <c r="K236" s="14">
        <v>0</v>
      </c>
      <c r="L236" s="14" t="s">
        <v>26199</v>
      </c>
      <c r="M236" s="19" t="s">
        <v>101</v>
      </c>
      <c r="N236" s="14" t="s">
        <v>507</v>
      </c>
      <c r="O236" s="14" t="s">
        <v>26200</v>
      </c>
      <c r="P236" s="14" t="str">
        <f>HYPERLINK("https://dexscreener.com/solana/2NVghefqf3M2WHJGd2opN6jVCa24yCXhsR2V1YmUkt3U", "View")</f>
        <v>View</v>
      </c>
    </row>
    <row r="237" spans="1:16" x14ac:dyDescent="0.25">
      <c r="A237" s="16" t="s">
        <v>12174</v>
      </c>
      <c r="B237" s="17">
        <v>142370</v>
      </c>
      <c r="C237" s="17">
        <v>105371</v>
      </c>
      <c r="D237" s="17" t="s">
        <v>26201</v>
      </c>
      <c r="E237" s="17" t="s">
        <v>4679</v>
      </c>
      <c r="F237" s="17" t="s">
        <v>13039</v>
      </c>
      <c r="G237" s="21" t="s">
        <v>26202</v>
      </c>
      <c r="H237" s="21" t="s">
        <v>26203</v>
      </c>
      <c r="I237" s="17" t="s">
        <v>88</v>
      </c>
      <c r="J237" s="17">
        <v>2</v>
      </c>
      <c r="K237" s="17">
        <v>5</v>
      </c>
      <c r="L237" s="17" t="s">
        <v>26204</v>
      </c>
      <c r="M237" s="17" t="s">
        <v>132</v>
      </c>
      <c r="N237" s="17" t="s">
        <v>26205</v>
      </c>
      <c r="O237" s="17" t="s">
        <v>26206</v>
      </c>
      <c r="P237" s="17" t="str">
        <f>HYPERLINK("https://dexscreener.com/solana/EWf4S4KtDmCAZDxNNUygmsieJnCW77uhnbqf7UTcHR3N", "View")</f>
        <v>View</v>
      </c>
    </row>
    <row r="238" spans="1:16" x14ac:dyDescent="0.25">
      <c r="A238" s="13" t="s">
        <v>4498</v>
      </c>
      <c r="B238" s="14">
        <v>7127</v>
      </c>
      <c r="C238" s="14">
        <v>0</v>
      </c>
      <c r="D238" s="14" t="s">
        <v>864</v>
      </c>
      <c r="E238" s="14" t="s">
        <v>5345</v>
      </c>
      <c r="F238" s="14" t="s">
        <v>96</v>
      </c>
      <c r="G238" s="18" t="s">
        <v>5370</v>
      </c>
      <c r="H238" s="18" t="s">
        <v>98</v>
      </c>
      <c r="I238" s="14" t="s">
        <v>26207</v>
      </c>
      <c r="J238" s="14">
        <v>1</v>
      </c>
      <c r="K238" s="14">
        <v>0</v>
      </c>
      <c r="L238" s="14" t="s">
        <v>26208</v>
      </c>
      <c r="M238" s="19" t="s">
        <v>101</v>
      </c>
      <c r="N238" s="14" t="s">
        <v>507</v>
      </c>
      <c r="O238" s="14" t="s">
        <v>23815</v>
      </c>
      <c r="P238" s="14" t="str">
        <f>HYPERLINK("https://dexscreener.com/solana/moocsmf9ZJ2UYg6ShNQSrQNBChWqCNAenGuebFBZ6Hq", "View")</f>
        <v>View</v>
      </c>
    </row>
    <row r="239" spans="1:16" x14ac:dyDescent="0.25">
      <c r="A239" s="16" t="s">
        <v>26209</v>
      </c>
      <c r="B239" s="17">
        <v>14914</v>
      </c>
      <c r="C239" s="17">
        <v>0</v>
      </c>
      <c r="D239" s="17" t="s">
        <v>864</v>
      </c>
      <c r="E239" s="17" t="s">
        <v>5345</v>
      </c>
      <c r="F239" s="17" t="s">
        <v>96</v>
      </c>
      <c r="G239" s="18" t="s">
        <v>5370</v>
      </c>
      <c r="H239" s="18" t="s">
        <v>98</v>
      </c>
      <c r="I239" s="17" t="s">
        <v>26210</v>
      </c>
      <c r="J239" s="17">
        <v>1</v>
      </c>
      <c r="K239" s="17">
        <v>0</v>
      </c>
      <c r="L239" s="17" t="s">
        <v>26211</v>
      </c>
      <c r="M239" s="19" t="s">
        <v>101</v>
      </c>
      <c r="N239" s="17" t="s">
        <v>26212</v>
      </c>
      <c r="O239" s="17" t="s">
        <v>26213</v>
      </c>
      <c r="P239" s="17" t="str">
        <f>HYPERLINK("https://dexscreener.com/solana/9L2UhB5U3ZNZSsac8Gj13JU6SnGNZTcnXbxhHNeuix4s", "View")</f>
        <v>View</v>
      </c>
    </row>
    <row r="240" spans="1:16" x14ac:dyDescent="0.25">
      <c r="A240" s="13" t="s">
        <v>15610</v>
      </c>
      <c r="B240" s="14">
        <v>109861</v>
      </c>
      <c r="C240" s="14">
        <v>0</v>
      </c>
      <c r="D240" s="14" t="s">
        <v>864</v>
      </c>
      <c r="E240" s="14" t="s">
        <v>5345</v>
      </c>
      <c r="F240" s="14" t="s">
        <v>96</v>
      </c>
      <c r="G240" s="18" t="s">
        <v>5370</v>
      </c>
      <c r="H240" s="18" t="s">
        <v>98</v>
      </c>
      <c r="I240" s="14" t="s">
        <v>26214</v>
      </c>
      <c r="J240" s="14">
        <v>1</v>
      </c>
      <c r="K240" s="14">
        <v>0</v>
      </c>
      <c r="L240" s="14" t="s">
        <v>26215</v>
      </c>
      <c r="M240" s="19" t="s">
        <v>101</v>
      </c>
      <c r="N240" s="14" t="s">
        <v>26216</v>
      </c>
      <c r="O240" s="14" t="s">
        <v>26217</v>
      </c>
      <c r="P240" s="14" t="str">
        <f>HYPERLINK("https://dexscreener.com/solana/5eUra5EUTvpw37zYTLo4W3j8JLfv5NNQHvLQrvWgpump", "View")</f>
        <v>View</v>
      </c>
    </row>
    <row r="241" spans="1:16" x14ac:dyDescent="0.25">
      <c r="A241" s="16" t="s">
        <v>26218</v>
      </c>
      <c r="B241" s="17">
        <v>87875</v>
      </c>
      <c r="C241" s="17">
        <v>0</v>
      </c>
      <c r="D241" s="17" t="s">
        <v>883</v>
      </c>
      <c r="E241" s="17" t="s">
        <v>4679</v>
      </c>
      <c r="F241" s="17" t="s">
        <v>96</v>
      </c>
      <c r="G241" s="18" t="s">
        <v>5436</v>
      </c>
      <c r="H241" s="18" t="s">
        <v>98</v>
      </c>
      <c r="I241" s="17" t="s">
        <v>26219</v>
      </c>
      <c r="J241" s="17">
        <v>2</v>
      </c>
      <c r="K241" s="17">
        <v>0</v>
      </c>
      <c r="L241" s="17" t="s">
        <v>26220</v>
      </c>
      <c r="M241" s="17" t="s">
        <v>1448</v>
      </c>
      <c r="N241" s="17" t="s">
        <v>26221</v>
      </c>
      <c r="O241" s="17" t="s">
        <v>26222</v>
      </c>
      <c r="P241" s="17" t="str">
        <f>HYPERLINK("https://dexscreener.com/solana/DLMMkdzWv98CBfhHU6w9mg6w4JHi7jYq1RXYt9GsqxmU", "View")</f>
        <v>View</v>
      </c>
    </row>
    <row r="242" spans="1:16" x14ac:dyDescent="0.25">
      <c r="A242" s="13" t="s">
        <v>12174</v>
      </c>
      <c r="B242" s="14">
        <v>24917</v>
      </c>
      <c r="C242" s="14">
        <v>0</v>
      </c>
      <c r="D242" s="14" t="s">
        <v>10098</v>
      </c>
      <c r="E242" s="14" t="s">
        <v>5345</v>
      </c>
      <c r="F242" s="14" t="s">
        <v>96</v>
      </c>
      <c r="G242" s="18" t="s">
        <v>16114</v>
      </c>
      <c r="H242" s="18" t="s">
        <v>98</v>
      </c>
      <c r="I242" s="14" t="s">
        <v>26223</v>
      </c>
      <c r="J242" s="14">
        <v>1</v>
      </c>
      <c r="K242" s="14">
        <v>0</v>
      </c>
      <c r="L242" s="14" t="s">
        <v>26224</v>
      </c>
      <c r="M242" s="19" t="s">
        <v>101</v>
      </c>
      <c r="N242" s="14" t="s">
        <v>11633</v>
      </c>
      <c r="O242" s="14" t="s">
        <v>26225</v>
      </c>
      <c r="P242" s="14" t="str">
        <f>HYPERLINK("https://dexscreener.com/solana/67p68fQBqAeKEt1jEM5bKMLR5mfiDKgEcoDxKfZpump", "View")</f>
        <v>View</v>
      </c>
    </row>
    <row r="243" spans="1:16" x14ac:dyDescent="0.25">
      <c r="A243" s="16" t="s">
        <v>26226</v>
      </c>
      <c r="B243" s="17">
        <v>91396</v>
      </c>
      <c r="C243" s="17">
        <v>0</v>
      </c>
      <c r="D243" s="17" t="s">
        <v>864</v>
      </c>
      <c r="E243" s="17" t="s">
        <v>5345</v>
      </c>
      <c r="F243" s="17" t="s">
        <v>96</v>
      </c>
      <c r="G243" s="18" t="s">
        <v>5370</v>
      </c>
      <c r="H243" s="18" t="s">
        <v>98</v>
      </c>
      <c r="I243" s="17" t="s">
        <v>26227</v>
      </c>
      <c r="J243" s="17">
        <v>1</v>
      </c>
      <c r="K243" s="17">
        <v>0</v>
      </c>
      <c r="L243" s="17" t="s">
        <v>26228</v>
      </c>
      <c r="M243" s="19" t="s">
        <v>101</v>
      </c>
      <c r="N243" s="17" t="s">
        <v>26229</v>
      </c>
      <c r="O243" s="17" t="s">
        <v>26230</v>
      </c>
      <c r="P243" s="17" t="str">
        <f>HYPERLINK("https://dexscreener.com/solana/12MwDLsVnuBT9BrByRZX9DcD4teHHgxmZJgzdxmHpump", "View")</f>
        <v>View</v>
      </c>
    </row>
    <row r="244" spans="1:16" x14ac:dyDescent="0.25">
      <c r="A244" s="13" t="s">
        <v>26231</v>
      </c>
      <c r="B244" s="14">
        <v>92903</v>
      </c>
      <c r="C244" s="14">
        <v>0</v>
      </c>
      <c r="D244" s="14" t="s">
        <v>1289</v>
      </c>
      <c r="E244" s="14" t="s">
        <v>4679</v>
      </c>
      <c r="F244" s="14" t="s">
        <v>96</v>
      </c>
      <c r="G244" s="18" t="s">
        <v>2739</v>
      </c>
      <c r="H244" s="18" t="s">
        <v>98</v>
      </c>
      <c r="I244" s="14" t="s">
        <v>26232</v>
      </c>
      <c r="J244" s="14">
        <v>2</v>
      </c>
      <c r="K244" s="14">
        <v>0</v>
      </c>
      <c r="L244" s="14" t="s">
        <v>26233</v>
      </c>
      <c r="M244" s="14" t="s">
        <v>150</v>
      </c>
      <c r="N244" s="14" t="s">
        <v>26234</v>
      </c>
      <c r="O244" s="14" t="s">
        <v>26235</v>
      </c>
      <c r="P244" s="14" t="str">
        <f>HYPERLINK("https://dexscreener.com/solana/8AGrudQDbjNjnHzBsrndfVDBHgg6KBJ7RN6j3hbfq3Qh", "View")</f>
        <v>View</v>
      </c>
    </row>
    <row r="245" spans="1:16" x14ac:dyDescent="0.25">
      <c r="A245" s="16" t="s">
        <v>26236</v>
      </c>
      <c r="B245" s="17">
        <v>488429</v>
      </c>
      <c r="C245" s="17">
        <v>310091</v>
      </c>
      <c r="D245" s="17" t="s">
        <v>7975</v>
      </c>
      <c r="E245" s="17" t="s">
        <v>3548</v>
      </c>
      <c r="F245" s="17" t="s">
        <v>26237</v>
      </c>
      <c r="G245" s="21" t="s">
        <v>11383</v>
      </c>
      <c r="H245" s="21" t="s">
        <v>26238</v>
      </c>
      <c r="I245" s="17" t="s">
        <v>88</v>
      </c>
      <c r="J245" s="17">
        <v>3</v>
      </c>
      <c r="K245" s="17">
        <v>4</v>
      </c>
      <c r="L245" s="17" t="s">
        <v>26239</v>
      </c>
      <c r="M245" s="17" t="s">
        <v>356</v>
      </c>
      <c r="N245" s="17" t="s">
        <v>26240</v>
      </c>
      <c r="O245" s="17" t="s">
        <v>26241</v>
      </c>
      <c r="P245" s="17" t="str">
        <f>HYPERLINK("https://dexscreener.com/solana/BfmftGM7W7nVicF3ccBTrGfh4RzS6xM4gQpDwJDjaZCt", "View")</f>
        <v>View</v>
      </c>
    </row>
    <row r="246" spans="1:16" x14ac:dyDescent="0.25">
      <c r="A246" s="13" t="s">
        <v>26242</v>
      </c>
      <c r="B246" s="14">
        <v>1435668</v>
      </c>
      <c r="C246" s="14">
        <v>0</v>
      </c>
      <c r="D246" s="14" t="s">
        <v>10098</v>
      </c>
      <c r="E246" s="14" t="s">
        <v>4198</v>
      </c>
      <c r="F246" s="14" t="s">
        <v>96</v>
      </c>
      <c r="G246" s="18" t="s">
        <v>17465</v>
      </c>
      <c r="H246" s="18" t="s">
        <v>98</v>
      </c>
      <c r="I246" s="14" t="s">
        <v>26243</v>
      </c>
      <c r="J246" s="14">
        <v>1</v>
      </c>
      <c r="K246" s="14">
        <v>0</v>
      </c>
      <c r="L246" s="14" t="s">
        <v>26244</v>
      </c>
      <c r="M246" s="19" t="s">
        <v>101</v>
      </c>
      <c r="N246" s="14" t="s">
        <v>507</v>
      </c>
      <c r="O246" s="14" t="s">
        <v>26245</v>
      </c>
      <c r="P246" s="14" t="str">
        <f>HYPERLINK("https://photon-sol.tinyastro.io/en/lp/BjYotbo59RZskQm7xjKwHUwkGKLadnUVapqiWYN8pump?handle=676050794bc1b1657a56b", "View")</f>
        <v>View</v>
      </c>
    </row>
    <row r="247" spans="1:16" x14ac:dyDescent="0.25">
      <c r="A247" s="16" t="s">
        <v>26246</v>
      </c>
      <c r="B247" s="17">
        <v>14023</v>
      </c>
      <c r="C247" s="17">
        <v>0</v>
      </c>
      <c r="D247" s="17" t="s">
        <v>864</v>
      </c>
      <c r="E247" s="17" t="s">
        <v>5345</v>
      </c>
      <c r="F247" s="17" t="s">
        <v>96</v>
      </c>
      <c r="G247" s="18" t="s">
        <v>5370</v>
      </c>
      <c r="H247" s="18" t="s">
        <v>98</v>
      </c>
      <c r="I247" s="17" t="s">
        <v>26247</v>
      </c>
      <c r="J247" s="17">
        <v>1</v>
      </c>
      <c r="K247" s="17">
        <v>0</v>
      </c>
      <c r="L247" s="17" t="s">
        <v>26248</v>
      </c>
      <c r="M247" s="19" t="s">
        <v>101</v>
      </c>
      <c r="N247" s="17" t="s">
        <v>20699</v>
      </c>
      <c r="O247" s="17" t="s">
        <v>26249</v>
      </c>
      <c r="P247" s="17" t="str">
        <f>HYPERLINK("https://dexscreener.com/solana/7HEVaZMbunuFapQSgJKy18aA8sXd9HWoa1PjuNYVwXbH", "View")</f>
        <v>View</v>
      </c>
    </row>
    <row r="248" spans="1:16" x14ac:dyDescent="0.25">
      <c r="A248" s="13" t="s">
        <v>26250</v>
      </c>
      <c r="B248" s="14">
        <v>138603</v>
      </c>
      <c r="C248" s="14">
        <v>110882</v>
      </c>
      <c r="D248" s="14" t="s">
        <v>19607</v>
      </c>
      <c r="E248" s="14" t="s">
        <v>5345</v>
      </c>
      <c r="F248" s="14" t="s">
        <v>3799</v>
      </c>
      <c r="G248" s="21" t="s">
        <v>13547</v>
      </c>
      <c r="H248" s="21" t="s">
        <v>26251</v>
      </c>
      <c r="I248" s="14" t="s">
        <v>88</v>
      </c>
      <c r="J248" s="14">
        <v>1</v>
      </c>
      <c r="K248" s="14">
        <v>3</v>
      </c>
      <c r="L248" s="14" t="s">
        <v>26252</v>
      </c>
      <c r="M248" s="14" t="s">
        <v>398</v>
      </c>
      <c r="N248" s="14" t="s">
        <v>26253</v>
      </c>
      <c r="O248" s="14" t="s">
        <v>26254</v>
      </c>
      <c r="P248" s="14" t="str">
        <f>HYPERLINK("https://dexscreener.com/solana/28LeNJN9V8PGnsNgWbxrzSsek7upZBMQYAMrnE7Cpump", "View")</f>
        <v>View</v>
      </c>
    </row>
    <row r="249" spans="1:16" x14ac:dyDescent="0.25">
      <c r="A249" s="16" t="s">
        <v>26255</v>
      </c>
      <c r="B249" s="17">
        <v>1037599</v>
      </c>
      <c r="C249" s="17">
        <v>0</v>
      </c>
      <c r="D249" s="17" t="s">
        <v>864</v>
      </c>
      <c r="E249" s="17" t="s">
        <v>4868</v>
      </c>
      <c r="F249" s="17" t="s">
        <v>96</v>
      </c>
      <c r="G249" s="18" t="s">
        <v>22187</v>
      </c>
      <c r="H249" s="18" t="s">
        <v>98</v>
      </c>
      <c r="I249" s="17" t="s">
        <v>26256</v>
      </c>
      <c r="J249" s="17">
        <v>1</v>
      </c>
      <c r="K249" s="17">
        <v>0</v>
      </c>
      <c r="L249" s="17" t="s">
        <v>26257</v>
      </c>
      <c r="M249" s="19" t="s">
        <v>101</v>
      </c>
      <c r="N249" s="17" t="s">
        <v>507</v>
      </c>
      <c r="O249" s="17" t="s">
        <v>26258</v>
      </c>
      <c r="P249" s="17" t="str">
        <f>HYPERLINK("https://photon-sol.tinyastro.io/en/lp/6J3WDKjcPaTHzqNfc8MnMzbMBbLtAgSk86jNuRugpump?handle=676050794bc1b1657a56b", "View")</f>
        <v>View</v>
      </c>
    </row>
    <row r="250" spans="1:16" x14ac:dyDescent="0.25">
      <c r="A250" s="13" t="s">
        <v>26259</v>
      </c>
      <c r="B250" s="14">
        <v>166626</v>
      </c>
      <c r="C250" s="14">
        <v>0</v>
      </c>
      <c r="D250" s="14" t="s">
        <v>864</v>
      </c>
      <c r="E250" s="14" t="s">
        <v>5345</v>
      </c>
      <c r="F250" s="14" t="s">
        <v>96</v>
      </c>
      <c r="G250" s="18" t="s">
        <v>5370</v>
      </c>
      <c r="H250" s="18" t="s">
        <v>98</v>
      </c>
      <c r="I250" s="14" t="s">
        <v>26260</v>
      </c>
      <c r="J250" s="14">
        <v>1</v>
      </c>
      <c r="K250" s="14">
        <v>0</v>
      </c>
      <c r="L250" s="14" t="s">
        <v>26261</v>
      </c>
      <c r="M250" s="19" t="s">
        <v>101</v>
      </c>
      <c r="N250" s="14" t="s">
        <v>26262</v>
      </c>
      <c r="O250" s="14" t="s">
        <v>26263</v>
      </c>
      <c r="P250" s="14" t="str">
        <f>HYPERLINK("https://dexscreener.com/solana/8Zgps51ur9E2Gb43t2mufUqkhfppTZqTMJirN5aVpump", "View")</f>
        <v>View</v>
      </c>
    </row>
    <row r="251" spans="1:16" x14ac:dyDescent="0.25">
      <c r="A251" s="16" t="s">
        <v>26264</v>
      </c>
      <c r="B251" s="17">
        <v>1720</v>
      </c>
      <c r="C251" s="17">
        <v>0</v>
      </c>
      <c r="D251" s="17" t="s">
        <v>864</v>
      </c>
      <c r="E251" s="17" t="s">
        <v>5345</v>
      </c>
      <c r="F251" s="17" t="s">
        <v>96</v>
      </c>
      <c r="G251" s="18" t="s">
        <v>5370</v>
      </c>
      <c r="H251" s="18" t="s">
        <v>98</v>
      </c>
      <c r="I251" s="17" t="s">
        <v>26265</v>
      </c>
      <c r="J251" s="17">
        <v>1</v>
      </c>
      <c r="K251" s="17">
        <v>0</v>
      </c>
      <c r="L251" s="17" t="s">
        <v>26266</v>
      </c>
      <c r="M251" s="19" t="s">
        <v>101</v>
      </c>
      <c r="N251" s="17" t="s">
        <v>26267</v>
      </c>
      <c r="O251" s="17" t="s">
        <v>26268</v>
      </c>
      <c r="P251" s="17" t="str">
        <f>HYPERLINK("https://dexscreener.com/solana/B2BsVuodH2eBGRnFckRYYW6yjur7Tn8cCxaSE2Xrnj5V", "View")</f>
        <v>View</v>
      </c>
    </row>
    <row r="252" spans="1:16" x14ac:dyDescent="0.25">
      <c r="A252" s="13" t="s">
        <v>5763</v>
      </c>
      <c r="B252" s="14">
        <v>831753</v>
      </c>
      <c r="C252" s="14">
        <v>0</v>
      </c>
      <c r="D252" s="14" t="s">
        <v>864</v>
      </c>
      <c r="E252" s="14" t="s">
        <v>18133</v>
      </c>
      <c r="F252" s="14" t="s">
        <v>96</v>
      </c>
      <c r="G252" s="18" t="s">
        <v>17308</v>
      </c>
      <c r="H252" s="18" t="s">
        <v>98</v>
      </c>
      <c r="I252" s="14" t="s">
        <v>26269</v>
      </c>
      <c r="J252" s="14">
        <v>1</v>
      </c>
      <c r="K252" s="14">
        <v>0</v>
      </c>
      <c r="L252" s="14" t="s">
        <v>26270</v>
      </c>
      <c r="M252" s="19" t="s">
        <v>101</v>
      </c>
      <c r="N252" s="14" t="s">
        <v>507</v>
      </c>
      <c r="O252" s="14" t="s">
        <v>26271</v>
      </c>
      <c r="P252" s="14" t="str">
        <f>HYPERLINK("https://photon-sol.tinyastro.io/en/lp/D8gNE5GBxgJ6BKRQWf8QrTpfi6LNvhCPJcGybp3Fpump?handle=676050794bc1b1657a56b", "View")</f>
        <v>View</v>
      </c>
    </row>
    <row r="253" spans="1:16" x14ac:dyDescent="0.25">
      <c r="A253" s="16" t="s">
        <v>26272</v>
      </c>
      <c r="B253" s="17">
        <v>478871</v>
      </c>
      <c r="C253" s="17">
        <v>0</v>
      </c>
      <c r="D253" s="17" t="s">
        <v>864</v>
      </c>
      <c r="E253" s="17" t="s">
        <v>5345</v>
      </c>
      <c r="F253" s="17" t="s">
        <v>96</v>
      </c>
      <c r="G253" s="18" t="s">
        <v>5370</v>
      </c>
      <c r="H253" s="18" t="s">
        <v>98</v>
      </c>
      <c r="I253" s="17" t="s">
        <v>26273</v>
      </c>
      <c r="J253" s="17">
        <v>1</v>
      </c>
      <c r="K253" s="17">
        <v>0</v>
      </c>
      <c r="L253" s="17" t="s">
        <v>26274</v>
      </c>
      <c r="M253" s="19" t="s">
        <v>101</v>
      </c>
      <c r="N253" s="17" t="s">
        <v>4974</v>
      </c>
      <c r="O253" s="17" t="s">
        <v>26275</v>
      </c>
      <c r="P253" s="17" t="str">
        <f>HYPERLINK("https://dexscreener.com/solana/GwB8M8FEfhhTgoe8pVcqx8yugtr8vUjf9Xdh4f4zpump", "View")</f>
        <v>View</v>
      </c>
    </row>
    <row r="254" spans="1:16" x14ac:dyDescent="0.25">
      <c r="A254" s="13" t="s">
        <v>26276</v>
      </c>
      <c r="B254" s="14">
        <v>1749424</v>
      </c>
      <c r="C254" s="14">
        <v>0</v>
      </c>
      <c r="D254" s="14" t="s">
        <v>864</v>
      </c>
      <c r="E254" s="14" t="s">
        <v>4868</v>
      </c>
      <c r="F254" s="14" t="s">
        <v>96</v>
      </c>
      <c r="G254" s="18" t="s">
        <v>22187</v>
      </c>
      <c r="H254" s="18" t="s">
        <v>98</v>
      </c>
      <c r="I254" s="14" t="s">
        <v>26277</v>
      </c>
      <c r="J254" s="14">
        <v>1</v>
      </c>
      <c r="K254" s="14">
        <v>0</v>
      </c>
      <c r="L254" s="14" t="s">
        <v>26278</v>
      </c>
      <c r="M254" s="19" t="s">
        <v>101</v>
      </c>
      <c r="N254" s="14" t="s">
        <v>507</v>
      </c>
      <c r="O254" s="14" t="s">
        <v>26279</v>
      </c>
      <c r="P254" s="14" t="str">
        <f>HYPERLINK("https://photon-sol.tinyastro.io/en/lp/54bvETgfZvTorHSDAMPkfMig3ubXTckQytJkGfEspump?handle=676050794bc1b1657a56b", "View")</f>
        <v>View</v>
      </c>
    </row>
    <row r="255" spans="1:16" x14ac:dyDescent="0.25">
      <c r="A255" s="16" t="s">
        <v>15374</v>
      </c>
      <c r="B255" s="17">
        <v>777457</v>
      </c>
      <c r="C255" s="17">
        <v>738584</v>
      </c>
      <c r="D255" s="17" t="s">
        <v>8191</v>
      </c>
      <c r="E255" s="17" t="s">
        <v>3951</v>
      </c>
      <c r="F255" s="17" t="s">
        <v>19435</v>
      </c>
      <c r="G255" s="21" t="s">
        <v>10587</v>
      </c>
      <c r="H255" s="21" t="s">
        <v>26280</v>
      </c>
      <c r="I255" s="17" t="s">
        <v>88</v>
      </c>
      <c r="J255" s="17">
        <v>1</v>
      </c>
      <c r="K255" s="17">
        <v>4</v>
      </c>
      <c r="L255" s="17" t="s">
        <v>26281</v>
      </c>
      <c r="M255" s="17" t="s">
        <v>4922</v>
      </c>
      <c r="N255" s="17" t="s">
        <v>26282</v>
      </c>
      <c r="O255" s="17" t="s">
        <v>19093</v>
      </c>
      <c r="P255" s="17" t="str">
        <f>HYPERLINK("https://photon-sol.tinyastro.io/en/lp/CzFjtyyTucuL4ijGvNvwnd7svmJzQyxdkCxPYbKbpump?handle=676050794bc1b1657a56b", "View")</f>
        <v>View</v>
      </c>
    </row>
    <row r="256" spans="1:16" x14ac:dyDescent="0.25">
      <c r="A256" s="13" t="s">
        <v>21752</v>
      </c>
      <c r="B256" s="14">
        <v>1565067</v>
      </c>
      <c r="C256" s="14">
        <v>0</v>
      </c>
      <c r="D256" s="14" t="s">
        <v>864</v>
      </c>
      <c r="E256" s="14" t="s">
        <v>5139</v>
      </c>
      <c r="F256" s="14" t="s">
        <v>96</v>
      </c>
      <c r="G256" s="18" t="s">
        <v>2334</v>
      </c>
      <c r="H256" s="18" t="s">
        <v>98</v>
      </c>
      <c r="I256" s="14" t="s">
        <v>26283</v>
      </c>
      <c r="J256" s="14">
        <v>1</v>
      </c>
      <c r="K256" s="14">
        <v>0</v>
      </c>
      <c r="L256" s="14" t="s">
        <v>26284</v>
      </c>
      <c r="M256" s="19" t="s">
        <v>101</v>
      </c>
      <c r="N256" s="14" t="s">
        <v>507</v>
      </c>
      <c r="O256" s="14" t="s">
        <v>26285</v>
      </c>
      <c r="P256" s="14" t="str">
        <f>HYPERLINK("https://photon-sol.tinyastro.io/en/lp/5SMJaSEr4cfjycXKxZvV56q5fY65uW4ub9GEYmsvpump?handle=676050794bc1b1657a56b", "View")</f>
        <v>View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67B4-907D-49A9-A389-51617B549ADA}">
  <dimension ref="A1:P13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HYPERLINK("https://gmgn.ai/sol/address/2XRQxY5rBfTmgQLKxa4s2EVGaGvMsXJJ5jbkh9dV215N", "GMGN")</f>
        <v>GMGN</v>
      </c>
    </row>
    <row r="2" spans="1:14" x14ac:dyDescent="0.25">
      <c r="A2" s="3" t="s">
        <v>26286</v>
      </c>
      <c r="B2" s="3" t="s">
        <v>26287</v>
      </c>
      <c r="C2" s="3" t="s">
        <v>13981</v>
      </c>
      <c r="D2" s="3" t="s">
        <v>11184</v>
      </c>
      <c r="E2" s="3" t="s">
        <v>26288</v>
      </c>
      <c r="F2" s="3" t="s">
        <v>26289</v>
      </c>
      <c r="G2" s="3" t="s">
        <v>18</v>
      </c>
      <c r="H2" s="3">
        <v>117</v>
      </c>
      <c r="I2" s="3">
        <v>29</v>
      </c>
      <c r="J2" s="3" t="s">
        <v>2145</v>
      </c>
      <c r="K2" s="3" t="s">
        <v>5501</v>
      </c>
      <c r="L2" s="3">
        <v>42</v>
      </c>
      <c r="M2" s="3">
        <v>71</v>
      </c>
      <c r="N2" s="3" t="str">
        <f>HYPERLINK("https://solscan.io/account/2XRQxY5rBfTmgQLKxa4s2EVGaGvMsXJJ5jbkh9dV215N",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HYPERLINK("https://birdeye.so/profile/2XRQxY5rBfTmgQLKxa4s2EVGaGvMsXJJ5jbkh9dV215N", "Birdeye")</f>
        <v>Birdeye</v>
      </c>
    </row>
    <row r="4" spans="1:14" x14ac:dyDescent="0.25">
      <c r="A4" s="1" t="s">
        <v>25</v>
      </c>
      <c r="B4" s="3" t="s">
        <v>17990</v>
      </c>
      <c r="C4" s="3"/>
      <c r="D4" s="3" t="s">
        <v>15647</v>
      </c>
      <c r="E4" s="3" t="s">
        <v>16077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12318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4</v>
      </c>
      <c r="C10" s="1">
        <v>5</v>
      </c>
      <c r="D10" s="1">
        <v>4</v>
      </c>
      <c r="E10" s="1">
        <v>4</v>
      </c>
      <c r="F10" s="1">
        <v>12</v>
      </c>
      <c r="G10" s="1">
        <v>88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12321</v>
      </c>
      <c r="C11" s="1" t="s">
        <v>46</v>
      </c>
      <c r="D11" s="1" t="s">
        <v>12321</v>
      </c>
      <c r="E11" s="1" t="s">
        <v>12321</v>
      </c>
      <c r="F11" s="1" t="s">
        <v>22696</v>
      </c>
      <c r="G11" s="1" t="s">
        <v>26290</v>
      </c>
      <c r="H11" s="3"/>
      <c r="I11" s="3" t="s">
        <v>50</v>
      </c>
      <c r="J11" s="3" t="s">
        <v>4727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26291</v>
      </c>
      <c r="C12" s="1" t="s">
        <v>17859</v>
      </c>
      <c r="D12" s="1" t="s">
        <v>9644</v>
      </c>
      <c r="E12" s="1" t="s">
        <v>1786</v>
      </c>
      <c r="F12" s="1" t="s">
        <v>22700</v>
      </c>
      <c r="G12" s="1" t="s">
        <v>8466</v>
      </c>
      <c r="H12" s="3"/>
      <c r="I12" s="3" t="s">
        <v>59</v>
      </c>
      <c r="J12" s="3" t="s">
        <v>12331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21970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21970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26292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104</v>
      </c>
      <c r="B20" s="14">
        <v>44349</v>
      </c>
      <c r="C20" s="14">
        <v>0</v>
      </c>
      <c r="D20" s="14" t="s">
        <v>9662</v>
      </c>
      <c r="E20" s="14" t="s">
        <v>12743</v>
      </c>
      <c r="F20" s="14" t="s">
        <v>96</v>
      </c>
      <c r="G20" s="18" t="s">
        <v>3453</v>
      </c>
      <c r="H20" s="18" t="s">
        <v>98</v>
      </c>
      <c r="I20" s="14" t="s">
        <v>26293</v>
      </c>
      <c r="J20" s="14">
        <v>1</v>
      </c>
      <c r="K20" s="14">
        <v>0</v>
      </c>
      <c r="L20" s="14" t="s">
        <v>26294</v>
      </c>
      <c r="M20" s="19" t="s">
        <v>101</v>
      </c>
      <c r="N20" s="14" t="s">
        <v>26295</v>
      </c>
      <c r="O20" s="14" t="s">
        <v>110</v>
      </c>
      <c r="P20" s="14" t="str">
        <f>HYPERLINK("https://dexscreener.com/solana/8zuLGDdCMELwGjD9b3gtyqfCKwj5hbNUnCCw66eBpump", "View")</f>
        <v>View</v>
      </c>
    </row>
    <row r="21" spans="1:16" x14ac:dyDescent="0.25">
      <c r="A21" s="16" t="s">
        <v>9831</v>
      </c>
      <c r="B21" s="17">
        <v>37823</v>
      </c>
      <c r="C21" s="17">
        <v>19384</v>
      </c>
      <c r="D21" s="17" t="s">
        <v>10536</v>
      </c>
      <c r="E21" s="17" t="s">
        <v>12743</v>
      </c>
      <c r="F21" s="17" t="s">
        <v>5132</v>
      </c>
      <c r="G21" s="22" t="s">
        <v>12237</v>
      </c>
      <c r="H21" s="22" t="s">
        <v>26296</v>
      </c>
      <c r="I21" s="17" t="s">
        <v>88</v>
      </c>
      <c r="J21" s="17">
        <v>1</v>
      </c>
      <c r="K21" s="17">
        <v>2</v>
      </c>
      <c r="L21" s="17" t="s">
        <v>26297</v>
      </c>
      <c r="M21" s="17" t="s">
        <v>4385</v>
      </c>
      <c r="N21" s="17" t="s">
        <v>26298</v>
      </c>
      <c r="O21" s="17" t="s">
        <v>9835</v>
      </c>
      <c r="P21" s="17" t="str">
        <f>HYPERLINK("https://dexscreener.com/solana/CFBYjzT357obRmihT9F5uyCY3kqgksRvXKM3RJN1pump", "View")</f>
        <v>View</v>
      </c>
    </row>
    <row r="22" spans="1:16" x14ac:dyDescent="0.25">
      <c r="A22" s="13" t="s">
        <v>26299</v>
      </c>
      <c r="B22" s="14">
        <v>154655</v>
      </c>
      <c r="C22" s="14">
        <v>0</v>
      </c>
      <c r="D22" s="14" t="s">
        <v>9662</v>
      </c>
      <c r="E22" s="14" t="s">
        <v>12743</v>
      </c>
      <c r="F22" s="14" t="s">
        <v>96</v>
      </c>
      <c r="G22" s="18" t="s">
        <v>3453</v>
      </c>
      <c r="H22" s="18" t="s">
        <v>98</v>
      </c>
      <c r="I22" s="14" t="s">
        <v>26300</v>
      </c>
      <c r="J22" s="14">
        <v>1</v>
      </c>
      <c r="K22" s="14">
        <v>0</v>
      </c>
      <c r="L22" s="14" t="s">
        <v>26301</v>
      </c>
      <c r="M22" s="19" t="s">
        <v>101</v>
      </c>
      <c r="N22" s="14" t="s">
        <v>25929</v>
      </c>
      <c r="O22" s="14" t="s">
        <v>26302</v>
      </c>
      <c r="P22" s="14" t="str">
        <f>HYPERLINK("https://dexscreener.com/solana/Gqm9CNRm3ZL6qVnbcjS9f4qvsPtW28gxanAuMbo4pump", "View")</f>
        <v>View</v>
      </c>
    </row>
    <row r="23" spans="1:16" x14ac:dyDescent="0.25">
      <c r="A23" s="16" t="s">
        <v>1699</v>
      </c>
      <c r="B23" s="17">
        <v>56371</v>
      </c>
      <c r="C23" s="17">
        <v>0</v>
      </c>
      <c r="D23" s="17" t="s">
        <v>8685</v>
      </c>
      <c r="E23" s="17" t="s">
        <v>5220</v>
      </c>
      <c r="F23" s="17" t="s">
        <v>96</v>
      </c>
      <c r="G23" s="18" t="s">
        <v>16947</v>
      </c>
      <c r="H23" s="18" t="s">
        <v>98</v>
      </c>
      <c r="I23" s="17" t="s">
        <v>26303</v>
      </c>
      <c r="J23" s="17">
        <v>2</v>
      </c>
      <c r="K23" s="17">
        <v>0</v>
      </c>
      <c r="L23" s="17" t="s">
        <v>26304</v>
      </c>
      <c r="M23" s="19" t="s">
        <v>101</v>
      </c>
      <c r="N23" s="17" t="s">
        <v>26305</v>
      </c>
      <c r="O23" s="17" t="s">
        <v>2161</v>
      </c>
      <c r="P23" s="17" t="str">
        <f>HYPERLINK("https://dexscreener.com/solana/4FieKJu1twj631v1NbDdpocqWS72Up36N3Lf3C1dpump", "View")</f>
        <v>View</v>
      </c>
    </row>
    <row r="24" spans="1:16" x14ac:dyDescent="0.25">
      <c r="A24" s="13" t="s">
        <v>19673</v>
      </c>
      <c r="B24" s="14">
        <v>363075</v>
      </c>
      <c r="C24" s="14">
        <v>29238</v>
      </c>
      <c r="D24" s="14" t="s">
        <v>16283</v>
      </c>
      <c r="E24" s="14" t="s">
        <v>4660</v>
      </c>
      <c r="F24" s="14" t="s">
        <v>5552</v>
      </c>
      <c r="G24" s="15" t="s">
        <v>5706</v>
      </c>
      <c r="H24" s="15" t="s">
        <v>26306</v>
      </c>
      <c r="I24" s="14" t="s">
        <v>88</v>
      </c>
      <c r="J24" s="14">
        <v>3</v>
      </c>
      <c r="K24" s="14">
        <v>1</v>
      </c>
      <c r="L24" s="14" t="s">
        <v>26307</v>
      </c>
      <c r="M24" s="14" t="s">
        <v>179</v>
      </c>
      <c r="N24" s="14" t="s">
        <v>26308</v>
      </c>
      <c r="O24" s="14" t="s">
        <v>19681</v>
      </c>
      <c r="P24" s="14" t="str">
        <f>HYPERLINK("https://photon-sol.tinyastro.io/en/lp/3M85pJDvorLLtdq9zNcB2r5N36JvBvPpSFrB7pEnpump?handle=676050794bc1b1657a56b", "View")</f>
        <v>View</v>
      </c>
    </row>
    <row r="25" spans="1:16" x14ac:dyDescent="0.25">
      <c r="A25" s="16" t="s">
        <v>26309</v>
      </c>
      <c r="B25" s="17">
        <v>128967</v>
      </c>
      <c r="C25" s="17">
        <v>64484</v>
      </c>
      <c r="D25" s="17" t="s">
        <v>8685</v>
      </c>
      <c r="E25" s="17" t="s">
        <v>2236</v>
      </c>
      <c r="F25" s="17" t="s">
        <v>5843</v>
      </c>
      <c r="G25" s="15" t="s">
        <v>5692</v>
      </c>
      <c r="H25" s="15" t="s">
        <v>26310</v>
      </c>
      <c r="I25" s="17" t="s">
        <v>88</v>
      </c>
      <c r="J25" s="17">
        <v>1</v>
      </c>
      <c r="K25" s="17">
        <v>1</v>
      </c>
      <c r="L25" s="17" t="s">
        <v>26311</v>
      </c>
      <c r="M25" s="17" t="s">
        <v>2672</v>
      </c>
      <c r="N25" s="17" t="s">
        <v>10090</v>
      </c>
      <c r="O25" s="17" t="s">
        <v>26312</v>
      </c>
      <c r="P25" s="17" t="str">
        <f>HYPERLINK("https://photon-sol.tinyastro.io/en/lp/7gTqhPZNGfEJZ6yvE7WjkX76wmDhzKDjGeP9Rv74pump?handle=676050794bc1b1657a56b", "View")</f>
        <v>View</v>
      </c>
    </row>
    <row r="26" spans="1:16" x14ac:dyDescent="0.25">
      <c r="A26" s="13" t="s">
        <v>26313</v>
      </c>
      <c r="B26" s="14">
        <v>142863</v>
      </c>
      <c r="C26" s="14">
        <v>0</v>
      </c>
      <c r="D26" s="14" t="s">
        <v>8685</v>
      </c>
      <c r="E26" s="14" t="s">
        <v>5220</v>
      </c>
      <c r="F26" s="14" t="s">
        <v>96</v>
      </c>
      <c r="G26" s="18" t="s">
        <v>16947</v>
      </c>
      <c r="H26" s="18" t="s">
        <v>98</v>
      </c>
      <c r="I26" s="14" t="s">
        <v>26314</v>
      </c>
      <c r="J26" s="14">
        <v>2</v>
      </c>
      <c r="K26" s="14">
        <v>0</v>
      </c>
      <c r="L26" s="14" t="s">
        <v>26315</v>
      </c>
      <c r="M26" s="19" t="s">
        <v>21045</v>
      </c>
      <c r="N26" s="14" t="s">
        <v>26316</v>
      </c>
      <c r="O26" s="14" t="s">
        <v>26317</v>
      </c>
      <c r="P26" s="14" t="str">
        <f>HYPERLINK("https://dexscreener.com/solana/ABGuyFsRx6coPxDqXnFwUmFNG3hsg5i24XSsHV1Apump", "View")</f>
        <v>View</v>
      </c>
    </row>
    <row r="27" spans="1:16" x14ac:dyDescent="0.25">
      <c r="A27" s="16" t="s">
        <v>111</v>
      </c>
      <c r="B27" s="17">
        <v>30928</v>
      </c>
      <c r="C27" s="17">
        <v>30928</v>
      </c>
      <c r="D27" s="17" t="s">
        <v>26318</v>
      </c>
      <c r="E27" s="17" t="s">
        <v>5919</v>
      </c>
      <c r="F27" s="17" t="s">
        <v>17610</v>
      </c>
      <c r="G27" s="21" t="s">
        <v>5837</v>
      </c>
      <c r="H27" s="21" t="s">
        <v>26319</v>
      </c>
      <c r="I27" s="17" t="s">
        <v>88</v>
      </c>
      <c r="J27" s="17">
        <v>1</v>
      </c>
      <c r="K27" s="17">
        <v>5</v>
      </c>
      <c r="L27" s="17" t="s">
        <v>26320</v>
      </c>
      <c r="M27" s="17" t="s">
        <v>160</v>
      </c>
      <c r="N27" s="17" t="s">
        <v>26321</v>
      </c>
      <c r="O27" s="17" t="s">
        <v>119</v>
      </c>
      <c r="P27" s="17" t="str">
        <f>HYPERLINK("https://dexscreener.com/solana/D5S1nXXaMnJui8rCnMbP1GZQnL9TxzbF92hXvgkVpump", "View")</f>
        <v>View</v>
      </c>
    </row>
    <row r="28" spans="1:16" x14ac:dyDescent="0.25">
      <c r="A28" s="13" t="s">
        <v>172</v>
      </c>
      <c r="B28" s="14">
        <v>62713</v>
      </c>
      <c r="C28" s="14">
        <v>32782</v>
      </c>
      <c r="D28" s="14" t="s">
        <v>26322</v>
      </c>
      <c r="E28" s="14" t="s">
        <v>5345</v>
      </c>
      <c r="F28" s="14" t="s">
        <v>26323</v>
      </c>
      <c r="G28" s="21" t="s">
        <v>10664</v>
      </c>
      <c r="H28" s="21" t="s">
        <v>26324</v>
      </c>
      <c r="I28" s="14" t="s">
        <v>88</v>
      </c>
      <c r="J28" s="14">
        <v>1</v>
      </c>
      <c r="K28" s="14">
        <v>4</v>
      </c>
      <c r="L28" s="14" t="s">
        <v>26325</v>
      </c>
      <c r="M28" s="14" t="s">
        <v>745</v>
      </c>
      <c r="N28" s="14" t="s">
        <v>26326</v>
      </c>
      <c r="O28" s="14" t="s">
        <v>181</v>
      </c>
      <c r="P28" s="14" t="str">
        <f>HYPERLINK("https://dexscreener.com/solana/5pQSTDfeUppb6tV415RWygL8n3ctyakBTV7QzBn5pump", "View")</f>
        <v>View</v>
      </c>
    </row>
    <row r="29" spans="1:16" x14ac:dyDescent="0.25">
      <c r="A29" s="16" t="s">
        <v>120</v>
      </c>
      <c r="B29" s="17">
        <v>84462</v>
      </c>
      <c r="C29" s="17">
        <v>0</v>
      </c>
      <c r="D29" s="17" t="s">
        <v>9662</v>
      </c>
      <c r="E29" s="17" t="s">
        <v>5345</v>
      </c>
      <c r="F29" s="17" t="s">
        <v>96</v>
      </c>
      <c r="G29" s="18" t="s">
        <v>2959</v>
      </c>
      <c r="H29" s="18" t="s">
        <v>98</v>
      </c>
      <c r="I29" s="17" t="s">
        <v>26327</v>
      </c>
      <c r="J29" s="17">
        <v>1</v>
      </c>
      <c r="K29" s="17">
        <v>0</v>
      </c>
      <c r="L29" s="17" t="s">
        <v>26328</v>
      </c>
      <c r="M29" s="19" t="s">
        <v>101</v>
      </c>
      <c r="N29" s="17" t="s">
        <v>26329</v>
      </c>
      <c r="O29" s="17" t="s">
        <v>124</v>
      </c>
      <c r="P29" s="17" t="str">
        <f>HYPERLINK("https://dexscreener.com/solana/5ZrVb3GpZ6c9ukqLYgLxFdg8zgy7ttY4mZy6ngx9pump", "View")</f>
        <v>View</v>
      </c>
    </row>
    <row r="30" spans="1:16" x14ac:dyDescent="0.25">
      <c r="A30" s="13" t="s">
        <v>1621</v>
      </c>
      <c r="B30" s="14">
        <v>163736</v>
      </c>
      <c r="C30" s="14">
        <v>163736</v>
      </c>
      <c r="D30" s="14" t="s">
        <v>26330</v>
      </c>
      <c r="E30" s="14" t="s">
        <v>4086</v>
      </c>
      <c r="F30" s="14" t="s">
        <v>2809</v>
      </c>
      <c r="G30" s="20" t="s">
        <v>4799</v>
      </c>
      <c r="H30" s="20" t="s">
        <v>26331</v>
      </c>
      <c r="I30" s="14" t="s">
        <v>88</v>
      </c>
      <c r="J30" s="14">
        <v>1</v>
      </c>
      <c r="K30" s="14">
        <v>4</v>
      </c>
      <c r="L30" s="14" t="s">
        <v>26332</v>
      </c>
      <c r="M30" s="14" t="s">
        <v>7661</v>
      </c>
      <c r="N30" s="14" t="s">
        <v>26333</v>
      </c>
      <c r="O30" s="14" t="s">
        <v>1627</v>
      </c>
      <c r="P30" s="14" t="str">
        <f>HYPERLINK("https://photon-sol.tinyastro.io/en/lp/Djv9h45qTD1Bf9KrePGDecHB9ynreMHssDTQkLrupump?handle=676050794bc1b1657a56b", "View")</f>
        <v>View</v>
      </c>
    </row>
    <row r="31" spans="1:16" x14ac:dyDescent="0.25">
      <c r="A31" s="16" t="s">
        <v>26334</v>
      </c>
      <c r="B31" s="17">
        <v>389244</v>
      </c>
      <c r="C31" s="17">
        <v>389244</v>
      </c>
      <c r="D31" s="17" t="s">
        <v>8685</v>
      </c>
      <c r="E31" s="17" t="s">
        <v>4086</v>
      </c>
      <c r="F31" s="17" t="s">
        <v>12237</v>
      </c>
      <c r="G31" s="15" t="s">
        <v>2059</v>
      </c>
      <c r="H31" s="15" t="s">
        <v>26335</v>
      </c>
      <c r="I31" s="17" t="s">
        <v>88</v>
      </c>
      <c r="J31" s="17">
        <v>1</v>
      </c>
      <c r="K31" s="17">
        <v>1</v>
      </c>
      <c r="L31" s="17" t="s">
        <v>26336</v>
      </c>
      <c r="M31" s="17" t="s">
        <v>7558</v>
      </c>
      <c r="N31" s="17" t="s">
        <v>407</v>
      </c>
      <c r="O31" s="17" t="s">
        <v>26337</v>
      </c>
      <c r="P31" s="17" t="str">
        <f>HYPERLINK("https://photon-sol.tinyastro.io/en/lp/Ffaxk9jV1xA7abZ36dyGanAk6gNbGMszTZ5JFMXhpump?handle=676050794bc1b1657a56b", "View")</f>
        <v>View</v>
      </c>
    </row>
    <row r="32" spans="1:16" x14ac:dyDescent="0.25">
      <c r="A32" s="13" t="s">
        <v>26338</v>
      </c>
      <c r="B32" s="14">
        <v>981846</v>
      </c>
      <c r="C32" s="14">
        <v>0</v>
      </c>
      <c r="D32" s="14" t="s">
        <v>9662</v>
      </c>
      <c r="E32" s="14" t="s">
        <v>2429</v>
      </c>
      <c r="F32" s="14" t="s">
        <v>96</v>
      </c>
      <c r="G32" s="18" t="s">
        <v>5031</v>
      </c>
      <c r="H32" s="18" t="s">
        <v>98</v>
      </c>
      <c r="I32" s="14" t="s">
        <v>26339</v>
      </c>
      <c r="J32" s="14">
        <v>1</v>
      </c>
      <c r="K32" s="14">
        <v>0</v>
      </c>
      <c r="L32" s="14" t="s">
        <v>26340</v>
      </c>
      <c r="M32" s="19" t="s">
        <v>101</v>
      </c>
      <c r="N32" s="14" t="s">
        <v>1011</v>
      </c>
      <c r="O32" s="14" t="s">
        <v>26341</v>
      </c>
      <c r="P32" s="14" t="str">
        <f>HYPERLINK("https://photon-sol.tinyastro.io/en/lp/6cf3ZvWPhaVo6Reoz5YqYwJ9anuBkWvqgnksHLf6pump?handle=676050794bc1b1657a56b", "View")</f>
        <v>View</v>
      </c>
    </row>
    <row r="33" spans="1:16" x14ac:dyDescent="0.25">
      <c r="A33" s="16" t="s">
        <v>4788</v>
      </c>
      <c r="B33" s="17">
        <v>299273</v>
      </c>
      <c r="C33" s="17">
        <v>149636</v>
      </c>
      <c r="D33" s="17" t="s">
        <v>8685</v>
      </c>
      <c r="E33" s="17" t="s">
        <v>12743</v>
      </c>
      <c r="F33" s="17" t="s">
        <v>4141</v>
      </c>
      <c r="G33" s="15" t="s">
        <v>3905</v>
      </c>
      <c r="H33" s="15" t="s">
        <v>5807</v>
      </c>
      <c r="I33" s="17" t="s">
        <v>88</v>
      </c>
      <c r="J33" s="17">
        <v>1</v>
      </c>
      <c r="K33" s="17">
        <v>1</v>
      </c>
      <c r="L33" s="17" t="s">
        <v>26342</v>
      </c>
      <c r="M33" s="17" t="s">
        <v>2672</v>
      </c>
      <c r="N33" s="17" t="s">
        <v>11522</v>
      </c>
      <c r="O33" s="17" t="s">
        <v>4792</v>
      </c>
      <c r="P33" s="17" t="str">
        <f>HYPERLINK("https://dexscreener.com/solana/2CtwtX2A3jXgxG8WFJThQiNZpHzvqiCVwNU4za9fWH23", "View")</f>
        <v>View</v>
      </c>
    </row>
    <row r="34" spans="1:16" x14ac:dyDescent="0.25">
      <c r="A34" s="13" t="s">
        <v>4788</v>
      </c>
      <c r="B34" s="14">
        <v>273365</v>
      </c>
      <c r="C34" s="14">
        <v>0</v>
      </c>
      <c r="D34" s="14" t="s">
        <v>8685</v>
      </c>
      <c r="E34" s="14" t="s">
        <v>5220</v>
      </c>
      <c r="F34" s="14" t="s">
        <v>96</v>
      </c>
      <c r="G34" s="18" t="s">
        <v>16947</v>
      </c>
      <c r="H34" s="18" t="s">
        <v>98</v>
      </c>
      <c r="I34" s="14" t="s">
        <v>11439</v>
      </c>
      <c r="J34" s="14">
        <v>2</v>
      </c>
      <c r="K34" s="14">
        <v>0</v>
      </c>
      <c r="L34" s="14" t="s">
        <v>26343</v>
      </c>
      <c r="M34" s="19" t="s">
        <v>101</v>
      </c>
      <c r="N34" s="14" t="s">
        <v>26344</v>
      </c>
      <c r="O34" s="14" t="s">
        <v>9805</v>
      </c>
      <c r="P34" s="14" t="str">
        <f>HYPERLINK("https://dexscreener.com/solana/7595tbPqDXijgZ3q2raR9aS311agcokwAJ21aczVpump", "View")</f>
        <v>View</v>
      </c>
    </row>
    <row r="35" spans="1:16" x14ac:dyDescent="0.25">
      <c r="A35" s="16" t="s">
        <v>153</v>
      </c>
      <c r="B35" s="17">
        <v>78010</v>
      </c>
      <c r="C35" s="17">
        <v>0</v>
      </c>
      <c r="D35" s="17" t="s">
        <v>26345</v>
      </c>
      <c r="E35" s="17" t="s">
        <v>9553</v>
      </c>
      <c r="F35" s="17" t="s">
        <v>96</v>
      </c>
      <c r="G35" s="18" t="s">
        <v>9518</v>
      </c>
      <c r="H35" s="18" t="s">
        <v>98</v>
      </c>
      <c r="I35" s="17" t="s">
        <v>26346</v>
      </c>
      <c r="J35" s="17">
        <v>7</v>
      </c>
      <c r="K35" s="17">
        <v>0</v>
      </c>
      <c r="L35" s="17" t="s">
        <v>26347</v>
      </c>
      <c r="M35" s="17" t="s">
        <v>179</v>
      </c>
      <c r="N35" s="17" t="s">
        <v>26348</v>
      </c>
      <c r="O35" s="17" t="s">
        <v>162</v>
      </c>
      <c r="P35" s="17" t="str">
        <f>HYPERLINK("https://dexscreener.com/solana/4sAPg3M6bEHrNinqfvfdSTAzCvmaG5Ao799bAt3Bpump", "View")</f>
        <v>View</v>
      </c>
    </row>
    <row r="36" spans="1:16" x14ac:dyDescent="0.25">
      <c r="A36" s="13" t="s">
        <v>26349</v>
      </c>
      <c r="B36" s="14">
        <v>237023</v>
      </c>
      <c r="C36" s="14">
        <v>0</v>
      </c>
      <c r="D36" s="14" t="s">
        <v>9662</v>
      </c>
      <c r="E36" s="14" t="s">
        <v>5919</v>
      </c>
      <c r="F36" s="14" t="s">
        <v>96</v>
      </c>
      <c r="G36" s="18" t="s">
        <v>3885</v>
      </c>
      <c r="H36" s="18" t="s">
        <v>98</v>
      </c>
      <c r="I36" s="14" t="s">
        <v>26350</v>
      </c>
      <c r="J36" s="14">
        <v>1</v>
      </c>
      <c r="K36" s="14">
        <v>0</v>
      </c>
      <c r="L36" s="14" t="s">
        <v>26351</v>
      </c>
      <c r="M36" s="19" t="s">
        <v>101</v>
      </c>
      <c r="N36" s="14" t="s">
        <v>26352</v>
      </c>
      <c r="O36" s="14" t="s">
        <v>26353</v>
      </c>
      <c r="P36" s="14" t="str">
        <f>HYPERLINK("https://photon-sol.tinyastro.io/en/lp/32GkYeFscJRLH1ZYxzg52kQxcTQxRK49cn87vGtHpump?handle=676050794bc1b1657a56b", "View")</f>
        <v>View</v>
      </c>
    </row>
    <row r="37" spans="1:16" x14ac:dyDescent="0.25">
      <c r="A37" s="16" t="s">
        <v>189</v>
      </c>
      <c r="B37" s="17">
        <v>130515</v>
      </c>
      <c r="C37" s="17">
        <v>0</v>
      </c>
      <c r="D37" s="17" t="s">
        <v>9662</v>
      </c>
      <c r="E37" s="17" t="s">
        <v>5345</v>
      </c>
      <c r="F37" s="17" t="s">
        <v>96</v>
      </c>
      <c r="G37" s="18" t="s">
        <v>2959</v>
      </c>
      <c r="H37" s="18" t="s">
        <v>98</v>
      </c>
      <c r="I37" s="17" t="s">
        <v>26354</v>
      </c>
      <c r="J37" s="17">
        <v>1</v>
      </c>
      <c r="K37" s="17">
        <v>0</v>
      </c>
      <c r="L37" s="17" t="s">
        <v>26355</v>
      </c>
      <c r="M37" s="19" t="s">
        <v>101</v>
      </c>
      <c r="N37" s="17" t="s">
        <v>26148</v>
      </c>
      <c r="O37" s="17" t="s">
        <v>193</v>
      </c>
      <c r="P37" s="17" t="str">
        <f>HYPERLINK("https://dexscreener.com/solana/HnYqXefRFM2U5aUpSWEdxRG6DsPFM6gGZUUWFXgSpump", "View")</f>
        <v>View</v>
      </c>
    </row>
    <row r="38" spans="1:16" x14ac:dyDescent="0.25">
      <c r="A38" s="13" t="s">
        <v>194</v>
      </c>
      <c r="B38" s="14">
        <v>95933</v>
      </c>
      <c r="C38" s="14">
        <v>0</v>
      </c>
      <c r="D38" s="14" t="s">
        <v>9662</v>
      </c>
      <c r="E38" s="14" t="s">
        <v>5345</v>
      </c>
      <c r="F38" s="14" t="s">
        <v>96</v>
      </c>
      <c r="G38" s="18" t="s">
        <v>2959</v>
      </c>
      <c r="H38" s="18" t="s">
        <v>98</v>
      </c>
      <c r="I38" s="14" t="s">
        <v>26356</v>
      </c>
      <c r="J38" s="14">
        <v>1</v>
      </c>
      <c r="K38" s="14">
        <v>0</v>
      </c>
      <c r="L38" s="14" t="s">
        <v>26357</v>
      </c>
      <c r="M38" s="19" t="s">
        <v>101</v>
      </c>
      <c r="N38" s="14" t="s">
        <v>26358</v>
      </c>
      <c r="O38" s="14" t="s">
        <v>198</v>
      </c>
      <c r="P38" s="14" t="str">
        <f>HYPERLINK("https://dexscreener.com/solana/5ooyX53Dpoo6RMenMVS7TGb6JdgAqJjxJV1TFhpxpump", "View")</f>
        <v>View</v>
      </c>
    </row>
    <row r="39" spans="1:16" x14ac:dyDescent="0.25">
      <c r="A39" s="16" t="s">
        <v>26359</v>
      </c>
      <c r="B39" s="17">
        <v>243312</v>
      </c>
      <c r="C39" s="17">
        <v>0</v>
      </c>
      <c r="D39" s="17" t="s">
        <v>9662</v>
      </c>
      <c r="E39" s="17" t="s">
        <v>12743</v>
      </c>
      <c r="F39" s="17" t="s">
        <v>96</v>
      </c>
      <c r="G39" s="18" t="s">
        <v>3453</v>
      </c>
      <c r="H39" s="18" t="s">
        <v>98</v>
      </c>
      <c r="I39" s="17" t="s">
        <v>26360</v>
      </c>
      <c r="J39" s="17">
        <v>1</v>
      </c>
      <c r="K39" s="17">
        <v>0</v>
      </c>
      <c r="L39" s="17" t="s">
        <v>26361</v>
      </c>
      <c r="M39" s="19" t="s">
        <v>101</v>
      </c>
      <c r="N39" s="17" t="s">
        <v>26362</v>
      </c>
      <c r="O39" s="17" t="s">
        <v>26363</v>
      </c>
      <c r="P39" s="17" t="str">
        <f>HYPERLINK("https://dexscreener.com/solana/2aVCSF8R74m5Nh18nXUSx1YDNS3Zxj2kQCa3mrdgpump", "View")</f>
        <v>View</v>
      </c>
    </row>
    <row r="40" spans="1:16" x14ac:dyDescent="0.25">
      <c r="A40" s="13" t="s">
        <v>211</v>
      </c>
      <c r="B40" s="14">
        <v>79934</v>
      </c>
      <c r="C40" s="14">
        <v>0</v>
      </c>
      <c r="D40" s="14" t="s">
        <v>9662</v>
      </c>
      <c r="E40" s="14" t="s">
        <v>5345</v>
      </c>
      <c r="F40" s="14" t="s">
        <v>96</v>
      </c>
      <c r="G40" s="18" t="s">
        <v>2959</v>
      </c>
      <c r="H40" s="18" t="s">
        <v>98</v>
      </c>
      <c r="I40" s="14" t="s">
        <v>26364</v>
      </c>
      <c r="J40" s="14">
        <v>1</v>
      </c>
      <c r="K40" s="14">
        <v>0</v>
      </c>
      <c r="L40" s="14" t="s">
        <v>26365</v>
      </c>
      <c r="M40" s="19" t="s">
        <v>101</v>
      </c>
      <c r="N40" s="14" t="s">
        <v>26366</v>
      </c>
      <c r="O40" s="14" t="s">
        <v>217</v>
      </c>
      <c r="P40" s="14" t="str">
        <f>HYPERLINK("https://dexscreener.com/solana/36FN7NGmULKqSy4PoSRUBFQ7XBVxNMmWLhXohKmypump", "View")</f>
        <v>View</v>
      </c>
    </row>
    <row r="41" spans="1:16" x14ac:dyDescent="0.25">
      <c r="A41" s="16" t="s">
        <v>26367</v>
      </c>
      <c r="B41" s="17">
        <v>370352</v>
      </c>
      <c r="C41" s="17">
        <v>0</v>
      </c>
      <c r="D41" s="17" t="s">
        <v>9662</v>
      </c>
      <c r="E41" s="17" t="s">
        <v>3531</v>
      </c>
      <c r="F41" s="17" t="s">
        <v>96</v>
      </c>
      <c r="G41" s="18" t="s">
        <v>13016</v>
      </c>
      <c r="H41" s="18" t="s">
        <v>98</v>
      </c>
      <c r="I41" s="17" t="s">
        <v>26368</v>
      </c>
      <c r="J41" s="17">
        <v>1</v>
      </c>
      <c r="K41" s="17">
        <v>0</v>
      </c>
      <c r="L41" s="17" t="s">
        <v>26369</v>
      </c>
      <c r="M41" s="19" t="s">
        <v>101</v>
      </c>
      <c r="N41" s="17" t="s">
        <v>1393</v>
      </c>
      <c r="O41" s="17" t="s">
        <v>26370</v>
      </c>
      <c r="P41" s="17" t="str">
        <f>HYPERLINK("https://photon-sol.tinyastro.io/en/lp/7CikmYdm5NDb4edDuJh2cpjiihBbbNiALobekcpUpump?handle=676050794bc1b1657a56b", "View")</f>
        <v>View</v>
      </c>
    </row>
    <row r="42" spans="1:16" x14ac:dyDescent="0.25">
      <c r="A42" s="13" t="s">
        <v>26371</v>
      </c>
      <c r="B42" s="14">
        <v>179680</v>
      </c>
      <c r="C42" s="14">
        <v>179680</v>
      </c>
      <c r="D42" s="14" t="s">
        <v>8685</v>
      </c>
      <c r="E42" s="14" t="s">
        <v>4141</v>
      </c>
      <c r="F42" s="14" t="s">
        <v>4667</v>
      </c>
      <c r="G42" s="15" t="s">
        <v>4026</v>
      </c>
      <c r="H42" s="15" t="s">
        <v>26372</v>
      </c>
      <c r="I42" s="14" t="s">
        <v>88</v>
      </c>
      <c r="J42" s="14">
        <v>1</v>
      </c>
      <c r="K42" s="14">
        <v>1</v>
      </c>
      <c r="L42" s="14" t="s">
        <v>26373</v>
      </c>
      <c r="M42" s="14" t="s">
        <v>602</v>
      </c>
      <c r="N42" s="14" t="s">
        <v>26374</v>
      </c>
      <c r="O42" s="14" t="s">
        <v>26375</v>
      </c>
      <c r="P42" s="14" t="str">
        <f>HYPERLINK("https://photon-sol.tinyastro.io/en/lp/HpDFmLyMnxafwZZEPiJ65JZYvPxgCN5txusaAEvnpump?handle=676050794bc1b1657a56b", "View")</f>
        <v>View</v>
      </c>
    </row>
    <row r="43" spans="1:16" x14ac:dyDescent="0.25">
      <c r="A43" s="16" t="s">
        <v>26376</v>
      </c>
      <c r="B43" s="17">
        <v>292038</v>
      </c>
      <c r="C43" s="17">
        <v>0</v>
      </c>
      <c r="D43" s="17" t="s">
        <v>9662</v>
      </c>
      <c r="E43" s="17" t="s">
        <v>5012</v>
      </c>
      <c r="F43" s="17" t="s">
        <v>96</v>
      </c>
      <c r="G43" s="18" t="s">
        <v>3728</v>
      </c>
      <c r="H43" s="18" t="s">
        <v>98</v>
      </c>
      <c r="I43" s="17" t="s">
        <v>26377</v>
      </c>
      <c r="J43" s="17">
        <v>1</v>
      </c>
      <c r="K43" s="17">
        <v>0</v>
      </c>
      <c r="L43" s="17" t="s">
        <v>26378</v>
      </c>
      <c r="M43" s="19" t="s">
        <v>101</v>
      </c>
      <c r="N43" s="17" t="s">
        <v>5302</v>
      </c>
      <c r="O43" s="17" t="s">
        <v>26379</v>
      </c>
      <c r="P43" s="17" t="str">
        <f>HYPERLINK("https://photon-sol.tinyastro.io/en/lp/7SVT3X6CdbDS7VLZLndBGcoSJcss9gNhSnfHFfzapump?handle=676050794bc1b1657a56b", "View")</f>
        <v>View</v>
      </c>
    </row>
    <row r="44" spans="1:16" x14ac:dyDescent="0.25">
      <c r="A44" s="13" t="s">
        <v>26380</v>
      </c>
      <c r="B44" s="14">
        <v>921990</v>
      </c>
      <c r="C44" s="14">
        <v>460995</v>
      </c>
      <c r="D44" s="14" t="s">
        <v>8685</v>
      </c>
      <c r="E44" s="14" t="s">
        <v>2275</v>
      </c>
      <c r="F44" s="14" t="s">
        <v>12237</v>
      </c>
      <c r="G44" s="15" t="s">
        <v>4382</v>
      </c>
      <c r="H44" s="15" t="s">
        <v>26381</v>
      </c>
      <c r="I44" s="14" t="s">
        <v>88</v>
      </c>
      <c r="J44" s="14">
        <v>1</v>
      </c>
      <c r="K44" s="14">
        <v>1</v>
      </c>
      <c r="L44" s="14" t="s">
        <v>26382</v>
      </c>
      <c r="M44" s="14" t="s">
        <v>5501</v>
      </c>
      <c r="N44" s="14" t="s">
        <v>223</v>
      </c>
      <c r="O44" s="14" t="s">
        <v>26383</v>
      </c>
      <c r="P44" s="14" t="str">
        <f>HYPERLINK("https://photon-sol.tinyastro.io/en/lp/7LoZyi93eNYz7WYWs3N7gxzPf3mLRj68wy82Tfu2pump?handle=676050794bc1b1657a56b", "View")</f>
        <v>View</v>
      </c>
    </row>
    <row r="45" spans="1:16" x14ac:dyDescent="0.25">
      <c r="A45" s="16" t="s">
        <v>26384</v>
      </c>
      <c r="B45" s="17">
        <v>1030731</v>
      </c>
      <c r="C45" s="17">
        <v>515365</v>
      </c>
      <c r="D45" s="17" t="s">
        <v>8685</v>
      </c>
      <c r="E45" s="17" t="s">
        <v>5006</v>
      </c>
      <c r="F45" s="17" t="s">
        <v>2661</v>
      </c>
      <c r="G45" s="15" t="s">
        <v>4206</v>
      </c>
      <c r="H45" s="15" t="s">
        <v>16580</v>
      </c>
      <c r="I45" s="17" t="s">
        <v>88</v>
      </c>
      <c r="J45" s="17">
        <v>1</v>
      </c>
      <c r="K45" s="17">
        <v>1</v>
      </c>
      <c r="L45" s="17" t="s">
        <v>26385</v>
      </c>
      <c r="M45" s="17" t="s">
        <v>3180</v>
      </c>
      <c r="N45" s="17" t="s">
        <v>1240</v>
      </c>
      <c r="O45" s="17" t="s">
        <v>26386</v>
      </c>
      <c r="P45" s="17" t="str">
        <f>HYPERLINK("https://photon-sol.tinyastro.io/en/lp/95kXx8ZyrRQfNHaHfDD6KyfR7gisCMSnmVrZU2QbPSaq?handle=676050794bc1b1657a56b", "View")</f>
        <v>View</v>
      </c>
    </row>
    <row r="46" spans="1:16" x14ac:dyDescent="0.25">
      <c r="A46" s="13" t="s">
        <v>26387</v>
      </c>
      <c r="B46" s="14">
        <v>41150</v>
      </c>
      <c r="C46" s="14">
        <v>0</v>
      </c>
      <c r="D46" s="14" t="s">
        <v>9662</v>
      </c>
      <c r="E46" s="14" t="s">
        <v>4396</v>
      </c>
      <c r="F46" s="14" t="s">
        <v>96</v>
      </c>
      <c r="G46" s="18" t="s">
        <v>15868</v>
      </c>
      <c r="H46" s="18" t="s">
        <v>98</v>
      </c>
      <c r="I46" s="14" t="s">
        <v>26388</v>
      </c>
      <c r="J46" s="14">
        <v>1</v>
      </c>
      <c r="K46" s="14">
        <v>0</v>
      </c>
      <c r="L46" s="14" t="s">
        <v>26389</v>
      </c>
      <c r="M46" s="19" t="s">
        <v>101</v>
      </c>
      <c r="N46" s="14" t="s">
        <v>26390</v>
      </c>
      <c r="O46" s="14" t="s">
        <v>26391</v>
      </c>
      <c r="P46" s="14" t="str">
        <f>HYPERLINK("https://dexscreener.com/solana/6iB7vcB6bcB5BGVf2gFXTvH2DfUeCiaT4FE9VYBQpump", "View")</f>
        <v>View</v>
      </c>
    </row>
    <row r="47" spans="1:16" x14ac:dyDescent="0.25">
      <c r="A47" s="16" t="s">
        <v>2579</v>
      </c>
      <c r="B47" s="17">
        <v>36979</v>
      </c>
      <c r="C47" s="17">
        <v>0</v>
      </c>
      <c r="D47" s="17" t="s">
        <v>9662</v>
      </c>
      <c r="E47" s="17" t="s">
        <v>4396</v>
      </c>
      <c r="F47" s="17" t="s">
        <v>96</v>
      </c>
      <c r="G47" s="18" t="s">
        <v>15868</v>
      </c>
      <c r="H47" s="18" t="s">
        <v>98</v>
      </c>
      <c r="I47" s="17" t="s">
        <v>26392</v>
      </c>
      <c r="J47" s="17">
        <v>1</v>
      </c>
      <c r="K47" s="17">
        <v>0</v>
      </c>
      <c r="L47" s="17" t="s">
        <v>26393</v>
      </c>
      <c r="M47" s="19" t="s">
        <v>101</v>
      </c>
      <c r="N47" s="17" t="s">
        <v>26394</v>
      </c>
      <c r="O47" s="17" t="s">
        <v>26395</v>
      </c>
      <c r="P47" s="17" t="str">
        <f>HYPERLINK("https://dexscreener.com/solana/6YHvVQ5B7tBbwmG4tU4ESbRKQKeiVBoE3q6u6sCWpump", "View")</f>
        <v>View</v>
      </c>
    </row>
    <row r="48" spans="1:16" x14ac:dyDescent="0.25">
      <c r="A48" s="13" t="s">
        <v>26396</v>
      </c>
      <c r="B48" s="14">
        <v>535748</v>
      </c>
      <c r="C48" s="14">
        <v>0</v>
      </c>
      <c r="D48" s="14" t="s">
        <v>9662</v>
      </c>
      <c r="E48" s="14" t="s">
        <v>4687</v>
      </c>
      <c r="F48" s="14" t="s">
        <v>96</v>
      </c>
      <c r="G48" s="18" t="s">
        <v>5764</v>
      </c>
      <c r="H48" s="18" t="s">
        <v>98</v>
      </c>
      <c r="I48" s="14" t="s">
        <v>26397</v>
      </c>
      <c r="J48" s="14">
        <v>1</v>
      </c>
      <c r="K48" s="14">
        <v>0</v>
      </c>
      <c r="L48" s="14" t="s">
        <v>26398</v>
      </c>
      <c r="M48" s="19" t="s">
        <v>101</v>
      </c>
      <c r="N48" s="14" t="s">
        <v>13053</v>
      </c>
      <c r="O48" s="14" t="s">
        <v>26399</v>
      </c>
      <c r="P48" s="14" t="str">
        <f>HYPERLINK("https://dexscreener.com/solana/HzPd7yoaFNYZKCXepstCr7u8QuMhXF1aBS7NjxNppump", "View")</f>
        <v>View</v>
      </c>
    </row>
    <row r="49" spans="1:16" x14ac:dyDescent="0.25">
      <c r="A49" s="16" t="s">
        <v>26400</v>
      </c>
      <c r="B49" s="17">
        <v>39188</v>
      </c>
      <c r="C49" s="17">
        <v>0</v>
      </c>
      <c r="D49" s="17" t="s">
        <v>9662</v>
      </c>
      <c r="E49" s="17" t="s">
        <v>4396</v>
      </c>
      <c r="F49" s="17" t="s">
        <v>96</v>
      </c>
      <c r="G49" s="18" t="s">
        <v>15868</v>
      </c>
      <c r="H49" s="18" t="s">
        <v>98</v>
      </c>
      <c r="I49" s="17" t="s">
        <v>26401</v>
      </c>
      <c r="J49" s="17">
        <v>1</v>
      </c>
      <c r="K49" s="17">
        <v>0</v>
      </c>
      <c r="L49" s="17" t="s">
        <v>26402</v>
      </c>
      <c r="M49" s="19" t="s">
        <v>101</v>
      </c>
      <c r="N49" s="17" t="s">
        <v>26403</v>
      </c>
      <c r="O49" s="17" t="s">
        <v>26404</v>
      </c>
      <c r="P49" s="17" t="str">
        <f>HYPERLINK("https://dexscreener.com/solana/EJdD2Tx4MWzbhjMRAHpTPt7xHTr9wKyDqQtnXH2wpump", "View")</f>
        <v>View</v>
      </c>
    </row>
    <row r="50" spans="1:16" x14ac:dyDescent="0.25">
      <c r="A50" s="13" t="s">
        <v>163</v>
      </c>
      <c r="B50" s="14">
        <v>956718</v>
      </c>
      <c r="C50" s="14">
        <v>934760</v>
      </c>
      <c r="D50" s="14" t="s">
        <v>26405</v>
      </c>
      <c r="E50" s="14" t="s">
        <v>5006</v>
      </c>
      <c r="F50" s="14" t="s">
        <v>9998</v>
      </c>
      <c r="G50" s="21" t="s">
        <v>26406</v>
      </c>
      <c r="H50" s="21" t="s">
        <v>26407</v>
      </c>
      <c r="I50" s="14" t="s">
        <v>88</v>
      </c>
      <c r="J50" s="14">
        <v>2</v>
      </c>
      <c r="K50" s="14">
        <v>11</v>
      </c>
      <c r="L50" s="14" t="s">
        <v>26408</v>
      </c>
      <c r="M50" s="14" t="s">
        <v>231</v>
      </c>
      <c r="N50" s="14" t="s">
        <v>26409</v>
      </c>
      <c r="O50" s="14" t="s">
        <v>171</v>
      </c>
      <c r="P50" s="14" t="str">
        <f>HYPERLINK("https://photon-sol.tinyastro.io/en/lp/EswvJvhPy8A8rWPdLJ5ATYW6cY5x483oS4QWWroZpump?handle=676050794bc1b1657a56b", "View")</f>
        <v>View</v>
      </c>
    </row>
    <row r="51" spans="1:16" x14ac:dyDescent="0.25">
      <c r="A51" s="16" t="s">
        <v>18215</v>
      </c>
      <c r="B51" s="17">
        <v>578928</v>
      </c>
      <c r="C51" s="17">
        <v>0</v>
      </c>
      <c r="D51" s="17" t="s">
        <v>9662</v>
      </c>
      <c r="E51" s="17" t="s">
        <v>3972</v>
      </c>
      <c r="F51" s="17" t="s">
        <v>96</v>
      </c>
      <c r="G51" s="18" t="s">
        <v>4373</v>
      </c>
      <c r="H51" s="18" t="s">
        <v>98</v>
      </c>
      <c r="I51" s="17" t="s">
        <v>26410</v>
      </c>
      <c r="J51" s="17">
        <v>1</v>
      </c>
      <c r="K51" s="17">
        <v>0</v>
      </c>
      <c r="L51" s="17" t="s">
        <v>26411</v>
      </c>
      <c r="M51" s="19" t="s">
        <v>101</v>
      </c>
      <c r="N51" s="17" t="s">
        <v>12453</v>
      </c>
      <c r="O51" s="17" t="s">
        <v>18218</v>
      </c>
      <c r="P51" s="17" t="str">
        <f>HYPERLINK("https://dexscreener.com/solana/DyjxrHGPiZYeanHJpSQS8gENSPfZgaqh1MdR4AoFpump", "View")</f>
        <v>View</v>
      </c>
    </row>
    <row r="52" spans="1:16" x14ac:dyDescent="0.25">
      <c r="A52" s="13" t="s">
        <v>26412</v>
      </c>
      <c r="B52" s="14">
        <v>789664</v>
      </c>
      <c r="C52" s="14">
        <v>0</v>
      </c>
      <c r="D52" s="14" t="s">
        <v>9662</v>
      </c>
      <c r="E52" s="14" t="s">
        <v>5534</v>
      </c>
      <c r="F52" s="14" t="s">
        <v>96</v>
      </c>
      <c r="G52" s="18" t="s">
        <v>4739</v>
      </c>
      <c r="H52" s="18" t="s">
        <v>98</v>
      </c>
      <c r="I52" s="14" t="s">
        <v>26413</v>
      </c>
      <c r="J52" s="14">
        <v>1</v>
      </c>
      <c r="K52" s="14">
        <v>0</v>
      </c>
      <c r="L52" s="14" t="s">
        <v>26414</v>
      </c>
      <c r="M52" s="19" t="s">
        <v>101</v>
      </c>
      <c r="N52" s="14" t="s">
        <v>880</v>
      </c>
      <c r="O52" s="14" t="s">
        <v>26415</v>
      </c>
      <c r="P52" s="14" t="str">
        <f>HYPERLINK("https://dexscreener.com/solana/F8guQLPX3QfWwMTZ8SveQ7TAEYccyCDsayUh5ZoGpump", "View")</f>
        <v>View</v>
      </c>
    </row>
    <row r="53" spans="1:16" x14ac:dyDescent="0.25">
      <c r="A53" s="16" t="s">
        <v>243</v>
      </c>
      <c r="B53" s="17">
        <v>74417</v>
      </c>
      <c r="C53" s="17">
        <v>0</v>
      </c>
      <c r="D53" s="17" t="s">
        <v>9662</v>
      </c>
      <c r="E53" s="17" t="s">
        <v>5345</v>
      </c>
      <c r="F53" s="17" t="s">
        <v>96</v>
      </c>
      <c r="G53" s="18" t="s">
        <v>2959</v>
      </c>
      <c r="H53" s="18" t="s">
        <v>98</v>
      </c>
      <c r="I53" s="17" t="s">
        <v>26416</v>
      </c>
      <c r="J53" s="17">
        <v>1</v>
      </c>
      <c r="K53" s="17">
        <v>0</v>
      </c>
      <c r="L53" s="17" t="s">
        <v>26417</v>
      </c>
      <c r="M53" s="19" t="s">
        <v>101</v>
      </c>
      <c r="N53" s="17" t="s">
        <v>23998</v>
      </c>
      <c r="O53" s="17" t="s">
        <v>247</v>
      </c>
      <c r="P53" s="17" t="str">
        <f>HYPERLINK("https://dexscreener.com/solana/Ca8AnVoDbwv31gddMHVyNLpHWYkGRRQFoXCcfe4gpump", "View")</f>
        <v>View</v>
      </c>
    </row>
    <row r="54" spans="1:16" x14ac:dyDescent="0.25">
      <c r="A54" s="13" t="s">
        <v>248</v>
      </c>
      <c r="B54" s="14">
        <v>80165</v>
      </c>
      <c r="C54" s="14">
        <v>32066</v>
      </c>
      <c r="D54" s="14" t="s">
        <v>10536</v>
      </c>
      <c r="E54" s="14" t="s">
        <v>5345</v>
      </c>
      <c r="F54" s="14" t="s">
        <v>10328</v>
      </c>
      <c r="G54" s="22" t="s">
        <v>5036</v>
      </c>
      <c r="H54" s="22" t="s">
        <v>26418</v>
      </c>
      <c r="I54" s="14" t="s">
        <v>88</v>
      </c>
      <c r="J54" s="14">
        <v>1</v>
      </c>
      <c r="K54" s="14">
        <v>2</v>
      </c>
      <c r="L54" s="14" t="s">
        <v>26419</v>
      </c>
      <c r="M54" s="14" t="s">
        <v>5695</v>
      </c>
      <c r="N54" s="14" t="s">
        <v>26420</v>
      </c>
      <c r="O54" s="14" t="s">
        <v>255</v>
      </c>
      <c r="P54" s="14" t="str">
        <f>HYPERLINK("https://dexscreener.com/solana/9HjsPutyGGPpxnRn4ibH1hTfPvitAY5EPvtAwGFkpump", "View")</f>
        <v>View</v>
      </c>
    </row>
    <row r="55" spans="1:16" x14ac:dyDescent="0.25">
      <c r="A55" s="16" t="s">
        <v>18227</v>
      </c>
      <c r="B55" s="17">
        <v>46005</v>
      </c>
      <c r="C55" s="17">
        <v>0</v>
      </c>
      <c r="D55" s="17" t="s">
        <v>9662</v>
      </c>
      <c r="E55" s="17" t="s">
        <v>4396</v>
      </c>
      <c r="F55" s="17" t="s">
        <v>96</v>
      </c>
      <c r="G55" s="18" t="s">
        <v>15868</v>
      </c>
      <c r="H55" s="18" t="s">
        <v>98</v>
      </c>
      <c r="I55" s="17" t="s">
        <v>26421</v>
      </c>
      <c r="J55" s="17">
        <v>1</v>
      </c>
      <c r="K55" s="17">
        <v>0</v>
      </c>
      <c r="L55" s="17" t="s">
        <v>26422</v>
      </c>
      <c r="M55" s="19" t="s">
        <v>101</v>
      </c>
      <c r="N55" s="17" t="s">
        <v>26423</v>
      </c>
      <c r="O55" s="17" t="s">
        <v>18231</v>
      </c>
      <c r="P55" s="17" t="str">
        <f>HYPERLINK("https://dexscreener.com/solana/9AFJZo69ATfqf6qms3kd2hyDg7wKt1MHhr6dg8Tspump", "View")</f>
        <v>View</v>
      </c>
    </row>
    <row r="56" spans="1:16" x14ac:dyDescent="0.25">
      <c r="A56" s="13" t="s">
        <v>26424</v>
      </c>
      <c r="B56" s="14">
        <v>206194</v>
      </c>
      <c r="C56" s="14">
        <v>0</v>
      </c>
      <c r="D56" s="14" t="s">
        <v>9662</v>
      </c>
      <c r="E56" s="14" t="s">
        <v>4396</v>
      </c>
      <c r="F56" s="14" t="s">
        <v>96</v>
      </c>
      <c r="G56" s="18" t="s">
        <v>15868</v>
      </c>
      <c r="H56" s="18" t="s">
        <v>98</v>
      </c>
      <c r="I56" s="14" t="s">
        <v>26425</v>
      </c>
      <c r="J56" s="14">
        <v>1</v>
      </c>
      <c r="K56" s="14">
        <v>0</v>
      </c>
      <c r="L56" s="14" t="s">
        <v>26426</v>
      </c>
      <c r="M56" s="19" t="s">
        <v>101</v>
      </c>
      <c r="N56" s="14" t="s">
        <v>18473</v>
      </c>
      <c r="O56" s="14" t="s">
        <v>26427</v>
      </c>
      <c r="P56" s="14" t="str">
        <f>HYPERLINK("https://dexscreener.com/solana/CBAZNZrZtiBB3GToBqCZ9sRiXZV1z81F6ncH9Exqpump", "View")</f>
        <v>View</v>
      </c>
    </row>
    <row r="57" spans="1:16" x14ac:dyDescent="0.25">
      <c r="A57" s="16" t="s">
        <v>4879</v>
      </c>
      <c r="B57" s="17">
        <v>65957</v>
      </c>
      <c r="C57" s="17">
        <v>65957</v>
      </c>
      <c r="D57" s="17" t="s">
        <v>8685</v>
      </c>
      <c r="E57" s="17" t="s">
        <v>4396</v>
      </c>
      <c r="F57" s="17" t="s">
        <v>5248</v>
      </c>
      <c r="G57" s="15" t="s">
        <v>3414</v>
      </c>
      <c r="H57" s="15" t="s">
        <v>26428</v>
      </c>
      <c r="I57" s="17" t="s">
        <v>88</v>
      </c>
      <c r="J57" s="17">
        <v>1</v>
      </c>
      <c r="K57" s="17">
        <v>1</v>
      </c>
      <c r="L57" s="17" t="s">
        <v>26429</v>
      </c>
      <c r="M57" s="17" t="s">
        <v>179</v>
      </c>
      <c r="N57" s="17" t="s">
        <v>26430</v>
      </c>
      <c r="O57" s="17" t="s">
        <v>4884</v>
      </c>
      <c r="P57" s="17" t="str">
        <f>HYPERLINK("https://dexscreener.com/solana/EegQmCFNWdhZsh75XUdW2TaM8S13LAGf6JzNgHpxpump", "View")</f>
        <v>View</v>
      </c>
    </row>
    <row r="58" spans="1:16" x14ac:dyDescent="0.25">
      <c r="A58" s="13" t="s">
        <v>5811</v>
      </c>
      <c r="B58" s="14">
        <v>136276</v>
      </c>
      <c r="C58" s="14">
        <v>0</v>
      </c>
      <c r="D58" s="14" t="s">
        <v>9662</v>
      </c>
      <c r="E58" s="14" t="s">
        <v>4396</v>
      </c>
      <c r="F58" s="14" t="s">
        <v>96</v>
      </c>
      <c r="G58" s="18" t="s">
        <v>15868</v>
      </c>
      <c r="H58" s="18" t="s">
        <v>98</v>
      </c>
      <c r="I58" s="14" t="s">
        <v>26431</v>
      </c>
      <c r="J58" s="14">
        <v>1</v>
      </c>
      <c r="K58" s="14">
        <v>0</v>
      </c>
      <c r="L58" s="14" t="s">
        <v>26432</v>
      </c>
      <c r="M58" s="19" t="s">
        <v>101</v>
      </c>
      <c r="N58" s="14" t="s">
        <v>26433</v>
      </c>
      <c r="O58" s="14" t="s">
        <v>26434</v>
      </c>
      <c r="P58" s="14" t="str">
        <f>HYPERLINK("https://dexscreener.com/solana/HcSHefAEHNtxbDASQEeMrjjF26FFjMFV7pqfifBXpump", "View")</f>
        <v>View</v>
      </c>
    </row>
    <row r="59" spans="1:16" x14ac:dyDescent="0.25">
      <c r="A59" s="16" t="s">
        <v>16163</v>
      </c>
      <c r="B59" s="17">
        <v>89898</v>
      </c>
      <c r="C59" s="17">
        <v>0</v>
      </c>
      <c r="D59" s="17" t="s">
        <v>9662</v>
      </c>
      <c r="E59" s="17" t="s">
        <v>4396</v>
      </c>
      <c r="F59" s="17" t="s">
        <v>96</v>
      </c>
      <c r="G59" s="18" t="s">
        <v>15868</v>
      </c>
      <c r="H59" s="18" t="s">
        <v>98</v>
      </c>
      <c r="I59" s="17" t="s">
        <v>26435</v>
      </c>
      <c r="J59" s="17">
        <v>1</v>
      </c>
      <c r="K59" s="17">
        <v>0</v>
      </c>
      <c r="L59" s="17" t="s">
        <v>26436</v>
      </c>
      <c r="M59" s="19" t="s">
        <v>101</v>
      </c>
      <c r="N59" s="17" t="s">
        <v>26437</v>
      </c>
      <c r="O59" s="17" t="s">
        <v>16168</v>
      </c>
      <c r="P59" s="17" t="str">
        <f>HYPERLINK("https://dexscreener.com/solana/HEYEkK75ZTh5CBbozwWbxJBsjUVygtzuetCxXUjmpump", "View")</f>
        <v>View</v>
      </c>
    </row>
    <row r="60" spans="1:16" x14ac:dyDescent="0.25">
      <c r="A60" s="13" t="s">
        <v>261</v>
      </c>
      <c r="B60" s="14">
        <v>308867</v>
      </c>
      <c r="C60" s="14">
        <v>193042</v>
      </c>
      <c r="D60" s="14" t="s">
        <v>10536</v>
      </c>
      <c r="E60" s="14" t="s">
        <v>5919</v>
      </c>
      <c r="F60" s="14" t="s">
        <v>4086</v>
      </c>
      <c r="G60" s="20" t="s">
        <v>6297</v>
      </c>
      <c r="H60" s="20" t="s">
        <v>11320</v>
      </c>
      <c r="I60" s="14" t="s">
        <v>88</v>
      </c>
      <c r="J60" s="14">
        <v>1</v>
      </c>
      <c r="K60" s="14">
        <v>2</v>
      </c>
      <c r="L60" s="14" t="s">
        <v>26438</v>
      </c>
      <c r="M60" s="14" t="s">
        <v>1957</v>
      </c>
      <c r="N60" s="14" t="s">
        <v>26439</v>
      </c>
      <c r="O60" s="14" t="s">
        <v>265</v>
      </c>
      <c r="P60" s="14" t="str">
        <f>HYPERLINK("https://dexscreener.com/solana/EyDSYZM8RYQUc7ux41dNmR7BRk7tMzYnWmYeiKzCpump", "View")</f>
        <v>View</v>
      </c>
    </row>
    <row r="61" spans="1:16" x14ac:dyDescent="0.25">
      <c r="A61" s="16" t="s">
        <v>261</v>
      </c>
      <c r="B61" s="17">
        <v>119759</v>
      </c>
      <c r="C61" s="17">
        <v>29940</v>
      </c>
      <c r="D61" s="17" t="s">
        <v>8685</v>
      </c>
      <c r="E61" s="17" t="s">
        <v>12743</v>
      </c>
      <c r="F61" s="17" t="s">
        <v>5012</v>
      </c>
      <c r="G61" s="15" t="s">
        <v>6249</v>
      </c>
      <c r="H61" s="15" t="s">
        <v>26440</v>
      </c>
      <c r="I61" s="17" t="s">
        <v>88</v>
      </c>
      <c r="J61" s="17">
        <v>1</v>
      </c>
      <c r="K61" s="17">
        <v>1</v>
      </c>
      <c r="L61" s="17" t="s">
        <v>26441</v>
      </c>
      <c r="M61" s="19" t="s">
        <v>2541</v>
      </c>
      <c r="N61" s="17" t="s">
        <v>26442</v>
      </c>
      <c r="O61" s="17" t="s">
        <v>26443</v>
      </c>
      <c r="P61" s="17" t="str">
        <f>HYPERLINK("https://dexscreener.com/solana/YmmJAazPFQzoodwCfwphWQ2449gqncDTqvC5TtJpump", "View")</f>
        <v>View</v>
      </c>
    </row>
    <row r="62" spans="1:16" x14ac:dyDescent="0.25">
      <c r="A62" s="13" t="s">
        <v>26444</v>
      </c>
      <c r="B62" s="14">
        <v>183982</v>
      </c>
      <c r="C62" s="14">
        <v>137986</v>
      </c>
      <c r="D62" s="14" t="s">
        <v>8685</v>
      </c>
      <c r="E62" s="14" t="s">
        <v>12743</v>
      </c>
      <c r="F62" s="14" t="s">
        <v>6161</v>
      </c>
      <c r="G62" s="15" t="s">
        <v>5883</v>
      </c>
      <c r="H62" s="15" t="s">
        <v>26445</v>
      </c>
      <c r="I62" s="14" t="s">
        <v>88</v>
      </c>
      <c r="J62" s="14">
        <v>1</v>
      </c>
      <c r="K62" s="14">
        <v>1</v>
      </c>
      <c r="L62" s="14" t="s">
        <v>26446</v>
      </c>
      <c r="M62" s="14" t="s">
        <v>1448</v>
      </c>
      <c r="N62" s="14" t="s">
        <v>5484</v>
      </c>
      <c r="O62" s="14" t="s">
        <v>26447</v>
      </c>
      <c r="P62" s="14" t="str">
        <f>HYPERLINK("https://dexscreener.com/solana/7Gry9KMXfcaRv67GdNjTgqWSD6VhNDYdcaLm6pr7pump", "View")</f>
        <v>View</v>
      </c>
    </row>
    <row r="63" spans="1:16" x14ac:dyDescent="0.25">
      <c r="A63" s="16" t="s">
        <v>280</v>
      </c>
      <c r="B63" s="17">
        <v>33872</v>
      </c>
      <c r="C63" s="17">
        <v>23661</v>
      </c>
      <c r="D63" s="17" t="s">
        <v>21582</v>
      </c>
      <c r="E63" s="17" t="s">
        <v>12743</v>
      </c>
      <c r="F63" s="17" t="s">
        <v>5472</v>
      </c>
      <c r="G63" s="21" t="s">
        <v>10061</v>
      </c>
      <c r="H63" s="21" t="s">
        <v>26448</v>
      </c>
      <c r="I63" s="17" t="s">
        <v>88</v>
      </c>
      <c r="J63" s="17">
        <v>1</v>
      </c>
      <c r="K63" s="17">
        <v>4</v>
      </c>
      <c r="L63" s="17" t="s">
        <v>26449</v>
      </c>
      <c r="M63" s="17" t="s">
        <v>132</v>
      </c>
      <c r="N63" s="17" t="s">
        <v>26450</v>
      </c>
      <c r="O63" s="17" t="s">
        <v>289</v>
      </c>
      <c r="P63" s="17" t="str">
        <f>HYPERLINK("https://dexscreener.com/solana/7wUwkXo8Qjt3cYM8BaHHHeyfDY7ZSn7qvod92pNupump", "View")</f>
        <v>View</v>
      </c>
    </row>
    <row r="64" spans="1:16" x14ac:dyDescent="0.25">
      <c r="A64" s="13" t="s">
        <v>1637</v>
      </c>
      <c r="B64" s="14">
        <v>697734</v>
      </c>
      <c r="C64" s="14">
        <v>348867</v>
      </c>
      <c r="D64" s="14" t="s">
        <v>8685</v>
      </c>
      <c r="E64" s="14" t="s">
        <v>5837</v>
      </c>
      <c r="F64" s="14" t="s">
        <v>6268</v>
      </c>
      <c r="G64" s="21" t="s">
        <v>4951</v>
      </c>
      <c r="H64" s="21" t="s">
        <v>26451</v>
      </c>
      <c r="I64" s="14" t="s">
        <v>88</v>
      </c>
      <c r="J64" s="14">
        <v>1</v>
      </c>
      <c r="K64" s="14">
        <v>1</v>
      </c>
      <c r="L64" s="14" t="s">
        <v>26452</v>
      </c>
      <c r="M64" s="14" t="s">
        <v>602</v>
      </c>
      <c r="N64" s="14" t="s">
        <v>26453</v>
      </c>
      <c r="O64" s="14" t="s">
        <v>1644</v>
      </c>
      <c r="P64" s="14" t="str">
        <f>HYPERLINK("https://photon-sol.tinyastro.io/en/lp/GYCvL5ikdJbTq6b2DDq8DffYwFNbs4hWySMUiqfHpump?handle=676050794bc1b1657a56b", "View")</f>
        <v>View</v>
      </c>
    </row>
    <row r="65" spans="1:16" x14ac:dyDescent="0.25">
      <c r="A65" s="16" t="s">
        <v>19737</v>
      </c>
      <c r="B65" s="17">
        <v>103236</v>
      </c>
      <c r="C65" s="17">
        <v>0</v>
      </c>
      <c r="D65" s="17" t="s">
        <v>9662</v>
      </c>
      <c r="E65" s="17" t="s">
        <v>4396</v>
      </c>
      <c r="F65" s="17" t="s">
        <v>96</v>
      </c>
      <c r="G65" s="18" t="s">
        <v>15868</v>
      </c>
      <c r="H65" s="18" t="s">
        <v>98</v>
      </c>
      <c r="I65" s="17" t="s">
        <v>26454</v>
      </c>
      <c r="J65" s="17">
        <v>1</v>
      </c>
      <c r="K65" s="17">
        <v>0</v>
      </c>
      <c r="L65" s="17" t="s">
        <v>26455</v>
      </c>
      <c r="M65" s="19" t="s">
        <v>101</v>
      </c>
      <c r="N65" s="17" t="s">
        <v>26456</v>
      </c>
      <c r="O65" s="17" t="s">
        <v>19744</v>
      </c>
      <c r="P65" s="17" t="str">
        <f>HYPERLINK("https://dexscreener.com/solana/58ofVUi8HEDL22i6BMgv4Xycirs7uHgLVqfRiXS7pump", "View")</f>
        <v>View</v>
      </c>
    </row>
    <row r="66" spans="1:16" x14ac:dyDescent="0.25">
      <c r="A66" s="13" t="s">
        <v>6449</v>
      </c>
      <c r="B66" s="14">
        <v>50139</v>
      </c>
      <c r="C66" s="14">
        <v>50139</v>
      </c>
      <c r="D66" s="14" t="s">
        <v>8685</v>
      </c>
      <c r="E66" s="14" t="s">
        <v>12743</v>
      </c>
      <c r="F66" s="14" t="s">
        <v>12743</v>
      </c>
      <c r="G66" s="20" t="s">
        <v>14444</v>
      </c>
      <c r="H66" s="20" t="s">
        <v>26457</v>
      </c>
      <c r="I66" s="14" t="s">
        <v>88</v>
      </c>
      <c r="J66" s="14">
        <v>1</v>
      </c>
      <c r="K66" s="14">
        <v>1</v>
      </c>
      <c r="L66" s="14" t="s">
        <v>26458</v>
      </c>
      <c r="M66" s="19" t="s">
        <v>1827</v>
      </c>
      <c r="N66" s="14" t="s">
        <v>26459</v>
      </c>
      <c r="O66" s="14" t="s">
        <v>6457</v>
      </c>
      <c r="P66" s="14" t="str">
        <f>HYPERLINK("https://dexscreener.com/solana/6qocE7eQhug7pE7CggAvdNJJMtkHjKaVYRSND7Bwpump", "View")</f>
        <v>View</v>
      </c>
    </row>
    <row r="67" spans="1:16" x14ac:dyDescent="0.25">
      <c r="A67" s="16" t="s">
        <v>26460</v>
      </c>
      <c r="B67" s="17">
        <v>103549</v>
      </c>
      <c r="C67" s="17">
        <v>0</v>
      </c>
      <c r="D67" s="17" t="s">
        <v>9662</v>
      </c>
      <c r="E67" s="17" t="s">
        <v>4396</v>
      </c>
      <c r="F67" s="17" t="s">
        <v>96</v>
      </c>
      <c r="G67" s="18" t="s">
        <v>15868</v>
      </c>
      <c r="H67" s="18" t="s">
        <v>98</v>
      </c>
      <c r="I67" s="17" t="s">
        <v>26461</v>
      </c>
      <c r="J67" s="17">
        <v>1</v>
      </c>
      <c r="K67" s="17">
        <v>0</v>
      </c>
      <c r="L67" s="17" t="s">
        <v>26462</v>
      </c>
      <c r="M67" s="19" t="s">
        <v>101</v>
      </c>
      <c r="N67" s="17" t="s">
        <v>26456</v>
      </c>
      <c r="O67" s="17" t="s">
        <v>26463</v>
      </c>
      <c r="P67" s="17" t="str">
        <f>HYPERLINK("https://dexscreener.com/solana/AFmnF7gsWVmKCvcLM4xFgsZfz4JNLw53d3uAZYLWpump", "View")</f>
        <v>View</v>
      </c>
    </row>
    <row r="68" spans="1:16" x14ac:dyDescent="0.25">
      <c r="A68" s="13" t="s">
        <v>26464</v>
      </c>
      <c r="B68" s="14">
        <v>1148779</v>
      </c>
      <c r="C68" s="14">
        <v>1148779</v>
      </c>
      <c r="D68" s="14" t="s">
        <v>8685</v>
      </c>
      <c r="E68" s="14" t="s">
        <v>19899</v>
      </c>
      <c r="F68" s="14" t="s">
        <v>4482</v>
      </c>
      <c r="G68" s="20" t="s">
        <v>3446</v>
      </c>
      <c r="H68" s="20" t="s">
        <v>26465</v>
      </c>
      <c r="I68" s="14" t="s">
        <v>88</v>
      </c>
      <c r="J68" s="14">
        <v>1</v>
      </c>
      <c r="K68" s="14">
        <v>1</v>
      </c>
      <c r="L68" s="14" t="s">
        <v>26466</v>
      </c>
      <c r="M68" s="14" t="s">
        <v>1448</v>
      </c>
      <c r="N68" s="14" t="s">
        <v>3633</v>
      </c>
      <c r="O68" s="14" t="s">
        <v>26467</v>
      </c>
      <c r="P68" s="14" t="str">
        <f>HYPERLINK("https://photon-sol.tinyastro.io/en/lp/AM39r2DmfbW21ECRULSobP9wx6Vzveamf4Vg4gY4pump?handle=676050794bc1b1657a56b", "View")</f>
        <v>View</v>
      </c>
    </row>
    <row r="69" spans="1:16" x14ac:dyDescent="0.25">
      <c r="A69" s="16" t="s">
        <v>26468</v>
      </c>
      <c r="B69" s="17">
        <v>352365</v>
      </c>
      <c r="C69" s="17">
        <v>213569</v>
      </c>
      <c r="D69" s="17" t="s">
        <v>10536</v>
      </c>
      <c r="E69" s="17" t="s">
        <v>4665</v>
      </c>
      <c r="F69" s="17" t="s">
        <v>5919</v>
      </c>
      <c r="G69" s="15" t="s">
        <v>3209</v>
      </c>
      <c r="H69" s="15" t="s">
        <v>26469</v>
      </c>
      <c r="I69" s="17" t="s">
        <v>88</v>
      </c>
      <c r="J69" s="17">
        <v>2</v>
      </c>
      <c r="K69" s="17">
        <v>1</v>
      </c>
      <c r="L69" s="17" t="s">
        <v>26470</v>
      </c>
      <c r="M69" s="17" t="s">
        <v>3136</v>
      </c>
      <c r="N69" s="17" t="s">
        <v>26471</v>
      </c>
      <c r="O69" s="17" t="s">
        <v>26472</v>
      </c>
      <c r="P69" s="17" t="str">
        <f>HYPERLINK("https://dexscreener.com/solana/7458jTLdMTuqtfHg1eiPY3vUvDX6RgKZAntATVPDpump", "View")</f>
        <v>View</v>
      </c>
    </row>
    <row r="70" spans="1:16" x14ac:dyDescent="0.25">
      <c r="A70" s="13" t="s">
        <v>26473</v>
      </c>
      <c r="B70" s="14">
        <v>1194981</v>
      </c>
      <c r="C70" s="14">
        <v>1194981</v>
      </c>
      <c r="D70" s="14" t="s">
        <v>8685</v>
      </c>
      <c r="E70" s="14" t="s">
        <v>3845</v>
      </c>
      <c r="F70" s="14" t="s">
        <v>4217</v>
      </c>
      <c r="G70" s="20" t="s">
        <v>3446</v>
      </c>
      <c r="H70" s="20" t="s">
        <v>26474</v>
      </c>
      <c r="I70" s="14" t="s">
        <v>88</v>
      </c>
      <c r="J70" s="14">
        <v>1</v>
      </c>
      <c r="K70" s="14">
        <v>1</v>
      </c>
      <c r="L70" s="14" t="s">
        <v>12489</v>
      </c>
      <c r="M70" s="19" t="s">
        <v>2323</v>
      </c>
      <c r="N70" s="14" t="s">
        <v>26475</v>
      </c>
      <c r="O70" s="14" t="s">
        <v>26476</v>
      </c>
      <c r="P70" s="14" t="str">
        <f>HYPERLINK("https://photon-sol.tinyastro.io/en/lp/GZW5vKNpQnLxmzf4fSHZk4UDBRmHvVjLj2M3kNBs2hMm?handle=676050794bc1b1657a56b", "View")</f>
        <v>View</v>
      </c>
    </row>
    <row r="71" spans="1:16" x14ac:dyDescent="0.25">
      <c r="A71" s="16" t="s">
        <v>320</v>
      </c>
      <c r="B71" s="17">
        <v>58718</v>
      </c>
      <c r="C71" s="17">
        <v>0</v>
      </c>
      <c r="D71" s="17" t="s">
        <v>9662</v>
      </c>
      <c r="E71" s="17" t="s">
        <v>4396</v>
      </c>
      <c r="F71" s="17" t="s">
        <v>96</v>
      </c>
      <c r="G71" s="18" t="s">
        <v>15868</v>
      </c>
      <c r="H71" s="18" t="s">
        <v>98</v>
      </c>
      <c r="I71" s="17" t="s">
        <v>26477</v>
      </c>
      <c r="J71" s="17">
        <v>1</v>
      </c>
      <c r="K71" s="17">
        <v>0</v>
      </c>
      <c r="L71" s="17" t="s">
        <v>26478</v>
      </c>
      <c r="M71" s="19" t="s">
        <v>101</v>
      </c>
      <c r="N71" s="17" t="s">
        <v>26479</v>
      </c>
      <c r="O71" s="17" t="s">
        <v>324</v>
      </c>
      <c r="P71" s="17" t="str">
        <f>HYPERLINK("https://dexscreener.com/solana/iByRAnwB6oHjphgaixPkKqno41ida9yqKwwmrsKpump", "View")</f>
        <v>View</v>
      </c>
    </row>
    <row r="72" spans="1:16" x14ac:dyDescent="0.25">
      <c r="A72" s="13" t="s">
        <v>26480</v>
      </c>
      <c r="B72" s="14">
        <v>968299</v>
      </c>
      <c r="C72" s="14">
        <v>968299</v>
      </c>
      <c r="D72" s="14" t="s">
        <v>8685</v>
      </c>
      <c r="E72" s="14" t="s">
        <v>17509</v>
      </c>
      <c r="F72" s="14" t="s">
        <v>12272</v>
      </c>
      <c r="G72" s="20" t="s">
        <v>3652</v>
      </c>
      <c r="H72" s="20" t="s">
        <v>26481</v>
      </c>
      <c r="I72" s="14" t="s">
        <v>88</v>
      </c>
      <c r="J72" s="14">
        <v>1</v>
      </c>
      <c r="K72" s="14">
        <v>1</v>
      </c>
      <c r="L72" s="14" t="s">
        <v>26482</v>
      </c>
      <c r="M72" s="14" t="s">
        <v>602</v>
      </c>
      <c r="N72" s="14" t="s">
        <v>3824</v>
      </c>
      <c r="O72" s="14" t="s">
        <v>26483</v>
      </c>
      <c r="P72" s="14" t="str">
        <f>HYPERLINK("https://photon-sol.tinyastro.io/en/lp/H4uen4GmZS8GPTUkiznrUeknKsWfe5gjhzTsCRr1pump?handle=676050794bc1b1657a56b", "View")</f>
        <v>View</v>
      </c>
    </row>
    <row r="73" spans="1:16" x14ac:dyDescent="0.25">
      <c r="A73" s="16" t="s">
        <v>26484</v>
      </c>
      <c r="B73" s="17">
        <v>1454117</v>
      </c>
      <c r="C73" s="17">
        <v>1454117</v>
      </c>
      <c r="D73" s="17" t="s">
        <v>10536</v>
      </c>
      <c r="E73" s="17" t="s">
        <v>4660</v>
      </c>
      <c r="F73" s="17" t="s">
        <v>5226</v>
      </c>
      <c r="G73" s="20" t="s">
        <v>5692</v>
      </c>
      <c r="H73" s="20" t="s">
        <v>26485</v>
      </c>
      <c r="I73" s="17" t="s">
        <v>88</v>
      </c>
      <c r="J73" s="17">
        <v>1</v>
      </c>
      <c r="K73" s="17">
        <v>2</v>
      </c>
      <c r="L73" s="17" t="s">
        <v>26486</v>
      </c>
      <c r="M73" s="17" t="s">
        <v>2047</v>
      </c>
      <c r="N73" s="17" t="s">
        <v>3115</v>
      </c>
      <c r="O73" s="17" t="s">
        <v>26487</v>
      </c>
      <c r="P73" s="17" t="str">
        <f>HYPERLINK("https://photon-sol.tinyastro.io/en/lp/G3aCi7HrLkrHXaVeVmhXTg6uXbJpNQHtRmyUkLt2pump?handle=676050794bc1b1657a56b", "View")</f>
        <v>View</v>
      </c>
    </row>
    <row r="74" spans="1:16" x14ac:dyDescent="0.25">
      <c r="A74" s="13" t="s">
        <v>26488</v>
      </c>
      <c r="B74" s="14">
        <v>948800</v>
      </c>
      <c r="C74" s="14">
        <v>0</v>
      </c>
      <c r="D74" s="14" t="s">
        <v>9662</v>
      </c>
      <c r="E74" s="14" t="s">
        <v>1884</v>
      </c>
      <c r="F74" s="14" t="s">
        <v>96</v>
      </c>
      <c r="G74" s="18" t="s">
        <v>3414</v>
      </c>
      <c r="H74" s="18" t="s">
        <v>98</v>
      </c>
      <c r="I74" s="14" t="s">
        <v>26489</v>
      </c>
      <c r="J74" s="14">
        <v>1</v>
      </c>
      <c r="K74" s="14">
        <v>0</v>
      </c>
      <c r="L74" s="14" t="s">
        <v>26490</v>
      </c>
      <c r="M74" s="19" t="s">
        <v>101</v>
      </c>
      <c r="N74" s="14" t="s">
        <v>8391</v>
      </c>
      <c r="O74" s="14" t="s">
        <v>26491</v>
      </c>
      <c r="P74" s="14" t="str">
        <f>HYPERLINK("https://photon-sol.tinyastro.io/en/lp/7wYTMHJnxXqJRnnzJb3594mS7LgCXT47AGLhd4hrpump?handle=676050794bc1b1657a56b", "View")</f>
        <v>View</v>
      </c>
    </row>
    <row r="75" spans="1:16" x14ac:dyDescent="0.25">
      <c r="A75" s="16" t="s">
        <v>2842</v>
      </c>
      <c r="B75" s="17">
        <v>23728</v>
      </c>
      <c r="C75" s="17">
        <v>23728</v>
      </c>
      <c r="D75" s="17" t="s">
        <v>19101</v>
      </c>
      <c r="E75" s="17" t="s">
        <v>4396</v>
      </c>
      <c r="F75" s="17" t="s">
        <v>3047</v>
      </c>
      <c r="G75" s="15" t="s">
        <v>4739</v>
      </c>
      <c r="H75" s="15" t="s">
        <v>26492</v>
      </c>
      <c r="I75" s="17" t="s">
        <v>88</v>
      </c>
      <c r="J75" s="17">
        <v>1</v>
      </c>
      <c r="K75" s="17">
        <v>2</v>
      </c>
      <c r="L75" s="17" t="s">
        <v>26493</v>
      </c>
      <c r="M75" s="17" t="s">
        <v>179</v>
      </c>
      <c r="N75" s="17" t="s">
        <v>26494</v>
      </c>
      <c r="O75" s="17" t="s">
        <v>2847</v>
      </c>
      <c r="P75" s="17" t="str">
        <f>HYPERLINK("https://dexscreener.com/solana/4JE4tBaHwq9WsqGb4XVq38hGs7PXxd6EwNhUg9y17WGE", "View")</f>
        <v>View</v>
      </c>
    </row>
    <row r="76" spans="1:16" x14ac:dyDescent="0.25">
      <c r="A76" s="13" t="s">
        <v>20177</v>
      </c>
      <c r="B76" s="14">
        <v>20301</v>
      </c>
      <c r="C76" s="14">
        <v>20301</v>
      </c>
      <c r="D76" s="14" t="s">
        <v>8685</v>
      </c>
      <c r="E76" s="14" t="s">
        <v>5919</v>
      </c>
      <c r="F76" s="14" t="s">
        <v>3531</v>
      </c>
      <c r="G76" s="20" t="s">
        <v>6009</v>
      </c>
      <c r="H76" s="20" t="s">
        <v>26495</v>
      </c>
      <c r="I76" s="14" t="s">
        <v>88</v>
      </c>
      <c r="J76" s="14">
        <v>1</v>
      </c>
      <c r="K76" s="14">
        <v>1</v>
      </c>
      <c r="L76" s="14" t="s">
        <v>26496</v>
      </c>
      <c r="M76" s="14" t="s">
        <v>1434</v>
      </c>
      <c r="N76" s="14" t="s">
        <v>26497</v>
      </c>
      <c r="O76" s="14" t="s">
        <v>20185</v>
      </c>
      <c r="P76" s="14" t="str">
        <f>HYPERLINK("https://dexscreener.com/solana/8SuMAjoZeLGaaekNHP235Dv4soXsrcseFXefT3A9pump", "View")</f>
        <v>View</v>
      </c>
    </row>
    <row r="77" spans="1:16" x14ac:dyDescent="0.25">
      <c r="A77" s="16" t="s">
        <v>26498</v>
      </c>
      <c r="B77" s="17">
        <v>1933199</v>
      </c>
      <c r="C77" s="17">
        <v>966599</v>
      </c>
      <c r="D77" s="17" t="s">
        <v>10517</v>
      </c>
      <c r="E77" s="17" t="s">
        <v>3773</v>
      </c>
      <c r="F77" s="17" t="s">
        <v>96</v>
      </c>
      <c r="G77" s="15" t="s">
        <v>5347</v>
      </c>
      <c r="H77" s="15" t="s">
        <v>16108</v>
      </c>
      <c r="I77" s="17" t="s">
        <v>88</v>
      </c>
      <c r="J77" s="17">
        <v>1</v>
      </c>
      <c r="K77" s="17">
        <v>1</v>
      </c>
      <c r="L77" s="17" t="s">
        <v>26499</v>
      </c>
      <c r="M77" s="17" t="s">
        <v>1714</v>
      </c>
      <c r="N77" s="17" t="s">
        <v>1203</v>
      </c>
      <c r="O77" s="17" t="s">
        <v>26500</v>
      </c>
      <c r="P77" s="17" t="str">
        <f>HYPERLINK("https://photon-sol.tinyastro.io/en/lp/GDFEhJdo8xaTSpasVD7YLb7fSEe8C4pDnRqvPnxSpump?handle=676050794bc1b1657a56b", "View")</f>
        <v>View</v>
      </c>
    </row>
    <row r="78" spans="1:16" x14ac:dyDescent="0.25">
      <c r="A78" s="13" t="s">
        <v>2995</v>
      </c>
      <c r="B78" s="14">
        <v>993814</v>
      </c>
      <c r="C78" s="14">
        <v>0</v>
      </c>
      <c r="D78" s="14" t="s">
        <v>9662</v>
      </c>
      <c r="E78" s="14" t="s">
        <v>4660</v>
      </c>
      <c r="F78" s="14" t="s">
        <v>96</v>
      </c>
      <c r="G78" s="18" t="s">
        <v>4755</v>
      </c>
      <c r="H78" s="18" t="s">
        <v>98</v>
      </c>
      <c r="I78" s="14" t="s">
        <v>26501</v>
      </c>
      <c r="J78" s="14">
        <v>1</v>
      </c>
      <c r="K78" s="14">
        <v>0</v>
      </c>
      <c r="L78" s="14" t="s">
        <v>26502</v>
      </c>
      <c r="M78" s="19" t="s">
        <v>101</v>
      </c>
      <c r="N78" s="14" t="s">
        <v>2411</v>
      </c>
      <c r="O78" s="14" t="s">
        <v>26503</v>
      </c>
      <c r="P78" s="14" t="str">
        <f>HYPERLINK("https://photon-sol.tinyastro.io/en/lp/HUvjDmYNXL45eaPqi8176ihpYTAMxknr2dUWKN8spump?handle=676050794bc1b1657a56b", "View")</f>
        <v>View</v>
      </c>
    </row>
    <row r="79" spans="1:16" x14ac:dyDescent="0.25">
      <c r="A79" s="16" t="s">
        <v>26504</v>
      </c>
      <c r="B79" s="17">
        <v>620181</v>
      </c>
      <c r="C79" s="17">
        <v>620181</v>
      </c>
      <c r="D79" s="17" t="s">
        <v>8685</v>
      </c>
      <c r="E79" s="17" t="s">
        <v>4989</v>
      </c>
      <c r="F79" s="17" t="s">
        <v>5753</v>
      </c>
      <c r="G79" s="20" t="s">
        <v>4026</v>
      </c>
      <c r="H79" s="20" t="s">
        <v>26505</v>
      </c>
      <c r="I79" s="17" t="s">
        <v>88</v>
      </c>
      <c r="J79" s="17">
        <v>1</v>
      </c>
      <c r="K79" s="17">
        <v>1</v>
      </c>
      <c r="L79" s="17" t="s">
        <v>26502</v>
      </c>
      <c r="M79" s="19" t="s">
        <v>2167</v>
      </c>
      <c r="N79" s="17" t="s">
        <v>3969</v>
      </c>
      <c r="O79" s="17" t="s">
        <v>26506</v>
      </c>
      <c r="P79" s="17" t="str">
        <f>HYPERLINK("https://photon-sol.tinyastro.io/en/lp/DCqFw7Pu4eMgWdEqNPDuvLRRaRgD2xbJ6pozMED6pump?handle=676050794bc1b1657a56b", "View")</f>
        <v>View</v>
      </c>
    </row>
    <row r="80" spans="1:16" x14ac:dyDescent="0.25">
      <c r="A80" s="13" t="s">
        <v>26507</v>
      </c>
      <c r="B80" s="14">
        <v>1219034</v>
      </c>
      <c r="C80" s="14">
        <v>1219034</v>
      </c>
      <c r="D80" s="14" t="s">
        <v>16283</v>
      </c>
      <c r="E80" s="14" t="s">
        <v>4817</v>
      </c>
      <c r="F80" s="14" t="s">
        <v>4198</v>
      </c>
      <c r="G80" s="21" t="s">
        <v>3556</v>
      </c>
      <c r="H80" s="21" t="s">
        <v>26508</v>
      </c>
      <c r="I80" s="14" t="s">
        <v>88</v>
      </c>
      <c r="J80" s="14">
        <v>1</v>
      </c>
      <c r="K80" s="14">
        <v>3</v>
      </c>
      <c r="L80" s="14" t="s">
        <v>26509</v>
      </c>
      <c r="M80" s="14" t="s">
        <v>1448</v>
      </c>
      <c r="N80" s="14" t="s">
        <v>26510</v>
      </c>
      <c r="O80" s="14" t="s">
        <v>26511</v>
      </c>
      <c r="P80" s="14" t="str">
        <f>HYPERLINK("https://photon-sol.tinyastro.io/en/lp/5oqmSZe3mYnvda4uuzvif2KGXzx77VzRm8ez4aswpump?handle=676050794bc1b1657a56b", "View")</f>
        <v>View</v>
      </c>
    </row>
    <row r="81" spans="1:16" x14ac:dyDescent="0.25">
      <c r="A81" s="16" t="s">
        <v>26512</v>
      </c>
      <c r="B81" s="17">
        <v>776180</v>
      </c>
      <c r="C81" s="17">
        <v>0</v>
      </c>
      <c r="D81" s="17" t="s">
        <v>9662</v>
      </c>
      <c r="E81" s="17" t="s">
        <v>3275</v>
      </c>
      <c r="F81" s="17" t="s">
        <v>96</v>
      </c>
      <c r="G81" s="18" t="s">
        <v>26513</v>
      </c>
      <c r="H81" s="18" t="s">
        <v>98</v>
      </c>
      <c r="I81" s="17" t="s">
        <v>26514</v>
      </c>
      <c r="J81" s="17">
        <v>1</v>
      </c>
      <c r="K81" s="17">
        <v>0</v>
      </c>
      <c r="L81" s="17" t="s">
        <v>26515</v>
      </c>
      <c r="M81" s="19" t="s">
        <v>101</v>
      </c>
      <c r="N81" s="17" t="s">
        <v>1264</v>
      </c>
      <c r="O81" s="17" t="s">
        <v>26516</v>
      </c>
      <c r="P81" s="17" t="str">
        <f>HYPERLINK("https://photon-sol.tinyastro.io/en/lp/embRm6LVgkHiV4cSwHzuoYRMuW5ybk3GtimnPLrpump?handle=676050794bc1b1657a56b", "View")</f>
        <v>View</v>
      </c>
    </row>
    <row r="82" spans="1:16" x14ac:dyDescent="0.25">
      <c r="A82" s="13" t="s">
        <v>24948</v>
      </c>
      <c r="B82" s="14">
        <v>2011736</v>
      </c>
      <c r="C82" s="14">
        <v>0</v>
      </c>
      <c r="D82" s="14" t="s">
        <v>9662</v>
      </c>
      <c r="E82" s="14" t="s">
        <v>2531</v>
      </c>
      <c r="F82" s="14" t="s">
        <v>96</v>
      </c>
      <c r="G82" s="18" t="s">
        <v>11890</v>
      </c>
      <c r="H82" s="18" t="s">
        <v>98</v>
      </c>
      <c r="I82" s="14" t="s">
        <v>26517</v>
      </c>
      <c r="J82" s="14">
        <v>1</v>
      </c>
      <c r="K82" s="14">
        <v>0</v>
      </c>
      <c r="L82" s="14" t="s">
        <v>26518</v>
      </c>
      <c r="M82" s="19" t="s">
        <v>101</v>
      </c>
      <c r="N82" s="14" t="s">
        <v>1980</v>
      </c>
      <c r="O82" s="14" t="s">
        <v>26519</v>
      </c>
      <c r="P82" s="14" t="str">
        <f>HYPERLINK("https://photon-sol.tinyastro.io/en/lp/GqTt3nV6JnhVHSuDFr6DYuLU9zWmwgDc7myeihnQpump?handle=676050794bc1b1657a56b", "View")</f>
        <v>View</v>
      </c>
    </row>
    <row r="83" spans="1:16" x14ac:dyDescent="0.25">
      <c r="A83" s="16" t="s">
        <v>26520</v>
      </c>
      <c r="B83" s="17">
        <v>497840</v>
      </c>
      <c r="C83" s="17">
        <v>124460</v>
      </c>
      <c r="D83" s="17" t="s">
        <v>8685</v>
      </c>
      <c r="E83" s="17" t="s">
        <v>5919</v>
      </c>
      <c r="F83" s="17" t="s">
        <v>6180</v>
      </c>
      <c r="G83" s="22" t="s">
        <v>17881</v>
      </c>
      <c r="H83" s="22" t="s">
        <v>7516</v>
      </c>
      <c r="I83" s="17" t="s">
        <v>88</v>
      </c>
      <c r="J83" s="17">
        <v>1</v>
      </c>
      <c r="K83" s="17">
        <v>1</v>
      </c>
      <c r="L83" s="17" t="s">
        <v>26521</v>
      </c>
      <c r="M83" s="17" t="s">
        <v>937</v>
      </c>
      <c r="N83" s="17" t="s">
        <v>4104</v>
      </c>
      <c r="O83" s="17" t="s">
        <v>26522</v>
      </c>
      <c r="P83" s="17" t="str">
        <f>HYPERLINK("https://dexscreener.com/solana/738jvbkArGJ5pr969bzTohhfCqqw4x6mnsxoyJY7pump", "View")</f>
        <v>View</v>
      </c>
    </row>
    <row r="84" spans="1:16" x14ac:dyDescent="0.25">
      <c r="A84" s="13" t="s">
        <v>10597</v>
      </c>
      <c r="B84" s="14">
        <v>2117339</v>
      </c>
      <c r="C84" s="14">
        <v>1058670</v>
      </c>
      <c r="D84" s="14" t="s">
        <v>10517</v>
      </c>
      <c r="E84" s="14" t="s">
        <v>5715</v>
      </c>
      <c r="F84" s="14" t="s">
        <v>96</v>
      </c>
      <c r="G84" s="15" t="s">
        <v>6142</v>
      </c>
      <c r="H84" s="15" t="s">
        <v>26523</v>
      </c>
      <c r="I84" s="14" t="s">
        <v>88</v>
      </c>
      <c r="J84" s="14">
        <v>1</v>
      </c>
      <c r="K84" s="14">
        <v>1</v>
      </c>
      <c r="L84" s="14" t="s">
        <v>26524</v>
      </c>
      <c r="M84" s="14" t="s">
        <v>1478</v>
      </c>
      <c r="N84" s="14" t="s">
        <v>1011</v>
      </c>
      <c r="O84" s="14" t="s">
        <v>26525</v>
      </c>
      <c r="P84" s="14" t="str">
        <f>HYPERLINK("https://photon-sol.tinyastro.io/en/lp/4ktEhYgYhP7oYUPYwH4yQFQ8p3Vr3uQ8HMeccJdopump?handle=676050794bc1b1657a56b", "View")</f>
        <v>View</v>
      </c>
    </row>
    <row r="85" spans="1:16" x14ac:dyDescent="0.25">
      <c r="A85" s="16" t="s">
        <v>482</v>
      </c>
      <c r="B85" s="17">
        <v>67092</v>
      </c>
      <c r="C85" s="17">
        <v>0</v>
      </c>
      <c r="D85" s="17" t="s">
        <v>9662</v>
      </c>
      <c r="E85" s="17" t="s">
        <v>12743</v>
      </c>
      <c r="F85" s="17" t="s">
        <v>96</v>
      </c>
      <c r="G85" s="18" t="s">
        <v>3453</v>
      </c>
      <c r="H85" s="18" t="s">
        <v>98</v>
      </c>
      <c r="I85" s="17" t="s">
        <v>26526</v>
      </c>
      <c r="J85" s="17">
        <v>1</v>
      </c>
      <c r="K85" s="17">
        <v>0</v>
      </c>
      <c r="L85" s="17" t="s">
        <v>26527</v>
      </c>
      <c r="M85" s="19" t="s">
        <v>101</v>
      </c>
      <c r="N85" s="17" t="s">
        <v>26528</v>
      </c>
      <c r="O85" s="17" t="s">
        <v>490</v>
      </c>
      <c r="P85" s="17" t="str">
        <f>HYPERLINK("https://dexscreener.com/solana/69G8CpUVZAxbPMiEBrfCCCH445NwFxH6PzVL693Xpump", "View")</f>
        <v>View</v>
      </c>
    </row>
    <row r="86" spans="1:16" x14ac:dyDescent="0.25">
      <c r="A86" s="13" t="s">
        <v>26529</v>
      </c>
      <c r="B86" s="14">
        <v>1294022</v>
      </c>
      <c r="C86" s="14">
        <v>1294022</v>
      </c>
      <c r="D86" s="14" t="s">
        <v>8685</v>
      </c>
      <c r="E86" s="14" t="s">
        <v>23088</v>
      </c>
      <c r="F86" s="14" t="s">
        <v>1407</v>
      </c>
      <c r="G86" s="21" t="s">
        <v>3472</v>
      </c>
      <c r="H86" s="21" t="s">
        <v>26530</v>
      </c>
      <c r="I86" s="14" t="s">
        <v>88</v>
      </c>
      <c r="J86" s="14">
        <v>1</v>
      </c>
      <c r="K86" s="14">
        <v>1</v>
      </c>
      <c r="L86" s="14" t="s">
        <v>26531</v>
      </c>
      <c r="M86" s="14" t="s">
        <v>5501</v>
      </c>
      <c r="N86" s="14" t="s">
        <v>24195</v>
      </c>
      <c r="O86" s="14" t="s">
        <v>26532</v>
      </c>
      <c r="P86" s="14" t="str">
        <f>HYPERLINK("https://photon-sol.tinyastro.io/en/lp/AnQCNde4nXGG4vT6XGpYJc7tyh1cjwyjC3raeRxnNN4F?handle=676050794bc1b1657a56b", "View")</f>
        <v>View</v>
      </c>
    </row>
    <row r="87" spans="1:16" x14ac:dyDescent="0.25">
      <c r="A87" s="16" t="s">
        <v>8933</v>
      </c>
      <c r="B87" s="17">
        <v>629267</v>
      </c>
      <c r="C87" s="17">
        <v>471950</v>
      </c>
      <c r="D87" s="17" t="s">
        <v>8685</v>
      </c>
      <c r="E87" s="17" t="s">
        <v>4660</v>
      </c>
      <c r="F87" s="17" t="s">
        <v>5687</v>
      </c>
      <c r="G87" s="15" t="s">
        <v>2590</v>
      </c>
      <c r="H87" s="15" t="s">
        <v>26533</v>
      </c>
      <c r="I87" s="17" t="s">
        <v>88</v>
      </c>
      <c r="J87" s="17">
        <v>1</v>
      </c>
      <c r="K87" s="17">
        <v>1</v>
      </c>
      <c r="L87" s="17" t="s">
        <v>26534</v>
      </c>
      <c r="M87" s="17" t="s">
        <v>1448</v>
      </c>
      <c r="N87" s="17" t="s">
        <v>8551</v>
      </c>
      <c r="O87" s="17" t="s">
        <v>8941</v>
      </c>
      <c r="P87" s="17" t="str">
        <f>HYPERLINK("https://photon-sol.tinyastro.io/en/lp/sjk6fNpHQEeWvk9sJrKEqTTLVZePbFqyeJSqB7kpump?handle=676050794bc1b1657a56b", "View")</f>
        <v>View</v>
      </c>
    </row>
    <row r="88" spans="1:16" x14ac:dyDescent="0.25">
      <c r="A88" s="13" t="s">
        <v>26535</v>
      </c>
      <c r="B88" s="14">
        <v>467678</v>
      </c>
      <c r="C88" s="14">
        <v>467678</v>
      </c>
      <c r="D88" s="14" t="s">
        <v>16283</v>
      </c>
      <c r="E88" s="14" t="s">
        <v>4396</v>
      </c>
      <c r="F88" s="14" t="s">
        <v>2186</v>
      </c>
      <c r="G88" s="21" t="s">
        <v>7541</v>
      </c>
      <c r="H88" s="21" t="s">
        <v>26536</v>
      </c>
      <c r="I88" s="14" t="s">
        <v>88</v>
      </c>
      <c r="J88" s="14">
        <v>1</v>
      </c>
      <c r="K88" s="14">
        <v>3</v>
      </c>
      <c r="L88" s="14" t="s">
        <v>26537</v>
      </c>
      <c r="M88" s="14" t="s">
        <v>788</v>
      </c>
      <c r="N88" s="14" t="s">
        <v>10090</v>
      </c>
      <c r="O88" s="14" t="s">
        <v>26538</v>
      </c>
      <c r="P88" s="14" t="str">
        <f>HYPERLINK("https://photon-sol.tinyastro.io/en/lp/DsDzFKro1PRxCX2CAuAKaYuc9uHRhmgtbrYLwWa3pump?handle=676050794bc1b1657a56b", "View")</f>
        <v>View</v>
      </c>
    </row>
    <row r="89" spans="1:16" x14ac:dyDescent="0.25">
      <c r="A89" s="16" t="s">
        <v>26539</v>
      </c>
      <c r="B89" s="17">
        <v>1646010</v>
      </c>
      <c r="C89" s="17">
        <v>0</v>
      </c>
      <c r="D89" s="17" t="s">
        <v>9662</v>
      </c>
      <c r="E89" s="17" t="s">
        <v>6206</v>
      </c>
      <c r="F89" s="17" t="s">
        <v>96</v>
      </c>
      <c r="G89" s="18" t="s">
        <v>26540</v>
      </c>
      <c r="H89" s="18" t="s">
        <v>98</v>
      </c>
      <c r="I89" s="17" t="s">
        <v>26541</v>
      </c>
      <c r="J89" s="17">
        <v>1</v>
      </c>
      <c r="K89" s="17">
        <v>0</v>
      </c>
      <c r="L89" s="17" t="s">
        <v>26542</v>
      </c>
      <c r="M89" s="19" t="s">
        <v>101</v>
      </c>
      <c r="N89" s="17" t="s">
        <v>3908</v>
      </c>
      <c r="O89" s="17" t="s">
        <v>26543</v>
      </c>
      <c r="P89" s="17" t="str">
        <f>HYPERLINK("https://photon-sol.tinyastro.io/en/lp/GQobcP4xokNpNK9oKghwDdeACtsw4AyP3Lpq7ghjpump?handle=676050794bc1b1657a56b", "View")</f>
        <v>View</v>
      </c>
    </row>
    <row r="90" spans="1:16" x14ac:dyDescent="0.25">
      <c r="A90" s="13" t="s">
        <v>4480</v>
      </c>
      <c r="B90" s="14">
        <v>654144</v>
      </c>
      <c r="C90" s="14">
        <v>623866</v>
      </c>
      <c r="D90" s="14" t="s">
        <v>26544</v>
      </c>
      <c r="E90" s="14" t="s">
        <v>10049</v>
      </c>
      <c r="F90" s="14" t="s">
        <v>26545</v>
      </c>
      <c r="G90" s="21" t="s">
        <v>26546</v>
      </c>
      <c r="H90" s="21" t="s">
        <v>26547</v>
      </c>
      <c r="I90" s="14" t="s">
        <v>88</v>
      </c>
      <c r="J90" s="14">
        <v>1</v>
      </c>
      <c r="K90" s="14">
        <v>27</v>
      </c>
      <c r="L90" s="14" t="s">
        <v>26548</v>
      </c>
      <c r="M90" s="14" t="s">
        <v>5729</v>
      </c>
      <c r="N90" s="14" t="s">
        <v>26549</v>
      </c>
      <c r="O90" s="14" t="s">
        <v>4486</v>
      </c>
      <c r="P90" s="14" t="str">
        <f>HYPERLINK("https://photon-sol.tinyastro.io/en/lp/AwcCFuJgUYNYHXm6tHhr7DsXDY6FKvXUt2DFjmgHpump?handle=676050794bc1b1657a56b", "View")</f>
        <v>View</v>
      </c>
    </row>
    <row r="91" spans="1:16" x14ac:dyDescent="0.25">
      <c r="A91" s="16" t="s">
        <v>21529</v>
      </c>
      <c r="B91" s="17">
        <v>84694</v>
      </c>
      <c r="C91" s="17">
        <v>42347</v>
      </c>
      <c r="D91" s="17" t="s">
        <v>19101</v>
      </c>
      <c r="E91" s="17" t="s">
        <v>5837</v>
      </c>
      <c r="F91" s="17" t="s">
        <v>7291</v>
      </c>
      <c r="G91" s="20" t="s">
        <v>3623</v>
      </c>
      <c r="H91" s="20" t="s">
        <v>26550</v>
      </c>
      <c r="I91" s="17" t="s">
        <v>88</v>
      </c>
      <c r="J91" s="17">
        <v>2</v>
      </c>
      <c r="K91" s="17">
        <v>1</v>
      </c>
      <c r="L91" s="17" t="s">
        <v>26551</v>
      </c>
      <c r="M91" s="17" t="s">
        <v>179</v>
      </c>
      <c r="N91" s="17" t="s">
        <v>26552</v>
      </c>
      <c r="O91" s="17" t="s">
        <v>21534</v>
      </c>
      <c r="P91" s="17" t="str">
        <f>HYPERLINK("https://dexscreener.com/solana/8q3PiifMQxnjs1NAETVXw8xMVN8q3Zfuoops9BSjpump", "View")</f>
        <v>View</v>
      </c>
    </row>
    <row r="92" spans="1:16" x14ac:dyDescent="0.25">
      <c r="A92" s="13" t="s">
        <v>367</v>
      </c>
      <c r="B92" s="14">
        <v>34464</v>
      </c>
      <c r="C92" s="14">
        <v>0</v>
      </c>
      <c r="D92" s="14" t="s">
        <v>9662</v>
      </c>
      <c r="E92" s="14" t="s">
        <v>4396</v>
      </c>
      <c r="F92" s="14" t="s">
        <v>96</v>
      </c>
      <c r="G92" s="18" t="s">
        <v>15868</v>
      </c>
      <c r="H92" s="18" t="s">
        <v>98</v>
      </c>
      <c r="I92" s="14" t="s">
        <v>26553</v>
      </c>
      <c r="J92" s="14">
        <v>1</v>
      </c>
      <c r="K92" s="14">
        <v>0</v>
      </c>
      <c r="L92" s="14" t="s">
        <v>26554</v>
      </c>
      <c r="M92" s="19" t="s">
        <v>101</v>
      </c>
      <c r="N92" s="14" t="s">
        <v>26555</v>
      </c>
      <c r="O92" s="14" t="s">
        <v>372</v>
      </c>
      <c r="P92" s="14" t="str">
        <f>HYPERLINK("https://dexscreener.com/solana/Z5qTBYTgbK9nezJPSLxuJEpEhDimcJKLq9xN6MF2sh1", "View")</f>
        <v>View</v>
      </c>
    </row>
    <row r="93" spans="1:16" x14ac:dyDescent="0.25">
      <c r="A93" s="16" t="s">
        <v>22731</v>
      </c>
      <c r="B93" s="17">
        <v>96232</v>
      </c>
      <c r="C93" s="17">
        <v>0</v>
      </c>
      <c r="D93" s="17" t="s">
        <v>9662</v>
      </c>
      <c r="E93" s="17" t="s">
        <v>12743</v>
      </c>
      <c r="F93" s="17" t="s">
        <v>96</v>
      </c>
      <c r="G93" s="18" t="s">
        <v>3453</v>
      </c>
      <c r="H93" s="18" t="s">
        <v>98</v>
      </c>
      <c r="I93" s="17" t="s">
        <v>26556</v>
      </c>
      <c r="J93" s="17">
        <v>1</v>
      </c>
      <c r="K93" s="17">
        <v>0</v>
      </c>
      <c r="L93" s="17" t="s">
        <v>26557</v>
      </c>
      <c r="M93" s="19" t="s">
        <v>101</v>
      </c>
      <c r="N93" s="17" t="s">
        <v>16488</v>
      </c>
      <c r="O93" s="17" t="s">
        <v>22734</v>
      </c>
      <c r="P93" s="17" t="str">
        <f>HYPERLINK("https://dexscreener.com/solana/DFwNZPHkZWix2LutzYKD5rzpyayKSLY5Uw88pRDypump", "View")</f>
        <v>View</v>
      </c>
    </row>
    <row r="94" spans="1:16" x14ac:dyDescent="0.25">
      <c r="A94" s="13" t="s">
        <v>22124</v>
      </c>
      <c r="B94" s="14">
        <v>141728</v>
      </c>
      <c r="C94" s="14">
        <v>35432</v>
      </c>
      <c r="D94" s="14" t="s">
        <v>8685</v>
      </c>
      <c r="E94" s="14" t="s">
        <v>4396</v>
      </c>
      <c r="F94" s="14" t="s">
        <v>3531</v>
      </c>
      <c r="G94" s="15" t="s">
        <v>4246</v>
      </c>
      <c r="H94" s="15" t="s">
        <v>26558</v>
      </c>
      <c r="I94" s="14" t="s">
        <v>88</v>
      </c>
      <c r="J94" s="14">
        <v>1</v>
      </c>
      <c r="K94" s="14">
        <v>1</v>
      </c>
      <c r="L94" s="14" t="s">
        <v>26559</v>
      </c>
      <c r="M94" s="14" t="s">
        <v>179</v>
      </c>
      <c r="N94" s="14" t="s">
        <v>26560</v>
      </c>
      <c r="O94" s="14" t="s">
        <v>22128</v>
      </c>
      <c r="P94" s="14" t="str">
        <f>HYPERLINK("https://dexscreener.com/solana/CVcAA5iKzvQg5yYrEFs3AoRWZZUgdpNKUEeyaUPpump", "View")</f>
        <v>View</v>
      </c>
    </row>
    <row r="95" spans="1:16" x14ac:dyDescent="0.25">
      <c r="A95" s="16" t="s">
        <v>26561</v>
      </c>
      <c r="B95" s="17">
        <v>338053</v>
      </c>
      <c r="C95" s="17">
        <v>0</v>
      </c>
      <c r="D95" s="17" t="s">
        <v>9662</v>
      </c>
      <c r="E95" s="17" t="s">
        <v>12743</v>
      </c>
      <c r="F95" s="17" t="s">
        <v>96</v>
      </c>
      <c r="G95" s="18" t="s">
        <v>3453</v>
      </c>
      <c r="H95" s="18" t="s">
        <v>98</v>
      </c>
      <c r="I95" s="17" t="s">
        <v>26562</v>
      </c>
      <c r="J95" s="17">
        <v>1</v>
      </c>
      <c r="K95" s="17">
        <v>0</v>
      </c>
      <c r="L95" s="17" t="s">
        <v>26563</v>
      </c>
      <c r="M95" s="19" t="s">
        <v>101</v>
      </c>
      <c r="N95" s="17" t="s">
        <v>1004</v>
      </c>
      <c r="O95" s="17" t="s">
        <v>26564</v>
      </c>
      <c r="P95" s="17" t="str">
        <f>HYPERLINK("https://dexscreener.com/solana/8tASPZToUJYaB8LPK6YftH3TghCX9aQd8v9Tnqgtpump", "View")</f>
        <v>View</v>
      </c>
    </row>
    <row r="96" spans="1:16" x14ac:dyDescent="0.25">
      <c r="A96" s="13" t="s">
        <v>26565</v>
      </c>
      <c r="B96" s="14">
        <v>1030070</v>
      </c>
      <c r="C96" s="14">
        <v>257518</v>
      </c>
      <c r="D96" s="14" t="s">
        <v>10536</v>
      </c>
      <c r="E96" s="14" t="s">
        <v>4838</v>
      </c>
      <c r="F96" s="14" t="s">
        <v>4687</v>
      </c>
      <c r="G96" s="15" t="s">
        <v>3549</v>
      </c>
      <c r="H96" s="15" t="s">
        <v>26566</v>
      </c>
      <c r="I96" s="14" t="s">
        <v>88</v>
      </c>
      <c r="J96" s="14">
        <v>2</v>
      </c>
      <c r="K96" s="14">
        <v>1</v>
      </c>
      <c r="L96" s="14" t="s">
        <v>26567</v>
      </c>
      <c r="M96" s="14" t="s">
        <v>2047</v>
      </c>
      <c r="N96" s="14" t="s">
        <v>26568</v>
      </c>
      <c r="O96" s="14" t="s">
        <v>26569</v>
      </c>
      <c r="P96" s="14" t="str">
        <f>HYPERLINK("https://photon-sol.tinyastro.io/en/lp/9RiG5eXy9zExjCFuY9npNrSSzZestokgSP4mgpCiK9f8?handle=676050794bc1b1657a56b", "View")</f>
        <v>View</v>
      </c>
    </row>
    <row r="97" spans="1:16" x14ac:dyDescent="0.25">
      <c r="A97" s="16" t="s">
        <v>26570</v>
      </c>
      <c r="B97" s="17">
        <v>1494585</v>
      </c>
      <c r="C97" s="17">
        <v>0</v>
      </c>
      <c r="D97" s="17" t="s">
        <v>8685</v>
      </c>
      <c r="E97" s="17" t="s">
        <v>4817</v>
      </c>
      <c r="F97" s="17" t="s">
        <v>96</v>
      </c>
      <c r="G97" s="18" t="s">
        <v>2135</v>
      </c>
      <c r="H97" s="18" t="s">
        <v>98</v>
      </c>
      <c r="I97" s="17" t="s">
        <v>26571</v>
      </c>
      <c r="J97" s="17">
        <v>2</v>
      </c>
      <c r="K97" s="17">
        <v>0</v>
      </c>
      <c r="L97" s="17" t="s">
        <v>26572</v>
      </c>
      <c r="M97" s="17" t="s">
        <v>1434</v>
      </c>
      <c r="N97" s="17" t="s">
        <v>19186</v>
      </c>
      <c r="O97" s="17" t="s">
        <v>26573</v>
      </c>
      <c r="P97" s="17" t="str">
        <f>HYPERLINK("https://photon-sol.tinyastro.io/en/lp/B2QYkRZURXV4DbWMGnJhmqij6QNp7sRWx4jHY4hkpump?handle=676050794bc1b1657a56b", "View")</f>
        <v>View</v>
      </c>
    </row>
    <row r="98" spans="1:16" x14ac:dyDescent="0.25">
      <c r="A98" s="13" t="s">
        <v>5092</v>
      </c>
      <c r="B98" s="14">
        <v>201467</v>
      </c>
      <c r="C98" s="14">
        <v>0</v>
      </c>
      <c r="D98" s="14" t="s">
        <v>9662</v>
      </c>
      <c r="E98" s="14" t="s">
        <v>4396</v>
      </c>
      <c r="F98" s="14" t="s">
        <v>96</v>
      </c>
      <c r="G98" s="18" t="s">
        <v>15868</v>
      </c>
      <c r="H98" s="18" t="s">
        <v>98</v>
      </c>
      <c r="I98" s="14" t="s">
        <v>26574</v>
      </c>
      <c r="J98" s="14">
        <v>1</v>
      </c>
      <c r="K98" s="14">
        <v>0</v>
      </c>
      <c r="L98" s="14" t="s">
        <v>26575</v>
      </c>
      <c r="M98" s="19" t="s">
        <v>101</v>
      </c>
      <c r="N98" s="14" t="s">
        <v>4986</v>
      </c>
      <c r="O98" s="14" t="s">
        <v>5096</v>
      </c>
      <c r="P98" s="14" t="str">
        <f>HYPERLINK("https://dexscreener.com/solana/3qYVvs3NT2tvBwYe5KSmDMZDWwVbAsJq6aTAC95opump", "View")</f>
        <v>View</v>
      </c>
    </row>
    <row r="99" spans="1:16" x14ac:dyDescent="0.25">
      <c r="A99" s="16" t="s">
        <v>387</v>
      </c>
      <c r="B99" s="17">
        <v>70180</v>
      </c>
      <c r="C99" s="17">
        <v>0</v>
      </c>
      <c r="D99" s="17" t="s">
        <v>9662</v>
      </c>
      <c r="E99" s="17" t="s">
        <v>4396</v>
      </c>
      <c r="F99" s="17" t="s">
        <v>96</v>
      </c>
      <c r="G99" s="18" t="s">
        <v>15868</v>
      </c>
      <c r="H99" s="18" t="s">
        <v>98</v>
      </c>
      <c r="I99" s="17" t="s">
        <v>26576</v>
      </c>
      <c r="J99" s="17">
        <v>1</v>
      </c>
      <c r="K99" s="17">
        <v>0</v>
      </c>
      <c r="L99" s="17" t="s">
        <v>26577</v>
      </c>
      <c r="M99" s="19" t="s">
        <v>101</v>
      </c>
      <c r="N99" s="17" t="s">
        <v>26578</v>
      </c>
      <c r="O99" s="17" t="s">
        <v>391</v>
      </c>
      <c r="P99" s="17" t="str">
        <f>HYPERLINK("https://dexscreener.com/solana/78ao5qrL3WPJ1u6i6cjQMi4iCzq43YECPyNMT2cpump", "View")</f>
        <v>View</v>
      </c>
    </row>
    <row r="100" spans="1:16" x14ac:dyDescent="0.25">
      <c r="A100" s="13" t="s">
        <v>5651</v>
      </c>
      <c r="B100" s="14">
        <v>577404</v>
      </c>
      <c r="C100" s="14">
        <v>577404</v>
      </c>
      <c r="D100" s="14" t="s">
        <v>8685</v>
      </c>
      <c r="E100" s="14" t="s">
        <v>4838</v>
      </c>
      <c r="F100" s="14" t="s">
        <v>19899</v>
      </c>
      <c r="G100" s="22" t="s">
        <v>12237</v>
      </c>
      <c r="H100" s="22" t="s">
        <v>5602</v>
      </c>
      <c r="I100" s="14" t="s">
        <v>88</v>
      </c>
      <c r="J100" s="14">
        <v>1</v>
      </c>
      <c r="K100" s="14">
        <v>1</v>
      </c>
      <c r="L100" s="14" t="s">
        <v>26579</v>
      </c>
      <c r="M100" s="19" t="s">
        <v>2292</v>
      </c>
      <c r="N100" s="14" t="s">
        <v>26580</v>
      </c>
      <c r="O100" s="14" t="s">
        <v>26581</v>
      </c>
      <c r="P100" s="14" t="str">
        <f>HYPERLINK("https://photon-sol.tinyastro.io/en/lp/3aQGUbyruXP9cFvsjcoVSpmGJ33XLACPqfzgD89Xpump?handle=676050794bc1b1657a56b", "View")</f>
        <v>View</v>
      </c>
    </row>
    <row r="101" spans="1:16" x14ac:dyDescent="0.25">
      <c r="A101" s="16" t="s">
        <v>26582</v>
      </c>
      <c r="B101" s="17">
        <v>32404</v>
      </c>
      <c r="C101" s="17">
        <v>0</v>
      </c>
      <c r="D101" s="17" t="s">
        <v>9662</v>
      </c>
      <c r="E101" s="17" t="s">
        <v>12743</v>
      </c>
      <c r="F101" s="17" t="s">
        <v>96</v>
      </c>
      <c r="G101" s="18" t="s">
        <v>3453</v>
      </c>
      <c r="H101" s="18" t="s">
        <v>98</v>
      </c>
      <c r="I101" s="17" t="s">
        <v>26583</v>
      </c>
      <c r="J101" s="17">
        <v>1</v>
      </c>
      <c r="K101" s="17">
        <v>0</v>
      </c>
      <c r="L101" s="17" t="s">
        <v>26584</v>
      </c>
      <c r="M101" s="19" t="s">
        <v>101</v>
      </c>
      <c r="N101" s="17" t="s">
        <v>26585</v>
      </c>
      <c r="O101" s="17" t="s">
        <v>26586</v>
      </c>
      <c r="P101" s="17" t="str">
        <f>HYPERLINK("https://dexscreener.com/solana/14aD1cQRLTxDNJAtvkPx8iqqssjHqjRLXAL5wPaipump", "View")</f>
        <v>View</v>
      </c>
    </row>
    <row r="102" spans="1:16" x14ac:dyDescent="0.25">
      <c r="A102" s="13" t="s">
        <v>497</v>
      </c>
      <c r="B102" s="14">
        <v>28427</v>
      </c>
      <c r="C102" s="14">
        <v>0</v>
      </c>
      <c r="D102" s="14" t="s">
        <v>9662</v>
      </c>
      <c r="E102" s="14" t="s">
        <v>12743</v>
      </c>
      <c r="F102" s="14" t="s">
        <v>96</v>
      </c>
      <c r="G102" s="18" t="s">
        <v>3453</v>
      </c>
      <c r="H102" s="18" t="s">
        <v>98</v>
      </c>
      <c r="I102" s="14" t="s">
        <v>26587</v>
      </c>
      <c r="J102" s="14">
        <v>1</v>
      </c>
      <c r="K102" s="14">
        <v>0</v>
      </c>
      <c r="L102" s="14" t="s">
        <v>26588</v>
      </c>
      <c r="M102" s="19" t="s">
        <v>101</v>
      </c>
      <c r="N102" s="14" t="s">
        <v>26589</v>
      </c>
      <c r="O102" s="14" t="s">
        <v>501</v>
      </c>
      <c r="P102" s="14" t="str">
        <f>HYPERLINK("https://dexscreener.com/solana/7xn2T1x7xw5quHmzy2YvFWyFUNwp75fsw5bxiXGRpump", "View")</f>
        <v>View</v>
      </c>
    </row>
    <row r="103" spans="1:16" x14ac:dyDescent="0.25">
      <c r="A103" s="16" t="s">
        <v>26590</v>
      </c>
      <c r="B103" s="17">
        <v>108002</v>
      </c>
      <c r="C103" s="17">
        <v>0</v>
      </c>
      <c r="D103" s="17" t="s">
        <v>9662</v>
      </c>
      <c r="E103" s="17" t="s">
        <v>12743</v>
      </c>
      <c r="F103" s="17" t="s">
        <v>96</v>
      </c>
      <c r="G103" s="18" t="s">
        <v>3453</v>
      </c>
      <c r="H103" s="18" t="s">
        <v>98</v>
      </c>
      <c r="I103" s="17" t="s">
        <v>26591</v>
      </c>
      <c r="J103" s="17">
        <v>1</v>
      </c>
      <c r="K103" s="17">
        <v>0</v>
      </c>
      <c r="L103" s="17" t="s">
        <v>26592</v>
      </c>
      <c r="M103" s="19" t="s">
        <v>101</v>
      </c>
      <c r="N103" s="17" t="s">
        <v>26593</v>
      </c>
      <c r="O103" s="17" t="s">
        <v>26594</v>
      </c>
      <c r="P103" s="17" t="str">
        <f>HYPERLINK("https://dexscreener.com/solana/8QXM6vf7E1TUJ9MvFf8p6BDWCYwBLYd9T26MPiprsX3w", "View")</f>
        <v>View</v>
      </c>
    </row>
    <row r="104" spans="1:16" x14ac:dyDescent="0.25">
      <c r="A104" s="13" t="s">
        <v>26595</v>
      </c>
      <c r="B104" s="14">
        <v>41078</v>
      </c>
      <c r="C104" s="14">
        <v>10270</v>
      </c>
      <c r="D104" s="14" t="s">
        <v>8685</v>
      </c>
      <c r="E104" s="14" t="s">
        <v>12743</v>
      </c>
      <c r="F104" s="14" t="s">
        <v>5753</v>
      </c>
      <c r="G104" s="15" t="s">
        <v>13016</v>
      </c>
      <c r="H104" s="15" t="s">
        <v>1728</v>
      </c>
      <c r="I104" s="14" t="s">
        <v>88</v>
      </c>
      <c r="J104" s="14">
        <v>1</v>
      </c>
      <c r="K104" s="14">
        <v>1</v>
      </c>
      <c r="L104" s="14" t="s">
        <v>26596</v>
      </c>
      <c r="M104" s="14" t="s">
        <v>179</v>
      </c>
      <c r="N104" s="14" t="s">
        <v>26597</v>
      </c>
      <c r="O104" s="14" t="s">
        <v>26598</v>
      </c>
      <c r="P104" s="14" t="str">
        <f>HYPERLINK("https://dexscreener.com/solana/Cc4sinjiaruP69C7Eotftsu2AjFHAaKZyGtpaLbApump", "View")</f>
        <v>View</v>
      </c>
    </row>
    <row r="105" spans="1:16" x14ac:dyDescent="0.25">
      <c r="A105" s="16" t="s">
        <v>24683</v>
      </c>
      <c r="B105" s="17">
        <v>269366</v>
      </c>
      <c r="C105" s="17">
        <v>0</v>
      </c>
      <c r="D105" s="17" t="s">
        <v>9662</v>
      </c>
      <c r="E105" s="17" t="s">
        <v>5837</v>
      </c>
      <c r="F105" s="17" t="s">
        <v>96</v>
      </c>
      <c r="G105" s="18" t="s">
        <v>5706</v>
      </c>
      <c r="H105" s="18" t="s">
        <v>98</v>
      </c>
      <c r="I105" s="17" t="s">
        <v>26599</v>
      </c>
      <c r="J105" s="17">
        <v>1</v>
      </c>
      <c r="K105" s="17">
        <v>0</v>
      </c>
      <c r="L105" s="17" t="s">
        <v>26600</v>
      </c>
      <c r="M105" s="19" t="s">
        <v>101</v>
      </c>
      <c r="N105" s="17" t="s">
        <v>4742</v>
      </c>
      <c r="O105" s="17" t="s">
        <v>24687</v>
      </c>
      <c r="P105" s="17" t="str">
        <f>HYPERLINK("https://photon-sol.tinyastro.io/en/lp/F56SaheWy5U96xHnGaR8GAZiTpwp3kFrRZcBbHWtpump?handle=676050794bc1b1657a56b", "View")</f>
        <v>View</v>
      </c>
    </row>
    <row r="106" spans="1:16" x14ac:dyDescent="0.25">
      <c r="A106" s="13" t="s">
        <v>26601</v>
      </c>
      <c r="B106" s="14">
        <v>855111</v>
      </c>
      <c r="C106" s="14">
        <v>855111</v>
      </c>
      <c r="D106" s="14" t="s">
        <v>8685</v>
      </c>
      <c r="E106" s="14" t="s">
        <v>2623</v>
      </c>
      <c r="F106" s="14" t="s">
        <v>6111</v>
      </c>
      <c r="G106" s="20" t="s">
        <v>2059</v>
      </c>
      <c r="H106" s="20" t="s">
        <v>26602</v>
      </c>
      <c r="I106" s="14" t="s">
        <v>88</v>
      </c>
      <c r="J106" s="14">
        <v>1</v>
      </c>
      <c r="K106" s="14">
        <v>1</v>
      </c>
      <c r="L106" s="14" t="s">
        <v>26603</v>
      </c>
      <c r="M106" s="19" t="s">
        <v>2379</v>
      </c>
      <c r="N106" s="14" t="s">
        <v>3401</v>
      </c>
      <c r="O106" s="14" t="s">
        <v>26604</v>
      </c>
      <c r="P106" s="14" t="str">
        <f>HYPERLINK("https://photon-sol.tinyastro.io/en/lp/6Kt6fyL87dPcyjaehBsMNAQ3PKSCPTJyPM67ZgNGpump?handle=676050794bc1b1657a56b", "View")</f>
        <v>View</v>
      </c>
    </row>
    <row r="107" spans="1:16" x14ac:dyDescent="0.25">
      <c r="A107" s="16" t="s">
        <v>25387</v>
      </c>
      <c r="B107" s="17">
        <v>56493</v>
      </c>
      <c r="C107" s="17">
        <v>0</v>
      </c>
      <c r="D107" s="17" t="s">
        <v>9662</v>
      </c>
      <c r="E107" s="17" t="s">
        <v>12743</v>
      </c>
      <c r="F107" s="17" t="s">
        <v>96</v>
      </c>
      <c r="G107" s="18" t="s">
        <v>3453</v>
      </c>
      <c r="H107" s="18" t="s">
        <v>98</v>
      </c>
      <c r="I107" s="17" t="s">
        <v>26605</v>
      </c>
      <c r="J107" s="17">
        <v>1</v>
      </c>
      <c r="K107" s="17">
        <v>0</v>
      </c>
      <c r="L107" s="17" t="s">
        <v>26606</v>
      </c>
      <c r="M107" s="19" t="s">
        <v>101</v>
      </c>
      <c r="N107" s="17" t="s">
        <v>26607</v>
      </c>
      <c r="O107" s="17" t="s">
        <v>25390</v>
      </c>
      <c r="P107" s="17" t="str">
        <f>HYPERLINK("https://dexscreener.com/solana/Ay4Br5jCE3UqmhrSDysdAjo9c4F5vMjf7pHQh78Jpump", "View")</f>
        <v>View</v>
      </c>
    </row>
    <row r="108" spans="1:16" x14ac:dyDescent="0.25">
      <c r="A108" s="13" t="s">
        <v>26608</v>
      </c>
      <c r="B108" s="14">
        <v>304236</v>
      </c>
      <c r="C108" s="14">
        <v>133080</v>
      </c>
      <c r="D108" s="14" t="s">
        <v>10536</v>
      </c>
      <c r="E108" s="14" t="s">
        <v>3759</v>
      </c>
      <c r="F108" s="14" t="s">
        <v>2699</v>
      </c>
      <c r="G108" s="21" t="s">
        <v>12743</v>
      </c>
      <c r="H108" s="21" t="s">
        <v>26609</v>
      </c>
      <c r="I108" s="14" t="s">
        <v>88</v>
      </c>
      <c r="J108" s="14">
        <v>1</v>
      </c>
      <c r="K108" s="14">
        <v>2</v>
      </c>
      <c r="L108" s="14" t="s">
        <v>26610</v>
      </c>
      <c r="M108" s="14" t="s">
        <v>602</v>
      </c>
      <c r="N108" s="14" t="s">
        <v>26611</v>
      </c>
      <c r="O108" s="14" t="s">
        <v>26612</v>
      </c>
      <c r="P108" s="14" t="str">
        <f>HYPERLINK("https://photon-sol.tinyastro.io/en/lp/31pyJGWmd9nxb3UN4cmhpZZeeMHXWcf6Nh8VU2vPpump?handle=676050794bc1b1657a56b", "View")</f>
        <v>View</v>
      </c>
    </row>
    <row r="109" spans="1:16" x14ac:dyDescent="0.25">
      <c r="A109" s="16" t="s">
        <v>26608</v>
      </c>
      <c r="B109" s="17">
        <v>1219545</v>
      </c>
      <c r="C109" s="17">
        <v>0</v>
      </c>
      <c r="D109" s="17" t="s">
        <v>9662</v>
      </c>
      <c r="E109" s="17" t="s">
        <v>5226</v>
      </c>
      <c r="F109" s="17" t="s">
        <v>96</v>
      </c>
      <c r="G109" s="18" t="s">
        <v>12441</v>
      </c>
      <c r="H109" s="18" t="s">
        <v>98</v>
      </c>
      <c r="I109" s="17" t="s">
        <v>26613</v>
      </c>
      <c r="J109" s="17">
        <v>1</v>
      </c>
      <c r="K109" s="17">
        <v>0</v>
      </c>
      <c r="L109" s="17" t="s">
        <v>26614</v>
      </c>
      <c r="M109" s="19" t="s">
        <v>101</v>
      </c>
      <c r="N109" s="17" t="s">
        <v>3768</v>
      </c>
      <c r="O109" s="17" t="s">
        <v>26615</v>
      </c>
      <c r="P109" s="17" t="str">
        <f>HYPERLINK("https://photon-sol.tinyastro.io/en/lp/HjVucq5tfxXJYmssCT5mm3kUG18UtEVViAmiMmyUpump?handle=676050794bc1b1657a56b", "View")</f>
        <v>View</v>
      </c>
    </row>
    <row r="110" spans="1:16" x14ac:dyDescent="0.25">
      <c r="A110" s="13" t="s">
        <v>26616</v>
      </c>
      <c r="B110" s="14">
        <v>836574</v>
      </c>
      <c r="C110" s="14">
        <v>836574</v>
      </c>
      <c r="D110" s="14" t="s">
        <v>8685</v>
      </c>
      <c r="E110" s="14" t="s">
        <v>12743</v>
      </c>
      <c r="F110" s="14" t="s">
        <v>3126</v>
      </c>
      <c r="G110" s="21" t="s">
        <v>4869</v>
      </c>
      <c r="H110" s="21" t="s">
        <v>26617</v>
      </c>
      <c r="I110" s="14" t="s">
        <v>88</v>
      </c>
      <c r="J110" s="14">
        <v>1</v>
      </c>
      <c r="K110" s="14">
        <v>1</v>
      </c>
      <c r="L110" s="14" t="s">
        <v>26618</v>
      </c>
      <c r="M110" s="19" t="s">
        <v>2122</v>
      </c>
      <c r="N110" s="14" t="s">
        <v>26619</v>
      </c>
      <c r="O110" s="14" t="s">
        <v>26620</v>
      </c>
      <c r="P110" s="14" t="str">
        <f>HYPERLINK("https://dexscreener.com/solana/FQfeJYLmD7wf6YyV29E1bjzxX7JeGKavmwociXWipump", "View")</f>
        <v>View</v>
      </c>
    </row>
    <row r="111" spans="1:16" x14ac:dyDescent="0.25">
      <c r="A111" s="16" t="s">
        <v>26621</v>
      </c>
      <c r="B111" s="17">
        <v>443557</v>
      </c>
      <c r="C111" s="17">
        <v>0</v>
      </c>
      <c r="D111" s="17" t="s">
        <v>9662</v>
      </c>
      <c r="E111" s="17" t="s">
        <v>1884</v>
      </c>
      <c r="F111" s="17" t="s">
        <v>96</v>
      </c>
      <c r="G111" s="18" t="s">
        <v>20418</v>
      </c>
      <c r="H111" s="18" t="s">
        <v>98</v>
      </c>
      <c r="I111" s="17" t="s">
        <v>26622</v>
      </c>
      <c r="J111" s="17">
        <v>1</v>
      </c>
      <c r="K111" s="17">
        <v>0</v>
      </c>
      <c r="L111" s="17" t="s">
        <v>26623</v>
      </c>
      <c r="M111" s="19" t="s">
        <v>101</v>
      </c>
      <c r="N111" s="17" t="s">
        <v>591</v>
      </c>
      <c r="O111" s="17" t="s">
        <v>26624</v>
      </c>
      <c r="P111" s="17" t="str">
        <f>HYPERLINK("https://photon-sol.tinyastro.io/en/lp/9Hh3Kxo4oarGr5kA4uciKPEaFm3spqqNFfvPJALrpump?handle=676050794bc1b1657a56b", "View")</f>
        <v>View</v>
      </c>
    </row>
    <row r="112" spans="1:16" x14ac:dyDescent="0.25">
      <c r="A112" s="13" t="s">
        <v>21376</v>
      </c>
      <c r="B112" s="14">
        <v>606187</v>
      </c>
      <c r="C112" s="14">
        <v>303093</v>
      </c>
      <c r="D112" s="14" t="s">
        <v>8685</v>
      </c>
      <c r="E112" s="14" t="s">
        <v>5065</v>
      </c>
      <c r="F112" s="14" t="s">
        <v>12272</v>
      </c>
      <c r="G112" s="20" t="s">
        <v>4032</v>
      </c>
      <c r="H112" s="20" t="s">
        <v>26625</v>
      </c>
      <c r="I112" s="14" t="s">
        <v>88</v>
      </c>
      <c r="J112" s="14">
        <v>1</v>
      </c>
      <c r="K112" s="14">
        <v>1</v>
      </c>
      <c r="L112" s="14" t="s">
        <v>26626</v>
      </c>
      <c r="M112" s="14" t="s">
        <v>602</v>
      </c>
      <c r="N112" s="14" t="s">
        <v>26627</v>
      </c>
      <c r="O112" s="14" t="s">
        <v>21381</v>
      </c>
      <c r="P112" s="14" t="str">
        <f>HYPERLINK("https://photon-sol.tinyastro.io/en/lp/2DrfBeGy3iXWgmUfwxqPcA4QHkR3aPmDquu1dj5Zpump?handle=676050794bc1b1657a56b", "View")</f>
        <v>View</v>
      </c>
    </row>
    <row r="113" spans="1:16" x14ac:dyDescent="0.25">
      <c r="A113" s="16" t="s">
        <v>5256</v>
      </c>
      <c r="B113" s="17">
        <v>56191</v>
      </c>
      <c r="C113" s="17">
        <v>46191</v>
      </c>
      <c r="D113" s="17" t="s">
        <v>9425</v>
      </c>
      <c r="E113" s="17" t="s">
        <v>12743</v>
      </c>
      <c r="F113" s="17" t="s">
        <v>4343</v>
      </c>
      <c r="G113" s="21" t="s">
        <v>3727</v>
      </c>
      <c r="H113" s="21" t="s">
        <v>26628</v>
      </c>
      <c r="I113" s="17" t="s">
        <v>88</v>
      </c>
      <c r="J113" s="17">
        <v>1</v>
      </c>
      <c r="K113" s="17">
        <v>5</v>
      </c>
      <c r="L113" s="17" t="s">
        <v>26629</v>
      </c>
      <c r="M113" s="17" t="s">
        <v>656</v>
      </c>
      <c r="N113" s="17" t="s">
        <v>26630</v>
      </c>
      <c r="O113" s="17" t="s">
        <v>5261</v>
      </c>
      <c r="P113" s="17" t="str">
        <f>HYPERLINK("https://dexscreener.com/solana/hf8aYwMK2cYv7t4uUhUAqpdwTS3sja2z9RJMQZ2pump", "View")</f>
        <v>View</v>
      </c>
    </row>
    <row r="114" spans="1:16" x14ac:dyDescent="0.25">
      <c r="A114" s="13" t="s">
        <v>20554</v>
      </c>
      <c r="B114" s="14">
        <v>43032</v>
      </c>
      <c r="C114" s="14">
        <v>0</v>
      </c>
      <c r="D114" s="14" t="s">
        <v>9662</v>
      </c>
      <c r="E114" s="14" t="s">
        <v>12743</v>
      </c>
      <c r="F114" s="14" t="s">
        <v>96</v>
      </c>
      <c r="G114" s="18" t="s">
        <v>3453</v>
      </c>
      <c r="H114" s="18" t="s">
        <v>98</v>
      </c>
      <c r="I114" s="14" t="s">
        <v>26631</v>
      </c>
      <c r="J114" s="14">
        <v>1</v>
      </c>
      <c r="K114" s="14">
        <v>0</v>
      </c>
      <c r="L114" s="14" t="s">
        <v>26632</v>
      </c>
      <c r="M114" s="19" t="s">
        <v>101</v>
      </c>
      <c r="N114" s="14" t="s">
        <v>26633</v>
      </c>
      <c r="O114" s="14" t="s">
        <v>20559</v>
      </c>
      <c r="P114" s="14" t="str">
        <f>HYPERLINK("https://dexscreener.com/solana/pcEgPrpHFuFCmSSfWUykJfQv7AUfUD1xbhw71oHy7om", "View")</f>
        <v>View</v>
      </c>
    </row>
    <row r="115" spans="1:16" x14ac:dyDescent="0.25">
      <c r="A115" s="16" t="s">
        <v>526</v>
      </c>
      <c r="B115" s="17">
        <v>176225</v>
      </c>
      <c r="C115" s="17">
        <v>0</v>
      </c>
      <c r="D115" s="17" t="s">
        <v>9662</v>
      </c>
      <c r="E115" s="17" t="s">
        <v>12743</v>
      </c>
      <c r="F115" s="17" t="s">
        <v>96</v>
      </c>
      <c r="G115" s="18" t="s">
        <v>3453</v>
      </c>
      <c r="H115" s="18" t="s">
        <v>98</v>
      </c>
      <c r="I115" s="17" t="s">
        <v>26634</v>
      </c>
      <c r="J115" s="17">
        <v>1</v>
      </c>
      <c r="K115" s="17">
        <v>0</v>
      </c>
      <c r="L115" s="17" t="s">
        <v>26635</v>
      </c>
      <c r="M115" s="19" t="s">
        <v>101</v>
      </c>
      <c r="N115" s="17" t="s">
        <v>10182</v>
      </c>
      <c r="O115" s="17" t="s">
        <v>530</v>
      </c>
      <c r="P115" s="17" t="str">
        <f>HYPERLINK("https://dexscreener.com/solana/6qKWDik7U58LDtW9LVNFL13NkAxBqqJbSBauoSVUpump", "View")</f>
        <v>View</v>
      </c>
    </row>
    <row r="116" spans="1:16" x14ac:dyDescent="0.25">
      <c r="A116" s="13" t="s">
        <v>15893</v>
      </c>
      <c r="B116" s="14">
        <v>25936</v>
      </c>
      <c r="C116" s="14">
        <v>0</v>
      </c>
      <c r="D116" s="14" t="s">
        <v>9662</v>
      </c>
      <c r="E116" s="14" t="s">
        <v>4396</v>
      </c>
      <c r="F116" s="14" t="s">
        <v>96</v>
      </c>
      <c r="G116" s="18" t="s">
        <v>15868</v>
      </c>
      <c r="H116" s="18" t="s">
        <v>98</v>
      </c>
      <c r="I116" s="14" t="s">
        <v>26636</v>
      </c>
      <c r="J116" s="14">
        <v>1</v>
      </c>
      <c r="K116" s="14">
        <v>0</v>
      </c>
      <c r="L116" s="14" t="s">
        <v>26637</v>
      </c>
      <c r="M116" s="19" t="s">
        <v>101</v>
      </c>
      <c r="N116" s="14" t="s">
        <v>26638</v>
      </c>
      <c r="O116" s="14" t="s">
        <v>15897</v>
      </c>
      <c r="P116" s="14" t="str">
        <f>HYPERLINK("https://dexscreener.com/solana/9rLGTvxXEhhdyZtJA34pFV21oZhsi3MRho9hv54vpump", "View")</f>
        <v>View</v>
      </c>
    </row>
    <row r="117" spans="1:16" x14ac:dyDescent="0.25">
      <c r="A117" s="16" t="s">
        <v>26639</v>
      </c>
      <c r="B117" s="17">
        <v>1751775</v>
      </c>
      <c r="C117" s="17">
        <v>0</v>
      </c>
      <c r="D117" s="17" t="s">
        <v>9662</v>
      </c>
      <c r="E117" s="17" t="s">
        <v>12743</v>
      </c>
      <c r="F117" s="17" t="s">
        <v>96</v>
      </c>
      <c r="G117" s="18" t="s">
        <v>3453</v>
      </c>
      <c r="H117" s="18" t="s">
        <v>98</v>
      </c>
      <c r="I117" s="17" t="s">
        <v>26640</v>
      </c>
      <c r="J117" s="17">
        <v>1</v>
      </c>
      <c r="K117" s="17">
        <v>0</v>
      </c>
      <c r="L117" s="17" t="s">
        <v>26641</v>
      </c>
      <c r="M117" s="19" t="s">
        <v>101</v>
      </c>
      <c r="N117" s="17" t="s">
        <v>1011</v>
      </c>
      <c r="O117" s="17" t="s">
        <v>26642</v>
      </c>
      <c r="P117" s="17" t="str">
        <f>HYPERLINK("https://dexscreener.com/solana/FApzaVYXjGqibTvzJKGhSNscQDFYH3JDnRpcpAfypump", "View")</f>
        <v>View</v>
      </c>
    </row>
    <row r="118" spans="1:16" x14ac:dyDescent="0.25">
      <c r="A118" s="13" t="s">
        <v>1045</v>
      </c>
      <c r="B118" s="14">
        <v>1472668</v>
      </c>
      <c r="C118" s="14">
        <v>0</v>
      </c>
      <c r="D118" s="14" t="s">
        <v>9662</v>
      </c>
      <c r="E118" s="14" t="s">
        <v>12743</v>
      </c>
      <c r="F118" s="14" t="s">
        <v>96</v>
      </c>
      <c r="G118" s="18" t="s">
        <v>3453</v>
      </c>
      <c r="H118" s="18" t="s">
        <v>98</v>
      </c>
      <c r="I118" s="14" t="s">
        <v>26643</v>
      </c>
      <c r="J118" s="14">
        <v>1</v>
      </c>
      <c r="K118" s="14">
        <v>0</v>
      </c>
      <c r="L118" s="14" t="s">
        <v>26644</v>
      </c>
      <c r="M118" s="19" t="s">
        <v>101</v>
      </c>
      <c r="N118" s="14" t="s">
        <v>1980</v>
      </c>
      <c r="O118" s="14" t="s">
        <v>10260</v>
      </c>
      <c r="P118" s="14" t="str">
        <f>HYPERLINK("https://dexscreener.com/solana/8KapfTcDKMMCN1xujKvDFPA4QSbRci9nSkpyYxoMpump", "View")</f>
        <v>View</v>
      </c>
    </row>
    <row r="119" spans="1:16" x14ac:dyDescent="0.25">
      <c r="A119" s="16" t="s">
        <v>7995</v>
      </c>
      <c r="B119" s="17">
        <v>1561760</v>
      </c>
      <c r="C119" s="17">
        <v>0</v>
      </c>
      <c r="D119" s="17" t="s">
        <v>9662</v>
      </c>
      <c r="E119" s="17" t="s">
        <v>12743</v>
      </c>
      <c r="F119" s="17" t="s">
        <v>96</v>
      </c>
      <c r="G119" s="18" t="s">
        <v>3453</v>
      </c>
      <c r="H119" s="18" t="s">
        <v>98</v>
      </c>
      <c r="I119" s="17" t="s">
        <v>26645</v>
      </c>
      <c r="J119" s="17">
        <v>1</v>
      </c>
      <c r="K119" s="17">
        <v>0</v>
      </c>
      <c r="L119" s="17" t="s">
        <v>26646</v>
      </c>
      <c r="M119" s="19" t="s">
        <v>101</v>
      </c>
      <c r="N119" s="17" t="s">
        <v>12453</v>
      </c>
      <c r="O119" s="17" t="s">
        <v>8002</v>
      </c>
      <c r="P119" s="17" t="str">
        <f>HYPERLINK("https://dexscreener.com/solana/BWaMsm4AaCEpMXV9iQsyZtwRemVBty5z4HS8oxbApump", "View")</f>
        <v>View</v>
      </c>
    </row>
    <row r="120" spans="1:16" x14ac:dyDescent="0.25">
      <c r="A120" s="13" t="s">
        <v>588</v>
      </c>
      <c r="B120" s="14">
        <v>57592</v>
      </c>
      <c r="C120" s="14">
        <v>0</v>
      </c>
      <c r="D120" s="14" t="s">
        <v>9662</v>
      </c>
      <c r="E120" s="14" t="s">
        <v>12743</v>
      </c>
      <c r="F120" s="14" t="s">
        <v>96</v>
      </c>
      <c r="G120" s="18" t="s">
        <v>3453</v>
      </c>
      <c r="H120" s="18" t="s">
        <v>98</v>
      </c>
      <c r="I120" s="14" t="s">
        <v>26647</v>
      </c>
      <c r="J120" s="14">
        <v>1</v>
      </c>
      <c r="K120" s="14">
        <v>0</v>
      </c>
      <c r="L120" s="14" t="s">
        <v>26648</v>
      </c>
      <c r="M120" s="19" t="s">
        <v>101</v>
      </c>
      <c r="N120" s="14" t="s">
        <v>15834</v>
      </c>
      <c r="O120" s="14" t="s">
        <v>592</v>
      </c>
      <c r="P120" s="14" t="str">
        <f>HYPERLINK("https://dexscreener.com/solana/34pGiw5uBRq98c3AB468ds1AHcpnWN7zoFy6actWpump", "View")</f>
        <v>View</v>
      </c>
    </row>
    <row r="121" spans="1:16" x14ac:dyDescent="0.25">
      <c r="A121" s="16" t="s">
        <v>26649</v>
      </c>
      <c r="B121" s="17">
        <v>322138</v>
      </c>
      <c r="C121" s="17">
        <v>0</v>
      </c>
      <c r="D121" s="17" t="s">
        <v>9662</v>
      </c>
      <c r="E121" s="17" t="s">
        <v>5409</v>
      </c>
      <c r="F121" s="17" t="s">
        <v>96</v>
      </c>
      <c r="G121" s="18" t="s">
        <v>3671</v>
      </c>
      <c r="H121" s="18" t="s">
        <v>98</v>
      </c>
      <c r="I121" s="17" t="s">
        <v>26650</v>
      </c>
      <c r="J121" s="17">
        <v>1</v>
      </c>
      <c r="K121" s="17">
        <v>0</v>
      </c>
      <c r="L121" s="17" t="s">
        <v>6786</v>
      </c>
      <c r="M121" s="19" t="s">
        <v>101</v>
      </c>
      <c r="N121" s="17" t="s">
        <v>4916</v>
      </c>
      <c r="O121" s="17" t="s">
        <v>26651</v>
      </c>
      <c r="P121" s="17" t="str">
        <f>HYPERLINK("https://photon-sol.tinyastro.io/en/lp/BrPjSkpdWfgz5XXPoVbDfGxLSiKbzYz76NdvuTqJ8e7H?handle=676050794bc1b1657a56b", "View")</f>
        <v>View</v>
      </c>
    </row>
    <row r="122" spans="1:16" x14ac:dyDescent="0.25">
      <c r="A122" s="13" t="s">
        <v>25070</v>
      </c>
      <c r="B122" s="14">
        <v>35668</v>
      </c>
      <c r="C122" s="14">
        <v>3500</v>
      </c>
      <c r="D122" s="14" t="s">
        <v>10517</v>
      </c>
      <c r="E122" s="14" t="s">
        <v>12743</v>
      </c>
      <c r="F122" s="14" t="s">
        <v>2809</v>
      </c>
      <c r="G122" s="15" t="s">
        <v>7875</v>
      </c>
      <c r="H122" s="15" t="s">
        <v>26652</v>
      </c>
      <c r="I122" s="14" t="s">
        <v>88</v>
      </c>
      <c r="J122" s="14">
        <v>1</v>
      </c>
      <c r="K122" s="14">
        <v>1</v>
      </c>
      <c r="L122" s="14" t="s">
        <v>26653</v>
      </c>
      <c r="M122" s="14" t="s">
        <v>132</v>
      </c>
      <c r="N122" s="14" t="s">
        <v>26654</v>
      </c>
      <c r="O122" s="14" t="s">
        <v>25074</v>
      </c>
      <c r="P122" s="14" t="str">
        <f>HYPERLINK("https://dexscreener.com/solana/DFy12AkbxKnR2s2gaYz1AvxgxqGDrMEjjzK1GG3Ypump", "View")</f>
        <v>View</v>
      </c>
    </row>
    <row r="123" spans="1:16" x14ac:dyDescent="0.25">
      <c r="A123" s="16" t="s">
        <v>26655</v>
      </c>
      <c r="B123" s="17">
        <v>25958</v>
      </c>
      <c r="C123" s="17">
        <v>0</v>
      </c>
      <c r="D123" s="17" t="s">
        <v>9662</v>
      </c>
      <c r="E123" s="17" t="s">
        <v>12743</v>
      </c>
      <c r="F123" s="17" t="s">
        <v>96</v>
      </c>
      <c r="G123" s="18" t="s">
        <v>3453</v>
      </c>
      <c r="H123" s="18" t="s">
        <v>98</v>
      </c>
      <c r="I123" s="17" t="s">
        <v>26656</v>
      </c>
      <c r="J123" s="17">
        <v>1</v>
      </c>
      <c r="K123" s="17">
        <v>0</v>
      </c>
      <c r="L123" s="17" t="s">
        <v>26657</v>
      </c>
      <c r="M123" s="19" t="s">
        <v>101</v>
      </c>
      <c r="N123" s="17" t="s">
        <v>26658</v>
      </c>
      <c r="O123" s="17" t="s">
        <v>26659</v>
      </c>
      <c r="P123" s="17" t="str">
        <f>HYPERLINK("https://dexscreener.com/solana/zGSm7WWkUgV6NqrU47nC1iLheZsWaRMyFnzVKTUpump", "View")</f>
        <v>View</v>
      </c>
    </row>
    <row r="124" spans="1:16" x14ac:dyDescent="0.25">
      <c r="A124" s="13" t="s">
        <v>4540</v>
      </c>
      <c r="B124" s="14">
        <v>35017</v>
      </c>
      <c r="C124" s="14">
        <v>0</v>
      </c>
      <c r="D124" s="14" t="s">
        <v>8685</v>
      </c>
      <c r="E124" s="14" t="s">
        <v>5837</v>
      </c>
      <c r="F124" s="14" t="s">
        <v>96</v>
      </c>
      <c r="G124" s="18" t="s">
        <v>3721</v>
      </c>
      <c r="H124" s="18" t="s">
        <v>98</v>
      </c>
      <c r="I124" s="14" t="s">
        <v>26660</v>
      </c>
      <c r="J124" s="14">
        <v>2</v>
      </c>
      <c r="K124" s="14">
        <v>0</v>
      </c>
      <c r="L124" s="14" t="s">
        <v>26661</v>
      </c>
      <c r="M124" s="14" t="s">
        <v>7473</v>
      </c>
      <c r="N124" s="14" t="s">
        <v>26662</v>
      </c>
      <c r="O124" s="14" t="s">
        <v>4544</v>
      </c>
      <c r="P124" s="14" t="str">
        <f>HYPERLINK("https://dexscreener.com/solana/5AFpf9H8CPpmHe9gmwZYQPtup3MDZ887PUxvY1yapump", "View")</f>
        <v>View</v>
      </c>
    </row>
    <row r="125" spans="1:16" x14ac:dyDescent="0.25">
      <c r="A125" s="16" t="s">
        <v>26663</v>
      </c>
      <c r="B125" s="17">
        <v>129127</v>
      </c>
      <c r="C125" s="17">
        <v>0</v>
      </c>
      <c r="D125" s="17" t="s">
        <v>9662</v>
      </c>
      <c r="E125" s="17" t="s">
        <v>12743</v>
      </c>
      <c r="F125" s="17" t="s">
        <v>96</v>
      </c>
      <c r="G125" s="18" t="s">
        <v>3453</v>
      </c>
      <c r="H125" s="18" t="s">
        <v>98</v>
      </c>
      <c r="I125" s="17" t="s">
        <v>26664</v>
      </c>
      <c r="J125" s="17">
        <v>1</v>
      </c>
      <c r="K125" s="17">
        <v>0</v>
      </c>
      <c r="L125" s="17" t="s">
        <v>26665</v>
      </c>
      <c r="M125" s="19" t="s">
        <v>101</v>
      </c>
      <c r="N125" s="17" t="s">
        <v>4911</v>
      </c>
      <c r="O125" s="17" t="s">
        <v>26666</v>
      </c>
      <c r="P125" s="17" t="str">
        <f>HYPERLINK("https://dexscreener.com/solana/HcpuhTEUBYoA4WeRMQE2zeRKNNFmWVcjRRzbYkFopump", "View")</f>
        <v>View</v>
      </c>
    </row>
    <row r="126" spans="1:16" x14ac:dyDescent="0.25">
      <c r="A126" s="13" t="s">
        <v>5344</v>
      </c>
      <c r="B126" s="14">
        <v>163642</v>
      </c>
      <c r="C126" s="14">
        <v>0</v>
      </c>
      <c r="D126" s="14" t="s">
        <v>8685</v>
      </c>
      <c r="E126" s="14" t="s">
        <v>5837</v>
      </c>
      <c r="F126" s="14" t="s">
        <v>96</v>
      </c>
      <c r="G126" s="18" t="s">
        <v>3721</v>
      </c>
      <c r="H126" s="18" t="s">
        <v>98</v>
      </c>
      <c r="I126" s="14" t="s">
        <v>26667</v>
      </c>
      <c r="J126" s="14">
        <v>2</v>
      </c>
      <c r="K126" s="14">
        <v>0</v>
      </c>
      <c r="L126" s="14" t="s">
        <v>26668</v>
      </c>
      <c r="M126" s="14" t="s">
        <v>179</v>
      </c>
      <c r="N126" s="14" t="s">
        <v>26669</v>
      </c>
      <c r="O126" s="14" t="s">
        <v>5351</v>
      </c>
      <c r="P126" s="14" t="str">
        <f>HYPERLINK("https://dexscreener.com/solana/6BbsRCdCSN5ta2MaFmfuzsbu7FKrNHTvT656Bntzpump", "View")</f>
        <v>View</v>
      </c>
    </row>
    <row r="127" spans="1:16" x14ac:dyDescent="0.25">
      <c r="A127" s="16" t="s">
        <v>5344</v>
      </c>
      <c r="B127" s="17">
        <v>334854</v>
      </c>
      <c r="C127" s="17">
        <v>0</v>
      </c>
      <c r="D127" s="17" t="s">
        <v>9662</v>
      </c>
      <c r="E127" s="17" t="s">
        <v>1884</v>
      </c>
      <c r="F127" s="17" t="s">
        <v>96</v>
      </c>
      <c r="G127" s="18" t="s">
        <v>20418</v>
      </c>
      <c r="H127" s="18" t="s">
        <v>98</v>
      </c>
      <c r="I127" s="17" t="s">
        <v>26670</v>
      </c>
      <c r="J127" s="17">
        <v>1</v>
      </c>
      <c r="K127" s="17">
        <v>0</v>
      </c>
      <c r="L127" s="17" t="s">
        <v>26671</v>
      </c>
      <c r="M127" s="19" t="s">
        <v>101</v>
      </c>
      <c r="N127" s="17" t="s">
        <v>2271</v>
      </c>
      <c r="O127" s="17" t="s">
        <v>26672</v>
      </c>
      <c r="P127" s="17" t="str">
        <f>HYPERLINK("https://photon-sol.tinyastro.io/en/lp/2Bm2xQRgSS5GLRm8eXj3Xe8WzFq9noEkx4MmGsHBpump?handle=676050794bc1b1657a56b", "View")</f>
        <v>View</v>
      </c>
    </row>
    <row r="128" spans="1:16" x14ac:dyDescent="0.25">
      <c r="A128" s="13" t="s">
        <v>12814</v>
      </c>
      <c r="B128" s="14">
        <v>72355</v>
      </c>
      <c r="C128" s="14">
        <v>0</v>
      </c>
      <c r="D128" s="14" t="s">
        <v>9662</v>
      </c>
      <c r="E128" s="14" t="s">
        <v>12743</v>
      </c>
      <c r="F128" s="14" t="s">
        <v>96</v>
      </c>
      <c r="G128" s="18" t="s">
        <v>3453</v>
      </c>
      <c r="H128" s="18" t="s">
        <v>98</v>
      </c>
      <c r="I128" s="14" t="s">
        <v>26673</v>
      </c>
      <c r="J128" s="14">
        <v>1</v>
      </c>
      <c r="K128" s="14">
        <v>0</v>
      </c>
      <c r="L128" s="14" t="s">
        <v>26674</v>
      </c>
      <c r="M128" s="19" t="s">
        <v>101</v>
      </c>
      <c r="N128" s="14" t="s">
        <v>26675</v>
      </c>
      <c r="O128" s="14" t="s">
        <v>12820</v>
      </c>
      <c r="P128" s="14" t="str">
        <f>HYPERLINK("https://dexscreener.com/solana/6MYhpb3FocZSdJS3V5krpbfMp45JxD5jXdtPfkwUpump", "View")</f>
        <v>View</v>
      </c>
    </row>
    <row r="129" spans="1:16" x14ac:dyDescent="0.25">
      <c r="A129" s="16" t="s">
        <v>641</v>
      </c>
      <c r="B129" s="17">
        <v>234808</v>
      </c>
      <c r="C129" s="17">
        <v>0</v>
      </c>
      <c r="D129" s="17" t="s">
        <v>9662</v>
      </c>
      <c r="E129" s="17" t="s">
        <v>4482</v>
      </c>
      <c r="F129" s="17" t="s">
        <v>96</v>
      </c>
      <c r="G129" s="18" t="s">
        <v>3676</v>
      </c>
      <c r="H129" s="18" t="s">
        <v>98</v>
      </c>
      <c r="I129" s="17" t="s">
        <v>26676</v>
      </c>
      <c r="J129" s="17">
        <v>1</v>
      </c>
      <c r="K129" s="17">
        <v>0</v>
      </c>
      <c r="L129" s="17" t="s">
        <v>26677</v>
      </c>
      <c r="M129" s="19" t="s">
        <v>101</v>
      </c>
      <c r="N129" s="17" t="s">
        <v>26678</v>
      </c>
      <c r="O129" s="17" t="s">
        <v>645</v>
      </c>
      <c r="P129" s="17" t="str">
        <f>HYPERLINK("https://photon-sol.tinyastro.io/en/lp/8p1axiyVkUL5zTQREb8zGU2DqaiLUkG4TjDHayhVpump?handle=676050794bc1b1657a56b", "View")</f>
        <v>View</v>
      </c>
    </row>
    <row r="130" spans="1:16" x14ac:dyDescent="0.25">
      <c r="A130" s="13" t="s">
        <v>26679</v>
      </c>
      <c r="B130" s="14">
        <v>180013</v>
      </c>
      <c r="C130" s="14">
        <v>0</v>
      </c>
      <c r="D130" s="14" t="s">
        <v>9662</v>
      </c>
      <c r="E130" s="14" t="s">
        <v>12743</v>
      </c>
      <c r="F130" s="14" t="s">
        <v>96</v>
      </c>
      <c r="G130" s="18" t="s">
        <v>3453</v>
      </c>
      <c r="H130" s="18" t="s">
        <v>98</v>
      </c>
      <c r="I130" s="14" t="s">
        <v>26680</v>
      </c>
      <c r="J130" s="14">
        <v>1</v>
      </c>
      <c r="K130" s="14">
        <v>0</v>
      </c>
      <c r="L130" s="14" t="s">
        <v>26681</v>
      </c>
      <c r="M130" s="19" t="s">
        <v>101</v>
      </c>
      <c r="N130" s="14" t="s">
        <v>26682</v>
      </c>
      <c r="O130" s="14" t="s">
        <v>26683</v>
      </c>
      <c r="P130" s="14" t="str">
        <f>HYPERLINK("https://dexscreener.com/solana/AKjkUfgVvbmc9LfvniaaaeVJfEpYbKFDonA76fuWpump", "View")</f>
        <v>View</v>
      </c>
    </row>
    <row r="131" spans="1:16" x14ac:dyDescent="0.25">
      <c r="A131" s="16" t="s">
        <v>144</v>
      </c>
      <c r="B131" s="17">
        <v>25239</v>
      </c>
      <c r="C131" s="17">
        <v>25239</v>
      </c>
      <c r="D131" s="17" t="s">
        <v>21582</v>
      </c>
      <c r="E131" s="17" t="s">
        <v>3320</v>
      </c>
      <c r="F131" s="17" t="s">
        <v>5460</v>
      </c>
      <c r="G131" s="21" t="s">
        <v>5680</v>
      </c>
      <c r="H131" s="21" t="s">
        <v>26684</v>
      </c>
      <c r="I131" s="17" t="s">
        <v>88</v>
      </c>
      <c r="J131" s="17">
        <v>3</v>
      </c>
      <c r="K131" s="17">
        <v>2</v>
      </c>
      <c r="L131" s="17" t="s">
        <v>26685</v>
      </c>
      <c r="M131" s="17" t="s">
        <v>179</v>
      </c>
      <c r="N131" s="17" t="s">
        <v>26686</v>
      </c>
      <c r="O131" s="17" t="s">
        <v>152</v>
      </c>
      <c r="P131" s="17" t="str">
        <f>HYPERLINK("https://dexscreener.com/solana/66gsTs88mXJ5L4AtJnWqFW6H2L5YQDRy4W41y6zbpump", "View")</f>
        <v>View</v>
      </c>
    </row>
    <row r="132" spans="1:16" x14ac:dyDescent="0.25">
      <c r="A132" s="13" t="s">
        <v>11395</v>
      </c>
      <c r="B132" s="14">
        <v>24066</v>
      </c>
      <c r="C132" s="14">
        <v>0</v>
      </c>
      <c r="D132" s="14" t="s">
        <v>9662</v>
      </c>
      <c r="E132" s="14" t="s">
        <v>12743</v>
      </c>
      <c r="F132" s="14" t="s">
        <v>96</v>
      </c>
      <c r="G132" s="18" t="s">
        <v>3453</v>
      </c>
      <c r="H132" s="18" t="s">
        <v>98</v>
      </c>
      <c r="I132" s="14" t="s">
        <v>26687</v>
      </c>
      <c r="J132" s="14">
        <v>1</v>
      </c>
      <c r="K132" s="14">
        <v>0</v>
      </c>
      <c r="L132" s="14" t="s">
        <v>26688</v>
      </c>
      <c r="M132" s="19" t="s">
        <v>101</v>
      </c>
      <c r="N132" s="14" t="s">
        <v>26689</v>
      </c>
      <c r="O132" s="14" t="s">
        <v>11399</v>
      </c>
      <c r="P132" s="14" t="str">
        <f>HYPERLINK("https://dexscreener.com/solana/58JkF2Nj981v6yxM2aQMpoeL2MaA7dA3SGcGuRyepump", "View")</f>
        <v>View</v>
      </c>
    </row>
    <row r="133" spans="1:16" x14ac:dyDescent="0.25">
      <c r="A133" s="16" t="s">
        <v>26690</v>
      </c>
      <c r="B133" s="17">
        <v>97499</v>
      </c>
      <c r="C133" s="17">
        <v>0</v>
      </c>
      <c r="D133" s="17" t="s">
        <v>8685</v>
      </c>
      <c r="E133" s="17" t="s">
        <v>5220</v>
      </c>
      <c r="F133" s="17" t="s">
        <v>96</v>
      </c>
      <c r="G133" s="18" t="s">
        <v>16947</v>
      </c>
      <c r="H133" s="18" t="s">
        <v>98</v>
      </c>
      <c r="I133" s="17" t="s">
        <v>26691</v>
      </c>
      <c r="J133" s="17">
        <v>2</v>
      </c>
      <c r="K133" s="17">
        <v>0</v>
      </c>
      <c r="L133" s="17" t="s">
        <v>26692</v>
      </c>
      <c r="M133" s="17" t="s">
        <v>602</v>
      </c>
      <c r="N133" s="17" t="s">
        <v>26693</v>
      </c>
      <c r="O133" s="17" t="s">
        <v>26694</v>
      </c>
      <c r="P133" s="17" t="str">
        <f>HYPERLINK("https://dexscreener.com/solana/zatHUKJXCvgYBkbDMFn6Q8FukeLQkywroBw5Uv4pump", "View")</f>
        <v>View</v>
      </c>
    </row>
    <row r="134" spans="1:16" x14ac:dyDescent="0.25">
      <c r="A134" s="13" t="s">
        <v>16477</v>
      </c>
      <c r="B134" s="14">
        <v>76894</v>
      </c>
      <c r="C134" s="14">
        <v>0</v>
      </c>
      <c r="D134" s="14" t="s">
        <v>9662</v>
      </c>
      <c r="E134" s="14" t="s">
        <v>12743</v>
      </c>
      <c r="F134" s="14" t="s">
        <v>96</v>
      </c>
      <c r="G134" s="18" t="s">
        <v>3453</v>
      </c>
      <c r="H134" s="18" t="s">
        <v>98</v>
      </c>
      <c r="I134" s="14" t="s">
        <v>26695</v>
      </c>
      <c r="J134" s="14">
        <v>1</v>
      </c>
      <c r="K134" s="14">
        <v>0</v>
      </c>
      <c r="L134" s="14" t="s">
        <v>26696</v>
      </c>
      <c r="M134" s="19" t="s">
        <v>101</v>
      </c>
      <c r="N134" s="14" t="s">
        <v>26697</v>
      </c>
      <c r="O134" s="14" t="s">
        <v>16484</v>
      </c>
      <c r="P134" s="14" t="str">
        <f>HYPERLINK("https://dexscreener.com/solana/4Q7A2HQf544SnCVD16asPRb67xMVw94qaYQCWnvEpump", "View")</f>
        <v>View</v>
      </c>
    </row>
    <row r="135" spans="1:16" x14ac:dyDescent="0.25">
      <c r="A135" s="16" t="s">
        <v>26698</v>
      </c>
      <c r="B135" s="17">
        <v>499027</v>
      </c>
      <c r="C135" s="17">
        <v>0</v>
      </c>
      <c r="D135" s="17" t="s">
        <v>9662</v>
      </c>
      <c r="E135" s="17" t="s">
        <v>17833</v>
      </c>
      <c r="F135" s="17" t="s">
        <v>96</v>
      </c>
      <c r="G135" s="18" t="s">
        <v>3388</v>
      </c>
      <c r="H135" s="18" t="s">
        <v>98</v>
      </c>
      <c r="I135" s="17" t="s">
        <v>26699</v>
      </c>
      <c r="J135" s="17">
        <v>1</v>
      </c>
      <c r="K135" s="17">
        <v>0</v>
      </c>
      <c r="L135" s="17" t="s">
        <v>26700</v>
      </c>
      <c r="M135" s="19" t="s">
        <v>101</v>
      </c>
      <c r="N135" s="17" t="s">
        <v>12453</v>
      </c>
      <c r="O135" s="17" t="s">
        <v>26701</v>
      </c>
      <c r="P135" s="17" t="str">
        <f>HYPERLINK("https://dexscreener.com/solana/8T7n6U2GSzpCqFNbNdt4JSoZHtdXp6kdb9BXHs8Ypump", "View")</f>
        <v>View</v>
      </c>
    </row>
    <row r="136" spans="1:16" x14ac:dyDescent="0.25">
      <c r="A136" s="13" t="s">
        <v>26702</v>
      </c>
      <c r="B136" s="14">
        <v>320134</v>
      </c>
      <c r="C136" s="14">
        <v>0</v>
      </c>
      <c r="D136" s="14" t="s">
        <v>9662</v>
      </c>
      <c r="E136" s="14" t="s">
        <v>17833</v>
      </c>
      <c r="F136" s="14" t="s">
        <v>96</v>
      </c>
      <c r="G136" s="18" t="s">
        <v>3388</v>
      </c>
      <c r="H136" s="18" t="s">
        <v>98</v>
      </c>
      <c r="I136" s="14" t="s">
        <v>26703</v>
      </c>
      <c r="J136" s="14">
        <v>1</v>
      </c>
      <c r="K136" s="14">
        <v>0</v>
      </c>
      <c r="L136" s="14" t="s">
        <v>26704</v>
      </c>
      <c r="M136" s="19" t="s">
        <v>101</v>
      </c>
      <c r="N136" s="14" t="s">
        <v>2130</v>
      </c>
      <c r="O136" s="14" t="s">
        <v>26705</v>
      </c>
      <c r="P136" s="14" t="str">
        <f>HYPERLINK("https://dexscreener.com/solana/5hZc1qQKpzTBLFm31VfhWPjo81rCJ2NspXjF9Uujpump", "View")</f>
        <v>View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5723-C4D0-41F2-A7C4-FB88435C220C}">
  <dimension ref="A1:P75"/>
  <sheetViews>
    <sheetView workbookViewId="0"/>
  </sheetViews>
  <sheetFormatPr defaultRowHeight="15" x14ac:dyDescent="0.25"/>
  <cols>
    <col min="1" max="1" width="45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HYPERLINK("https://gmgn.ai/sol/address/J8CFQP3Hdt4ZdYoqAoEfAeZRuA3oeEPbvy4tLysZKmN", "GMGN")</f>
        <v>GMGN</v>
      </c>
    </row>
    <row r="2" spans="1:14" x14ac:dyDescent="0.25">
      <c r="A2" s="3" t="s">
        <v>26706</v>
      </c>
      <c r="B2" s="3" t="s">
        <v>26707</v>
      </c>
      <c r="C2" s="3" t="s">
        <v>8593</v>
      </c>
      <c r="D2" s="3" t="s">
        <v>26708</v>
      </c>
      <c r="E2" s="3" t="s">
        <v>26709</v>
      </c>
      <c r="F2" s="3" t="s">
        <v>26710</v>
      </c>
      <c r="G2" s="3" t="s">
        <v>18</v>
      </c>
      <c r="H2" s="3">
        <v>56</v>
      </c>
      <c r="I2" s="3">
        <v>1</v>
      </c>
      <c r="J2" s="3" t="s">
        <v>2145</v>
      </c>
      <c r="K2" s="3" t="s">
        <v>1526</v>
      </c>
      <c r="L2" s="3">
        <v>21</v>
      </c>
      <c r="M2" s="3">
        <v>75</v>
      </c>
      <c r="N2" s="3" t="str">
        <f>HYPERLINK("https://solscan.io/account/J8CFQP3Hdt4ZdYoqAoEfAeZRuA3oeEPbvy4tLysZKmN", "Solscan")</f>
        <v>Solscan</v>
      </c>
    </row>
    <row r="3" spans="1:14" x14ac:dyDescent="0.25">
      <c r="A3" s="1" t="s">
        <v>21</v>
      </c>
      <c r="B3" s="4" t="s">
        <v>26711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HYPERLINK("https://birdeye.so/profile/J8CFQP3Hdt4ZdYoqAoEfAeZRuA3oeEPbvy4tLysZKmN", "Birdeye")</f>
        <v>Birdeye</v>
      </c>
    </row>
    <row r="4" spans="1:14" x14ac:dyDescent="0.25">
      <c r="A4" s="1" t="s">
        <v>25</v>
      </c>
      <c r="B4" s="3" t="s">
        <v>2004</v>
      </c>
      <c r="C4" s="3"/>
      <c r="D4" s="3" t="s">
        <v>26</v>
      </c>
      <c r="E4" s="3" t="s">
        <v>26712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1777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8458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3</v>
      </c>
      <c r="D10" s="1">
        <v>7</v>
      </c>
      <c r="E10" s="1">
        <v>5</v>
      </c>
      <c r="F10" s="1">
        <v>18</v>
      </c>
      <c r="G10" s="1">
        <v>21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15653</v>
      </c>
      <c r="C11" s="1" t="s">
        <v>26713</v>
      </c>
      <c r="D11" s="1" t="s">
        <v>17854</v>
      </c>
      <c r="E11" s="1" t="s">
        <v>20143</v>
      </c>
      <c r="F11" s="1" t="s">
        <v>21274</v>
      </c>
      <c r="G11" s="1" t="s">
        <v>17856</v>
      </c>
      <c r="H11" s="3"/>
      <c r="I11" s="3" t="s">
        <v>50</v>
      </c>
      <c r="J11" s="3" t="s">
        <v>2022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26714</v>
      </c>
      <c r="C12" s="1" t="s">
        <v>26715</v>
      </c>
      <c r="D12" s="1" t="s">
        <v>4360</v>
      </c>
      <c r="E12" s="1" t="s">
        <v>15658</v>
      </c>
      <c r="F12" s="1" t="s">
        <v>26716</v>
      </c>
      <c r="G12" s="1" t="s">
        <v>24427</v>
      </c>
      <c r="H12" s="3"/>
      <c r="I12" s="3" t="s">
        <v>59</v>
      </c>
      <c r="J12" s="3" t="s">
        <v>19667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9497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7497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26717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26718</v>
      </c>
      <c r="B20" s="14">
        <v>1283356</v>
      </c>
      <c r="C20" s="14">
        <v>1203147</v>
      </c>
      <c r="D20" s="14" t="s">
        <v>26719</v>
      </c>
      <c r="E20" s="14" t="s">
        <v>12544</v>
      </c>
      <c r="F20" s="14" t="s">
        <v>26720</v>
      </c>
      <c r="G20" s="21" t="s">
        <v>6227</v>
      </c>
      <c r="H20" s="21" t="s">
        <v>26721</v>
      </c>
      <c r="I20" s="14" t="s">
        <v>88</v>
      </c>
      <c r="J20" s="14">
        <v>3</v>
      </c>
      <c r="K20" s="14">
        <v>3</v>
      </c>
      <c r="L20" s="14" t="s">
        <v>26722</v>
      </c>
      <c r="M20" s="14" t="s">
        <v>160</v>
      </c>
      <c r="N20" s="14" t="s">
        <v>26723</v>
      </c>
      <c r="O20" s="14" t="s">
        <v>26724</v>
      </c>
      <c r="P20" s="14" t="str">
        <f>HYPERLINK("https://dexscreener.com/solana/CaLyryATQhnVZaau425zAJ9fNf4uNWVa1GKD6JN94AX9", "View")</f>
        <v>View</v>
      </c>
    </row>
    <row r="21" spans="1:16" x14ac:dyDescent="0.25">
      <c r="A21" s="16" t="s">
        <v>26725</v>
      </c>
      <c r="B21" s="17">
        <v>12746</v>
      </c>
      <c r="C21" s="17">
        <v>0</v>
      </c>
      <c r="D21" s="17" t="s">
        <v>17043</v>
      </c>
      <c r="E21" s="17" t="s">
        <v>4665</v>
      </c>
      <c r="F21" s="17" t="s">
        <v>96</v>
      </c>
      <c r="G21" s="18" t="s">
        <v>2726</v>
      </c>
      <c r="H21" s="18" t="s">
        <v>98</v>
      </c>
      <c r="I21" s="17" t="s">
        <v>26726</v>
      </c>
      <c r="J21" s="17">
        <v>1</v>
      </c>
      <c r="K21" s="17">
        <v>0</v>
      </c>
      <c r="L21" s="17" t="s">
        <v>26727</v>
      </c>
      <c r="M21" s="19" t="s">
        <v>101</v>
      </c>
      <c r="N21" s="17" t="s">
        <v>617</v>
      </c>
      <c r="O21" s="17" t="s">
        <v>26728</v>
      </c>
      <c r="P21" s="17" t="str">
        <f>HYPERLINK("https://dexscreener.com/solana/5fJFaSEeSyMnth9uLFJTceLpgwNohqtxR7yhTSTZKAjH", "View")</f>
        <v>View</v>
      </c>
    </row>
    <row r="22" spans="1:16" x14ac:dyDescent="0.25">
      <c r="A22" s="13" t="s">
        <v>16777</v>
      </c>
      <c r="B22" s="14">
        <v>18800</v>
      </c>
      <c r="C22" s="14">
        <v>9400</v>
      </c>
      <c r="D22" s="14" t="s">
        <v>26729</v>
      </c>
      <c r="E22" s="14" t="s">
        <v>4396</v>
      </c>
      <c r="F22" s="14" t="s">
        <v>3951</v>
      </c>
      <c r="G22" s="21" t="s">
        <v>3316</v>
      </c>
      <c r="H22" s="21" t="s">
        <v>26730</v>
      </c>
      <c r="I22" s="14" t="s">
        <v>88</v>
      </c>
      <c r="J22" s="14">
        <v>1</v>
      </c>
      <c r="K22" s="14">
        <v>1</v>
      </c>
      <c r="L22" s="14" t="s">
        <v>26731</v>
      </c>
      <c r="M22" s="14" t="s">
        <v>132</v>
      </c>
      <c r="N22" s="14" t="s">
        <v>26732</v>
      </c>
      <c r="O22" s="14" t="s">
        <v>16783</v>
      </c>
      <c r="P22" s="14" t="str">
        <f>HYPERLINK("https://dexscreener.com/solana/6d5zHW5B8RkGKd51Lpb9RqFQSqDudr9GJgZ1SgQZpump", "View")</f>
        <v>View</v>
      </c>
    </row>
    <row r="23" spans="1:16" x14ac:dyDescent="0.25">
      <c r="A23" s="16" t="s">
        <v>26733</v>
      </c>
      <c r="B23" s="17">
        <v>845473</v>
      </c>
      <c r="C23" s="17">
        <v>845473</v>
      </c>
      <c r="D23" s="17" t="s">
        <v>19626</v>
      </c>
      <c r="E23" s="17" t="s">
        <v>5860</v>
      </c>
      <c r="F23" s="17" t="s">
        <v>3610</v>
      </c>
      <c r="G23" s="21" t="s">
        <v>5057</v>
      </c>
      <c r="H23" s="21" t="s">
        <v>26734</v>
      </c>
      <c r="I23" s="17" t="s">
        <v>88</v>
      </c>
      <c r="J23" s="17">
        <v>2</v>
      </c>
      <c r="K23" s="17">
        <v>3</v>
      </c>
      <c r="L23" s="17" t="s">
        <v>26735</v>
      </c>
      <c r="M23" s="17" t="s">
        <v>4922</v>
      </c>
      <c r="N23" s="17" t="s">
        <v>26736</v>
      </c>
      <c r="O23" s="17" t="s">
        <v>26737</v>
      </c>
      <c r="P23" s="17" t="str">
        <f>HYPERLINK("https://photon-sol.tinyastro.io/en/lp/B8V1VEFZp1GHTGM4D8zJTFWM8g6mofJRrK2JSUZepump?handle=676050794bc1b1657a56b", "View")</f>
        <v>View</v>
      </c>
    </row>
    <row r="24" spans="1:16" x14ac:dyDescent="0.25">
      <c r="A24" s="13" t="s">
        <v>26313</v>
      </c>
      <c r="B24" s="14">
        <v>544149</v>
      </c>
      <c r="C24" s="14">
        <v>0</v>
      </c>
      <c r="D24" s="14" t="s">
        <v>15855</v>
      </c>
      <c r="E24" s="14" t="s">
        <v>5345</v>
      </c>
      <c r="F24" s="14" t="s">
        <v>96</v>
      </c>
      <c r="G24" s="18" t="s">
        <v>5370</v>
      </c>
      <c r="H24" s="18" t="s">
        <v>98</v>
      </c>
      <c r="I24" s="14" t="s">
        <v>26738</v>
      </c>
      <c r="J24" s="14">
        <v>1</v>
      </c>
      <c r="K24" s="14">
        <v>0</v>
      </c>
      <c r="L24" s="14" t="s">
        <v>26739</v>
      </c>
      <c r="M24" s="19" t="s">
        <v>101</v>
      </c>
      <c r="N24" s="14" t="s">
        <v>26740</v>
      </c>
      <c r="O24" s="14" t="s">
        <v>26317</v>
      </c>
      <c r="P24" s="14" t="str">
        <f>HYPERLINK("https://dexscreener.com/solana/ABGuyFsRx6coPxDqXnFwUmFNG3hsg5i24XSsHV1Apump", "View")</f>
        <v>View</v>
      </c>
    </row>
    <row r="25" spans="1:16" x14ac:dyDescent="0.25">
      <c r="A25" s="16" t="s">
        <v>26741</v>
      </c>
      <c r="B25" s="17">
        <v>86527</v>
      </c>
      <c r="C25" s="17">
        <v>0</v>
      </c>
      <c r="D25" s="17" t="s">
        <v>17090</v>
      </c>
      <c r="E25" s="17" t="s">
        <v>4396</v>
      </c>
      <c r="F25" s="17" t="s">
        <v>96</v>
      </c>
      <c r="G25" s="18" t="s">
        <v>15868</v>
      </c>
      <c r="H25" s="18" t="s">
        <v>98</v>
      </c>
      <c r="I25" s="17" t="s">
        <v>26742</v>
      </c>
      <c r="J25" s="17">
        <v>1</v>
      </c>
      <c r="K25" s="17">
        <v>0</v>
      </c>
      <c r="L25" s="17" t="s">
        <v>26743</v>
      </c>
      <c r="M25" s="19" t="s">
        <v>101</v>
      </c>
      <c r="N25" s="17" t="s">
        <v>26744</v>
      </c>
      <c r="O25" s="17" t="s">
        <v>26745</v>
      </c>
      <c r="P25" s="17" t="str">
        <f>HYPERLINK("https://dexscreener.com/solana/BLXsCT43Q9pXHFpeTSq6bxddefNXBgqfe22RAAzXpyEY", "View")</f>
        <v>View</v>
      </c>
    </row>
    <row r="26" spans="1:16" x14ac:dyDescent="0.25">
      <c r="A26" s="13" t="s">
        <v>26746</v>
      </c>
      <c r="B26" s="14">
        <v>739567</v>
      </c>
      <c r="C26" s="14">
        <v>739567</v>
      </c>
      <c r="D26" s="14" t="s">
        <v>26747</v>
      </c>
      <c r="E26" s="14" t="s">
        <v>4665</v>
      </c>
      <c r="F26" s="14" t="s">
        <v>2341</v>
      </c>
      <c r="G26" s="20" t="s">
        <v>15259</v>
      </c>
      <c r="H26" s="20" t="s">
        <v>26748</v>
      </c>
      <c r="I26" s="14" t="s">
        <v>88</v>
      </c>
      <c r="J26" s="14">
        <v>1</v>
      </c>
      <c r="K26" s="14">
        <v>1</v>
      </c>
      <c r="L26" s="14" t="s">
        <v>26749</v>
      </c>
      <c r="M26" s="19" t="s">
        <v>2593</v>
      </c>
      <c r="N26" s="14" t="s">
        <v>26750</v>
      </c>
      <c r="O26" s="14" t="s">
        <v>26751</v>
      </c>
      <c r="P26" s="14" t="str">
        <f>HYPERLINK("https://dexscreener.com/solana/F9rhG8StmrcKiDgaUMdfuBnG1hag1sysBCT1KufZpump", "View")</f>
        <v>View</v>
      </c>
    </row>
    <row r="27" spans="1:16" x14ac:dyDescent="0.25">
      <c r="A27" s="16" t="s">
        <v>26752</v>
      </c>
      <c r="B27" s="17">
        <v>1995621</v>
      </c>
      <c r="C27" s="17">
        <v>1995621</v>
      </c>
      <c r="D27" s="17" t="s">
        <v>26753</v>
      </c>
      <c r="E27" s="17" t="s">
        <v>9669</v>
      </c>
      <c r="F27" s="17" t="s">
        <v>13525</v>
      </c>
      <c r="G27" s="21" t="s">
        <v>12136</v>
      </c>
      <c r="H27" s="21" t="s">
        <v>26754</v>
      </c>
      <c r="I27" s="17" t="s">
        <v>88</v>
      </c>
      <c r="J27" s="17">
        <v>2</v>
      </c>
      <c r="K27" s="17">
        <v>2</v>
      </c>
      <c r="L27" s="17" t="s">
        <v>26755</v>
      </c>
      <c r="M27" s="17" t="s">
        <v>1610</v>
      </c>
      <c r="N27" s="17" t="s">
        <v>26756</v>
      </c>
      <c r="O27" s="17" t="s">
        <v>26757</v>
      </c>
      <c r="P27" s="17" t="str">
        <f>HYPERLINK("https://photon-sol.tinyastro.io/en/lp/2YdzsERTXgp5cPfTFRF4oey3eYEf77FzcS89KqmUpump?handle=676050794bc1b1657a56b", "View")</f>
        <v>View</v>
      </c>
    </row>
    <row r="28" spans="1:16" x14ac:dyDescent="0.25">
      <c r="A28" s="13" t="s">
        <v>26758</v>
      </c>
      <c r="B28" s="14">
        <v>778434</v>
      </c>
      <c r="C28" s="14">
        <v>778434</v>
      </c>
      <c r="D28" s="14" t="s">
        <v>26759</v>
      </c>
      <c r="E28" s="14" t="s">
        <v>26760</v>
      </c>
      <c r="F28" s="14" t="s">
        <v>23848</v>
      </c>
      <c r="G28" s="21" t="s">
        <v>5046</v>
      </c>
      <c r="H28" s="21" t="s">
        <v>26761</v>
      </c>
      <c r="I28" s="14" t="s">
        <v>88</v>
      </c>
      <c r="J28" s="14">
        <v>3</v>
      </c>
      <c r="K28" s="14">
        <v>4</v>
      </c>
      <c r="L28" s="14" t="s">
        <v>26762</v>
      </c>
      <c r="M28" s="14" t="s">
        <v>2403</v>
      </c>
      <c r="N28" s="14" t="s">
        <v>26763</v>
      </c>
      <c r="O28" s="14" t="s">
        <v>26764</v>
      </c>
      <c r="P28" s="14" t="str">
        <f>HYPERLINK("https://dexscreener.com/solana/omPwhhB8qZysrvP72VESvFwuqimcFSF6pkSNj94pump", "View")</f>
        <v>View</v>
      </c>
    </row>
    <row r="29" spans="1:16" x14ac:dyDescent="0.25">
      <c r="A29" s="16" t="s">
        <v>26765</v>
      </c>
      <c r="B29" s="17">
        <v>2043159</v>
      </c>
      <c r="C29" s="17">
        <v>2043159</v>
      </c>
      <c r="D29" s="17" t="s">
        <v>8617</v>
      </c>
      <c r="E29" s="17" t="s">
        <v>3845</v>
      </c>
      <c r="F29" s="17" t="s">
        <v>2597</v>
      </c>
      <c r="G29" s="22" t="s">
        <v>2661</v>
      </c>
      <c r="H29" s="22" t="s">
        <v>26766</v>
      </c>
      <c r="I29" s="17" t="s">
        <v>88</v>
      </c>
      <c r="J29" s="17">
        <v>1</v>
      </c>
      <c r="K29" s="17">
        <v>1</v>
      </c>
      <c r="L29" s="17" t="s">
        <v>26767</v>
      </c>
      <c r="M29" s="17" t="s">
        <v>364</v>
      </c>
      <c r="N29" s="17" t="s">
        <v>20319</v>
      </c>
      <c r="O29" s="17" t="s">
        <v>26768</v>
      </c>
      <c r="P29" s="17" t="str">
        <f>HYPERLINK("https://photon-sol.tinyastro.io/en/lp/A9QBZAGehGNdaA2cBNA9ksnDoDdZJTqtnVjrK2w2pump?handle=676050794bc1b1657a56b", "View")</f>
        <v>View</v>
      </c>
    </row>
    <row r="30" spans="1:16" x14ac:dyDescent="0.25">
      <c r="A30" s="13" t="s">
        <v>9769</v>
      </c>
      <c r="B30" s="14">
        <v>646088</v>
      </c>
      <c r="C30" s="14">
        <v>646088</v>
      </c>
      <c r="D30" s="14" t="s">
        <v>8841</v>
      </c>
      <c r="E30" s="14" t="s">
        <v>5459</v>
      </c>
      <c r="F30" s="14" t="s">
        <v>11464</v>
      </c>
      <c r="G30" s="20" t="s">
        <v>4373</v>
      </c>
      <c r="H30" s="20" t="s">
        <v>26769</v>
      </c>
      <c r="I30" s="14" t="s">
        <v>88</v>
      </c>
      <c r="J30" s="14">
        <v>1</v>
      </c>
      <c r="K30" s="14">
        <v>1</v>
      </c>
      <c r="L30" s="14" t="s">
        <v>26770</v>
      </c>
      <c r="M30" s="14" t="s">
        <v>1434</v>
      </c>
      <c r="N30" s="14" t="s">
        <v>26771</v>
      </c>
      <c r="O30" s="14" t="s">
        <v>9773</v>
      </c>
      <c r="P30" s="14" t="str">
        <f>HYPERLINK("https://dexscreener.com/solana/8YYrkf1hvL5aCacfLXDvhVfjWZ7ce5NdVt4iLPxYsmdh", "View")</f>
        <v>View</v>
      </c>
    </row>
    <row r="31" spans="1:16" x14ac:dyDescent="0.25">
      <c r="A31" s="16" t="s">
        <v>8501</v>
      </c>
      <c r="B31" s="17">
        <v>10461</v>
      </c>
      <c r="C31" s="17">
        <v>10461</v>
      </c>
      <c r="D31" s="17" t="s">
        <v>26772</v>
      </c>
      <c r="E31" s="17" t="s">
        <v>4665</v>
      </c>
      <c r="F31" s="17" t="s">
        <v>5534</v>
      </c>
      <c r="G31" s="15" t="s">
        <v>4206</v>
      </c>
      <c r="H31" s="15" t="s">
        <v>26773</v>
      </c>
      <c r="I31" s="17" t="s">
        <v>88</v>
      </c>
      <c r="J31" s="17">
        <v>1</v>
      </c>
      <c r="K31" s="17">
        <v>1</v>
      </c>
      <c r="L31" s="17" t="s">
        <v>26774</v>
      </c>
      <c r="M31" s="17" t="s">
        <v>6235</v>
      </c>
      <c r="N31" s="17" t="s">
        <v>26775</v>
      </c>
      <c r="O31" s="17" t="s">
        <v>8508</v>
      </c>
      <c r="P31" s="17" t="str">
        <f>HYPERLINK("https://dexscreener.com/solana/E6N1aagrUTAqtAe6DnV4bctib37tCERbr2TPiHzrpump", "View")</f>
        <v>View</v>
      </c>
    </row>
    <row r="32" spans="1:16" x14ac:dyDescent="0.25">
      <c r="A32" s="13" t="s">
        <v>9849</v>
      </c>
      <c r="B32" s="14">
        <v>13880</v>
      </c>
      <c r="C32" s="14">
        <v>0</v>
      </c>
      <c r="D32" s="14" t="s">
        <v>21247</v>
      </c>
      <c r="E32" s="14" t="s">
        <v>5573</v>
      </c>
      <c r="F32" s="14" t="s">
        <v>96</v>
      </c>
      <c r="G32" s="18" t="s">
        <v>16298</v>
      </c>
      <c r="H32" s="18" t="s">
        <v>98</v>
      </c>
      <c r="I32" s="14" t="s">
        <v>26776</v>
      </c>
      <c r="J32" s="14">
        <v>1</v>
      </c>
      <c r="K32" s="14">
        <v>0</v>
      </c>
      <c r="L32" s="14" t="s">
        <v>26777</v>
      </c>
      <c r="M32" s="19" t="s">
        <v>101</v>
      </c>
      <c r="N32" s="14" t="s">
        <v>26778</v>
      </c>
      <c r="O32" s="14" t="s">
        <v>9855</v>
      </c>
      <c r="P32" s="14" t="str">
        <f>HYPERLINK("https://dexscreener.com/solana/CaPS8EpC78RsnDdjNfZGd7Wjdg9156ijvC1aFcA1pump", "View")</f>
        <v>View</v>
      </c>
    </row>
    <row r="33" spans="1:16" x14ac:dyDescent="0.25">
      <c r="A33" s="16" t="s">
        <v>26779</v>
      </c>
      <c r="B33" s="17">
        <v>1159851</v>
      </c>
      <c r="C33" s="17">
        <v>963202</v>
      </c>
      <c r="D33" s="17" t="s">
        <v>26780</v>
      </c>
      <c r="E33" s="17" t="s">
        <v>1549</v>
      </c>
      <c r="F33" s="17" t="s">
        <v>3757</v>
      </c>
      <c r="G33" s="20" t="s">
        <v>16114</v>
      </c>
      <c r="H33" s="20" t="s">
        <v>26781</v>
      </c>
      <c r="I33" s="17" t="s">
        <v>88</v>
      </c>
      <c r="J33" s="17">
        <v>5</v>
      </c>
      <c r="K33" s="17">
        <v>2</v>
      </c>
      <c r="L33" s="17" t="s">
        <v>26782</v>
      </c>
      <c r="M33" s="17" t="s">
        <v>6257</v>
      </c>
      <c r="N33" s="17" t="s">
        <v>507</v>
      </c>
      <c r="O33" s="17" t="s">
        <v>26783</v>
      </c>
      <c r="P33" s="17" t="str">
        <f>HYPERLINK("https://dexscreener.com/solana/FER9TxkyodrtpkWRrQUaRsvMhHvzRWFT4eJiyHJSpump", "View")</f>
        <v>View</v>
      </c>
    </row>
    <row r="34" spans="1:16" x14ac:dyDescent="0.25">
      <c r="A34" s="13" t="s">
        <v>26784</v>
      </c>
      <c r="B34" s="14">
        <v>149513</v>
      </c>
      <c r="C34" s="14">
        <v>0</v>
      </c>
      <c r="D34" s="14" t="s">
        <v>13323</v>
      </c>
      <c r="E34" s="14" t="s">
        <v>3503</v>
      </c>
      <c r="F34" s="14" t="s">
        <v>96</v>
      </c>
      <c r="G34" s="18" t="s">
        <v>4206</v>
      </c>
      <c r="H34" s="18" t="s">
        <v>98</v>
      </c>
      <c r="I34" s="14" t="s">
        <v>26785</v>
      </c>
      <c r="J34" s="14">
        <v>1</v>
      </c>
      <c r="K34" s="14">
        <v>0</v>
      </c>
      <c r="L34" s="14" t="s">
        <v>26786</v>
      </c>
      <c r="M34" s="19" t="s">
        <v>101</v>
      </c>
      <c r="N34" s="14" t="s">
        <v>4657</v>
      </c>
      <c r="O34" s="14" t="s">
        <v>26787</v>
      </c>
      <c r="P34" s="14" t="str">
        <f>HYPERLINK("https://dexscreener.com/solana/8WhaR9JZk3D6FAzStdpVuBfoWhgBvZFaRfYbourbpump", "View")</f>
        <v>View</v>
      </c>
    </row>
    <row r="35" spans="1:16" x14ac:dyDescent="0.25">
      <c r="A35" s="16" t="s">
        <v>26788</v>
      </c>
      <c r="B35" s="17">
        <v>300640</v>
      </c>
      <c r="C35" s="17">
        <v>150320</v>
      </c>
      <c r="D35" s="17" t="s">
        <v>19880</v>
      </c>
      <c r="E35" s="17" t="s">
        <v>3845</v>
      </c>
      <c r="F35" s="17" t="s">
        <v>3503</v>
      </c>
      <c r="G35" s="20" t="s">
        <v>5535</v>
      </c>
      <c r="H35" s="20" t="s">
        <v>26789</v>
      </c>
      <c r="I35" s="17" t="s">
        <v>88</v>
      </c>
      <c r="J35" s="17">
        <v>1</v>
      </c>
      <c r="K35" s="17">
        <v>1</v>
      </c>
      <c r="L35" s="17" t="s">
        <v>26790</v>
      </c>
      <c r="M35" s="17" t="s">
        <v>1610</v>
      </c>
      <c r="N35" s="17" t="s">
        <v>26791</v>
      </c>
      <c r="O35" s="17" t="s">
        <v>26792</v>
      </c>
      <c r="P35" s="17" t="str">
        <f>HYPERLINK("https://photon-sol.tinyastro.io/en/lp/74T9WemB1nJEjseuKgfsRXPab3S3hgJQ1ZywDsYtpump?handle=676050794bc1b1657a56b", "View")</f>
        <v>View</v>
      </c>
    </row>
    <row r="36" spans="1:16" x14ac:dyDescent="0.25">
      <c r="A36" s="13" t="s">
        <v>163</v>
      </c>
      <c r="B36" s="14">
        <v>5666</v>
      </c>
      <c r="C36" s="14">
        <v>0</v>
      </c>
      <c r="D36" s="14" t="s">
        <v>17043</v>
      </c>
      <c r="E36" s="14" t="s">
        <v>4396</v>
      </c>
      <c r="F36" s="14" t="s">
        <v>96</v>
      </c>
      <c r="G36" s="18" t="s">
        <v>15868</v>
      </c>
      <c r="H36" s="18" t="s">
        <v>98</v>
      </c>
      <c r="I36" s="14" t="s">
        <v>26793</v>
      </c>
      <c r="J36" s="14">
        <v>1</v>
      </c>
      <c r="K36" s="14">
        <v>0</v>
      </c>
      <c r="L36" s="14" t="s">
        <v>26794</v>
      </c>
      <c r="M36" s="19" t="s">
        <v>101</v>
      </c>
      <c r="N36" s="14" t="s">
        <v>18928</v>
      </c>
      <c r="O36" s="14" t="s">
        <v>171</v>
      </c>
      <c r="P36" s="14" t="str">
        <f>HYPERLINK("https://dexscreener.com/solana/EswvJvhPy8A8rWPdLJ5ATYW6cY5x483oS4QWWroZpump", "View")</f>
        <v>View</v>
      </c>
    </row>
    <row r="37" spans="1:16" x14ac:dyDescent="0.25">
      <c r="A37" s="16" t="s">
        <v>26795</v>
      </c>
      <c r="B37" s="17">
        <v>12661625</v>
      </c>
      <c r="C37" s="17">
        <v>12661625</v>
      </c>
      <c r="D37" s="17" t="s">
        <v>8762</v>
      </c>
      <c r="E37" s="17" t="s">
        <v>26796</v>
      </c>
      <c r="F37" s="17" t="s">
        <v>20962</v>
      </c>
      <c r="G37" s="21" t="s">
        <v>26797</v>
      </c>
      <c r="H37" s="21" t="s">
        <v>26798</v>
      </c>
      <c r="I37" s="17" t="s">
        <v>88</v>
      </c>
      <c r="J37" s="17">
        <v>1</v>
      </c>
      <c r="K37" s="17">
        <v>1</v>
      </c>
      <c r="L37" s="17" t="s">
        <v>26799</v>
      </c>
      <c r="M37" s="17" t="s">
        <v>1566</v>
      </c>
      <c r="N37" s="17" t="s">
        <v>26800</v>
      </c>
      <c r="O37" s="17" t="s">
        <v>26801</v>
      </c>
      <c r="P37" s="17" t="str">
        <f>HYPERLINK("https://photon-sol.tinyastro.io/en/lp/G5QWsZmyaMEh3GFp8FQ4Wk2W9pNoPCRYcphWLjfUpump?handle=676050794bc1b1657a56b", "View")</f>
        <v>View</v>
      </c>
    </row>
    <row r="38" spans="1:16" x14ac:dyDescent="0.25">
      <c r="A38" s="13" t="s">
        <v>5040</v>
      </c>
      <c r="B38" s="14">
        <v>262132</v>
      </c>
      <c r="C38" s="14">
        <v>262132</v>
      </c>
      <c r="D38" s="14" t="s">
        <v>8609</v>
      </c>
      <c r="E38" s="14" t="s">
        <v>4665</v>
      </c>
      <c r="F38" s="14" t="s">
        <v>5534</v>
      </c>
      <c r="G38" s="15" t="s">
        <v>1445</v>
      </c>
      <c r="H38" s="15" t="s">
        <v>26802</v>
      </c>
      <c r="I38" s="14" t="s">
        <v>88</v>
      </c>
      <c r="J38" s="14">
        <v>1</v>
      </c>
      <c r="K38" s="14">
        <v>1</v>
      </c>
      <c r="L38" s="14" t="s">
        <v>26803</v>
      </c>
      <c r="M38" s="14" t="s">
        <v>1434</v>
      </c>
      <c r="N38" s="14" t="s">
        <v>26804</v>
      </c>
      <c r="O38" s="14" t="s">
        <v>5044</v>
      </c>
      <c r="P38" s="14" t="str">
        <f>HYPERLINK("https://dexscreener.com/solana/7ZFmpe9zrBiNtjeU4C3U22hTTDTsndS9Lm1xu724pump", "View")</f>
        <v>View</v>
      </c>
    </row>
    <row r="39" spans="1:16" x14ac:dyDescent="0.25">
      <c r="A39" s="16" t="s">
        <v>1836</v>
      </c>
      <c r="B39" s="17">
        <v>5487697</v>
      </c>
      <c r="C39" s="17">
        <v>5487697</v>
      </c>
      <c r="D39" s="17" t="s">
        <v>26805</v>
      </c>
      <c r="E39" s="17" t="s">
        <v>4180</v>
      </c>
      <c r="F39" s="17" t="s">
        <v>951</v>
      </c>
      <c r="G39" s="21" t="s">
        <v>13448</v>
      </c>
      <c r="H39" s="21" t="s">
        <v>26806</v>
      </c>
      <c r="I39" s="17" t="s">
        <v>88</v>
      </c>
      <c r="J39" s="17">
        <v>3</v>
      </c>
      <c r="K39" s="17">
        <v>4</v>
      </c>
      <c r="L39" s="17" t="s">
        <v>26807</v>
      </c>
      <c r="M39" s="17" t="s">
        <v>3355</v>
      </c>
      <c r="N39" s="17" t="s">
        <v>26808</v>
      </c>
      <c r="O39" s="17" t="s">
        <v>26809</v>
      </c>
      <c r="P39" s="17" t="str">
        <f>HYPERLINK("https://dexscreener.com/solana/265sKc6C7wRcEkuLqzPCWUziHCqsp2Q1gXJo2H9Bpump", "View")</f>
        <v>View</v>
      </c>
    </row>
    <row r="40" spans="1:16" x14ac:dyDescent="0.25">
      <c r="A40" s="13" t="s">
        <v>26810</v>
      </c>
      <c r="B40" s="14">
        <v>337961</v>
      </c>
      <c r="C40" s="14">
        <v>168980</v>
      </c>
      <c r="D40" s="14" t="s">
        <v>8834</v>
      </c>
      <c r="E40" s="14" t="s">
        <v>3845</v>
      </c>
      <c r="F40" s="14" t="s">
        <v>3439</v>
      </c>
      <c r="G40" s="22" t="s">
        <v>5248</v>
      </c>
      <c r="H40" s="22" t="s">
        <v>26811</v>
      </c>
      <c r="I40" s="14" t="s">
        <v>88</v>
      </c>
      <c r="J40" s="14">
        <v>1</v>
      </c>
      <c r="K40" s="14">
        <v>1</v>
      </c>
      <c r="L40" s="14" t="s">
        <v>26812</v>
      </c>
      <c r="M40" s="14" t="s">
        <v>414</v>
      </c>
      <c r="N40" s="14" t="s">
        <v>26813</v>
      </c>
      <c r="O40" s="14" t="s">
        <v>26814</v>
      </c>
      <c r="P40" s="14" t="str">
        <f>HYPERLINK("https://photon-sol.tinyastro.io/en/lp/HGyJdCggoistzH4Zr7pN8xkv6GCauWNSe4T1rTjQpump?handle=676050794bc1b1657a56b", "View")</f>
        <v>View</v>
      </c>
    </row>
    <row r="41" spans="1:16" x14ac:dyDescent="0.25">
      <c r="A41" s="16" t="s">
        <v>26815</v>
      </c>
      <c r="B41" s="17">
        <v>26036524</v>
      </c>
      <c r="C41" s="17">
        <v>26036524</v>
      </c>
      <c r="D41" s="17" t="s">
        <v>26816</v>
      </c>
      <c r="E41" s="17" t="s">
        <v>26817</v>
      </c>
      <c r="F41" s="17" t="s">
        <v>26818</v>
      </c>
      <c r="G41" s="21" t="s">
        <v>26819</v>
      </c>
      <c r="H41" s="21" t="s">
        <v>26820</v>
      </c>
      <c r="I41" s="17" t="s">
        <v>88</v>
      </c>
      <c r="J41" s="17">
        <v>3</v>
      </c>
      <c r="K41" s="17">
        <v>19</v>
      </c>
      <c r="L41" s="17" t="s">
        <v>26821</v>
      </c>
      <c r="M41" s="17" t="s">
        <v>356</v>
      </c>
      <c r="N41" s="17" t="s">
        <v>26822</v>
      </c>
      <c r="O41" s="17" t="s">
        <v>26823</v>
      </c>
      <c r="P41" s="17" t="str">
        <f>HYPERLINK("https://photon-sol.tinyastro.io/en/lp/4FdqyFg3rYs9NRjC7shGmSH7YG4iQgAPSUyzDkWxpump?handle=676050794bc1b1657a56b", "View")</f>
        <v>View</v>
      </c>
    </row>
    <row r="42" spans="1:16" x14ac:dyDescent="0.25">
      <c r="A42" s="13" t="s">
        <v>13117</v>
      </c>
      <c r="B42" s="14">
        <v>5332</v>
      </c>
      <c r="C42" s="14">
        <v>0</v>
      </c>
      <c r="D42" s="14" t="s">
        <v>26824</v>
      </c>
      <c r="E42" s="14" t="s">
        <v>4396</v>
      </c>
      <c r="F42" s="14" t="s">
        <v>96</v>
      </c>
      <c r="G42" s="18" t="s">
        <v>2135</v>
      </c>
      <c r="H42" s="18" t="s">
        <v>98</v>
      </c>
      <c r="I42" s="14" t="s">
        <v>26825</v>
      </c>
      <c r="J42" s="14">
        <v>1</v>
      </c>
      <c r="K42" s="14">
        <v>0</v>
      </c>
      <c r="L42" s="14" t="s">
        <v>26826</v>
      </c>
      <c r="M42" s="19" t="s">
        <v>101</v>
      </c>
      <c r="N42" s="14" t="s">
        <v>15084</v>
      </c>
      <c r="O42" s="14" t="s">
        <v>13124</v>
      </c>
      <c r="P42" s="14" t="str">
        <f>HYPERLINK("https://dexscreener.com/solana/BSqMUYb6ePwKsby85zrXaDa4SNf6AgZ9YfA2c4mZpump", "View")</f>
        <v>View</v>
      </c>
    </row>
    <row r="43" spans="1:16" x14ac:dyDescent="0.25">
      <c r="A43" s="16" t="s">
        <v>26827</v>
      </c>
      <c r="B43" s="17">
        <v>165065</v>
      </c>
      <c r="C43" s="17">
        <v>165065</v>
      </c>
      <c r="D43" s="17" t="s">
        <v>16251</v>
      </c>
      <c r="E43" s="17" t="s">
        <v>5573</v>
      </c>
      <c r="F43" s="17" t="s">
        <v>6206</v>
      </c>
      <c r="G43" s="15" t="s">
        <v>26828</v>
      </c>
      <c r="H43" s="15" t="s">
        <v>26829</v>
      </c>
      <c r="I43" s="17" t="s">
        <v>88</v>
      </c>
      <c r="J43" s="17">
        <v>1</v>
      </c>
      <c r="K43" s="17">
        <v>1</v>
      </c>
      <c r="L43" s="17" t="s">
        <v>26830</v>
      </c>
      <c r="M43" s="17" t="s">
        <v>1642</v>
      </c>
      <c r="N43" s="17" t="s">
        <v>26831</v>
      </c>
      <c r="O43" s="17" t="s">
        <v>26832</v>
      </c>
      <c r="P43" s="17" t="str">
        <f>HYPERLINK("https://dexscreener.com/solana/AqpJ2uRYEFdmsL1gZuQoMkWof8YRuuBVMm8dkNK7pump", "View")</f>
        <v>View</v>
      </c>
    </row>
    <row r="44" spans="1:16" x14ac:dyDescent="0.25">
      <c r="A44" s="13" t="s">
        <v>18297</v>
      </c>
      <c r="B44" s="14">
        <v>275845</v>
      </c>
      <c r="C44" s="14">
        <v>201628</v>
      </c>
      <c r="D44" s="14" t="s">
        <v>19607</v>
      </c>
      <c r="E44" s="14" t="s">
        <v>5572</v>
      </c>
      <c r="F44" s="14" t="s">
        <v>5572</v>
      </c>
      <c r="G44" s="20" t="s">
        <v>4252</v>
      </c>
      <c r="H44" s="20" t="s">
        <v>13767</v>
      </c>
      <c r="I44" s="14" t="s">
        <v>88</v>
      </c>
      <c r="J44" s="14">
        <v>2</v>
      </c>
      <c r="K44" s="14">
        <v>3</v>
      </c>
      <c r="L44" s="14" t="s">
        <v>26833</v>
      </c>
      <c r="M44" s="14" t="s">
        <v>179</v>
      </c>
      <c r="N44" s="14" t="s">
        <v>26834</v>
      </c>
      <c r="O44" s="14" t="s">
        <v>18302</v>
      </c>
      <c r="P44" s="14" t="str">
        <f>HYPERLINK("https://dexscreener.com/solana/GSxmz5QR42Btg691U8gpDiRRpFmpBrJ6xdCHLcJSpump", "View")</f>
        <v>View</v>
      </c>
    </row>
    <row r="45" spans="1:16" x14ac:dyDescent="0.25">
      <c r="A45" s="16" t="s">
        <v>25725</v>
      </c>
      <c r="B45" s="17">
        <v>184229</v>
      </c>
      <c r="C45" s="17">
        <v>0</v>
      </c>
      <c r="D45" s="17" t="s">
        <v>8478</v>
      </c>
      <c r="E45" s="17" t="s">
        <v>26835</v>
      </c>
      <c r="F45" s="17" t="s">
        <v>96</v>
      </c>
      <c r="G45" s="18" t="s">
        <v>26836</v>
      </c>
      <c r="H45" s="18" t="s">
        <v>98</v>
      </c>
      <c r="I45" s="17" t="s">
        <v>26837</v>
      </c>
      <c r="J45" s="17">
        <v>5</v>
      </c>
      <c r="K45" s="17">
        <v>0</v>
      </c>
      <c r="L45" s="17" t="s">
        <v>26838</v>
      </c>
      <c r="M45" s="17" t="s">
        <v>231</v>
      </c>
      <c r="N45" s="17" t="s">
        <v>26839</v>
      </c>
      <c r="O45" s="17" t="s">
        <v>25729</v>
      </c>
      <c r="P45" s="17" t="str">
        <f>HYPERLINK("https://dexscreener.com/solana/zGh48JtNHVBb5evgoZLXwgPD2Qu4MhkWdJLGDAupump", "View")</f>
        <v>View</v>
      </c>
    </row>
    <row r="46" spans="1:16" x14ac:dyDescent="0.25">
      <c r="A46" s="13" t="s">
        <v>26840</v>
      </c>
      <c r="B46" s="14">
        <v>3504573</v>
      </c>
      <c r="C46" s="14">
        <v>0</v>
      </c>
      <c r="D46" s="14" t="s">
        <v>4805</v>
      </c>
      <c r="E46" s="14" t="s">
        <v>3845</v>
      </c>
      <c r="F46" s="14" t="s">
        <v>96</v>
      </c>
      <c r="G46" s="18" t="s">
        <v>4755</v>
      </c>
      <c r="H46" s="18" t="s">
        <v>98</v>
      </c>
      <c r="I46" s="14" t="s">
        <v>26841</v>
      </c>
      <c r="J46" s="14">
        <v>1</v>
      </c>
      <c r="K46" s="14">
        <v>0</v>
      </c>
      <c r="L46" s="14" t="s">
        <v>26842</v>
      </c>
      <c r="M46" s="19" t="s">
        <v>101</v>
      </c>
      <c r="N46" s="14" t="s">
        <v>2308</v>
      </c>
      <c r="O46" s="14" t="s">
        <v>26843</v>
      </c>
      <c r="P46" s="14" t="str">
        <f>HYPERLINK("https://photon-sol.tinyastro.io/en/lp/AGJZ7AWczniY8ycNfUZywsw37z7nDas2FVS6ScJKpump?handle=676050794bc1b1657a56b", "View")</f>
        <v>View</v>
      </c>
    </row>
    <row r="47" spans="1:16" x14ac:dyDescent="0.25">
      <c r="A47" s="16" t="s">
        <v>809</v>
      </c>
      <c r="B47" s="17">
        <v>3213473</v>
      </c>
      <c r="C47" s="17">
        <v>3213473</v>
      </c>
      <c r="D47" s="17" t="s">
        <v>9905</v>
      </c>
      <c r="E47" s="17" t="s">
        <v>3845</v>
      </c>
      <c r="F47" s="17" t="s">
        <v>4482</v>
      </c>
      <c r="G47" s="20" t="s">
        <v>4026</v>
      </c>
      <c r="H47" s="20" t="s">
        <v>26844</v>
      </c>
      <c r="I47" s="17" t="s">
        <v>88</v>
      </c>
      <c r="J47" s="17">
        <v>1</v>
      </c>
      <c r="K47" s="17">
        <v>1</v>
      </c>
      <c r="L47" s="17" t="s">
        <v>26845</v>
      </c>
      <c r="M47" s="17" t="s">
        <v>414</v>
      </c>
      <c r="N47" s="17" t="s">
        <v>507</v>
      </c>
      <c r="O47" s="17" t="s">
        <v>26846</v>
      </c>
      <c r="P47" s="17" t="str">
        <f>HYPERLINK("https://photon-sol.tinyastro.io/en/lp/GXSFovUZTr27SxkNYEG4mYMqdLPewj1u5PUQSicXpump?handle=676050794bc1b1657a56b", "View")</f>
        <v>View</v>
      </c>
    </row>
    <row r="48" spans="1:16" x14ac:dyDescent="0.25">
      <c r="A48" s="13" t="s">
        <v>3307</v>
      </c>
      <c r="B48" s="14">
        <v>29132</v>
      </c>
      <c r="C48" s="14">
        <v>29132</v>
      </c>
      <c r="D48" s="14" t="s">
        <v>13323</v>
      </c>
      <c r="E48" s="14" t="s">
        <v>4665</v>
      </c>
      <c r="F48" s="14" t="s">
        <v>5257</v>
      </c>
      <c r="G48" s="22" t="s">
        <v>2429</v>
      </c>
      <c r="H48" s="22" t="s">
        <v>26847</v>
      </c>
      <c r="I48" s="14" t="s">
        <v>88</v>
      </c>
      <c r="J48" s="14">
        <v>2</v>
      </c>
      <c r="K48" s="14">
        <v>1</v>
      </c>
      <c r="L48" s="14" t="s">
        <v>26848</v>
      </c>
      <c r="M48" s="14" t="s">
        <v>1714</v>
      </c>
      <c r="N48" s="14" t="s">
        <v>26849</v>
      </c>
      <c r="O48" s="14" t="s">
        <v>3313</v>
      </c>
      <c r="P48" s="14" t="str">
        <f>HYPERLINK("https://dexscreener.com/solana/5vrNnSXf2PeF4YMdG4vHi1WzU3hf42JKzV8i7jtBmRww", "View")</f>
        <v>View</v>
      </c>
    </row>
    <row r="49" spans="1:16" x14ac:dyDescent="0.25">
      <c r="A49" s="16" t="s">
        <v>26850</v>
      </c>
      <c r="B49" s="17">
        <v>3526358</v>
      </c>
      <c r="C49" s="17">
        <v>3526358</v>
      </c>
      <c r="D49" s="17" t="s">
        <v>26851</v>
      </c>
      <c r="E49" s="17" t="s">
        <v>3142</v>
      </c>
      <c r="F49" s="17" t="s">
        <v>12822</v>
      </c>
      <c r="G49" s="21" t="s">
        <v>2305</v>
      </c>
      <c r="H49" s="21" t="s">
        <v>26852</v>
      </c>
      <c r="I49" s="17" t="s">
        <v>88</v>
      </c>
      <c r="J49" s="17">
        <v>1</v>
      </c>
      <c r="K49" s="17">
        <v>2</v>
      </c>
      <c r="L49" s="17" t="s">
        <v>26853</v>
      </c>
      <c r="M49" s="17" t="s">
        <v>132</v>
      </c>
      <c r="N49" s="17" t="s">
        <v>2308</v>
      </c>
      <c r="O49" s="17" t="s">
        <v>26854</v>
      </c>
      <c r="P49" s="17" t="str">
        <f>HYPERLINK("https://photon-sol.tinyastro.io/en/lp/BHkpntZHeouUnb74VqcaN9ni5Dk8u7weQnXjV3xmpump?handle=676050794bc1b1657a56b", "View")</f>
        <v>View</v>
      </c>
    </row>
    <row r="50" spans="1:16" x14ac:dyDescent="0.25">
      <c r="A50" s="13" t="s">
        <v>26855</v>
      </c>
      <c r="B50" s="14">
        <v>9656356</v>
      </c>
      <c r="C50" s="14">
        <v>9656356</v>
      </c>
      <c r="D50" s="14" t="s">
        <v>26856</v>
      </c>
      <c r="E50" s="14" t="s">
        <v>4160</v>
      </c>
      <c r="F50" s="14" t="s">
        <v>15546</v>
      </c>
      <c r="G50" s="20" t="s">
        <v>3453</v>
      </c>
      <c r="H50" s="20" t="s">
        <v>26857</v>
      </c>
      <c r="I50" s="14" t="s">
        <v>88</v>
      </c>
      <c r="J50" s="14">
        <v>1</v>
      </c>
      <c r="K50" s="14">
        <v>1</v>
      </c>
      <c r="L50" s="14" t="s">
        <v>26858</v>
      </c>
      <c r="M50" s="19" t="s">
        <v>2323</v>
      </c>
      <c r="N50" s="14" t="s">
        <v>1011</v>
      </c>
      <c r="O50" s="14" t="s">
        <v>26859</v>
      </c>
      <c r="P50" s="14" t="str">
        <f>HYPERLINK("https://photon-sol.tinyastro.io/en/lp/3w9t7VmoUv9Ys91HjtUfm4PghuqkhtgaKSPkzSaipump?handle=676050794bc1b1657a56b", "View")</f>
        <v>View</v>
      </c>
    </row>
    <row r="51" spans="1:16" x14ac:dyDescent="0.25">
      <c r="A51" s="16" t="s">
        <v>26860</v>
      </c>
      <c r="B51" s="17">
        <v>68244</v>
      </c>
      <c r="C51" s="17">
        <v>0</v>
      </c>
      <c r="D51" s="17" t="s">
        <v>26345</v>
      </c>
      <c r="E51" s="17" t="s">
        <v>4679</v>
      </c>
      <c r="F51" s="17" t="s">
        <v>96</v>
      </c>
      <c r="G51" s="18" t="s">
        <v>4094</v>
      </c>
      <c r="H51" s="18" t="s">
        <v>98</v>
      </c>
      <c r="I51" s="17" t="s">
        <v>26861</v>
      </c>
      <c r="J51" s="17">
        <v>3</v>
      </c>
      <c r="K51" s="17">
        <v>0</v>
      </c>
      <c r="L51" s="17" t="s">
        <v>26862</v>
      </c>
      <c r="M51" s="17" t="s">
        <v>4985</v>
      </c>
      <c r="N51" s="17" t="s">
        <v>26863</v>
      </c>
      <c r="O51" s="17" t="s">
        <v>26864</v>
      </c>
      <c r="P51" s="17" t="str">
        <f>HYPERLINK("https://dexscreener.com/solana/71FqyeLTgw6xushf7nWRkRwkm3pqqAsD8CCjcjaapump", "View")</f>
        <v>View</v>
      </c>
    </row>
    <row r="52" spans="1:16" x14ac:dyDescent="0.25">
      <c r="A52" s="13" t="s">
        <v>26865</v>
      </c>
      <c r="B52" s="14">
        <v>493460</v>
      </c>
      <c r="C52" s="14">
        <v>0</v>
      </c>
      <c r="D52" s="14" t="s">
        <v>226</v>
      </c>
      <c r="E52" s="14" t="s">
        <v>5459</v>
      </c>
      <c r="F52" s="14" t="s">
        <v>96</v>
      </c>
      <c r="G52" s="18" t="s">
        <v>17066</v>
      </c>
      <c r="H52" s="18" t="s">
        <v>98</v>
      </c>
      <c r="I52" s="14" t="s">
        <v>26866</v>
      </c>
      <c r="J52" s="14">
        <v>1</v>
      </c>
      <c r="K52" s="14">
        <v>0</v>
      </c>
      <c r="L52" s="14" t="s">
        <v>26867</v>
      </c>
      <c r="M52" s="19" t="s">
        <v>101</v>
      </c>
      <c r="N52" s="14" t="s">
        <v>26868</v>
      </c>
      <c r="O52" s="14" t="s">
        <v>26869</v>
      </c>
      <c r="P52" s="14" t="str">
        <f>HYPERLINK("https://dexscreener.com/solana/376kKRPZf5uvVyxdjPdZ56oQtgkfhWHi2sCs9t3Hpump", "View")</f>
        <v>View</v>
      </c>
    </row>
    <row r="53" spans="1:16" x14ac:dyDescent="0.25">
      <c r="A53" s="16" t="s">
        <v>26870</v>
      </c>
      <c r="B53" s="17">
        <v>344095</v>
      </c>
      <c r="C53" s="17">
        <v>0</v>
      </c>
      <c r="D53" s="17" t="s">
        <v>13323</v>
      </c>
      <c r="E53" s="17" t="s">
        <v>5573</v>
      </c>
      <c r="F53" s="17" t="s">
        <v>96</v>
      </c>
      <c r="G53" s="18" t="s">
        <v>16715</v>
      </c>
      <c r="H53" s="18" t="s">
        <v>98</v>
      </c>
      <c r="I53" s="17" t="s">
        <v>26871</v>
      </c>
      <c r="J53" s="17">
        <v>1</v>
      </c>
      <c r="K53" s="17">
        <v>0</v>
      </c>
      <c r="L53" s="17" t="s">
        <v>26872</v>
      </c>
      <c r="M53" s="19" t="s">
        <v>101</v>
      </c>
      <c r="N53" s="17" t="s">
        <v>26873</v>
      </c>
      <c r="O53" s="17" t="s">
        <v>26874</v>
      </c>
      <c r="P53" s="17" t="str">
        <f>HYPERLINK("https://dexscreener.com/solana/mchXra9PGqbMPuJ5FW9YxkkoSVKWAhyu5xP5tk4pump", "View")</f>
        <v>View</v>
      </c>
    </row>
    <row r="54" spans="1:16" x14ac:dyDescent="0.25">
      <c r="A54" s="13" t="s">
        <v>26875</v>
      </c>
      <c r="B54" s="14">
        <v>663393</v>
      </c>
      <c r="C54" s="14">
        <v>0</v>
      </c>
      <c r="D54" s="14" t="s">
        <v>13323</v>
      </c>
      <c r="E54" s="14" t="s">
        <v>4396</v>
      </c>
      <c r="F54" s="14" t="s">
        <v>96</v>
      </c>
      <c r="G54" s="18" t="s">
        <v>1445</v>
      </c>
      <c r="H54" s="18" t="s">
        <v>98</v>
      </c>
      <c r="I54" s="14" t="s">
        <v>26876</v>
      </c>
      <c r="J54" s="14">
        <v>1</v>
      </c>
      <c r="K54" s="14">
        <v>0</v>
      </c>
      <c r="L54" s="14" t="s">
        <v>26877</v>
      </c>
      <c r="M54" s="19" t="s">
        <v>101</v>
      </c>
      <c r="N54" s="14" t="s">
        <v>26878</v>
      </c>
      <c r="O54" s="14" t="s">
        <v>26879</v>
      </c>
      <c r="P54" s="14" t="str">
        <f>HYPERLINK("https://dexscreener.com/solana/3KDsuwo3f8bAd2mS4EVJtqBb5jzr6VKq2729DoNspump", "View")</f>
        <v>View</v>
      </c>
    </row>
    <row r="55" spans="1:16" x14ac:dyDescent="0.25">
      <c r="A55" s="16" t="s">
        <v>26880</v>
      </c>
      <c r="B55" s="17">
        <v>8778239</v>
      </c>
      <c r="C55" s="17">
        <v>0</v>
      </c>
      <c r="D55" s="17" t="s">
        <v>26881</v>
      </c>
      <c r="E55" s="17" t="s">
        <v>5573</v>
      </c>
      <c r="F55" s="17" t="s">
        <v>96</v>
      </c>
      <c r="G55" s="18" t="s">
        <v>16298</v>
      </c>
      <c r="H55" s="18" t="s">
        <v>98</v>
      </c>
      <c r="I55" s="17" t="s">
        <v>26882</v>
      </c>
      <c r="J55" s="17">
        <v>1</v>
      </c>
      <c r="K55" s="17">
        <v>0</v>
      </c>
      <c r="L55" s="17" t="s">
        <v>26883</v>
      </c>
      <c r="M55" s="19" t="s">
        <v>101</v>
      </c>
      <c r="N55" s="17" t="s">
        <v>12852</v>
      </c>
      <c r="O55" s="17" t="s">
        <v>26884</v>
      </c>
      <c r="P55" s="17" t="str">
        <f>HYPERLINK("https://dexscreener.com/solana/oc43uSNgcQ93AEXsNQEMKcY9gGey4KmBNTKBbSNpump", "View")</f>
        <v>View</v>
      </c>
    </row>
    <row r="56" spans="1:16" x14ac:dyDescent="0.25">
      <c r="A56" s="13" t="s">
        <v>3392</v>
      </c>
      <c r="B56" s="14">
        <v>2988784</v>
      </c>
      <c r="C56" s="14">
        <v>3013295</v>
      </c>
      <c r="D56" s="14" t="s">
        <v>26885</v>
      </c>
      <c r="E56" s="14" t="s">
        <v>1007</v>
      </c>
      <c r="F56" s="14" t="s">
        <v>26886</v>
      </c>
      <c r="G56" s="20" t="s">
        <v>3329</v>
      </c>
      <c r="H56" s="20" t="s">
        <v>26887</v>
      </c>
      <c r="I56" s="14" t="s">
        <v>88</v>
      </c>
      <c r="J56" s="14">
        <v>1</v>
      </c>
      <c r="K56" s="14">
        <v>2</v>
      </c>
      <c r="L56" s="14" t="s">
        <v>26888</v>
      </c>
      <c r="M56" s="14" t="s">
        <v>364</v>
      </c>
      <c r="N56" s="14" t="s">
        <v>26889</v>
      </c>
      <c r="O56" s="14" t="s">
        <v>26890</v>
      </c>
      <c r="P56" s="14" t="str">
        <f>HYPERLINK("https://dexscreener.com/solana/38nBDcor3onWbxC8mjNN53xHibgXGrJmPBiP27Zhpump", "View")</f>
        <v>View</v>
      </c>
    </row>
    <row r="57" spans="1:16" x14ac:dyDescent="0.25">
      <c r="A57" s="16" t="s">
        <v>26891</v>
      </c>
      <c r="B57" s="17">
        <v>3785640</v>
      </c>
      <c r="C57" s="17">
        <v>3785640</v>
      </c>
      <c r="D57" s="17" t="s">
        <v>18505</v>
      </c>
      <c r="E57" s="17" t="s">
        <v>5573</v>
      </c>
      <c r="F57" s="17" t="s">
        <v>5345</v>
      </c>
      <c r="G57" s="20" t="s">
        <v>1445</v>
      </c>
      <c r="H57" s="20" t="s">
        <v>26892</v>
      </c>
      <c r="I57" s="17" t="s">
        <v>88</v>
      </c>
      <c r="J57" s="17">
        <v>1</v>
      </c>
      <c r="K57" s="17">
        <v>1</v>
      </c>
      <c r="L57" s="17" t="s">
        <v>26893</v>
      </c>
      <c r="M57" s="17" t="s">
        <v>132</v>
      </c>
      <c r="N57" s="17" t="s">
        <v>13037</v>
      </c>
      <c r="O57" s="17" t="s">
        <v>26894</v>
      </c>
      <c r="P57" s="17" t="str">
        <f>HYPERLINK("https://dexscreener.com/solana/QMiqpzcH9vqSSWkJPEFiGQwhQDqznRFddWEdLzjpump", "View")</f>
        <v>View</v>
      </c>
    </row>
    <row r="58" spans="1:16" x14ac:dyDescent="0.25">
      <c r="A58" s="13" t="s">
        <v>26036</v>
      </c>
      <c r="B58" s="14">
        <v>788</v>
      </c>
      <c r="C58" s="14">
        <v>0</v>
      </c>
      <c r="D58" s="14" t="s">
        <v>17043</v>
      </c>
      <c r="E58" s="14" t="s">
        <v>4396</v>
      </c>
      <c r="F58" s="14" t="s">
        <v>96</v>
      </c>
      <c r="G58" s="18" t="s">
        <v>15868</v>
      </c>
      <c r="H58" s="18" t="s">
        <v>98</v>
      </c>
      <c r="I58" s="14" t="s">
        <v>26895</v>
      </c>
      <c r="J58" s="14">
        <v>1</v>
      </c>
      <c r="K58" s="14">
        <v>0</v>
      </c>
      <c r="L58" s="14" t="s">
        <v>26896</v>
      </c>
      <c r="M58" s="19" t="s">
        <v>101</v>
      </c>
      <c r="N58" s="14" t="s">
        <v>26897</v>
      </c>
      <c r="O58" s="14" t="s">
        <v>26040</v>
      </c>
      <c r="P58" s="14" t="str">
        <f>HYPERLINK("https://dexscreener.com/solana/8NNXWrWVctNw1UFeaBypffimTdcLCcD8XJzHvYsmgwpF", "View")</f>
        <v>View</v>
      </c>
    </row>
    <row r="59" spans="1:16" x14ac:dyDescent="0.25">
      <c r="A59" s="16" t="s">
        <v>26898</v>
      </c>
      <c r="B59" s="17">
        <v>4936011</v>
      </c>
      <c r="C59" s="17">
        <v>4936011</v>
      </c>
      <c r="D59" s="17" t="s">
        <v>1691</v>
      </c>
      <c r="E59" s="17" t="s">
        <v>1007</v>
      </c>
      <c r="F59" s="17" t="s">
        <v>26899</v>
      </c>
      <c r="G59" s="20" t="s">
        <v>17545</v>
      </c>
      <c r="H59" s="20" t="s">
        <v>14465</v>
      </c>
      <c r="I59" s="17" t="s">
        <v>88</v>
      </c>
      <c r="J59" s="17">
        <v>1</v>
      </c>
      <c r="K59" s="17">
        <v>1</v>
      </c>
      <c r="L59" s="17" t="s">
        <v>26900</v>
      </c>
      <c r="M59" s="17" t="s">
        <v>1434</v>
      </c>
      <c r="N59" s="17" t="s">
        <v>26901</v>
      </c>
      <c r="O59" s="17" t="s">
        <v>26902</v>
      </c>
      <c r="P59" s="17" t="str">
        <f>HYPERLINK("https://dexscreener.com/solana/2vAqg5MPPtdXLMYzaDkjq91PWH3d33o9BsmuxsNkpump", "View")</f>
        <v>View</v>
      </c>
    </row>
    <row r="60" spans="1:16" x14ac:dyDescent="0.25">
      <c r="A60" s="13" t="s">
        <v>26903</v>
      </c>
      <c r="B60" s="14">
        <v>8840975</v>
      </c>
      <c r="C60" s="14">
        <v>8840975</v>
      </c>
      <c r="D60" s="14" t="s">
        <v>913</v>
      </c>
      <c r="E60" s="14" t="s">
        <v>8118</v>
      </c>
      <c r="F60" s="14" t="s">
        <v>9395</v>
      </c>
      <c r="G60" s="20" t="s">
        <v>5305</v>
      </c>
      <c r="H60" s="20" t="s">
        <v>26904</v>
      </c>
      <c r="I60" s="14" t="s">
        <v>88</v>
      </c>
      <c r="J60" s="14">
        <v>1</v>
      </c>
      <c r="K60" s="14">
        <v>1</v>
      </c>
      <c r="L60" s="14" t="s">
        <v>26905</v>
      </c>
      <c r="M60" s="19" t="s">
        <v>2493</v>
      </c>
      <c r="N60" s="14" t="s">
        <v>2308</v>
      </c>
      <c r="O60" s="14" t="s">
        <v>26906</v>
      </c>
      <c r="P60" s="14" t="str">
        <f>HYPERLINK("https://photon-sol.tinyastro.io/en/lp/7ds8p4Jvd4P6EKbuKb3a3Egw1JxHYkbeVR38xugzw8PG?handle=676050794bc1b1657a56b", "View")</f>
        <v>View</v>
      </c>
    </row>
    <row r="61" spans="1:16" x14ac:dyDescent="0.25">
      <c r="A61" s="16" t="s">
        <v>26907</v>
      </c>
      <c r="B61" s="17">
        <v>489824</v>
      </c>
      <c r="C61" s="17">
        <v>489824</v>
      </c>
      <c r="D61" s="17" t="s">
        <v>913</v>
      </c>
      <c r="E61" s="17" t="s">
        <v>6206</v>
      </c>
      <c r="F61" s="17" t="s">
        <v>17509</v>
      </c>
      <c r="G61" s="22" t="s">
        <v>6058</v>
      </c>
      <c r="H61" s="22" t="s">
        <v>26908</v>
      </c>
      <c r="I61" s="17" t="s">
        <v>88</v>
      </c>
      <c r="J61" s="17">
        <v>1</v>
      </c>
      <c r="K61" s="17">
        <v>1</v>
      </c>
      <c r="L61" s="17" t="s">
        <v>26909</v>
      </c>
      <c r="M61" s="19" t="s">
        <v>1730</v>
      </c>
      <c r="N61" s="17" t="s">
        <v>26910</v>
      </c>
      <c r="O61" s="17" t="s">
        <v>26911</v>
      </c>
      <c r="P61" s="17" t="str">
        <f>HYPERLINK("https://photon-sol.tinyastro.io/en/lp/2xy2Whbg45Vw4QLjebRjfhFMTamkCczrNLvd1urXrBmP?handle=676050794bc1b1657a56b", "View")</f>
        <v>View</v>
      </c>
    </row>
    <row r="62" spans="1:16" x14ac:dyDescent="0.25">
      <c r="A62" s="13" t="s">
        <v>26912</v>
      </c>
      <c r="B62" s="14">
        <v>1104191</v>
      </c>
      <c r="C62" s="14">
        <v>1104190</v>
      </c>
      <c r="D62" s="14" t="s">
        <v>913</v>
      </c>
      <c r="E62" s="14" t="s">
        <v>3845</v>
      </c>
      <c r="F62" s="14" t="s">
        <v>5346</v>
      </c>
      <c r="G62" s="20" t="s">
        <v>1616</v>
      </c>
      <c r="H62" s="20" t="s">
        <v>536</v>
      </c>
      <c r="I62" s="14" t="s">
        <v>88</v>
      </c>
      <c r="J62" s="14">
        <v>1</v>
      </c>
      <c r="K62" s="14">
        <v>1</v>
      </c>
      <c r="L62" s="14" t="s">
        <v>26913</v>
      </c>
      <c r="M62" s="14" t="s">
        <v>1526</v>
      </c>
      <c r="N62" s="14" t="s">
        <v>3969</v>
      </c>
      <c r="O62" s="14" t="s">
        <v>26914</v>
      </c>
      <c r="P62" s="14" t="str">
        <f>HYPERLINK("https://photon-sol.tinyastro.io/en/lp/EsALFdSt6AMmGrHqvA2FM5ddjJtBCwH4EVo1H2eopump?handle=676050794bc1b1657a56b", "View")</f>
        <v>View</v>
      </c>
    </row>
    <row r="63" spans="1:16" x14ac:dyDescent="0.25">
      <c r="A63" s="16" t="s">
        <v>26915</v>
      </c>
      <c r="B63" s="17">
        <v>5609320</v>
      </c>
      <c r="C63" s="17">
        <v>5609319</v>
      </c>
      <c r="D63" s="17" t="s">
        <v>15604</v>
      </c>
      <c r="E63" s="17" t="s">
        <v>26916</v>
      </c>
      <c r="F63" s="17" t="s">
        <v>26917</v>
      </c>
      <c r="G63" s="15" t="s">
        <v>9273</v>
      </c>
      <c r="H63" s="15" t="s">
        <v>26918</v>
      </c>
      <c r="I63" s="17" t="s">
        <v>88</v>
      </c>
      <c r="J63" s="17">
        <v>5</v>
      </c>
      <c r="K63" s="17">
        <v>1</v>
      </c>
      <c r="L63" s="17" t="s">
        <v>26919</v>
      </c>
      <c r="M63" s="17" t="s">
        <v>179</v>
      </c>
      <c r="N63" s="17" t="s">
        <v>26920</v>
      </c>
      <c r="O63" s="17" t="s">
        <v>26921</v>
      </c>
      <c r="P63" s="17" t="str">
        <f>HYPERLINK("https://photon-sol.tinyastro.io/en/lp/8jVD4FDUswC2dYscVxTruTEy8dGqvgE4f7x2kE1XfKP7?handle=676050794bc1b1657a56b", "View")</f>
        <v>View</v>
      </c>
    </row>
    <row r="64" spans="1:16" x14ac:dyDescent="0.25">
      <c r="A64" s="13" t="s">
        <v>19566</v>
      </c>
      <c r="B64" s="14">
        <v>1709566</v>
      </c>
      <c r="C64" s="14">
        <v>0</v>
      </c>
      <c r="D64" s="14" t="s">
        <v>883</v>
      </c>
      <c r="E64" s="14" t="s">
        <v>5077</v>
      </c>
      <c r="F64" s="14" t="s">
        <v>96</v>
      </c>
      <c r="G64" s="18" t="s">
        <v>2590</v>
      </c>
      <c r="H64" s="18" t="s">
        <v>98</v>
      </c>
      <c r="I64" s="14" t="s">
        <v>26922</v>
      </c>
      <c r="J64" s="14">
        <v>1</v>
      </c>
      <c r="K64" s="14">
        <v>0</v>
      </c>
      <c r="L64" s="14" t="s">
        <v>26923</v>
      </c>
      <c r="M64" s="19" t="s">
        <v>101</v>
      </c>
      <c r="N64" s="14" t="s">
        <v>1011</v>
      </c>
      <c r="O64" s="14" t="s">
        <v>26924</v>
      </c>
      <c r="P64" s="14" t="str">
        <f>HYPERLINK("https://photon-sol.tinyastro.io/en/lp/6hrAVAn8YL4uFKMfdMse4abCGCj66hgaak1CzgQHpump?handle=676050794bc1b1657a56b", "View")</f>
        <v>View</v>
      </c>
    </row>
    <row r="65" spans="1:16" x14ac:dyDescent="0.25">
      <c r="A65" s="16" t="s">
        <v>6841</v>
      </c>
      <c r="B65" s="17">
        <v>246073</v>
      </c>
      <c r="C65" s="17">
        <v>246073</v>
      </c>
      <c r="D65" s="17" t="s">
        <v>18549</v>
      </c>
      <c r="E65" s="17" t="s">
        <v>3845</v>
      </c>
      <c r="F65" s="17" t="s">
        <v>4224</v>
      </c>
      <c r="G65" s="21" t="s">
        <v>3993</v>
      </c>
      <c r="H65" s="21" t="s">
        <v>26925</v>
      </c>
      <c r="I65" s="17" t="s">
        <v>88</v>
      </c>
      <c r="J65" s="17">
        <v>1</v>
      </c>
      <c r="K65" s="17">
        <v>2</v>
      </c>
      <c r="L65" s="17" t="s">
        <v>26926</v>
      </c>
      <c r="M65" s="17" t="s">
        <v>5501</v>
      </c>
      <c r="N65" s="17" t="s">
        <v>26927</v>
      </c>
      <c r="O65" s="17" t="s">
        <v>6847</v>
      </c>
      <c r="P65" s="17" t="str">
        <f>HYPERLINK("https://photon-sol.tinyastro.io/en/lp/peJxGuFUB79mo4Bp4gBwGHAgWyP9GeZtkaPU5t4pump?handle=676050794bc1b1657a56b", "View")</f>
        <v>View</v>
      </c>
    </row>
    <row r="66" spans="1:16" x14ac:dyDescent="0.25">
      <c r="A66" s="13" t="s">
        <v>3450</v>
      </c>
      <c r="B66" s="14">
        <v>607438</v>
      </c>
      <c r="C66" s="14">
        <v>531508</v>
      </c>
      <c r="D66" s="14" t="s">
        <v>18004</v>
      </c>
      <c r="E66" s="14" t="s">
        <v>11856</v>
      </c>
      <c r="F66" s="14" t="s">
        <v>5459</v>
      </c>
      <c r="G66" s="21" t="s">
        <v>26917</v>
      </c>
      <c r="H66" s="21" t="s">
        <v>26928</v>
      </c>
      <c r="I66" s="14" t="s">
        <v>88</v>
      </c>
      <c r="J66" s="14">
        <v>1</v>
      </c>
      <c r="K66" s="14">
        <v>3</v>
      </c>
      <c r="L66" s="14" t="s">
        <v>26929</v>
      </c>
      <c r="M66" s="14" t="s">
        <v>2403</v>
      </c>
      <c r="N66" s="14" t="s">
        <v>26930</v>
      </c>
      <c r="O66" s="14" t="s">
        <v>3457</v>
      </c>
      <c r="P66" s="14" t="str">
        <f>HYPERLINK("https://photon-sol.tinyastro.io/en/lp/ErUhvKtfeJ6M6ZepUQkzt4PPZXJZSf5aVim9LUp3pump?handle=676050794bc1b1657a56b", "View")</f>
        <v>View</v>
      </c>
    </row>
    <row r="67" spans="1:16" x14ac:dyDescent="0.25">
      <c r="A67" s="16" t="s">
        <v>234</v>
      </c>
      <c r="B67" s="17">
        <v>1801</v>
      </c>
      <c r="C67" s="17">
        <v>1801</v>
      </c>
      <c r="D67" s="17" t="s">
        <v>16451</v>
      </c>
      <c r="E67" s="17" t="s">
        <v>4396</v>
      </c>
      <c r="F67" s="17" t="s">
        <v>5715</v>
      </c>
      <c r="G67" s="20" t="s">
        <v>3388</v>
      </c>
      <c r="H67" s="20" t="s">
        <v>22250</v>
      </c>
      <c r="I67" s="17" t="s">
        <v>88</v>
      </c>
      <c r="J67" s="17">
        <v>1</v>
      </c>
      <c r="K67" s="17">
        <v>1</v>
      </c>
      <c r="L67" s="17" t="s">
        <v>26931</v>
      </c>
      <c r="M67" s="17" t="s">
        <v>277</v>
      </c>
      <c r="N67" s="17" t="s">
        <v>26932</v>
      </c>
      <c r="O67" s="17" t="s">
        <v>242</v>
      </c>
      <c r="P67" s="17" t="str">
        <f>HYPERLINK("https://dexscreener.com/solana/GVwpWU5PtJFHS1mH35sHmsRN1XWUwRV3Qo94h5Lepump", "View")</f>
        <v>View</v>
      </c>
    </row>
    <row r="68" spans="1:16" x14ac:dyDescent="0.25">
      <c r="A68" s="13" t="s">
        <v>15961</v>
      </c>
      <c r="B68" s="14">
        <v>33291</v>
      </c>
      <c r="C68" s="14">
        <v>33291</v>
      </c>
      <c r="D68" s="14" t="s">
        <v>26933</v>
      </c>
      <c r="E68" s="14" t="s">
        <v>5459</v>
      </c>
      <c r="F68" s="14" t="s">
        <v>6029</v>
      </c>
      <c r="G68" s="22" t="s">
        <v>1884</v>
      </c>
      <c r="H68" s="22" t="s">
        <v>26934</v>
      </c>
      <c r="I68" s="14" t="s">
        <v>88</v>
      </c>
      <c r="J68" s="14">
        <v>1</v>
      </c>
      <c r="K68" s="14">
        <v>1</v>
      </c>
      <c r="L68" s="14" t="s">
        <v>26935</v>
      </c>
      <c r="M68" s="14" t="s">
        <v>3171</v>
      </c>
      <c r="N68" s="14" t="s">
        <v>26936</v>
      </c>
      <c r="O68" s="14" t="s">
        <v>15966</v>
      </c>
      <c r="P68" s="14" t="str">
        <f>HYPERLINK("https://dexscreener.com/solana/9MnKTgwFyXJgnZumHGT9NdHuzm98ACjkNwpLniLhpump", "View")</f>
        <v>View</v>
      </c>
    </row>
    <row r="69" spans="1:16" x14ac:dyDescent="0.25">
      <c r="A69" s="16" t="s">
        <v>26937</v>
      </c>
      <c r="B69" s="17">
        <v>51230754</v>
      </c>
      <c r="C69" s="17">
        <v>51230754</v>
      </c>
      <c r="D69" s="17" t="s">
        <v>15598</v>
      </c>
      <c r="E69" s="17" t="s">
        <v>26938</v>
      </c>
      <c r="F69" s="17" t="s">
        <v>7631</v>
      </c>
      <c r="G69" s="20" t="s">
        <v>26939</v>
      </c>
      <c r="H69" s="20" t="s">
        <v>3186</v>
      </c>
      <c r="I69" s="17" t="s">
        <v>88</v>
      </c>
      <c r="J69" s="17">
        <v>1</v>
      </c>
      <c r="K69" s="17">
        <v>1</v>
      </c>
      <c r="L69" s="17" t="s">
        <v>26940</v>
      </c>
      <c r="M69" s="19" t="s">
        <v>2993</v>
      </c>
      <c r="N69" s="17" t="s">
        <v>3188</v>
      </c>
      <c r="O69" s="17" t="s">
        <v>26941</v>
      </c>
      <c r="P69" s="17" t="str">
        <f>HYPERLINK("https://photon-sol.tinyastro.io/en/lp/BFbY4FTWqWHR4YUJMdEMSRVw7GN2LaV6QHvjqkGypump?handle=676050794bc1b1657a56b", "View")</f>
        <v>View</v>
      </c>
    </row>
    <row r="70" spans="1:16" x14ac:dyDescent="0.25">
      <c r="A70" s="13" t="s">
        <v>1988</v>
      </c>
      <c r="B70" s="14">
        <v>102415920</v>
      </c>
      <c r="C70" s="14">
        <v>102415920</v>
      </c>
      <c r="D70" s="14" t="s">
        <v>26942</v>
      </c>
      <c r="E70" s="14" t="s">
        <v>1267</v>
      </c>
      <c r="F70" s="14" t="s">
        <v>26943</v>
      </c>
      <c r="G70" s="20" t="s">
        <v>26944</v>
      </c>
      <c r="H70" s="20" t="s">
        <v>26945</v>
      </c>
      <c r="I70" s="14" t="s">
        <v>88</v>
      </c>
      <c r="J70" s="14">
        <v>2</v>
      </c>
      <c r="K70" s="14">
        <v>2</v>
      </c>
      <c r="L70" s="14" t="s">
        <v>26946</v>
      </c>
      <c r="M70" s="14" t="s">
        <v>1448</v>
      </c>
      <c r="N70" s="14" t="s">
        <v>26947</v>
      </c>
      <c r="O70" s="14" t="s">
        <v>1995</v>
      </c>
      <c r="P70" s="14" t="str">
        <f>HYPERLINK("https://dexscreener.com/solana/9XC5gobmKZfeYRmaStxo1BDeFhYPX1eyCpQUehHepump", "View")</f>
        <v>View</v>
      </c>
    </row>
    <row r="71" spans="1:16" x14ac:dyDescent="0.25">
      <c r="A71" s="16" t="s">
        <v>26948</v>
      </c>
      <c r="B71" s="17">
        <v>23112580</v>
      </c>
      <c r="C71" s="17">
        <v>23112580</v>
      </c>
      <c r="D71" s="17" t="s">
        <v>15598</v>
      </c>
      <c r="E71" s="17" t="s">
        <v>26949</v>
      </c>
      <c r="F71" s="17" t="s">
        <v>26950</v>
      </c>
      <c r="G71" s="20" t="s">
        <v>26951</v>
      </c>
      <c r="H71" s="20" t="s">
        <v>26952</v>
      </c>
      <c r="I71" s="17" t="s">
        <v>88</v>
      </c>
      <c r="J71" s="17">
        <v>1</v>
      </c>
      <c r="K71" s="17">
        <v>1</v>
      </c>
      <c r="L71" s="17" t="s">
        <v>26953</v>
      </c>
      <c r="M71" s="19" t="s">
        <v>2937</v>
      </c>
      <c r="N71" s="17" t="s">
        <v>26954</v>
      </c>
      <c r="O71" s="17" t="s">
        <v>26955</v>
      </c>
      <c r="P71" s="17" t="str">
        <f>HYPERLINK("https://photon-sol.tinyastro.io/en/lp/CLo3jAkv69Y5BaFJ5q8qmnwohwwsQknasZgwbeBJpump?handle=676050794bc1b1657a56b", "View")</f>
        <v>View</v>
      </c>
    </row>
    <row r="72" spans="1:16" x14ac:dyDescent="0.25">
      <c r="A72" s="13" t="s">
        <v>26956</v>
      </c>
      <c r="B72" s="14">
        <v>46257671</v>
      </c>
      <c r="C72" s="14">
        <v>46257671</v>
      </c>
      <c r="D72" s="14" t="s">
        <v>26957</v>
      </c>
      <c r="E72" s="14" t="s">
        <v>569</v>
      </c>
      <c r="F72" s="14" t="s">
        <v>26958</v>
      </c>
      <c r="G72" s="20" t="s">
        <v>26959</v>
      </c>
      <c r="H72" s="20" t="s">
        <v>26960</v>
      </c>
      <c r="I72" s="14" t="s">
        <v>88</v>
      </c>
      <c r="J72" s="14">
        <v>1</v>
      </c>
      <c r="K72" s="14">
        <v>1</v>
      </c>
      <c r="L72" s="14" t="s">
        <v>26961</v>
      </c>
      <c r="M72" s="19" t="s">
        <v>2993</v>
      </c>
      <c r="N72" s="14" t="s">
        <v>26962</v>
      </c>
      <c r="O72" s="14" t="s">
        <v>26963</v>
      </c>
      <c r="P72" s="14" t="str">
        <f>HYPERLINK("https://dexscreener.com/solana/4aRjfD2rWQwfXf5hvf6GHEQRnLYBJtfVwQ4TBRcUpump", "View")</f>
        <v>View</v>
      </c>
    </row>
    <row r="73" spans="1:16" x14ac:dyDescent="0.25">
      <c r="A73" s="16" t="s">
        <v>26964</v>
      </c>
      <c r="B73" s="17">
        <v>52775099</v>
      </c>
      <c r="C73" s="17">
        <v>52775099</v>
      </c>
      <c r="D73" s="17" t="s">
        <v>26965</v>
      </c>
      <c r="E73" s="17" t="s">
        <v>569</v>
      </c>
      <c r="F73" s="17" t="s">
        <v>26966</v>
      </c>
      <c r="G73" s="20" t="s">
        <v>26967</v>
      </c>
      <c r="H73" s="20" t="s">
        <v>26968</v>
      </c>
      <c r="I73" s="17" t="s">
        <v>88</v>
      </c>
      <c r="J73" s="17">
        <v>1</v>
      </c>
      <c r="K73" s="17">
        <v>1</v>
      </c>
      <c r="L73" s="17" t="s">
        <v>26969</v>
      </c>
      <c r="M73" s="19" t="s">
        <v>2525</v>
      </c>
      <c r="N73" s="17" t="s">
        <v>26962</v>
      </c>
      <c r="O73" s="17" t="s">
        <v>26970</v>
      </c>
      <c r="P73" s="17" t="str">
        <f>HYPERLINK("https://dexscreener.com/solana/7WDhJakP1zN7fE4tQoktBQkQ7U6E2iUsUyXSbwB6pump", "View")</f>
        <v>View</v>
      </c>
    </row>
    <row r="74" spans="1:16" x14ac:dyDescent="0.25">
      <c r="A74" s="13" t="s">
        <v>26971</v>
      </c>
      <c r="B74" s="14">
        <v>515672</v>
      </c>
      <c r="C74" s="14">
        <v>0</v>
      </c>
      <c r="D74" s="14" t="s">
        <v>9425</v>
      </c>
      <c r="E74" s="14" t="s">
        <v>4665</v>
      </c>
      <c r="F74" s="14" t="s">
        <v>96</v>
      </c>
      <c r="G74" s="18" t="s">
        <v>13266</v>
      </c>
      <c r="H74" s="18" t="s">
        <v>98</v>
      </c>
      <c r="I74" s="14" t="s">
        <v>26972</v>
      </c>
      <c r="J74" s="14">
        <v>1</v>
      </c>
      <c r="K74" s="14">
        <v>0</v>
      </c>
      <c r="L74" s="14" t="s">
        <v>26973</v>
      </c>
      <c r="M74" s="19" t="s">
        <v>101</v>
      </c>
      <c r="N74" s="14" t="s">
        <v>16805</v>
      </c>
      <c r="O74" s="14" t="s">
        <v>26974</v>
      </c>
      <c r="P74" s="14" t="str">
        <f>HYPERLINK("https://dexscreener.com/solana/2UqpumQPfmx8MMBe64zUKfiuUhc8NKQtzbTTD428pump", "View")</f>
        <v>View</v>
      </c>
    </row>
    <row r="75" spans="1:16" x14ac:dyDescent="0.25">
      <c r="A75" s="16" t="s">
        <v>7423</v>
      </c>
      <c r="B75" s="17">
        <v>6132208</v>
      </c>
      <c r="C75" s="17">
        <v>6132208</v>
      </c>
      <c r="D75" s="17" t="s">
        <v>25428</v>
      </c>
      <c r="E75" s="17" t="s">
        <v>2200</v>
      </c>
      <c r="F75" s="17" t="s">
        <v>26975</v>
      </c>
      <c r="G75" s="21" t="s">
        <v>7915</v>
      </c>
      <c r="H75" s="21" t="s">
        <v>26976</v>
      </c>
      <c r="I75" s="17" t="s">
        <v>88</v>
      </c>
      <c r="J75" s="17">
        <v>2</v>
      </c>
      <c r="K75" s="17">
        <v>1</v>
      </c>
      <c r="L75" s="17" t="s">
        <v>26977</v>
      </c>
      <c r="M75" s="17" t="s">
        <v>2047</v>
      </c>
      <c r="N75" s="17" t="s">
        <v>26978</v>
      </c>
      <c r="O75" s="17" t="s">
        <v>26979</v>
      </c>
      <c r="P75" s="17" t="str">
        <f>HYPERLINK("https://photon-sol.tinyastro.io/en/lp/B6fSL8sMoAGKJEafNbKsGsV9KuiKCmaFZrGLX26Zpump?handle=676050794bc1b1657a56b", "View")</f>
        <v>View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2173-A511-4C9E-8493-059868A17C16}">
  <dimension ref="A1:P2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HYPERLINK("https://gmgn.ai/sol/address/67XYw3WnAQbmpJuLoKh7YZwzVUd2q9z2FCNz4Ycjj5dC", "GMGN")</f>
        <v>GMGN</v>
      </c>
    </row>
    <row r="2" spans="1:14" x14ac:dyDescent="0.25">
      <c r="A2" s="3" t="s">
        <v>26980</v>
      </c>
      <c r="B2" s="3" t="s">
        <v>26981</v>
      </c>
      <c r="C2" s="3" t="s">
        <v>9638</v>
      </c>
      <c r="D2" s="3" t="s">
        <v>26982</v>
      </c>
      <c r="E2" s="3" t="s">
        <v>26983</v>
      </c>
      <c r="F2" s="3" t="s">
        <v>18</v>
      </c>
      <c r="G2" s="3" t="s">
        <v>18</v>
      </c>
      <c r="H2" s="3">
        <v>8</v>
      </c>
      <c r="I2" s="3">
        <v>0</v>
      </c>
      <c r="J2" s="3" t="s">
        <v>132</v>
      </c>
      <c r="K2" s="3" t="s">
        <v>3180</v>
      </c>
      <c r="L2" s="3">
        <v>8</v>
      </c>
      <c r="M2" s="3">
        <v>0</v>
      </c>
      <c r="N2" s="3" t="str">
        <f>HYPERLINK("https://solscan.io/account/67XYw3WnAQbmpJuLoKh7YZwzVUd2q9z2FCNz4Ycjj5dC", "Solscan")</f>
        <v>Solscan</v>
      </c>
    </row>
    <row r="3" spans="1:14" x14ac:dyDescent="0.25">
      <c r="A3" s="1" t="s">
        <v>21</v>
      </c>
      <c r="B3" s="4" t="s">
        <v>26984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HYPERLINK("https://birdeye.so/profile/67XYw3WnAQbmpJuLoKh7YZwzVUd2q9z2FCNz4Ycjj5dC", "Birdeye")</f>
        <v>Birdeye</v>
      </c>
    </row>
    <row r="4" spans="1:14" x14ac:dyDescent="0.25">
      <c r="A4" s="1" t="s">
        <v>25</v>
      </c>
      <c r="B4" s="3" t="s">
        <v>7496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0</v>
      </c>
      <c r="D10" s="1">
        <v>2</v>
      </c>
      <c r="E10" s="1">
        <v>1</v>
      </c>
      <c r="F10" s="1">
        <v>3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17854</v>
      </c>
      <c r="C11" s="1" t="s">
        <v>1779</v>
      </c>
      <c r="D11" s="1" t="s">
        <v>24242</v>
      </c>
      <c r="E11" s="1" t="s">
        <v>17854</v>
      </c>
      <c r="F11" s="1" t="s">
        <v>17856</v>
      </c>
      <c r="G11" s="1" t="s">
        <v>17854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26985</v>
      </c>
      <c r="C12" s="1" t="s">
        <v>1786</v>
      </c>
      <c r="D12" s="1" t="s">
        <v>1778</v>
      </c>
      <c r="E12" s="1" t="s">
        <v>26986</v>
      </c>
      <c r="F12" s="1" t="s">
        <v>4366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15569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26987</v>
      </c>
      <c r="B20" s="14">
        <v>8984506</v>
      </c>
      <c r="C20" s="14">
        <v>8984506</v>
      </c>
      <c r="D20" s="14" t="s">
        <v>1813</v>
      </c>
      <c r="E20" s="14" t="s">
        <v>19113</v>
      </c>
      <c r="F20" s="14" t="s">
        <v>18725</v>
      </c>
      <c r="G20" s="20" t="s">
        <v>4206</v>
      </c>
      <c r="H20" s="20" t="s">
        <v>26988</v>
      </c>
      <c r="I20" s="14" t="s">
        <v>88</v>
      </c>
      <c r="J20" s="14">
        <v>1</v>
      </c>
      <c r="K20" s="14">
        <v>1</v>
      </c>
      <c r="L20" s="14" t="s">
        <v>26989</v>
      </c>
      <c r="M20" s="14" t="s">
        <v>602</v>
      </c>
      <c r="N20" s="14" t="s">
        <v>2130</v>
      </c>
      <c r="O20" s="14" t="s">
        <v>26990</v>
      </c>
      <c r="P20" s="14" t="str">
        <f>HYPERLINK("https://photon-sol.tinyastro.io/en/lp/DZqXyNkK52FpPHGN73EmvvLoSZNXskpNvtL1GMjLpump?handle=676050794bc1b1657a56b", "View")</f>
        <v>View</v>
      </c>
    </row>
    <row r="21" spans="1:16" x14ac:dyDescent="0.25">
      <c r="A21" s="16" t="s">
        <v>26991</v>
      </c>
      <c r="B21" s="17">
        <v>8959841</v>
      </c>
      <c r="C21" s="17">
        <v>8959841</v>
      </c>
      <c r="D21" s="17" t="s">
        <v>26992</v>
      </c>
      <c r="E21" s="17" t="s">
        <v>9815</v>
      </c>
      <c r="F21" s="17" t="s">
        <v>26993</v>
      </c>
      <c r="G21" s="21" t="s">
        <v>3221</v>
      </c>
      <c r="H21" s="21" t="s">
        <v>26994</v>
      </c>
      <c r="I21" s="17" t="s">
        <v>88</v>
      </c>
      <c r="J21" s="17">
        <v>1</v>
      </c>
      <c r="K21" s="17">
        <v>21</v>
      </c>
      <c r="L21" s="17" t="s">
        <v>26995</v>
      </c>
      <c r="M21" s="17" t="s">
        <v>1566</v>
      </c>
      <c r="N21" s="17" t="s">
        <v>2763</v>
      </c>
      <c r="O21" s="17" t="s">
        <v>26996</v>
      </c>
      <c r="P21" s="17" t="str">
        <f>HYPERLINK("https://photon-sol.tinyastro.io/en/lp/CqBmg5ZUoaPg5Yx5uAKYzpyRcXme2UpVmZ8U5iotpump?handle=676050794bc1b1657a56b", "View")</f>
        <v>View</v>
      </c>
    </row>
    <row r="22" spans="1:16" x14ac:dyDescent="0.25">
      <c r="A22" s="13" t="s">
        <v>19027</v>
      </c>
      <c r="B22" s="14">
        <v>8831328</v>
      </c>
      <c r="C22" s="14">
        <v>8831328</v>
      </c>
      <c r="D22" s="14" t="s">
        <v>26997</v>
      </c>
      <c r="E22" s="14" t="s">
        <v>3577</v>
      </c>
      <c r="F22" s="14" t="s">
        <v>26998</v>
      </c>
      <c r="G22" s="21" t="s">
        <v>26999</v>
      </c>
      <c r="H22" s="21" t="s">
        <v>27000</v>
      </c>
      <c r="I22" s="14" t="s">
        <v>88</v>
      </c>
      <c r="J22" s="14">
        <v>1</v>
      </c>
      <c r="K22" s="14">
        <v>61</v>
      </c>
      <c r="L22" s="14" t="s">
        <v>27001</v>
      </c>
      <c r="M22" s="14" t="s">
        <v>3180</v>
      </c>
      <c r="N22" s="14" t="s">
        <v>27002</v>
      </c>
      <c r="O22" s="14" t="s">
        <v>19033</v>
      </c>
      <c r="P22" s="14" t="str">
        <f>HYPERLINK("https://photon-sol.tinyastro.io/en/lp/ALKTKLRTyF3P83KMCAvGEtY4CsoMzvh1k38uixCgpump?handle=676050794bc1b1657a56b", "View")</f>
        <v>View</v>
      </c>
    </row>
    <row r="23" spans="1:16" x14ac:dyDescent="0.25">
      <c r="A23" s="16" t="s">
        <v>27003</v>
      </c>
      <c r="B23" s="17">
        <v>7929767</v>
      </c>
      <c r="C23" s="17">
        <v>7929767</v>
      </c>
      <c r="D23" s="17" t="s">
        <v>1813</v>
      </c>
      <c r="E23" s="17" t="s">
        <v>9315</v>
      </c>
      <c r="F23" s="17" t="s">
        <v>14639</v>
      </c>
      <c r="G23" s="22" t="s">
        <v>5680</v>
      </c>
      <c r="H23" s="22" t="s">
        <v>27004</v>
      </c>
      <c r="I23" s="17" t="s">
        <v>88</v>
      </c>
      <c r="J23" s="17">
        <v>1</v>
      </c>
      <c r="K23" s="17">
        <v>1</v>
      </c>
      <c r="L23" s="17" t="s">
        <v>27005</v>
      </c>
      <c r="M23" s="17" t="s">
        <v>2047</v>
      </c>
      <c r="N23" s="17" t="s">
        <v>27006</v>
      </c>
      <c r="O23" s="17" t="s">
        <v>27007</v>
      </c>
      <c r="P23" s="17" t="str">
        <f>HYPERLINK("https://photon-sol.tinyastro.io/en/lp/BFc3G2JaqZA3eCJzWiSMhGZp7aXwonXETtr2Nudppump?handle=676050794bc1b1657a56b", "View")</f>
        <v>View</v>
      </c>
    </row>
    <row r="24" spans="1:16" x14ac:dyDescent="0.25">
      <c r="A24" s="13" t="s">
        <v>27008</v>
      </c>
      <c r="B24" s="14">
        <v>11778199</v>
      </c>
      <c r="C24" s="14">
        <v>11778199</v>
      </c>
      <c r="D24" s="14" t="s">
        <v>1813</v>
      </c>
      <c r="E24" s="14" t="s">
        <v>10430</v>
      </c>
      <c r="F24" s="14" t="s">
        <v>27009</v>
      </c>
      <c r="G24" s="20" t="s">
        <v>27010</v>
      </c>
      <c r="H24" s="20" t="s">
        <v>27011</v>
      </c>
      <c r="I24" s="14" t="s">
        <v>88</v>
      </c>
      <c r="J24" s="14">
        <v>1</v>
      </c>
      <c r="K24" s="14">
        <v>1</v>
      </c>
      <c r="L24" s="14" t="s">
        <v>27012</v>
      </c>
      <c r="M24" s="14" t="s">
        <v>1566</v>
      </c>
      <c r="N24" s="14" t="s">
        <v>7082</v>
      </c>
      <c r="O24" s="14" t="s">
        <v>27013</v>
      </c>
      <c r="P24" s="14" t="str">
        <f>HYPERLINK("https://photon-sol.tinyastro.io/en/lp/CDkwBE7pPovZLJC2KxM7jvWXkyygR1Y1u2R7f6hmpump?handle=676050794bc1b1657a56b", "View")</f>
        <v>View</v>
      </c>
    </row>
    <row r="25" spans="1:16" x14ac:dyDescent="0.25">
      <c r="A25" s="16" t="s">
        <v>4867</v>
      </c>
      <c r="B25" s="17">
        <v>1793028</v>
      </c>
      <c r="C25" s="17">
        <v>1793028</v>
      </c>
      <c r="D25" s="17" t="s">
        <v>20279</v>
      </c>
      <c r="E25" s="17" t="s">
        <v>2118</v>
      </c>
      <c r="F25" s="17" t="s">
        <v>27014</v>
      </c>
      <c r="G25" s="20" t="s">
        <v>3952</v>
      </c>
      <c r="H25" s="20" t="s">
        <v>24877</v>
      </c>
      <c r="I25" s="17" t="s">
        <v>88</v>
      </c>
      <c r="J25" s="17">
        <v>2</v>
      </c>
      <c r="K25" s="17">
        <v>2</v>
      </c>
      <c r="L25" s="17" t="s">
        <v>27015</v>
      </c>
      <c r="M25" s="17" t="s">
        <v>1705</v>
      </c>
      <c r="N25" s="17" t="s">
        <v>6258</v>
      </c>
      <c r="O25" s="17" t="s">
        <v>27016</v>
      </c>
      <c r="P25" s="17" t="str">
        <f>HYPERLINK("https://photon-sol.tinyastro.io/en/lp/BPFXTGBjoARa89gbSvbp7Dy6cQwgGc7efW1jE8nTpump?handle=676050794bc1b1657a56b", "View")</f>
        <v>View</v>
      </c>
    </row>
    <row r="26" spans="1:16" x14ac:dyDescent="0.25">
      <c r="A26" s="13" t="s">
        <v>27017</v>
      </c>
      <c r="B26" s="14">
        <v>11384893</v>
      </c>
      <c r="C26" s="14">
        <v>11384893</v>
      </c>
      <c r="D26" s="14" t="s">
        <v>27018</v>
      </c>
      <c r="E26" s="14" t="s">
        <v>22427</v>
      </c>
      <c r="F26" s="14" t="s">
        <v>19143</v>
      </c>
      <c r="G26" s="21" t="s">
        <v>13297</v>
      </c>
      <c r="H26" s="21" t="s">
        <v>27019</v>
      </c>
      <c r="I26" s="14" t="s">
        <v>88</v>
      </c>
      <c r="J26" s="14">
        <v>1</v>
      </c>
      <c r="K26" s="14">
        <v>31</v>
      </c>
      <c r="L26" s="14" t="s">
        <v>27020</v>
      </c>
      <c r="M26" s="14" t="s">
        <v>1705</v>
      </c>
      <c r="N26" s="14" t="s">
        <v>21946</v>
      </c>
      <c r="O26" s="14" t="s">
        <v>27021</v>
      </c>
      <c r="P26" s="14" t="str">
        <f>HYPERLINK("https://photon-sol.tinyastro.io/en/lp/DirQ7FDi1C5SZCy8ai1GTSvnm9o8MDf9s4C4cExzpump?handle=676050794bc1b1657a56b", "View")</f>
        <v>View</v>
      </c>
    </row>
    <row r="27" spans="1:16" x14ac:dyDescent="0.25">
      <c r="A27" s="16" t="s">
        <v>27017</v>
      </c>
      <c r="B27" s="17">
        <v>585788</v>
      </c>
      <c r="C27" s="17">
        <v>585788</v>
      </c>
      <c r="D27" s="17" t="s">
        <v>27022</v>
      </c>
      <c r="E27" s="17" t="s">
        <v>2597</v>
      </c>
      <c r="F27" s="17" t="s">
        <v>3142</v>
      </c>
      <c r="G27" s="15" t="s">
        <v>14673</v>
      </c>
      <c r="H27" s="15" t="s">
        <v>27023</v>
      </c>
      <c r="I27" s="17" t="s">
        <v>88</v>
      </c>
      <c r="J27" s="17">
        <v>1</v>
      </c>
      <c r="K27" s="17">
        <v>1</v>
      </c>
      <c r="L27" s="17" t="s">
        <v>27024</v>
      </c>
      <c r="M27" s="17" t="s">
        <v>2047</v>
      </c>
      <c r="N27" s="17" t="s">
        <v>23380</v>
      </c>
      <c r="O27" s="17" t="s">
        <v>27025</v>
      </c>
      <c r="P27" s="17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4AEC-A224-47BF-A429-3E97D94CF3E5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HYPERLINK("https://gmgn.ai/sol/address/GBUvKJp5BTx65h5yWA4s8q6Ast1T86viRKRVxZtahbsD", "GMGN")</f>
        <v>GMGN</v>
      </c>
    </row>
    <row r="2" spans="1:14" x14ac:dyDescent="0.25">
      <c r="A2" s="3" t="s">
        <v>27026</v>
      </c>
      <c r="B2" s="3" t="s">
        <v>27027</v>
      </c>
      <c r="C2" s="3" t="s">
        <v>27028</v>
      </c>
      <c r="D2" s="3" t="s">
        <v>27029</v>
      </c>
      <c r="E2" s="3" t="s">
        <v>27030</v>
      </c>
      <c r="F2" s="3" t="s">
        <v>18</v>
      </c>
      <c r="G2" s="3" t="s">
        <v>18</v>
      </c>
      <c r="H2" s="3">
        <v>9</v>
      </c>
      <c r="I2" s="3">
        <v>0</v>
      </c>
      <c r="J2" s="3" t="s">
        <v>132</v>
      </c>
      <c r="K2" s="3" t="s">
        <v>3180</v>
      </c>
      <c r="L2" s="3">
        <v>9</v>
      </c>
      <c r="M2" s="3">
        <v>3</v>
      </c>
      <c r="N2" s="3" t="str">
        <f>HYPERLINK("https://solscan.io/account/GBUvKJp5BTx65h5yWA4s8q6Ast1T86viRKRVxZtahbsD", "Solscan")</f>
        <v>Solscan</v>
      </c>
    </row>
    <row r="3" spans="1:14" x14ac:dyDescent="0.25">
      <c r="A3" s="1" t="s">
        <v>21</v>
      </c>
      <c r="B3" s="23" t="s">
        <v>2261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HYPERLINK("https://birdeye.so/profile/GBUvKJp5BTx65h5yWA4s8q6Ast1T86viRKRVxZtahbsD", "Birdeye")</f>
        <v>Birdeye</v>
      </c>
    </row>
    <row r="4" spans="1:14" x14ac:dyDescent="0.25">
      <c r="A4" s="1" t="s">
        <v>25</v>
      </c>
      <c r="B4" s="23" t="s">
        <v>13977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0</v>
      </c>
      <c r="E10" s="1">
        <v>3</v>
      </c>
      <c r="F10" s="1">
        <v>1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4275</v>
      </c>
      <c r="C11" s="1" t="s">
        <v>9642</v>
      </c>
      <c r="D11" s="1" t="s">
        <v>1779</v>
      </c>
      <c r="E11" s="1" t="s">
        <v>9642</v>
      </c>
      <c r="F11" s="1" t="s">
        <v>4275</v>
      </c>
      <c r="G11" s="1" t="s">
        <v>4275</v>
      </c>
      <c r="H11" s="3"/>
      <c r="I11" s="3" t="s">
        <v>50</v>
      </c>
      <c r="J11" s="3" t="s">
        <v>12318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27031</v>
      </c>
      <c r="C12" s="1" t="s">
        <v>22697</v>
      </c>
      <c r="D12" s="1" t="s">
        <v>1786</v>
      </c>
      <c r="E12" s="1" t="s">
        <v>9644</v>
      </c>
      <c r="F12" s="1" t="s">
        <v>22700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4131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26987</v>
      </c>
      <c r="B20" s="14">
        <v>8984506</v>
      </c>
      <c r="C20" s="14">
        <v>8984506</v>
      </c>
      <c r="D20" s="14" t="s">
        <v>1813</v>
      </c>
      <c r="E20" s="14" t="s">
        <v>27032</v>
      </c>
      <c r="F20" s="14" t="s">
        <v>2692</v>
      </c>
      <c r="G20" s="22" t="s">
        <v>10121</v>
      </c>
      <c r="H20" s="22" t="s">
        <v>2261</v>
      </c>
      <c r="I20" s="14" t="s">
        <v>88</v>
      </c>
      <c r="J20" s="14">
        <v>1</v>
      </c>
      <c r="K20" s="14">
        <v>1</v>
      </c>
      <c r="L20" s="14" t="s">
        <v>27033</v>
      </c>
      <c r="M20" s="14" t="s">
        <v>602</v>
      </c>
      <c r="N20" s="14" t="s">
        <v>556</v>
      </c>
      <c r="O20" s="14" t="s">
        <v>26990</v>
      </c>
      <c r="P20" s="14" t="str">
        <f>HYPERLINK("https://photon-sol.tinyastro.io/en/lp/DZqXyNkK52FpPHGN73EmvvLoSZNXskpNvtL1GMjLpump?handle=676050794bc1b1657a56b", "View")</f>
        <v>View</v>
      </c>
    </row>
    <row r="21" spans="1:16" x14ac:dyDescent="0.25">
      <c r="A21" s="16" t="s">
        <v>26991</v>
      </c>
      <c r="B21" s="17">
        <v>8959841</v>
      </c>
      <c r="C21" s="17">
        <v>8959841</v>
      </c>
      <c r="D21" s="17" t="s">
        <v>26992</v>
      </c>
      <c r="E21" s="17" t="s">
        <v>4100</v>
      </c>
      <c r="F21" s="17" t="s">
        <v>24060</v>
      </c>
      <c r="G21" s="21" t="s">
        <v>13837</v>
      </c>
      <c r="H21" s="21" t="s">
        <v>27034</v>
      </c>
      <c r="I21" s="17" t="s">
        <v>88</v>
      </c>
      <c r="J21" s="17">
        <v>1</v>
      </c>
      <c r="K21" s="17">
        <v>21</v>
      </c>
      <c r="L21" s="17" t="s">
        <v>26995</v>
      </c>
      <c r="M21" s="17" t="s">
        <v>1566</v>
      </c>
      <c r="N21" s="17" t="s">
        <v>3908</v>
      </c>
      <c r="O21" s="17" t="s">
        <v>26996</v>
      </c>
      <c r="P21" s="17" t="str">
        <f>HYPERLINK("https://photon-sol.tinyastro.io/en/lp/CqBmg5ZUoaPg5Yx5uAKYzpyRcXme2UpVmZ8U5iotpump?handle=676050794bc1b1657a56b", "View")</f>
        <v>View</v>
      </c>
    </row>
    <row r="22" spans="1:16" x14ac:dyDescent="0.25">
      <c r="A22" s="13" t="s">
        <v>19027</v>
      </c>
      <c r="B22" s="14">
        <v>10163367</v>
      </c>
      <c r="C22" s="14">
        <v>10163367</v>
      </c>
      <c r="D22" s="14" t="s">
        <v>27035</v>
      </c>
      <c r="E22" s="14" t="s">
        <v>25030</v>
      </c>
      <c r="F22" s="14" t="s">
        <v>9141</v>
      </c>
      <c r="G22" s="21" t="s">
        <v>12959</v>
      </c>
      <c r="H22" s="21" t="s">
        <v>27036</v>
      </c>
      <c r="I22" s="14" t="s">
        <v>88</v>
      </c>
      <c r="J22" s="14">
        <v>1</v>
      </c>
      <c r="K22" s="14">
        <v>13</v>
      </c>
      <c r="L22" s="14" t="s">
        <v>27037</v>
      </c>
      <c r="M22" s="14" t="s">
        <v>3180</v>
      </c>
      <c r="N22" s="14" t="s">
        <v>27038</v>
      </c>
      <c r="O22" s="14" t="s">
        <v>27039</v>
      </c>
      <c r="P22" s="14" t="str">
        <f>HYPERLINK("https://photon-sol.tinyastro.io/en/lp/HxdzGHd2jLF12UHjgFKCb6zMzgfqGnwRvwKweXmXpump?handle=676050794bc1b1657a56b", "View")</f>
        <v>View</v>
      </c>
    </row>
    <row r="23" spans="1:16" x14ac:dyDescent="0.25">
      <c r="A23" s="16" t="s">
        <v>19027</v>
      </c>
      <c r="B23" s="17">
        <v>8831328</v>
      </c>
      <c r="C23" s="17">
        <v>8831328</v>
      </c>
      <c r="D23" s="17" t="s">
        <v>26997</v>
      </c>
      <c r="E23" s="17" t="s">
        <v>3524</v>
      </c>
      <c r="F23" s="17" t="s">
        <v>27040</v>
      </c>
      <c r="G23" s="21" t="s">
        <v>27041</v>
      </c>
      <c r="H23" s="21" t="s">
        <v>27042</v>
      </c>
      <c r="I23" s="17" t="s">
        <v>88</v>
      </c>
      <c r="J23" s="17">
        <v>1</v>
      </c>
      <c r="K23" s="17">
        <v>61</v>
      </c>
      <c r="L23" s="17" t="s">
        <v>27001</v>
      </c>
      <c r="M23" s="17" t="s">
        <v>3180</v>
      </c>
      <c r="N23" s="17" t="s">
        <v>27043</v>
      </c>
      <c r="O23" s="17" t="s">
        <v>19033</v>
      </c>
      <c r="P23" s="17" t="str">
        <f>HYPERLINK("https://photon-sol.tinyastro.io/en/lp/ALKTKLRTyF3P83KMCAvGEtY4CsoMzvh1k38uixCgpump?handle=676050794bc1b1657a56b", "View")</f>
        <v>View</v>
      </c>
    </row>
    <row r="24" spans="1:16" x14ac:dyDescent="0.25">
      <c r="A24" s="13" t="s">
        <v>27003</v>
      </c>
      <c r="B24" s="14">
        <v>7929767</v>
      </c>
      <c r="C24" s="14">
        <v>7929767</v>
      </c>
      <c r="D24" s="14" t="s">
        <v>1813</v>
      </c>
      <c r="E24" s="14" t="s">
        <v>8485</v>
      </c>
      <c r="F24" s="14" t="s">
        <v>12377</v>
      </c>
      <c r="G24" s="22" t="s">
        <v>5359</v>
      </c>
      <c r="H24" s="22" t="s">
        <v>27044</v>
      </c>
      <c r="I24" s="14" t="s">
        <v>88</v>
      </c>
      <c r="J24" s="14">
        <v>1</v>
      </c>
      <c r="K24" s="14">
        <v>1</v>
      </c>
      <c r="L24" s="14" t="s">
        <v>27005</v>
      </c>
      <c r="M24" s="14" t="s">
        <v>2047</v>
      </c>
      <c r="N24" s="14" t="s">
        <v>27045</v>
      </c>
      <c r="O24" s="14" t="s">
        <v>27007</v>
      </c>
      <c r="P24" s="14" t="str">
        <f>HYPERLINK("https://photon-sol.tinyastro.io/en/lp/BFc3G2JaqZA3eCJzWiSMhGZp7aXwonXETtr2Nudppump?handle=676050794bc1b1657a56b", "View")</f>
        <v>View</v>
      </c>
    </row>
    <row r="25" spans="1:16" x14ac:dyDescent="0.25">
      <c r="A25" s="16" t="s">
        <v>27008</v>
      </c>
      <c r="B25" s="17">
        <v>11778199</v>
      </c>
      <c r="C25" s="17">
        <v>11778199</v>
      </c>
      <c r="D25" s="17" t="s">
        <v>1813</v>
      </c>
      <c r="E25" s="17" t="s">
        <v>9531</v>
      </c>
      <c r="F25" s="17" t="s">
        <v>19806</v>
      </c>
      <c r="G25" s="22" t="s">
        <v>5552</v>
      </c>
      <c r="H25" s="22" t="s">
        <v>27046</v>
      </c>
      <c r="I25" s="17" t="s">
        <v>88</v>
      </c>
      <c r="J25" s="17">
        <v>1</v>
      </c>
      <c r="K25" s="17">
        <v>1</v>
      </c>
      <c r="L25" s="17" t="s">
        <v>27047</v>
      </c>
      <c r="M25" s="17" t="s">
        <v>1566</v>
      </c>
      <c r="N25" s="17" t="s">
        <v>3908</v>
      </c>
      <c r="O25" s="17" t="s">
        <v>27013</v>
      </c>
      <c r="P25" s="17" t="str">
        <f>HYPERLINK("https://photon-sol.tinyastro.io/en/lp/CDkwBE7pPovZLJC2KxM7jvWXkyygR1Y1u2R7f6hmpump?handle=676050794bc1b1657a56b", "View")</f>
        <v>View</v>
      </c>
    </row>
    <row r="26" spans="1:16" x14ac:dyDescent="0.25">
      <c r="A26" s="13" t="s">
        <v>4867</v>
      </c>
      <c r="B26" s="14">
        <v>1793028</v>
      </c>
      <c r="C26" s="14">
        <v>1793028</v>
      </c>
      <c r="D26" s="14" t="s">
        <v>20279</v>
      </c>
      <c r="E26" s="14" t="s">
        <v>3432</v>
      </c>
      <c r="F26" s="14" t="s">
        <v>18077</v>
      </c>
      <c r="G26" s="20" t="s">
        <v>1685</v>
      </c>
      <c r="H26" s="20" t="s">
        <v>27048</v>
      </c>
      <c r="I26" s="14" t="s">
        <v>88</v>
      </c>
      <c r="J26" s="14">
        <v>2</v>
      </c>
      <c r="K26" s="14">
        <v>2</v>
      </c>
      <c r="L26" s="14" t="s">
        <v>27049</v>
      </c>
      <c r="M26" s="14" t="s">
        <v>1705</v>
      </c>
      <c r="N26" s="14" t="s">
        <v>27050</v>
      </c>
      <c r="O26" s="14" t="s">
        <v>27016</v>
      </c>
      <c r="P26" s="14" t="str">
        <f>HYPERLINK("https://photon-sol.tinyastro.io/en/lp/BPFXTGBjoARa89gbSvbp7Dy6cQwgGc7efW1jE8nTpump?handle=676050794bc1b1657a56b", "View")</f>
        <v>View</v>
      </c>
    </row>
    <row r="27" spans="1:16" x14ac:dyDescent="0.25">
      <c r="A27" s="16" t="s">
        <v>27017</v>
      </c>
      <c r="B27" s="17">
        <v>11384893</v>
      </c>
      <c r="C27" s="17">
        <v>11384893</v>
      </c>
      <c r="D27" s="17" t="s">
        <v>27051</v>
      </c>
      <c r="E27" s="17" t="s">
        <v>3432</v>
      </c>
      <c r="F27" s="17" t="s">
        <v>24202</v>
      </c>
      <c r="G27" s="21" t="s">
        <v>4499</v>
      </c>
      <c r="H27" s="21" t="s">
        <v>27052</v>
      </c>
      <c r="I27" s="17" t="s">
        <v>88</v>
      </c>
      <c r="J27" s="17">
        <v>1</v>
      </c>
      <c r="K27" s="17">
        <v>37</v>
      </c>
      <c r="L27" s="17" t="s">
        <v>27053</v>
      </c>
      <c r="M27" s="17" t="s">
        <v>1610</v>
      </c>
      <c r="N27" s="17" t="s">
        <v>27054</v>
      </c>
      <c r="O27" s="17" t="s">
        <v>27021</v>
      </c>
      <c r="P27" s="17" t="str">
        <f>HYPERLINK("https://photon-sol.tinyastro.io/en/lp/DirQ7FDi1C5SZCy8ai1GTSvnm9o8MDf9s4C4cExzpump?handle=676050794bc1b1657a56b", "View")</f>
        <v>View</v>
      </c>
    </row>
    <row r="28" spans="1:16" x14ac:dyDescent="0.25">
      <c r="A28" s="13" t="s">
        <v>27017</v>
      </c>
      <c r="B28" s="14">
        <v>585788</v>
      </c>
      <c r="C28" s="14">
        <v>585788</v>
      </c>
      <c r="D28" s="14" t="s">
        <v>27022</v>
      </c>
      <c r="E28" s="14" t="s">
        <v>2597</v>
      </c>
      <c r="F28" s="14" t="s">
        <v>5635</v>
      </c>
      <c r="G28" s="15" t="s">
        <v>3426</v>
      </c>
      <c r="H28" s="15" t="s">
        <v>27055</v>
      </c>
      <c r="I28" s="14" t="s">
        <v>88</v>
      </c>
      <c r="J28" s="14">
        <v>1</v>
      </c>
      <c r="K28" s="14">
        <v>1</v>
      </c>
      <c r="L28" s="14" t="s">
        <v>27056</v>
      </c>
      <c r="M28" s="14" t="s">
        <v>2047</v>
      </c>
      <c r="N28" s="14" t="s">
        <v>23380</v>
      </c>
      <c r="O28" s="14" t="s">
        <v>27025</v>
      </c>
      <c r="P28" s="1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3742-2EC3-46CE-9B76-F2CBE59480DC}">
  <dimension ref="A1:P7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HYPERLINK("https://gmgn.ai/sol/address/9QZ5gwreKEsjvs1ewbTN7BnGKHGe7uW6YDfBe5ChRYeE", "GMGN")</f>
        <v>GMGN</v>
      </c>
    </row>
    <row r="2" spans="1:14" x14ac:dyDescent="0.25">
      <c r="A2" s="3" t="s">
        <v>27057</v>
      </c>
      <c r="B2" s="3" t="s">
        <v>27058</v>
      </c>
      <c r="C2" s="3" t="s">
        <v>20134</v>
      </c>
      <c r="D2" s="3" t="s">
        <v>9638</v>
      </c>
      <c r="E2" s="3" t="s">
        <v>27059</v>
      </c>
      <c r="F2" s="3" t="s">
        <v>18</v>
      </c>
      <c r="G2" s="3" t="s">
        <v>18</v>
      </c>
      <c r="H2" s="3">
        <v>55</v>
      </c>
      <c r="I2" s="3">
        <v>3</v>
      </c>
      <c r="J2" s="3" t="s">
        <v>699</v>
      </c>
      <c r="K2" s="3" t="s">
        <v>4268</v>
      </c>
      <c r="L2" s="3">
        <v>55</v>
      </c>
      <c r="M2" s="3">
        <v>27</v>
      </c>
      <c r="N2" s="3" t="str">
        <f>HYPERLINK("https://solscan.io/account/9QZ5gwreKEsjvs1ewbTN7BnGKHGe7uW6YDfBe5ChRYeE", "Solscan")</f>
        <v>Solscan</v>
      </c>
    </row>
    <row r="3" spans="1:14" x14ac:dyDescent="0.25">
      <c r="A3" s="1" t="s">
        <v>21</v>
      </c>
      <c r="B3" s="4" t="s">
        <v>27060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HYPERLINK("https://birdeye.so/profile/9QZ5gwreKEsjvs1ewbTN7BnGKHGe7uW6YDfBe5ChRYeE", "Birdeye")</f>
        <v>Birdeye</v>
      </c>
    </row>
    <row r="4" spans="1:14" x14ac:dyDescent="0.25">
      <c r="A4" s="1" t="s">
        <v>25</v>
      </c>
      <c r="B4" s="3" t="s">
        <v>15647</v>
      </c>
      <c r="C4" s="3"/>
      <c r="D4" s="3" t="s">
        <v>8457</v>
      </c>
      <c r="E4" s="3" t="s">
        <v>27061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8</v>
      </c>
      <c r="D10" s="1">
        <v>7</v>
      </c>
      <c r="E10" s="1">
        <v>4</v>
      </c>
      <c r="F10" s="1">
        <v>19</v>
      </c>
      <c r="G10" s="1">
        <v>15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15653</v>
      </c>
      <c r="C11" s="1" t="s">
        <v>27062</v>
      </c>
      <c r="D11" s="1" t="s">
        <v>27063</v>
      </c>
      <c r="E11" s="1" t="s">
        <v>9697</v>
      </c>
      <c r="F11" s="1" t="s">
        <v>27064</v>
      </c>
      <c r="G11" s="1" t="s">
        <v>9491</v>
      </c>
      <c r="H11" s="3"/>
      <c r="I11" s="3" t="s">
        <v>50</v>
      </c>
      <c r="J11" s="3" t="s">
        <v>27065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8333</v>
      </c>
      <c r="C12" s="1" t="s">
        <v>20475</v>
      </c>
      <c r="D12" s="1" t="s">
        <v>21497</v>
      </c>
      <c r="E12" s="1" t="s">
        <v>15658</v>
      </c>
      <c r="F12" s="1" t="s">
        <v>24339</v>
      </c>
      <c r="G12" s="1" t="s">
        <v>27066</v>
      </c>
      <c r="H12" s="3"/>
      <c r="I12" s="3" t="s">
        <v>59</v>
      </c>
      <c r="J12" s="3" t="s">
        <v>43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15569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12626</v>
      </c>
      <c r="B20" s="14">
        <v>2209745</v>
      </c>
      <c r="C20" s="14">
        <v>2209745</v>
      </c>
      <c r="D20" s="14" t="s">
        <v>19880</v>
      </c>
      <c r="E20" s="14" t="s">
        <v>9683</v>
      </c>
      <c r="F20" s="14" t="s">
        <v>11595</v>
      </c>
      <c r="G20" s="20" t="s">
        <v>5133</v>
      </c>
      <c r="H20" s="20" t="s">
        <v>27067</v>
      </c>
      <c r="I20" s="14" t="s">
        <v>88</v>
      </c>
      <c r="J20" s="14">
        <v>1</v>
      </c>
      <c r="K20" s="14">
        <v>2</v>
      </c>
      <c r="L20" s="14" t="s">
        <v>27068</v>
      </c>
      <c r="M20" s="14" t="s">
        <v>117</v>
      </c>
      <c r="N20" s="14" t="s">
        <v>27069</v>
      </c>
      <c r="O20" s="14" t="s">
        <v>27070</v>
      </c>
      <c r="P20" s="14" t="str">
        <f>HYPERLINK("https://photon-sol.tinyastro.io/en/lp/Tz1SURXfPznRZFycdV93o11jJLMBMy1qYiVuQ8Tpump?handle=676050794bc1b1657a56b", "View")</f>
        <v>View</v>
      </c>
    </row>
    <row r="21" spans="1:16" x14ac:dyDescent="0.25">
      <c r="A21" s="16" t="s">
        <v>27071</v>
      </c>
      <c r="B21" s="17">
        <v>8014605</v>
      </c>
      <c r="C21" s="17">
        <v>8014605</v>
      </c>
      <c r="D21" s="17" t="s">
        <v>8469</v>
      </c>
      <c r="E21" s="17" t="s">
        <v>2127</v>
      </c>
      <c r="F21" s="17" t="s">
        <v>3757</v>
      </c>
      <c r="G21" s="22" t="s">
        <v>6180</v>
      </c>
      <c r="H21" s="22" t="s">
        <v>27072</v>
      </c>
      <c r="I21" s="17" t="s">
        <v>88</v>
      </c>
      <c r="J21" s="17">
        <v>1</v>
      </c>
      <c r="K21" s="17">
        <v>1</v>
      </c>
      <c r="L21" s="17" t="s">
        <v>27073</v>
      </c>
      <c r="M21" s="17" t="s">
        <v>117</v>
      </c>
      <c r="N21" s="17" t="s">
        <v>27074</v>
      </c>
      <c r="O21" s="17" t="s">
        <v>27075</v>
      </c>
      <c r="P21" s="17" t="str">
        <f>HYPERLINK("https://photon-sol.tinyastro.io/en/lp/8iuDWM3CGnDbeXa1Srg32W5DKTzDF8z5fu7aWJUXpump?handle=676050794bc1b1657a56b", "View")</f>
        <v>View</v>
      </c>
    </row>
    <row r="22" spans="1:16" x14ac:dyDescent="0.25">
      <c r="A22" s="13" t="s">
        <v>27076</v>
      </c>
      <c r="B22" s="14">
        <v>8263317</v>
      </c>
      <c r="C22" s="14">
        <v>8263317</v>
      </c>
      <c r="D22" s="14" t="s">
        <v>19880</v>
      </c>
      <c r="E22" s="14" t="s">
        <v>2754</v>
      </c>
      <c r="F22" s="14" t="s">
        <v>27077</v>
      </c>
      <c r="G22" s="21" t="s">
        <v>9531</v>
      </c>
      <c r="H22" s="21" t="s">
        <v>27078</v>
      </c>
      <c r="I22" s="14" t="s">
        <v>88</v>
      </c>
      <c r="J22" s="14">
        <v>1</v>
      </c>
      <c r="K22" s="14">
        <v>2</v>
      </c>
      <c r="L22" s="14" t="s">
        <v>27079</v>
      </c>
      <c r="M22" s="14" t="s">
        <v>398</v>
      </c>
      <c r="N22" s="14" t="s">
        <v>27080</v>
      </c>
      <c r="O22" s="14" t="s">
        <v>27081</v>
      </c>
      <c r="P22" s="14" t="str">
        <f>HYPERLINK("https://photon-sol.tinyastro.io/en/lp/Cak1rBaJfS1LCe6U7qoB8bCv9eUy2WbdnpcRwziD4bT3?handle=676050794bc1b1657a56b", "View")</f>
        <v>View</v>
      </c>
    </row>
    <row r="23" spans="1:16" x14ac:dyDescent="0.25">
      <c r="A23" s="16" t="s">
        <v>27082</v>
      </c>
      <c r="B23" s="17">
        <v>4781285</v>
      </c>
      <c r="C23" s="17">
        <v>4781285</v>
      </c>
      <c r="D23" s="17" t="s">
        <v>8469</v>
      </c>
      <c r="E23" s="17" t="s">
        <v>9683</v>
      </c>
      <c r="F23" s="17" t="s">
        <v>4637</v>
      </c>
      <c r="G23" s="20" t="s">
        <v>3880</v>
      </c>
      <c r="H23" s="20" t="s">
        <v>27083</v>
      </c>
      <c r="I23" s="17" t="s">
        <v>88</v>
      </c>
      <c r="J23" s="17">
        <v>1</v>
      </c>
      <c r="K23" s="17">
        <v>1</v>
      </c>
      <c r="L23" s="17" t="s">
        <v>27084</v>
      </c>
      <c r="M23" s="17" t="s">
        <v>160</v>
      </c>
      <c r="N23" s="17" t="s">
        <v>1311</v>
      </c>
      <c r="O23" s="17" t="s">
        <v>27085</v>
      </c>
      <c r="P23" s="17" t="str">
        <f>HYPERLINK("https://photon-sol.tinyastro.io/en/lp/nZLGwR3z66G2DDwRz884MdpXvvFg7Az99ZW1ZeGpump?handle=676050794bc1b1657a56b", "View")</f>
        <v>View</v>
      </c>
    </row>
    <row r="24" spans="1:16" x14ac:dyDescent="0.25">
      <c r="A24" s="13" t="s">
        <v>27086</v>
      </c>
      <c r="B24" s="14">
        <v>4007576</v>
      </c>
      <c r="C24" s="14">
        <v>4007576</v>
      </c>
      <c r="D24" s="14" t="s">
        <v>1762</v>
      </c>
      <c r="E24" s="14" t="s">
        <v>18030</v>
      </c>
      <c r="F24" s="14" t="s">
        <v>3228</v>
      </c>
      <c r="G24" s="20" t="s">
        <v>5747</v>
      </c>
      <c r="H24" s="20" t="s">
        <v>27087</v>
      </c>
      <c r="I24" s="14" t="s">
        <v>88</v>
      </c>
      <c r="J24" s="14">
        <v>1</v>
      </c>
      <c r="K24" s="14">
        <v>1</v>
      </c>
      <c r="L24" s="14" t="s">
        <v>27088</v>
      </c>
      <c r="M24" s="14" t="s">
        <v>745</v>
      </c>
      <c r="N24" s="14" t="s">
        <v>27069</v>
      </c>
      <c r="O24" s="14" t="s">
        <v>27089</v>
      </c>
      <c r="P24" s="14" t="str">
        <f>HYPERLINK("https://photon-sol.tinyastro.io/en/lp/cnxjRb3g3hPdhe4juMJNXGzgg8h4wp7RXeaNmNYpump?handle=676050794bc1b1657a56b", "View")</f>
        <v>View</v>
      </c>
    </row>
    <row r="25" spans="1:16" x14ac:dyDescent="0.25">
      <c r="A25" s="16" t="s">
        <v>27090</v>
      </c>
      <c r="B25" s="17">
        <v>6275861</v>
      </c>
      <c r="C25" s="17">
        <v>6275861</v>
      </c>
      <c r="D25" s="17" t="s">
        <v>8469</v>
      </c>
      <c r="E25" s="17" t="s">
        <v>4159</v>
      </c>
      <c r="F25" s="17" t="s">
        <v>4679</v>
      </c>
      <c r="G25" s="15" t="s">
        <v>13284</v>
      </c>
      <c r="H25" s="15" t="s">
        <v>27091</v>
      </c>
      <c r="I25" s="17" t="s">
        <v>88</v>
      </c>
      <c r="J25" s="17">
        <v>1</v>
      </c>
      <c r="K25" s="17">
        <v>1</v>
      </c>
      <c r="L25" s="17" t="s">
        <v>27092</v>
      </c>
      <c r="M25" s="17" t="s">
        <v>398</v>
      </c>
      <c r="N25" s="17" t="s">
        <v>8391</v>
      </c>
      <c r="O25" s="17" t="s">
        <v>27093</v>
      </c>
      <c r="P25" s="17" t="str">
        <f>HYPERLINK("https://photon-sol.tinyastro.io/en/lp/7qsTPxr4t3st5KDJ2zRQLgnb7SDiQXFkmFJq4JuRpump?handle=676050794bc1b1657a56b", "View")</f>
        <v>View</v>
      </c>
    </row>
    <row r="26" spans="1:16" x14ac:dyDescent="0.25">
      <c r="A26" s="13" t="s">
        <v>27094</v>
      </c>
      <c r="B26" s="14">
        <v>6987475</v>
      </c>
      <c r="C26" s="14">
        <v>6987475</v>
      </c>
      <c r="D26" s="14" t="s">
        <v>8469</v>
      </c>
      <c r="E26" s="14" t="s">
        <v>2127</v>
      </c>
      <c r="F26" s="14" t="s">
        <v>3965</v>
      </c>
      <c r="G26" s="20" t="s">
        <v>11022</v>
      </c>
      <c r="H26" s="20" t="s">
        <v>27095</v>
      </c>
      <c r="I26" s="14" t="s">
        <v>88</v>
      </c>
      <c r="J26" s="14">
        <v>1</v>
      </c>
      <c r="K26" s="14">
        <v>1</v>
      </c>
      <c r="L26" s="14" t="s">
        <v>27096</v>
      </c>
      <c r="M26" s="14" t="s">
        <v>5644</v>
      </c>
      <c r="N26" s="14" t="s">
        <v>5302</v>
      </c>
      <c r="O26" s="14" t="s">
        <v>27097</v>
      </c>
      <c r="P26" s="14" t="str">
        <f>HYPERLINK("https://photon-sol.tinyastro.io/en/lp/EjmoAgw6zFWhSoXRu92wF6N46p5fHC3eYYwy8L3kpump?handle=676050794bc1b1657a56b", "View")</f>
        <v>View</v>
      </c>
    </row>
    <row r="27" spans="1:16" x14ac:dyDescent="0.25">
      <c r="A27" s="16" t="s">
        <v>27098</v>
      </c>
      <c r="B27" s="17">
        <v>6998901</v>
      </c>
      <c r="C27" s="17">
        <v>0</v>
      </c>
      <c r="D27" s="17" t="s">
        <v>10157</v>
      </c>
      <c r="E27" s="17" t="s">
        <v>2127</v>
      </c>
      <c r="F27" s="17" t="s">
        <v>96</v>
      </c>
      <c r="G27" s="18" t="s">
        <v>13816</v>
      </c>
      <c r="H27" s="18" t="s">
        <v>98</v>
      </c>
      <c r="I27" s="17" t="s">
        <v>27099</v>
      </c>
      <c r="J27" s="17">
        <v>1</v>
      </c>
      <c r="K27" s="17">
        <v>0</v>
      </c>
      <c r="L27" s="17" t="s">
        <v>27100</v>
      </c>
      <c r="M27" s="19" t="s">
        <v>101</v>
      </c>
      <c r="N27" s="17" t="s">
        <v>507</v>
      </c>
      <c r="O27" s="17" t="s">
        <v>27101</v>
      </c>
      <c r="P27" s="17" t="str">
        <f>HYPERLINK("https://photon-sol.tinyastro.io/en/lp/Fp9iJqRo4abC3KKTwq7qdLsqZf7kw1QoYUAv3Zz8pump?handle=676050794bc1b1657a56b", "View")</f>
        <v>View</v>
      </c>
    </row>
    <row r="28" spans="1:16" x14ac:dyDescent="0.25">
      <c r="A28" s="13" t="s">
        <v>27102</v>
      </c>
      <c r="B28" s="14">
        <v>3229580</v>
      </c>
      <c r="C28" s="14">
        <v>0</v>
      </c>
      <c r="D28" s="14" t="s">
        <v>10157</v>
      </c>
      <c r="E28" s="14" t="s">
        <v>9683</v>
      </c>
      <c r="F28" s="14" t="s">
        <v>96</v>
      </c>
      <c r="G28" s="18" t="s">
        <v>2739</v>
      </c>
      <c r="H28" s="18" t="s">
        <v>98</v>
      </c>
      <c r="I28" s="14" t="s">
        <v>27103</v>
      </c>
      <c r="J28" s="14">
        <v>1</v>
      </c>
      <c r="K28" s="14">
        <v>0</v>
      </c>
      <c r="L28" s="14" t="s">
        <v>27104</v>
      </c>
      <c r="M28" s="19" t="s">
        <v>101</v>
      </c>
      <c r="N28" s="14" t="s">
        <v>27105</v>
      </c>
      <c r="O28" s="14" t="s">
        <v>27106</v>
      </c>
      <c r="P28" s="14" t="str">
        <f>HYPERLINK("https://photon-sol.tinyastro.io/en/lp/EB4QvpKcpbYYWeofk13FSvPDc7jMzgc4gUJpUfuLpump?handle=676050794bc1b1657a56b", "View")</f>
        <v>View</v>
      </c>
    </row>
    <row r="29" spans="1:16" x14ac:dyDescent="0.25">
      <c r="A29" s="16" t="s">
        <v>27107</v>
      </c>
      <c r="B29" s="17">
        <v>9745934</v>
      </c>
      <c r="C29" s="17">
        <v>9745934</v>
      </c>
      <c r="D29" s="17" t="s">
        <v>8469</v>
      </c>
      <c r="E29" s="17" t="s">
        <v>2127</v>
      </c>
      <c r="F29" s="17" t="s">
        <v>12544</v>
      </c>
      <c r="G29" s="20" t="s">
        <v>4904</v>
      </c>
      <c r="H29" s="20" t="s">
        <v>27108</v>
      </c>
      <c r="I29" s="17" t="s">
        <v>88</v>
      </c>
      <c r="J29" s="17">
        <v>1</v>
      </c>
      <c r="K29" s="17">
        <v>1</v>
      </c>
      <c r="L29" s="17" t="s">
        <v>27109</v>
      </c>
      <c r="M29" s="17" t="s">
        <v>699</v>
      </c>
      <c r="N29" s="17" t="s">
        <v>20319</v>
      </c>
      <c r="O29" s="17" t="s">
        <v>27110</v>
      </c>
      <c r="P29" s="17" t="str">
        <f>HYPERLINK("https://photon-sol.tinyastro.io/en/lp/Aw8miS54vfWXBF6w8m7kd9dCsA2LWEcPKBqqeRipump?handle=676050794bc1b1657a56b", "View")</f>
        <v>View</v>
      </c>
    </row>
    <row r="30" spans="1:16" x14ac:dyDescent="0.25">
      <c r="A30" s="13" t="s">
        <v>27111</v>
      </c>
      <c r="B30" s="14">
        <v>5787077</v>
      </c>
      <c r="C30" s="14">
        <v>5787077</v>
      </c>
      <c r="D30" s="14" t="s">
        <v>7791</v>
      </c>
      <c r="E30" s="14" t="s">
        <v>2127</v>
      </c>
      <c r="F30" s="14" t="s">
        <v>3405</v>
      </c>
      <c r="G30" s="21" t="s">
        <v>20232</v>
      </c>
      <c r="H30" s="21" t="s">
        <v>27112</v>
      </c>
      <c r="I30" s="14" t="s">
        <v>88</v>
      </c>
      <c r="J30" s="14">
        <v>1</v>
      </c>
      <c r="K30" s="14">
        <v>3</v>
      </c>
      <c r="L30" s="14" t="s">
        <v>27113</v>
      </c>
      <c r="M30" s="14" t="s">
        <v>414</v>
      </c>
      <c r="N30" s="14" t="s">
        <v>27114</v>
      </c>
      <c r="O30" s="14" t="s">
        <v>27115</v>
      </c>
      <c r="P30" s="14" t="str">
        <f>HYPERLINK("https://photon-sol.tinyastro.io/en/lp/3Vte3SFsTgY9wWJKjPg4kCn8HhKSGWTLvUgoW3Q8pump?handle=676050794bc1b1657a56b", "View")</f>
        <v>View</v>
      </c>
    </row>
    <row r="31" spans="1:16" x14ac:dyDescent="0.25">
      <c r="A31" s="16" t="s">
        <v>27116</v>
      </c>
      <c r="B31" s="17">
        <v>7561136</v>
      </c>
      <c r="C31" s="17">
        <v>7561136</v>
      </c>
      <c r="D31" s="17" t="s">
        <v>1762</v>
      </c>
      <c r="E31" s="17" t="s">
        <v>4159</v>
      </c>
      <c r="F31" s="17" t="s">
        <v>27117</v>
      </c>
      <c r="G31" s="21" t="s">
        <v>27118</v>
      </c>
      <c r="H31" s="21" t="s">
        <v>27119</v>
      </c>
      <c r="I31" s="17" t="s">
        <v>88</v>
      </c>
      <c r="J31" s="17">
        <v>1</v>
      </c>
      <c r="K31" s="17">
        <v>1</v>
      </c>
      <c r="L31" s="17" t="s">
        <v>27120</v>
      </c>
      <c r="M31" s="17" t="s">
        <v>745</v>
      </c>
      <c r="N31" s="17" t="s">
        <v>27121</v>
      </c>
      <c r="O31" s="17" t="s">
        <v>27122</v>
      </c>
      <c r="P31" s="17" t="str">
        <f>HYPERLINK("https://photon-sol.tinyastro.io/en/lp/7svSfU4nFMusnPyDsiizvTq9Au8iFaSyQSczbe1Qpump?handle=676050794bc1b1657a56b", "View")</f>
        <v>View</v>
      </c>
    </row>
    <row r="32" spans="1:16" x14ac:dyDescent="0.25">
      <c r="A32" s="13" t="s">
        <v>27123</v>
      </c>
      <c r="B32" s="14">
        <v>4257069</v>
      </c>
      <c r="C32" s="14">
        <v>4257069</v>
      </c>
      <c r="D32" s="14" t="s">
        <v>9388</v>
      </c>
      <c r="E32" s="14" t="s">
        <v>3299</v>
      </c>
      <c r="F32" s="14" t="s">
        <v>20199</v>
      </c>
      <c r="G32" s="21" t="s">
        <v>2928</v>
      </c>
      <c r="H32" s="21" t="s">
        <v>27124</v>
      </c>
      <c r="I32" s="14" t="s">
        <v>88</v>
      </c>
      <c r="J32" s="14">
        <v>1</v>
      </c>
      <c r="K32" s="14">
        <v>2</v>
      </c>
      <c r="L32" s="14" t="s">
        <v>27125</v>
      </c>
      <c r="M32" s="14" t="s">
        <v>699</v>
      </c>
      <c r="N32" s="14" t="s">
        <v>27126</v>
      </c>
      <c r="O32" s="14" t="s">
        <v>27127</v>
      </c>
      <c r="P32" s="14" t="str">
        <f>HYPERLINK("https://photon-sol.tinyastro.io/en/lp/39LeswCXKeEGESiBPNUUEkvRyMp5UeqC7dGw1uT5pump?handle=676050794bc1b1657a56b", "View")</f>
        <v>View</v>
      </c>
    </row>
    <row r="33" spans="1:16" x14ac:dyDescent="0.25">
      <c r="A33" s="16" t="s">
        <v>4282</v>
      </c>
      <c r="B33" s="17">
        <v>4440072</v>
      </c>
      <c r="C33" s="17">
        <v>4440072</v>
      </c>
      <c r="D33" s="17" t="s">
        <v>1762</v>
      </c>
      <c r="E33" s="17" t="s">
        <v>4159</v>
      </c>
      <c r="F33" s="17" t="s">
        <v>2298</v>
      </c>
      <c r="G33" s="22" t="s">
        <v>5687</v>
      </c>
      <c r="H33" s="22" t="s">
        <v>10329</v>
      </c>
      <c r="I33" s="17" t="s">
        <v>88</v>
      </c>
      <c r="J33" s="17">
        <v>1</v>
      </c>
      <c r="K33" s="17">
        <v>1</v>
      </c>
      <c r="L33" s="17" t="s">
        <v>27128</v>
      </c>
      <c r="M33" s="17" t="s">
        <v>317</v>
      </c>
      <c r="N33" s="17" t="s">
        <v>5767</v>
      </c>
      <c r="O33" s="17" t="s">
        <v>4289</v>
      </c>
      <c r="P33" s="17" t="str">
        <f>HYPERLINK("https://photon-sol.tinyastro.io/en/lp/7JCYtp78ML613Bx8y1JiCk4xcxRBKobZxkh1RdB1pump?handle=676050794bc1b1657a56b", "View")</f>
        <v>View</v>
      </c>
    </row>
    <row r="34" spans="1:16" x14ac:dyDescent="0.25">
      <c r="A34" s="13" t="s">
        <v>27129</v>
      </c>
      <c r="B34" s="14">
        <v>5192578</v>
      </c>
      <c r="C34" s="14">
        <v>5192578</v>
      </c>
      <c r="D34" s="14" t="s">
        <v>1762</v>
      </c>
      <c r="E34" s="14" t="s">
        <v>3931</v>
      </c>
      <c r="F34" s="14" t="s">
        <v>7894</v>
      </c>
      <c r="G34" s="21" t="s">
        <v>16352</v>
      </c>
      <c r="H34" s="21" t="s">
        <v>27130</v>
      </c>
      <c r="I34" s="14" t="s">
        <v>88</v>
      </c>
      <c r="J34" s="14">
        <v>1</v>
      </c>
      <c r="K34" s="14">
        <v>1</v>
      </c>
      <c r="L34" s="14" t="s">
        <v>27131</v>
      </c>
      <c r="M34" s="14" t="s">
        <v>9948</v>
      </c>
      <c r="N34" s="14" t="s">
        <v>27132</v>
      </c>
      <c r="O34" s="14" t="s">
        <v>27133</v>
      </c>
      <c r="P34" s="14" t="str">
        <f>HYPERLINK("https://photon-sol.tinyastro.io/en/lp/GyjozRaVw8Mwm37UL7Aq7LvKhR4UKH51xGZ14XrXpump?handle=676050794bc1b1657a56b", "View")</f>
        <v>View</v>
      </c>
    </row>
    <row r="35" spans="1:16" x14ac:dyDescent="0.25">
      <c r="A35" s="16" t="s">
        <v>27134</v>
      </c>
      <c r="B35" s="17">
        <v>14448660</v>
      </c>
      <c r="C35" s="17">
        <v>14448660</v>
      </c>
      <c r="D35" s="17" t="s">
        <v>13948</v>
      </c>
      <c r="E35" s="17" t="s">
        <v>24821</v>
      </c>
      <c r="F35" s="17" t="s">
        <v>13260</v>
      </c>
      <c r="G35" s="20" t="s">
        <v>14305</v>
      </c>
      <c r="H35" s="20" t="s">
        <v>27135</v>
      </c>
      <c r="I35" s="17" t="s">
        <v>88</v>
      </c>
      <c r="J35" s="17">
        <v>2</v>
      </c>
      <c r="K35" s="17">
        <v>2</v>
      </c>
      <c r="L35" s="17" t="s">
        <v>27136</v>
      </c>
      <c r="M35" s="17" t="s">
        <v>414</v>
      </c>
      <c r="N35" s="17" t="s">
        <v>12590</v>
      </c>
      <c r="O35" s="17" t="s">
        <v>27137</v>
      </c>
      <c r="P35" s="17" t="str">
        <f>HYPERLINK("https://photon-sol.tinyastro.io/en/lp/AY3Wbg7K3zrp8uNxU9Hs77ymNoDZT8SxKgqCEH67pump?handle=676050794bc1b1657a56b", "View")</f>
        <v>View</v>
      </c>
    </row>
    <row r="36" spans="1:16" x14ac:dyDescent="0.25">
      <c r="A36" s="13" t="s">
        <v>2807</v>
      </c>
      <c r="B36" s="14">
        <v>3515931</v>
      </c>
      <c r="C36" s="14">
        <v>3515931</v>
      </c>
      <c r="D36" s="14" t="s">
        <v>8469</v>
      </c>
      <c r="E36" s="14" t="s">
        <v>2605</v>
      </c>
      <c r="F36" s="14" t="s">
        <v>22625</v>
      </c>
      <c r="G36" s="20" t="s">
        <v>7875</v>
      </c>
      <c r="H36" s="20" t="s">
        <v>21913</v>
      </c>
      <c r="I36" s="14" t="s">
        <v>88</v>
      </c>
      <c r="J36" s="14">
        <v>1</v>
      </c>
      <c r="K36" s="14">
        <v>1</v>
      </c>
      <c r="L36" s="14" t="s">
        <v>27138</v>
      </c>
      <c r="M36" s="14" t="s">
        <v>1705</v>
      </c>
      <c r="N36" s="14" t="s">
        <v>27139</v>
      </c>
      <c r="O36" s="14" t="s">
        <v>27140</v>
      </c>
      <c r="P36" s="14" t="str">
        <f>HYPERLINK("https://photon-sol.tinyastro.io/en/lp/FKpimM7H84WcPLrW4NzxKpo6LzvjaTBQTGg9WbRFpump?handle=676050794bc1b1657a56b", "View")</f>
        <v>View</v>
      </c>
    </row>
    <row r="37" spans="1:16" x14ac:dyDescent="0.25">
      <c r="A37" s="16" t="s">
        <v>27141</v>
      </c>
      <c r="B37" s="17">
        <v>7464020</v>
      </c>
      <c r="C37" s="17">
        <v>7464020</v>
      </c>
      <c r="D37" s="17" t="s">
        <v>8469</v>
      </c>
      <c r="E37" s="17" t="s">
        <v>2127</v>
      </c>
      <c r="F37" s="17" t="s">
        <v>24088</v>
      </c>
      <c r="G37" s="20" t="s">
        <v>21372</v>
      </c>
      <c r="H37" s="20" t="s">
        <v>19394</v>
      </c>
      <c r="I37" s="17" t="s">
        <v>88</v>
      </c>
      <c r="J37" s="17">
        <v>1</v>
      </c>
      <c r="K37" s="17">
        <v>1</v>
      </c>
      <c r="L37" s="17" t="s">
        <v>27142</v>
      </c>
      <c r="M37" s="17" t="s">
        <v>5702</v>
      </c>
      <c r="N37" s="17" t="s">
        <v>3115</v>
      </c>
      <c r="O37" s="17" t="s">
        <v>27143</v>
      </c>
      <c r="P37" s="17" t="str">
        <f>HYPERLINK("https://photon-sol.tinyastro.io/en/lp/6FKreffFGSMXS6TTxuCU8MoiWNQv5ZpJPLffj7RJpump?handle=676050794bc1b1657a56b", "View")</f>
        <v>View</v>
      </c>
    </row>
    <row r="38" spans="1:16" x14ac:dyDescent="0.25">
      <c r="A38" s="13" t="s">
        <v>27144</v>
      </c>
      <c r="B38" s="14">
        <v>8241761</v>
      </c>
      <c r="C38" s="14">
        <v>0</v>
      </c>
      <c r="D38" s="14" t="s">
        <v>10157</v>
      </c>
      <c r="E38" s="14" t="s">
        <v>2127</v>
      </c>
      <c r="F38" s="14" t="s">
        <v>96</v>
      </c>
      <c r="G38" s="18" t="s">
        <v>13816</v>
      </c>
      <c r="H38" s="18" t="s">
        <v>98</v>
      </c>
      <c r="I38" s="14" t="s">
        <v>27145</v>
      </c>
      <c r="J38" s="14">
        <v>1</v>
      </c>
      <c r="K38" s="14">
        <v>0</v>
      </c>
      <c r="L38" s="14" t="s">
        <v>27146</v>
      </c>
      <c r="M38" s="19" t="s">
        <v>101</v>
      </c>
      <c r="N38" s="14" t="s">
        <v>27147</v>
      </c>
      <c r="O38" s="14" t="s">
        <v>27148</v>
      </c>
      <c r="P38" s="14" t="str">
        <f>HYPERLINK("https://photon-sol.tinyastro.io/en/lp/3udZbFn14HaYYL8y7UvN5uCqHSVxif81tUc18JvVpump?handle=676050794bc1b1657a56b", "View")</f>
        <v>View</v>
      </c>
    </row>
    <row r="39" spans="1:16" x14ac:dyDescent="0.25">
      <c r="A39" s="16" t="s">
        <v>27149</v>
      </c>
      <c r="B39" s="17">
        <v>2107515</v>
      </c>
      <c r="C39" s="17">
        <v>2107515</v>
      </c>
      <c r="D39" s="17" t="s">
        <v>8469</v>
      </c>
      <c r="E39" s="17" t="s">
        <v>12252</v>
      </c>
      <c r="F39" s="17" t="s">
        <v>23010</v>
      </c>
      <c r="G39" s="20" t="s">
        <v>5747</v>
      </c>
      <c r="H39" s="20" t="s">
        <v>27150</v>
      </c>
      <c r="I39" s="17" t="s">
        <v>88</v>
      </c>
      <c r="J39" s="17">
        <v>1</v>
      </c>
      <c r="K39" s="17">
        <v>1</v>
      </c>
      <c r="L39" s="17" t="s">
        <v>27151</v>
      </c>
      <c r="M39" s="17" t="s">
        <v>132</v>
      </c>
      <c r="N39" s="17" t="s">
        <v>27152</v>
      </c>
      <c r="O39" s="17" t="s">
        <v>27153</v>
      </c>
      <c r="P39" s="17" t="str">
        <f>HYPERLINK("https://photon-sol.tinyastro.io/en/lp/3ajwpaTr8zYMCQUS9gCHCsrUgVZ6SGN4j57Ax7dApump?handle=676050794bc1b1657a56b", "View")</f>
        <v>View</v>
      </c>
    </row>
    <row r="40" spans="1:16" x14ac:dyDescent="0.25">
      <c r="A40" s="13" t="s">
        <v>8866</v>
      </c>
      <c r="B40" s="14">
        <v>5189990</v>
      </c>
      <c r="C40" s="14">
        <v>5189990</v>
      </c>
      <c r="D40" s="14" t="s">
        <v>8469</v>
      </c>
      <c r="E40" s="14" t="s">
        <v>2127</v>
      </c>
      <c r="F40" s="14" t="s">
        <v>13760</v>
      </c>
      <c r="G40" s="20" t="s">
        <v>6358</v>
      </c>
      <c r="H40" s="20" t="s">
        <v>27060</v>
      </c>
      <c r="I40" s="14" t="s">
        <v>88</v>
      </c>
      <c r="J40" s="14">
        <v>1</v>
      </c>
      <c r="K40" s="14">
        <v>1</v>
      </c>
      <c r="L40" s="14" t="s">
        <v>27154</v>
      </c>
      <c r="M40" s="14" t="s">
        <v>1986</v>
      </c>
      <c r="N40" s="14" t="s">
        <v>3401</v>
      </c>
      <c r="O40" s="14" t="s">
        <v>27155</v>
      </c>
      <c r="P40" s="14" t="str">
        <f>HYPERLINK("https://photon-sol.tinyastro.io/en/lp/9TnUDhb5A21ijDDSer4dKa1RF2XdQG95nWs4k2Yopump?handle=676050794bc1b1657a56b", "View")</f>
        <v>View</v>
      </c>
    </row>
    <row r="41" spans="1:16" x14ac:dyDescent="0.25">
      <c r="A41" s="16" t="s">
        <v>27156</v>
      </c>
      <c r="B41" s="17">
        <v>4123727</v>
      </c>
      <c r="C41" s="17">
        <v>0</v>
      </c>
      <c r="D41" s="17" t="s">
        <v>10157</v>
      </c>
      <c r="E41" s="17" t="s">
        <v>9683</v>
      </c>
      <c r="F41" s="17" t="s">
        <v>96</v>
      </c>
      <c r="G41" s="18" t="s">
        <v>2739</v>
      </c>
      <c r="H41" s="18" t="s">
        <v>98</v>
      </c>
      <c r="I41" s="17" t="s">
        <v>27157</v>
      </c>
      <c r="J41" s="17">
        <v>1</v>
      </c>
      <c r="K41" s="17">
        <v>0</v>
      </c>
      <c r="L41" s="17" t="s">
        <v>27158</v>
      </c>
      <c r="M41" s="19" t="s">
        <v>101</v>
      </c>
      <c r="N41" s="17" t="s">
        <v>27159</v>
      </c>
      <c r="O41" s="17" t="s">
        <v>27160</v>
      </c>
      <c r="P41" s="17" t="str">
        <f>HYPERLINK("https://photon-sol.tinyastro.io/en/lp/EQ27hD1WGY61HVEKkLZKnG4npHXa396HNnGkRMCApump?handle=676050794bc1b1657a56b", "View")</f>
        <v>View</v>
      </c>
    </row>
    <row r="42" spans="1:16" x14ac:dyDescent="0.25">
      <c r="A42" s="13" t="s">
        <v>17233</v>
      </c>
      <c r="B42" s="14">
        <v>3833091</v>
      </c>
      <c r="C42" s="14">
        <v>0</v>
      </c>
      <c r="D42" s="14" t="s">
        <v>10157</v>
      </c>
      <c r="E42" s="14" t="s">
        <v>2127</v>
      </c>
      <c r="F42" s="14" t="s">
        <v>96</v>
      </c>
      <c r="G42" s="18" t="s">
        <v>13816</v>
      </c>
      <c r="H42" s="18" t="s">
        <v>98</v>
      </c>
      <c r="I42" s="14" t="s">
        <v>27161</v>
      </c>
      <c r="J42" s="14">
        <v>1</v>
      </c>
      <c r="K42" s="14">
        <v>0</v>
      </c>
      <c r="L42" s="14" t="s">
        <v>27162</v>
      </c>
      <c r="M42" s="19" t="s">
        <v>101</v>
      </c>
      <c r="N42" s="14" t="s">
        <v>507</v>
      </c>
      <c r="O42" s="14" t="s">
        <v>27163</v>
      </c>
      <c r="P42" s="14" t="str">
        <f>HYPERLINK("https://photon-sol.tinyastro.io/en/lp/53sUsF22vNAP2CfQux41ttoVbcQGrbtbXhBVtYbrpump?handle=676050794bc1b1657a56b", "View")</f>
        <v>View</v>
      </c>
    </row>
    <row r="43" spans="1:16" x14ac:dyDescent="0.25">
      <c r="A43" s="16" t="s">
        <v>21796</v>
      </c>
      <c r="B43" s="17">
        <v>4566463</v>
      </c>
      <c r="C43" s="17">
        <v>4566463</v>
      </c>
      <c r="D43" s="17" t="s">
        <v>8469</v>
      </c>
      <c r="E43" s="17" t="s">
        <v>3243</v>
      </c>
      <c r="F43" s="17" t="s">
        <v>11448</v>
      </c>
      <c r="G43" s="20" t="s">
        <v>5370</v>
      </c>
      <c r="H43" s="20" t="s">
        <v>27164</v>
      </c>
      <c r="I43" s="17" t="s">
        <v>88</v>
      </c>
      <c r="J43" s="17">
        <v>1</v>
      </c>
      <c r="K43" s="17">
        <v>1</v>
      </c>
      <c r="L43" s="17" t="s">
        <v>27165</v>
      </c>
      <c r="M43" s="17" t="s">
        <v>2672</v>
      </c>
      <c r="N43" s="17" t="s">
        <v>1746</v>
      </c>
      <c r="O43" s="17" t="s">
        <v>27166</v>
      </c>
      <c r="P43" s="17" t="str">
        <f>HYPERLINK("https://photon-sol.tinyastro.io/en/lp/DN68nbrbeaBwSYjPGuopLqkFhdDvEKCFKNJp3T73N4Gn?handle=676050794bc1b1657a56b", "View")</f>
        <v>View</v>
      </c>
    </row>
    <row r="44" spans="1:16" x14ac:dyDescent="0.25">
      <c r="A44" s="13" t="s">
        <v>27167</v>
      </c>
      <c r="B44" s="14">
        <v>7791128</v>
      </c>
      <c r="C44" s="14">
        <v>7791128</v>
      </c>
      <c r="D44" s="14" t="s">
        <v>8469</v>
      </c>
      <c r="E44" s="14" t="s">
        <v>3111</v>
      </c>
      <c r="F44" s="14" t="s">
        <v>2416</v>
      </c>
      <c r="G44" s="21" t="s">
        <v>9023</v>
      </c>
      <c r="H44" s="21" t="s">
        <v>27168</v>
      </c>
      <c r="I44" s="14" t="s">
        <v>88</v>
      </c>
      <c r="J44" s="14">
        <v>1</v>
      </c>
      <c r="K44" s="14">
        <v>1</v>
      </c>
      <c r="L44" s="14" t="s">
        <v>27169</v>
      </c>
      <c r="M44" s="14" t="s">
        <v>3180</v>
      </c>
      <c r="N44" s="14" t="s">
        <v>27170</v>
      </c>
      <c r="O44" s="14" t="s">
        <v>27171</v>
      </c>
      <c r="P44" s="14" t="str">
        <f>HYPERLINK("https://photon-sol.tinyastro.io/en/lp/BCSPxwZKRYZF5iEsze6VfG29efj5i9oQx2REBw5ivaFz?handle=676050794bc1b1657a56b", "View")</f>
        <v>View</v>
      </c>
    </row>
    <row r="45" spans="1:16" x14ac:dyDescent="0.25">
      <c r="A45" s="16" t="s">
        <v>27172</v>
      </c>
      <c r="B45" s="17">
        <v>4606111</v>
      </c>
      <c r="C45" s="17">
        <v>4794999</v>
      </c>
      <c r="D45" s="17" t="s">
        <v>12343</v>
      </c>
      <c r="E45" s="17" t="s">
        <v>2127</v>
      </c>
      <c r="F45" s="17" t="s">
        <v>27173</v>
      </c>
      <c r="G45" s="21" t="s">
        <v>3932</v>
      </c>
      <c r="H45" s="21" t="s">
        <v>27174</v>
      </c>
      <c r="I45" s="17" t="s">
        <v>88</v>
      </c>
      <c r="J45" s="17">
        <v>1</v>
      </c>
      <c r="K45" s="17">
        <v>2</v>
      </c>
      <c r="L45" s="17" t="s">
        <v>27175</v>
      </c>
      <c r="M45" s="17" t="s">
        <v>179</v>
      </c>
      <c r="N45" s="17" t="s">
        <v>4238</v>
      </c>
      <c r="O45" s="17" t="s">
        <v>27176</v>
      </c>
      <c r="P45" s="17" t="str">
        <f>HYPERLINK("https://photon-sol.tinyastro.io/en/lp/BBcAUu7t6o6CqFVngM1pSBiGF42HPNxiStWkBoKmpump?handle=676050794bc1b1657a56b", "View")</f>
        <v>View</v>
      </c>
    </row>
    <row r="46" spans="1:16" x14ac:dyDescent="0.25">
      <c r="A46" s="13" t="s">
        <v>9619</v>
      </c>
      <c r="B46" s="14">
        <v>6580312</v>
      </c>
      <c r="C46" s="14">
        <v>6580312</v>
      </c>
      <c r="D46" s="14" t="s">
        <v>8469</v>
      </c>
      <c r="E46" s="14" t="s">
        <v>3299</v>
      </c>
      <c r="F46" s="14" t="s">
        <v>17354</v>
      </c>
      <c r="G46" s="20" t="s">
        <v>8105</v>
      </c>
      <c r="H46" s="20" t="s">
        <v>27177</v>
      </c>
      <c r="I46" s="14" t="s">
        <v>88</v>
      </c>
      <c r="J46" s="14">
        <v>1</v>
      </c>
      <c r="K46" s="14">
        <v>1</v>
      </c>
      <c r="L46" s="14" t="s">
        <v>27178</v>
      </c>
      <c r="M46" s="14" t="s">
        <v>3171</v>
      </c>
      <c r="N46" s="14" t="s">
        <v>6812</v>
      </c>
      <c r="O46" s="14" t="s">
        <v>27179</v>
      </c>
      <c r="P46" s="14" t="str">
        <f>HYPERLINK("https://photon-sol.tinyastro.io/en/lp/5NMszeyEcDdrWuRVog2UiJAdA7gN9WEttFrkcaiLpump?handle=676050794bc1b1657a56b", "View")</f>
        <v>View</v>
      </c>
    </row>
    <row r="47" spans="1:16" x14ac:dyDescent="0.25">
      <c r="A47" s="16" t="s">
        <v>6473</v>
      </c>
      <c r="B47" s="17">
        <v>5116056</v>
      </c>
      <c r="C47" s="17">
        <v>4569636</v>
      </c>
      <c r="D47" s="17" t="s">
        <v>27180</v>
      </c>
      <c r="E47" s="17" t="s">
        <v>11761</v>
      </c>
      <c r="F47" s="17" t="s">
        <v>27181</v>
      </c>
      <c r="G47" s="21" t="s">
        <v>9094</v>
      </c>
      <c r="H47" s="21" t="s">
        <v>27182</v>
      </c>
      <c r="I47" s="17" t="s">
        <v>88</v>
      </c>
      <c r="J47" s="17">
        <v>1</v>
      </c>
      <c r="K47" s="17">
        <v>15</v>
      </c>
      <c r="L47" s="17" t="s">
        <v>27183</v>
      </c>
      <c r="M47" s="17" t="s">
        <v>5445</v>
      </c>
      <c r="N47" s="17" t="s">
        <v>644</v>
      </c>
      <c r="O47" s="17" t="s">
        <v>6481</v>
      </c>
      <c r="P47" s="17" t="str">
        <f>HYPERLINK("https://photon-sol.tinyastro.io/en/lp/9FyvApf4t4BXhtT35LqHCeX2oewR1tcP2cNBbqkhpump?handle=676050794bc1b1657a56b", "View")</f>
        <v>View</v>
      </c>
    </row>
    <row r="48" spans="1:16" x14ac:dyDescent="0.25">
      <c r="A48" s="13" t="s">
        <v>27184</v>
      </c>
      <c r="B48" s="14">
        <v>5319600</v>
      </c>
      <c r="C48" s="14">
        <v>5319600</v>
      </c>
      <c r="D48" s="14" t="s">
        <v>8469</v>
      </c>
      <c r="E48" s="14" t="s">
        <v>2127</v>
      </c>
      <c r="F48" s="14" t="s">
        <v>19273</v>
      </c>
      <c r="G48" s="22" t="s">
        <v>20083</v>
      </c>
      <c r="H48" s="22" t="s">
        <v>27185</v>
      </c>
      <c r="I48" s="14" t="s">
        <v>88</v>
      </c>
      <c r="J48" s="14">
        <v>1</v>
      </c>
      <c r="K48" s="14">
        <v>1</v>
      </c>
      <c r="L48" s="14" t="s">
        <v>27186</v>
      </c>
      <c r="M48" s="14" t="s">
        <v>3355</v>
      </c>
      <c r="N48" s="14" t="s">
        <v>1393</v>
      </c>
      <c r="O48" s="14" t="s">
        <v>27187</v>
      </c>
      <c r="P48" s="14" t="str">
        <f>HYPERLINK("https://photon-sol.tinyastro.io/en/lp/5y66vd1wqCoYsZyqJnY17PY7CZz11j6iwWaR3W8mpump?handle=676050794bc1b1657a56b", "View")</f>
        <v>View</v>
      </c>
    </row>
    <row r="49" spans="1:16" x14ac:dyDescent="0.25">
      <c r="A49" s="16" t="s">
        <v>27188</v>
      </c>
      <c r="B49" s="17">
        <v>8346418</v>
      </c>
      <c r="C49" s="17">
        <v>8346418</v>
      </c>
      <c r="D49" s="17" t="s">
        <v>8469</v>
      </c>
      <c r="E49" s="17" t="s">
        <v>2127</v>
      </c>
      <c r="F49" s="17" t="s">
        <v>3919</v>
      </c>
      <c r="G49" s="20" t="s">
        <v>22778</v>
      </c>
      <c r="H49" s="20" t="s">
        <v>3427</v>
      </c>
      <c r="I49" s="17" t="s">
        <v>88</v>
      </c>
      <c r="J49" s="17">
        <v>1</v>
      </c>
      <c r="K49" s="17">
        <v>1</v>
      </c>
      <c r="L49" s="17" t="s">
        <v>27189</v>
      </c>
      <c r="M49" s="17" t="s">
        <v>1696</v>
      </c>
      <c r="N49" s="17" t="s">
        <v>27190</v>
      </c>
      <c r="O49" s="17" t="s">
        <v>27191</v>
      </c>
      <c r="P49" s="17" t="str">
        <f>HYPERLINK("https://photon-sol.tinyastro.io/en/lp/5YXqAzvGbNDdVaxKWBUw8JCrvSJpmtoqWpCsU3HWpump?handle=676050794bc1b1657a56b", "View")</f>
        <v>View</v>
      </c>
    </row>
    <row r="50" spans="1:16" x14ac:dyDescent="0.25">
      <c r="A50" s="13" t="s">
        <v>27192</v>
      </c>
      <c r="B50" s="14">
        <v>6821388</v>
      </c>
      <c r="C50" s="14">
        <v>6821388</v>
      </c>
      <c r="D50" s="14" t="s">
        <v>8469</v>
      </c>
      <c r="E50" s="14" t="s">
        <v>2127</v>
      </c>
      <c r="F50" s="14" t="s">
        <v>3570</v>
      </c>
      <c r="G50" s="20" t="s">
        <v>22082</v>
      </c>
      <c r="H50" s="20" t="s">
        <v>8021</v>
      </c>
      <c r="I50" s="14" t="s">
        <v>88</v>
      </c>
      <c r="J50" s="14">
        <v>1</v>
      </c>
      <c r="K50" s="14">
        <v>1</v>
      </c>
      <c r="L50" s="14" t="s">
        <v>27193</v>
      </c>
      <c r="M50" s="14" t="s">
        <v>1434</v>
      </c>
      <c r="N50" s="14" t="s">
        <v>2608</v>
      </c>
      <c r="O50" s="14" t="s">
        <v>27194</v>
      </c>
      <c r="P50" s="14" t="str">
        <f>HYPERLINK("https://photon-sol.tinyastro.io/en/lp/mL8kMm3BPRox7TNTFDXeZjWBriDAExKJXeWKCfupump?handle=676050794bc1b1657a56b", "View")</f>
        <v>View</v>
      </c>
    </row>
    <row r="51" spans="1:16" x14ac:dyDescent="0.25">
      <c r="A51" s="16" t="s">
        <v>8929</v>
      </c>
      <c r="B51" s="17">
        <v>8048635</v>
      </c>
      <c r="C51" s="17">
        <v>8048635</v>
      </c>
      <c r="D51" s="17" t="s">
        <v>1762</v>
      </c>
      <c r="E51" s="17" t="s">
        <v>2127</v>
      </c>
      <c r="F51" s="17" t="s">
        <v>6281</v>
      </c>
      <c r="G51" s="20" t="s">
        <v>9563</v>
      </c>
      <c r="H51" s="20" t="s">
        <v>27195</v>
      </c>
      <c r="I51" s="17" t="s">
        <v>88</v>
      </c>
      <c r="J51" s="17">
        <v>1</v>
      </c>
      <c r="K51" s="17">
        <v>1</v>
      </c>
      <c r="L51" s="17" t="s">
        <v>27196</v>
      </c>
      <c r="M51" s="17" t="s">
        <v>823</v>
      </c>
      <c r="N51" s="17" t="s">
        <v>3908</v>
      </c>
      <c r="O51" s="17" t="s">
        <v>27197</v>
      </c>
      <c r="P51" s="17" t="str">
        <f>HYPERLINK("https://photon-sol.tinyastro.io/en/lp/C4wmtaHg8aaKf2b8rsR564hcJJ7HRUmpyJdcHdWHpump?handle=676050794bc1b1657a56b", "View")</f>
        <v>View</v>
      </c>
    </row>
    <row r="52" spans="1:16" x14ac:dyDescent="0.25">
      <c r="A52" s="13" t="s">
        <v>16195</v>
      </c>
      <c r="B52" s="14">
        <v>8027625</v>
      </c>
      <c r="C52" s="14">
        <v>8027625</v>
      </c>
      <c r="D52" s="14" t="s">
        <v>1762</v>
      </c>
      <c r="E52" s="14" t="s">
        <v>2754</v>
      </c>
      <c r="F52" s="14" t="s">
        <v>24060</v>
      </c>
      <c r="G52" s="21" t="s">
        <v>1007</v>
      </c>
      <c r="H52" s="21" t="s">
        <v>27198</v>
      </c>
      <c r="I52" s="14" t="s">
        <v>88</v>
      </c>
      <c r="J52" s="14">
        <v>1</v>
      </c>
      <c r="K52" s="14">
        <v>1</v>
      </c>
      <c r="L52" s="14" t="s">
        <v>27199</v>
      </c>
      <c r="M52" s="14" t="s">
        <v>179</v>
      </c>
      <c r="N52" s="14" t="s">
        <v>27200</v>
      </c>
      <c r="O52" s="14" t="s">
        <v>16200</v>
      </c>
      <c r="P52" s="14" t="str">
        <f>HYPERLINK("https://photon-sol.tinyastro.io/en/lp/3WbARz9yrrPeNvxYTAqodqgmxsTS1fceKcuzep2Apump?handle=676050794bc1b1657a56b", "View")</f>
        <v>View</v>
      </c>
    </row>
    <row r="53" spans="1:16" x14ac:dyDescent="0.25">
      <c r="A53" s="16" t="s">
        <v>27201</v>
      </c>
      <c r="B53" s="17">
        <v>3621760</v>
      </c>
      <c r="C53" s="17">
        <v>3621760</v>
      </c>
      <c r="D53" s="17" t="s">
        <v>8469</v>
      </c>
      <c r="E53" s="17" t="s">
        <v>9683</v>
      </c>
      <c r="F53" s="17" t="s">
        <v>4694</v>
      </c>
      <c r="G53" s="15" t="s">
        <v>22187</v>
      </c>
      <c r="H53" s="15" t="s">
        <v>27202</v>
      </c>
      <c r="I53" s="17" t="s">
        <v>88</v>
      </c>
      <c r="J53" s="17">
        <v>1</v>
      </c>
      <c r="K53" s="17">
        <v>1</v>
      </c>
      <c r="L53" s="17" t="s">
        <v>27203</v>
      </c>
      <c r="M53" s="17" t="s">
        <v>379</v>
      </c>
      <c r="N53" s="17" t="s">
        <v>407</v>
      </c>
      <c r="O53" s="17" t="s">
        <v>27204</v>
      </c>
      <c r="P53" s="17" t="str">
        <f>HYPERLINK("https://photon-sol.tinyastro.io/en/lp/ETzg8JFyCPzceKhFMvJB6AZw1fx6fytxHEkK3k9qpump?handle=676050794bc1b1657a56b", "View")</f>
        <v>View</v>
      </c>
    </row>
    <row r="54" spans="1:16" x14ac:dyDescent="0.25">
      <c r="A54" s="13" t="s">
        <v>27205</v>
      </c>
      <c r="B54" s="14">
        <v>2998129</v>
      </c>
      <c r="C54" s="14">
        <v>0</v>
      </c>
      <c r="D54" s="14" t="s">
        <v>10157</v>
      </c>
      <c r="E54" s="14" t="s">
        <v>3985</v>
      </c>
      <c r="F54" s="14" t="s">
        <v>96</v>
      </c>
      <c r="G54" s="18" t="s">
        <v>4464</v>
      </c>
      <c r="H54" s="18" t="s">
        <v>98</v>
      </c>
      <c r="I54" s="14" t="s">
        <v>27206</v>
      </c>
      <c r="J54" s="14">
        <v>1</v>
      </c>
      <c r="K54" s="14">
        <v>0</v>
      </c>
      <c r="L54" s="14" t="s">
        <v>27207</v>
      </c>
      <c r="M54" s="19" t="s">
        <v>101</v>
      </c>
      <c r="N54" s="14" t="s">
        <v>507</v>
      </c>
      <c r="O54" s="14" t="s">
        <v>27208</v>
      </c>
      <c r="P54" s="14" t="str">
        <f>HYPERLINK("https://photon-sol.tinyastro.io/en/lp/7Fm9ziUSwBHVMpexMGtyNRUda3WJjX8QnvuEr6xLpump?handle=676050794bc1b1657a56b", "View")</f>
        <v>View</v>
      </c>
    </row>
    <row r="55" spans="1:16" x14ac:dyDescent="0.25">
      <c r="A55" s="16" t="s">
        <v>27209</v>
      </c>
      <c r="B55" s="17">
        <v>4577010</v>
      </c>
      <c r="C55" s="17">
        <v>4577010</v>
      </c>
      <c r="D55" s="17" t="s">
        <v>8469</v>
      </c>
      <c r="E55" s="17" t="s">
        <v>9683</v>
      </c>
      <c r="F55" s="17" t="s">
        <v>27210</v>
      </c>
      <c r="G55" s="21" t="s">
        <v>5076</v>
      </c>
      <c r="H55" s="21" t="s">
        <v>27211</v>
      </c>
      <c r="I55" s="17" t="s">
        <v>88</v>
      </c>
      <c r="J55" s="17">
        <v>1</v>
      </c>
      <c r="K55" s="17">
        <v>1</v>
      </c>
      <c r="L55" s="17" t="s">
        <v>27212</v>
      </c>
      <c r="M55" s="17" t="s">
        <v>680</v>
      </c>
      <c r="N55" s="17" t="s">
        <v>3768</v>
      </c>
      <c r="O55" s="17" t="s">
        <v>27213</v>
      </c>
      <c r="P55" s="17" t="str">
        <f>HYPERLINK("https://photon-sol.tinyastro.io/en/lp/UXqo4U63Sjo8YpQf9LhYErsWWVwVDirH2D3eHbTpump?handle=676050794bc1b1657a56b", "View")</f>
        <v>View</v>
      </c>
    </row>
    <row r="56" spans="1:16" x14ac:dyDescent="0.25">
      <c r="A56" s="13" t="s">
        <v>27214</v>
      </c>
      <c r="B56" s="14">
        <v>7529732</v>
      </c>
      <c r="C56" s="14">
        <v>0</v>
      </c>
      <c r="D56" s="14" t="s">
        <v>10157</v>
      </c>
      <c r="E56" s="14" t="s">
        <v>4159</v>
      </c>
      <c r="F56" s="14" t="s">
        <v>96</v>
      </c>
      <c r="G56" s="18" t="s">
        <v>27215</v>
      </c>
      <c r="H56" s="18" t="s">
        <v>98</v>
      </c>
      <c r="I56" s="14" t="s">
        <v>27216</v>
      </c>
      <c r="J56" s="14">
        <v>1</v>
      </c>
      <c r="K56" s="14">
        <v>0</v>
      </c>
      <c r="L56" s="14" t="s">
        <v>27217</v>
      </c>
      <c r="M56" s="19" t="s">
        <v>101</v>
      </c>
      <c r="N56" s="14" t="s">
        <v>27218</v>
      </c>
      <c r="O56" s="14" t="s">
        <v>27219</v>
      </c>
      <c r="P56" s="14" t="str">
        <f>HYPERLINK("https://photon-sol.tinyastro.io/en/lp/BZwNVravPuo3dtrTDWJLAktf5sCXq7eeA9UXk1LPpump?handle=676050794bc1b1657a56b", "View")</f>
        <v>View</v>
      </c>
    </row>
    <row r="57" spans="1:16" x14ac:dyDescent="0.25">
      <c r="A57" s="16" t="s">
        <v>27220</v>
      </c>
      <c r="B57" s="17">
        <v>2902999</v>
      </c>
      <c r="C57" s="17">
        <v>2902999</v>
      </c>
      <c r="D57" s="17" t="s">
        <v>8469</v>
      </c>
      <c r="E57" s="17" t="s">
        <v>9683</v>
      </c>
      <c r="F57" s="17" t="s">
        <v>9676</v>
      </c>
      <c r="G57" s="22" t="s">
        <v>2554</v>
      </c>
      <c r="H57" s="22" t="s">
        <v>27221</v>
      </c>
      <c r="I57" s="17" t="s">
        <v>88</v>
      </c>
      <c r="J57" s="17">
        <v>1</v>
      </c>
      <c r="K57" s="17">
        <v>1</v>
      </c>
      <c r="L57" s="17" t="s">
        <v>27222</v>
      </c>
      <c r="M57" s="17" t="s">
        <v>179</v>
      </c>
      <c r="N57" s="17" t="s">
        <v>27223</v>
      </c>
      <c r="O57" s="17" t="s">
        <v>27224</v>
      </c>
      <c r="P57" s="17" t="str">
        <f>HYPERLINK("https://photon-sol.tinyastro.io/en/lp/DsjBx22vTtqoH1BWYDscMfM5zNm7DAQAG4CJhpPbpump?handle=676050794bc1b1657a56b", "View")</f>
        <v>View</v>
      </c>
    </row>
    <row r="58" spans="1:16" x14ac:dyDescent="0.25">
      <c r="A58" s="13" t="s">
        <v>27225</v>
      </c>
      <c r="B58" s="14">
        <v>3784473</v>
      </c>
      <c r="C58" s="14">
        <v>3784473</v>
      </c>
      <c r="D58" s="14" t="s">
        <v>8469</v>
      </c>
      <c r="E58" s="14" t="s">
        <v>2127</v>
      </c>
      <c r="F58" s="14" t="s">
        <v>3104</v>
      </c>
      <c r="G58" s="21" t="s">
        <v>17306</v>
      </c>
      <c r="H58" s="21" t="s">
        <v>27226</v>
      </c>
      <c r="I58" s="14" t="s">
        <v>88</v>
      </c>
      <c r="J58" s="14">
        <v>1</v>
      </c>
      <c r="K58" s="14">
        <v>1</v>
      </c>
      <c r="L58" s="14" t="s">
        <v>27227</v>
      </c>
      <c r="M58" s="14" t="s">
        <v>823</v>
      </c>
      <c r="N58" s="14" t="s">
        <v>10931</v>
      </c>
      <c r="O58" s="14" t="s">
        <v>27228</v>
      </c>
      <c r="P58" s="14" t="str">
        <f>HYPERLINK("https://photon-sol.tinyastro.io/en/lp/HAg512eZxtCnAAVTd2UXY5PkqKYxAeoG32TjMNMpump?handle=676050794bc1b1657a56b", "View")</f>
        <v>View</v>
      </c>
    </row>
    <row r="59" spans="1:16" x14ac:dyDescent="0.25">
      <c r="A59" s="16" t="s">
        <v>27229</v>
      </c>
      <c r="B59" s="17">
        <v>3787268</v>
      </c>
      <c r="C59" s="17">
        <v>3787268</v>
      </c>
      <c r="D59" s="17" t="s">
        <v>8469</v>
      </c>
      <c r="E59" s="17" t="s">
        <v>2127</v>
      </c>
      <c r="F59" s="17" t="s">
        <v>2085</v>
      </c>
      <c r="G59" s="20" t="s">
        <v>3905</v>
      </c>
      <c r="H59" s="20" t="s">
        <v>27230</v>
      </c>
      <c r="I59" s="17" t="s">
        <v>88</v>
      </c>
      <c r="J59" s="17">
        <v>1</v>
      </c>
      <c r="K59" s="17">
        <v>1</v>
      </c>
      <c r="L59" s="17" t="s">
        <v>27231</v>
      </c>
      <c r="M59" s="17" t="s">
        <v>2047</v>
      </c>
      <c r="N59" s="17" t="s">
        <v>27232</v>
      </c>
      <c r="O59" s="17" t="s">
        <v>27233</v>
      </c>
      <c r="P59" s="17" t="str">
        <f>HYPERLINK("https://photon-sol.tinyastro.io/en/lp/7qpK5UyX16JskttFF6gqujFe7dYpCjXGFYqfCVFtpump?handle=676050794bc1b1657a56b", "View")</f>
        <v>View</v>
      </c>
    </row>
    <row r="60" spans="1:16" x14ac:dyDescent="0.25">
      <c r="A60" s="13" t="s">
        <v>7416</v>
      </c>
      <c r="B60" s="14">
        <v>8845318</v>
      </c>
      <c r="C60" s="14">
        <v>8845318</v>
      </c>
      <c r="D60" s="14" t="s">
        <v>13532</v>
      </c>
      <c r="E60" s="14" t="s">
        <v>4403</v>
      </c>
      <c r="F60" s="14" t="s">
        <v>27234</v>
      </c>
      <c r="G60" s="21" t="s">
        <v>19801</v>
      </c>
      <c r="H60" s="21" t="s">
        <v>27235</v>
      </c>
      <c r="I60" s="14" t="s">
        <v>88</v>
      </c>
      <c r="J60" s="14">
        <v>2</v>
      </c>
      <c r="K60" s="14">
        <v>3</v>
      </c>
      <c r="L60" s="14" t="s">
        <v>27236</v>
      </c>
      <c r="M60" s="14" t="s">
        <v>4922</v>
      </c>
      <c r="N60" s="14" t="s">
        <v>27237</v>
      </c>
      <c r="O60" s="14" t="s">
        <v>20210</v>
      </c>
      <c r="P60" s="14" t="str">
        <f>HYPERLINK("https://photon-sol.tinyastro.io/en/lp/FrbTvy9eRBHzCGNyuc3KqwGKYx9vk2soDTzBAafNpump?handle=676050794bc1b1657a56b", "View")</f>
        <v>View</v>
      </c>
    </row>
    <row r="61" spans="1:16" x14ac:dyDescent="0.25">
      <c r="A61" s="16" t="s">
        <v>27238</v>
      </c>
      <c r="B61" s="17">
        <v>5849292</v>
      </c>
      <c r="C61" s="17">
        <v>5849292</v>
      </c>
      <c r="D61" s="17" t="s">
        <v>8469</v>
      </c>
      <c r="E61" s="17" t="s">
        <v>2127</v>
      </c>
      <c r="F61" s="17" t="s">
        <v>27009</v>
      </c>
      <c r="G61" s="21" t="s">
        <v>3413</v>
      </c>
      <c r="H61" s="21" t="s">
        <v>27239</v>
      </c>
      <c r="I61" s="17" t="s">
        <v>88</v>
      </c>
      <c r="J61" s="17">
        <v>1</v>
      </c>
      <c r="K61" s="17">
        <v>1</v>
      </c>
      <c r="L61" s="17" t="s">
        <v>27240</v>
      </c>
      <c r="M61" s="17" t="s">
        <v>980</v>
      </c>
      <c r="N61" s="17" t="s">
        <v>2358</v>
      </c>
      <c r="O61" s="17" t="s">
        <v>27241</v>
      </c>
      <c r="P61" s="17" t="str">
        <f>HYPERLINK("https://photon-sol.tinyastro.io/en/lp/43m2NMQXobysHVjtSAL7x8sBcyxLrZW7tUr3YXf7pump?handle=676050794bc1b1657a56b", "View")</f>
        <v>View</v>
      </c>
    </row>
    <row r="62" spans="1:16" x14ac:dyDescent="0.25">
      <c r="A62" s="13" t="s">
        <v>27242</v>
      </c>
      <c r="B62" s="14">
        <v>4537770</v>
      </c>
      <c r="C62" s="14">
        <v>4537770</v>
      </c>
      <c r="D62" s="14" t="s">
        <v>8469</v>
      </c>
      <c r="E62" s="14" t="s">
        <v>2677</v>
      </c>
      <c r="F62" s="14" t="s">
        <v>2653</v>
      </c>
      <c r="G62" s="20" t="s">
        <v>11560</v>
      </c>
      <c r="H62" s="20" t="s">
        <v>27243</v>
      </c>
      <c r="I62" s="14" t="s">
        <v>88</v>
      </c>
      <c r="J62" s="14">
        <v>1</v>
      </c>
      <c r="K62" s="14">
        <v>1</v>
      </c>
      <c r="L62" s="14" t="s">
        <v>27244</v>
      </c>
      <c r="M62" s="14" t="s">
        <v>5922</v>
      </c>
      <c r="N62" s="14" t="s">
        <v>3768</v>
      </c>
      <c r="O62" s="14" t="s">
        <v>27245</v>
      </c>
      <c r="P62" s="14" t="str">
        <f>HYPERLINK("https://photon-sol.tinyastro.io/en/lp/cqrA1s1UVkA7QZyfdPr2hLbdApY5JJZL15QE8Hzpump?handle=676050794bc1b1657a56b", "View")</f>
        <v>View</v>
      </c>
    </row>
    <row r="63" spans="1:16" x14ac:dyDescent="0.25">
      <c r="A63" s="16" t="s">
        <v>22447</v>
      </c>
      <c r="B63" s="17">
        <v>3664117</v>
      </c>
      <c r="C63" s="17">
        <v>3664117</v>
      </c>
      <c r="D63" s="17" t="s">
        <v>8469</v>
      </c>
      <c r="E63" s="17" t="s">
        <v>9683</v>
      </c>
      <c r="F63" s="17" t="s">
        <v>9376</v>
      </c>
      <c r="G63" s="21" t="s">
        <v>3700</v>
      </c>
      <c r="H63" s="21" t="s">
        <v>27246</v>
      </c>
      <c r="I63" s="17" t="s">
        <v>88</v>
      </c>
      <c r="J63" s="17">
        <v>1</v>
      </c>
      <c r="K63" s="17">
        <v>1</v>
      </c>
      <c r="L63" s="17" t="s">
        <v>27247</v>
      </c>
      <c r="M63" s="17" t="s">
        <v>2403</v>
      </c>
      <c r="N63" s="17" t="s">
        <v>13098</v>
      </c>
      <c r="O63" s="17" t="s">
        <v>27248</v>
      </c>
      <c r="P63" s="17" t="str">
        <f>HYPERLINK("https://photon-sol.tinyastro.io/en/lp/4p81yDzS2MxRkk4S67mhBHWVCiQoCkGeaEPJhXpSpump?handle=676050794bc1b1657a56b", "View")</f>
        <v>View</v>
      </c>
    </row>
    <row r="64" spans="1:16" x14ac:dyDescent="0.25">
      <c r="A64" s="13" t="s">
        <v>27249</v>
      </c>
      <c r="B64" s="14">
        <v>7963360</v>
      </c>
      <c r="C64" s="14">
        <v>7963360</v>
      </c>
      <c r="D64" s="14" t="s">
        <v>27250</v>
      </c>
      <c r="E64" s="14" t="s">
        <v>3827</v>
      </c>
      <c r="F64" s="14" t="s">
        <v>27251</v>
      </c>
      <c r="G64" s="21" t="s">
        <v>27252</v>
      </c>
      <c r="H64" s="21" t="s">
        <v>27253</v>
      </c>
      <c r="I64" s="14" t="s">
        <v>88</v>
      </c>
      <c r="J64" s="14">
        <v>1</v>
      </c>
      <c r="K64" s="14">
        <v>14</v>
      </c>
      <c r="L64" s="14" t="s">
        <v>27254</v>
      </c>
      <c r="M64" s="14" t="s">
        <v>680</v>
      </c>
      <c r="N64" s="14" t="s">
        <v>27255</v>
      </c>
      <c r="O64" s="14" t="s">
        <v>27256</v>
      </c>
      <c r="P64" s="14" t="str">
        <f>HYPERLINK("https://photon-sol.tinyastro.io/en/lp/GQVfAmab4hFJQdqBHMWGcQ48xa8QuWeQos6hpFSGpump?handle=676050794bc1b1657a56b", "View")</f>
        <v>View</v>
      </c>
    </row>
    <row r="65" spans="1:16" x14ac:dyDescent="0.25">
      <c r="A65" s="16" t="s">
        <v>27257</v>
      </c>
      <c r="B65" s="17">
        <v>2971940</v>
      </c>
      <c r="C65" s="17">
        <v>0</v>
      </c>
      <c r="D65" s="17" t="s">
        <v>10157</v>
      </c>
      <c r="E65" s="17" t="s">
        <v>2605</v>
      </c>
      <c r="F65" s="17" t="s">
        <v>96</v>
      </c>
      <c r="G65" s="18" t="s">
        <v>3630</v>
      </c>
      <c r="H65" s="18" t="s">
        <v>98</v>
      </c>
      <c r="I65" s="17" t="s">
        <v>27258</v>
      </c>
      <c r="J65" s="17">
        <v>1</v>
      </c>
      <c r="K65" s="17">
        <v>0</v>
      </c>
      <c r="L65" s="17" t="s">
        <v>27259</v>
      </c>
      <c r="M65" s="19" t="s">
        <v>101</v>
      </c>
      <c r="N65" s="17" t="s">
        <v>27260</v>
      </c>
      <c r="O65" s="17" t="s">
        <v>27261</v>
      </c>
      <c r="P65" s="17" t="str">
        <f>HYPERLINK("https://photon-sol.tinyastro.io/en/lp/2TpLEqnCgEMmj5JLLxkrAsK3GZ614ZV3XSxyGm1Hpump?handle=676050794bc1b1657a56b", "View")</f>
        <v>View</v>
      </c>
    </row>
    <row r="66" spans="1:16" x14ac:dyDescent="0.25">
      <c r="A66" s="13" t="s">
        <v>27262</v>
      </c>
      <c r="B66" s="14">
        <v>8007614</v>
      </c>
      <c r="C66" s="14">
        <v>8007614</v>
      </c>
      <c r="D66" s="14" t="s">
        <v>8469</v>
      </c>
      <c r="E66" s="14" t="s">
        <v>2127</v>
      </c>
      <c r="F66" s="14" t="s">
        <v>1413</v>
      </c>
      <c r="G66" s="21" t="s">
        <v>27032</v>
      </c>
      <c r="H66" s="21" t="s">
        <v>27263</v>
      </c>
      <c r="I66" s="14" t="s">
        <v>88</v>
      </c>
      <c r="J66" s="14">
        <v>1</v>
      </c>
      <c r="K66" s="14">
        <v>1</v>
      </c>
      <c r="L66" s="14" t="s">
        <v>27264</v>
      </c>
      <c r="M66" s="14" t="s">
        <v>9534</v>
      </c>
      <c r="N66" s="14" t="s">
        <v>3908</v>
      </c>
      <c r="O66" s="14" t="s">
        <v>27265</v>
      </c>
      <c r="P66" s="14" t="str">
        <f>HYPERLINK("https://photon-sol.tinyastro.io/en/lp/A9VqA2UtejVve5TWeT18F5TwgxLG9v7AafcSfMY3Sk3U?handle=676050794bc1b1657a56b", "View")</f>
        <v>View</v>
      </c>
    </row>
    <row r="67" spans="1:16" x14ac:dyDescent="0.25">
      <c r="A67" s="16" t="s">
        <v>27266</v>
      </c>
      <c r="B67" s="17">
        <v>3669133</v>
      </c>
      <c r="C67" s="17">
        <v>0</v>
      </c>
      <c r="D67" s="17" t="s">
        <v>10157</v>
      </c>
      <c r="E67" s="17" t="s">
        <v>4159</v>
      </c>
      <c r="F67" s="17" t="s">
        <v>96</v>
      </c>
      <c r="G67" s="18" t="s">
        <v>27215</v>
      </c>
      <c r="H67" s="18" t="s">
        <v>98</v>
      </c>
      <c r="I67" s="17" t="s">
        <v>27267</v>
      </c>
      <c r="J67" s="17">
        <v>1</v>
      </c>
      <c r="K67" s="17">
        <v>0</v>
      </c>
      <c r="L67" s="17" t="s">
        <v>27268</v>
      </c>
      <c r="M67" s="19" t="s">
        <v>101</v>
      </c>
      <c r="N67" s="17" t="s">
        <v>27269</v>
      </c>
      <c r="O67" s="17" t="s">
        <v>27270</v>
      </c>
      <c r="P67" s="17" t="str">
        <f>HYPERLINK("https://photon-sol.tinyastro.io/en/lp/CWvieV9nqzkJRbypdpa2BB7RdJEd3oU7dumjekqupump?handle=676050794bc1b1657a56b", "View")</f>
        <v>View</v>
      </c>
    </row>
    <row r="68" spans="1:16" x14ac:dyDescent="0.25">
      <c r="A68" s="13" t="s">
        <v>27271</v>
      </c>
      <c r="B68" s="14">
        <v>7773356</v>
      </c>
      <c r="C68" s="14">
        <v>7773356</v>
      </c>
      <c r="D68" s="14" t="s">
        <v>8469</v>
      </c>
      <c r="E68" s="14" t="s">
        <v>2127</v>
      </c>
      <c r="F68" s="14" t="s">
        <v>5257</v>
      </c>
      <c r="G68" s="15" t="s">
        <v>16519</v>
      </c>
      <c r="H68" s="15" t="s">
        <v>27272</v>
      </c>
      <c r="I68" s="14" t="s">
        <v>88</v>
      </c>
      <c r="J68" s="14">
        <v>1</v>
      </c>
      <c r="K68" s="14">
        <v>1</v>
      </c>
      <c r="L68" s="14" t="s">
        <v>27273</v>
      </c>
      <c r="M68" s="14" t="s">
        <v>1957</v>
      </c>
      <c r="N68" s="14" t="s">
        <v>507</v>
      </c>
      <c r="O68" s="14" t="s">
        <v>27274</v>
      </c>
      <c r="P68" s="14" t="str">
        <f>HYPERLINK("https://photon-sol.tinyastro.io/en/lp/76Jwkdz5oea39vgimt6UDS95ZAkvXjeHqBf4QdkFpump?handle=676050794bc1b1657a56b", "View")</f>
        <v>View</v>
      </c>
    </row>
    <row r="69" spans="1:16" x14ac:dyDescent="0.25">
      <c r="A69" s="16" t="s">
        <v>8970</v>
      </c>
      <c r="B69" s="17">
        <v>1361375</v>
      </c>
      <c r="C69" s="17">
        <v>1361375</v>
      </c>
      <c r="D69" s="17" t="s">
        <v>19880</v>
      </c>
      <c r="E69" s="17" t="s">
        <v>2605</v>
      </c>
      <c r="F69" s="17" t="s">
        <v>4031</v>
      </c>
      <c r="G69" s="21" t="s">
        <v>9683</v>
      </c>
      <c r="H69" s="21" t="s">
        <v>27275</v>
      </c>
      <c r="I69" s="17" t="s">
        <v>88</v>
      </c>
      <c r="J69" s="17">
        <v>1</v>
      </c>
      <c r="K69" s="17">
        <v>2</v>
      </c>
      <c r="L69" s="17" t="s">
        <v>27276</v>
      </c>
      <c r="M69" s="17" t="s">
        <v>3180</v>
      </c>
      <c r="N69" s="17" t="s">
        <v>27277</v>
      </c>
      <c r="O69" s="17" t="s">
        <v>8976</v>
      </c>
      <c r="P69" s="17" t="str">
        <f>HYPERLINK("https://photon-sol.tinyastro.io/en/lp/5DyDEtnf47iGNgb1Tqxc34BtPXo4M6Ta8L8cacMZpump?handle=676050794bc1b1657a56b", "View")</f>
        <v>View</v>
      </c>
    </row>
    <row r="70" spans="1:16" x14ac:dyDescent="0.25">
      <c r="A70" s="13" t="s">
        <v>27278</v>
      </c>
      <c r="B70" s="14">
        <v>3551020</v>
      </c>
      <c r="C70" s="14">
        <v>3551020</v>
      </c>
      <c r="D70" s="14" t="s">
        <v>8469</v>
      </c>
      <c r="E70" s="14" t="s">
        <v>16894</v>
      </c>
      <c r="F70" s="14" t="s">
        <v>4838</v>
      </c>
      <c r="G70" s="15" t="s">
        <v>27279</v>
      </c>
      <c r="H70" s="15" t="s">
        <v>27280</v>
      </c>
      <c r="I70" s="14" t="s">
        <v>88</v>
      </c>
      <c r="J70" s="14">
        <v>1</v>
      </c>
      <c r="K70" s="14">
        <v>1</v>
      </c>
      <c r="L70" s="14" t="s">
        <v>27281</v>
      </c>
      <c r="M70" s="14" t="s">
        <v>1448</v>
      </c>
      <c r="N70" s="14" t="s">
        <v>19509</v>
      </c>
      <c r="O70" s="14" t="s">
        <v>27282</v>
      </c>
      <c r="P70" s="14" t="str">
        <f>HYPERLINK("https://photon-sol.tinyastro.io/en/lp/AapNGxDqwSiqNAvLdLZR9yuyenaNPKjisnh5oPMepump?handle=676050794bc1b1657a56b", "View")</f>
        <v>View</v>
      </c>
    </row>
    <row r="71" spans="1:16" x14ac:dyDescent="0.25">
      <c r="A71" s="16" t="s">
        <v>27283</v>
      </c>
      <c r="B71" s="17">
        <v>5775811</v>
      </c>
      <c r="C71" s="17">
        <v>5775811</v>
      </c>
      <c r="D71" s="17" t="s">
        <v>8469</v>
      </c>
      <c r="E71" s="17" t="s">
        <v>2127</v>
      </c>
      <c r="F71" s="17" t="s">
        <v>11759</v>
      </c>
      <c r="G71" s="20" t="s">
        <v>3806</v>
      </c>
      <c r="H71" s="20" t="s">
        <v>27284</v>
      </c>
      <c r="I71" s="17" t="s">
        <v>88</v>
      </c>
      <c r="J71" s="17">
        <v>1</v>
      </c>
      <c r="K71" s="17">
        <v>1</v>
      </c>
      <c r="L71" s="17" t="s">
        <v>27285</v>
      </c>
      <c r="M71" s="17" t="s">
        <v>680</v>
      </c>
      <c r="N71" s="17" t="s">
        <v>14511</v>
      </c>
      <c r="O71" s="17" t="s">
        <v>27286</v>
      </c>
      <c r="P71" s="17" t="str">
        <f>HYPERLINK("https://photon-sol.tinyastro.io/en/lp/FmpwM96nYw2sGUqvrPDJDWjXmvPFGRyvVVataBZxpump?handle=676050794bc1b1657a56b", "View")</f>
        <v>View</v>
      </c>
    </row>
    <row r="72" spans="1:16" x14ac:dyDescent="0.25">
      <c r="A72" s="13" t="s">
        <v>27287</v>
      </c>
      <c r="B72" s="14">
        <v>1967568</v>
      </c>
      <c r="C72" s="14">
        <v>0</v>
      </c>
      <c r="D72" s="14" t="s">
        <v>10157</v>
      </c>
      <c r="E72" s="14" t="s">
        <v>4660</v>
      </c>
      <c r="F72" s="14" t="s">
        <v>96</v>
      </c>
      <c r="G72" s="18" t="s">
        <v>4755</v>
      </c>
      <c r="H72" s="18" t="s">
        <v>98</v>
      </c>
      <c r="I72" s="14" t="s">
        <v>27288</v>
      </c>
      <c r="J72" s="14">
        <v>1</v>
      </c>
      <c r="K72" s="14">
        <v>0</v>
      </c>
      <c r="L72" s="14" t="s">
        <v>3049</v>
      </c>
      <c r="M72" s="19" t="s">
        <v>101</v>
      </c>
      <c r="N72" s="14" t="s">
        <v>27289</v>
      </c>
      <c r="O72" s="14" t="s">
        <v>27290</v>
      </c>
      <c r="P72" s="14" t="str">
        <f>HYPERLINK("https://photon-sol.tinyastro.io/en/lp/XbVkny6kZtrts6RBghbGFM6nqZxXZkhJYfg9vq2pump?handle=676050794bc1b1657a56b", "View")</f>
        <v>View</v>
      </c>
    </row>
    <row r="73" spans="1:16" x14ac:dyDescent="0.25">
      <c r="A73" s="16" t="s">
        <v>27291</v>
      </c>
      <c r="B73" s="17">
        <v>2148291</v>
      </c>
      <c r="C73" s="17">
        <v>2148291</v>
      </c>
      <c r="D73" s="17" t="s">
        <v>19880</v>
      </c>
      <c r="E73" s="17" t="s">
        <v>11856</v>
      </c>
      <c r="F73" s="17" t="s">
        <v>3556</v>
      </c>
      <c r="G73" s="15" t="s">
        <v>26828</v>
      </c>
      <c r="H73" s="15" t="s">
        <v>27292</v>
      </c>
      <c r="I73" s="17" t="s">
        <v>88</v>
      </c>
      <c r="J73" s="17">
        <v>2</v>
      </c>
      <c r="K73" s="17">
        <v>1</v>
      </c>
      <c r="L73" s="17" t="s">
        <v>27293</v>
      </c>
      <c r="M73" s="17" t="s">
        <v>5501</v>
      </c>
      <c r="N73" s="17" t="s">
        <v>5617</v>
      </c>
      <c r="O73" s="17" t="s">
        <v>27294</v>
      </c>
      <c r="P73" s="17" t="str">
        <f>HYPERLINK("https://photon-sol.tinyastro.io/en/lp/GSe5d5ZetEKp2AzJ6VUqSsbFC6UhUVDZYGXtTGRQpump?handle=676050794bc1b1657a56b", "View")</f>
        <v>View</v>
      </c>
    </row>
    <row r="74" spans="1:16" x14ac:dyDescent="0.25">
      <c r="A74" s="13" t="s">
        <v>27295</v>
      </c>
      <c r="B74" s="14">
        <v>3288149</v>
      </c>
      <c r="C74" s="14">
        <v>3288149</v>
      </c>
      <c r="D74" s="14" t="s">
        <v>1762</v>
      </c>
      <c r="E74" s="14" t="s">
        <v>2127</v>
      </c>
      <c r="F74" s="14" t="s">
        <v>17061</v>
      </c>
      <c r="G74" s="20" t="s">
        <v>12738</v>
      </c>
      <c r="H74" s="20" t="s">
        <v>27296</v>
      </c>
      <c r="I74" s="14" t="s">
        <v>88</v>
      </c>
      <c r="J74" s="14">
        <v>1</v>
      </c>
      <c r="K74" s="14">
        <v>1</v>
      </c>
      <c r="L74" s="14" t="s">
        <v>27297</v>
      </c>
      <c r="M74" s="14" t="s">
        <v>179</v>
      </c>
      <c r="N74" s="14" t="s">
        <v>27298</v>
      </c>
      <c r="O74" s="14" t="s">
        <v>27299</v>
      </c>
      <c r="P74" s="14" t="str">
        <f>HYPERLINK("https://photon-sol.tinyastro.io/en/lp/ENHbnNEyUQJpbGVCzqoaw572PLpeakpLebtAaZw5pump?handle=676050794bc1b1657a56b", "View")</f>
        <v>View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B297-BFD6-4150-A966-2B09D7D83818}">
  <dimension ref="A1:P2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HYPERLINK("https://gmgn.ai/sol/address/GbZsEfC5krJMa1gQHvVuBCVGeSbsqR2Sxr151nCfLKa8", "GMGN")</f>
        <v>GMGN</v>
      </c>
    </row>
    <row r="2" spans="1:14" x14ac:dyDescent="0.25">
      <c r="A2" s="3" t="s">
        <v>27300</v>
      </c>
      <c r="B2" s="3" t="s">
        <v>27301</v>
      </c>
      <c r="C2" s="3" t="s">
        <v>18117</v>
      </c>
      <c r="D2" s="3" t="s">
        <v>27302</v>
      </c>
      <c r="E2" s="3" t="s">
        <v>27303</v>
      </c>
      <c r="F2" s="3" t="s">
        <v>18</v>
      </c>
      <c r="G2" s="3" t="s">
        <v>18</v>
      </c>
      <c r="H2" s="3">
        <v>5</v>
      </c>
      <c r="I2" s="3">
        <v>0</v>
      </c>
      <c r="J2" s="3" t="s">
        <v>27304</v>
      </c>
      <c r="K2" s="3" t="s">
        <v>3180</v>
      </c>
      <c r="L2" s="3">
        <v>5</v>
      </c>
      <c r="M2" s="3">
        <v>2</v>
      </c>
      <c r="N2" s="3" t="str">
        <f>HYPERLINK("https://solscan.io/account/GbZsEfC5krJMa1gQHvVuBCVGeSbsqR2Sxr151nCfLKa8", "Solscan")</f>
        <v>Solscan</v>
      </c>
    </row>
    <row r="3" spans="1:14" x14ac:dyDescent="0.25">
      <c r="A3" s="1" t="s">
        <v>21</v>
      </c>
      <c r="B3" s="23" t="s">
        <v>27305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HYPERLINK("https://birdeye.so/profile/GbZsEfC5krJMa1gQHvVuBCVGeSbsqR2Sxr151nCfLKa8", "Birdeye")</f>
        <v>Birdeye</v>
      </c>
    </row>
    <row r="4" spans="1:14" x14ac:dyDescent="0.25">
      <c r="A4" s="1" t="s">
        <v>25</v>
      </c>
      <c r="B4" s="23" t="s">
        <v>15652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21196</v>
      </c>
      <c r="C11" s="1" t="s">
        <v>21196</v>
      </c>
      <c r="D11" s="1" t="s">
        <v>21196</v>
      </c>
      <c r="E11" s="1" t="s">
        <v>21196</v>
      </c>
      <c r="F11" s="1" t="s">
        <v>21196</v>
      </c>
      <c r="G11" s="1" t="s">
        <v>1779</v>
      </c>
      <c r="H11" s="3"/>
      <c r="I11" s="3" t="s">
        <v>50</v>
      </c>
      <c r="J11" s="3" t="s">
        <v>8461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11198</v>
      </c>
      <c r="C12" s="1" t="s">
        <v>32</v>
      </c>
      <c r="D12" s="1" t="s">
        <v>25337</v>
      </c>
      <c r="E12" s="1" t="s">
        <v>9644</v>
      </c>
      <c r="F12" s="1" t="s">
        <v>8334</v>
      </c>
      <c r="G12" s="1" t="s">
        <v>1786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20149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26991</v>
      </c>
      <c r="B20" s="14">
        <v>8959841</v>
      </c>
      <c r="C20" s="14">
        <v>8959841</v>
      </c>
      <c r="D20" s="14" t="s">
        <v>27306</v>
      </c>
      <c r="E20" s="14" t="s">
        <v>14813</v>
      </c>
      <c r="F20" s="14" t="s">
        <v>13832</v>
      </c>
      <c r="G20" s="21" t="s">
        <v>3938</v>
      </c>
      <c r="H20" s="21" t="s">
        <v>27305</v>
      </c>
      <c r="I20" s="14" t="s">
        <v>88</v>
      </c>
      <c r="J20" s="14">
        <v>1</v>
      </c>
      <c r="K20" s="14">
        <v>15</v>
      </c>
      <c r="L20" s="14" t="s">
        <v>26995</v>
      </c>
      <c r="M20" s="14" t="s">
        <v>1566</v>
      </c>
      <c r="N20" s="14" t="s">
        <v>2557</v>
      </c>
      <c r="O20" s="14" t="s">
        <v>26996</v>
      </c>
      <c r="P20" s="14" t="str">
        <f>HYPERLINK("https://photon-sol.tinyastro.io/en/lp/CqBmg5ZUoaPg5Yx5uAKYzpyRcXme2UpVmZ8U5iotpump?handle=676050794bc1b1657a56b", "View")</f>
        <v>View</v>
      </c>
    </row>
    <row r="21" spans="1:16" x14ac:dyDescent="0.25">
      <c r="A21" s="16" t="s">
        <v>19027</v>
      </c>
      <c r="B21" s="17">
        <v>10163367</v>
      </c>
      <c r="C21" s="17">
        <v>10163367</v>
      </c>
      <c r="D21" s="17" t="s">
        <v>21937</v>
      </c>
      <c r="E21" s="17" t="s">
        <v>5720</v>
      </c>
      <c r="F21" s="17" t="s">
        <v>6761</v>
      </c>
      <c r="G21" s="21" t="s">
        <v>8582</v>
      </c>
      <c r="H21" s="21" t="s">
        <v>27307</v>
      </c>
      <c r="I21" s="17" t="s">
        <v>88</v>
      </c>
      <c r="J21" s="17">
        <v>1</v>
      </c>
      <c r="K21" s="17">
        <v>11</v>
      </c>
      <c r="L21" s="17" t="s">
        <v>27037</v>
      </c>
      <c r="M21" s="17" t="s">
        <v>3180</v>
      </c>
      <c r="N21" s="17" t="s">
        <v>27308</v>
      </c>
      <c r="O21" s="17" t="s">
        <v>27039</v>
      </c>
      <c r="P21" s="17" t="str">
        <f>HYPERLINK("https://photon-sol.tinyastro.io/en/lp/HxdzGHd2jLF12UHjgFKCb6zMzgfqGnwRvwKweXmXpump?handle=676050794bc1b1657a56b", "View")</f>
        <v>View</v>
      </c>
    </row>
    <row r="22" spans="1:16" x14ac:dyDescent="0.25">
      <c r="A22" s="13" t="s">
        <v>19027</v>
      </c>
      <c r="B22" s="14">
        <v>8831328</v>
      </c>
      <c r="C22" s="14">
        <v>8831328</v>
      </c>
      <c r="D22" s="14" t="s">
        <v>27309</v>
      </c>
      <c r="E22" s="14" t="s">
        <v>14894</v>
      </c>
      <c r="F22" s="14" t="s">
        <v>6404</v>
      </c>
      <c r="G22" s="21" t="s">
        <v>27310</v>
      </c>
      <c r="H22" s="21" t="s">
        <v>27311</v>
      </c>
      <c r="I22" s="14" t="s">
        <v>88</v>
      </c>
      <c r="J22" s="14">
        <v>1</v>
      </c>
      <c r="K22" s="14">
        <v>58</v>
      </c>
      <c r="L22" s="14" t="s">
        <v>27312</v>
      </c>
      <c r="M22" s="14" t="s">
        <v>3180</v>
      </c>
      <c r="N22" s="14" t="s">
        <v>27313</v>
      </c>
      <c r="O22" s="14" t="s">
        <v>19033</v>
      </c>
      <c r="P22" s="14" t="str">
        <f>HYPERLINK("https://photon-sol.tinyastro.io/en/lp/ALKTKLRTyF3P83KMCAvGEtY4CsoMzvh1k38uixCgpump?handle=676050794bc1b1657a56b", "View")</f>
        <v>View</v>
      </c>
    </row>
    <row r="23" spans="1:16" x14ac:dyDescent="0.25">
      <c r="A23" s="16" t="s">
        <v>4867</v>
      </c>
      <c r="B23" s="17">
        <v>1793028</v>
      </c>
      <c r="C23" s="17">
        <v>1793028</v>
      </c>
      <c r="D23" s="17" t="s">
        <v>20279</v>
      </c>
      <c r="E23" s="17" t="s">
        <v>1424</v>
      </c>
      <c r="F23" s="17" t="s">
        <v>8338</v>
      </c>
      <c r="G23" s="20" t="s">
        <v>27314</v>
      </c>
      <c r="H23" s="20" t="s">
        <v>27315</v>
      </c>
      <c r="I23" s="17" t="s">
        <v>88</v>
      </c>
      <c r="J23" s="17">
        <v>2</v>
      </c>
      <c r="K23" s="17">
        <v>2</v>
      </c>
      <c r="L23" s="17" t="s">
        <v>27049</v>
      </c>
      <c r="M23" s="17" t="s">
        <v>1705</v>
      </c>
      <c r="N23" s="17" t="s">
        <v>27316</v>
      </c>
      <c r="O23" s="17" t="s">
        <v>27016</v>
      </c>
      <c r="P23" s="17" t="str">
        <f>HYPERLINK("https://photon-sol.tinyastro.io/en/lp/BPFXTGBjoARa89gbSvbp7Dy6cQwgGc7efW1jE8nTpump?handle=676050794bc1b1657a56b", "View")</f>
        <v>View</v>
      </c>
    </row>
    <row r="24" spans="1:16" x14ac:dyDescent="0.25">
      <c r="A24" s="13" t="s">
        <v>27017</v>
      </c>
      <c r="B24" s="14">
        <v>11384893</v>
      </c>
      <c r="C24" s="14">
        <v>11384893</v>
      </c>
      <c r="D24" s="14" t="s">
        <v>27317</v>
      </c>
      <c r="E24" s="14" t="s">
        <v>24061</v>
      </c>
      <c r="F24" s="14" t="s">
        <v>2091</v>
      </c>
      <c r="G24" s="22" t="s">
        <v>3413</v>
      </c>
      <c r="H24" s="22" t="s">
        <v>27318</v>
      </c>
      <c r="I24" s="14" t="s">
        <v>88</v>
      </c>
      <c r="J24" s="14">
        <v>1</v>
      </c>
      <c r="K24" s="14">
        <v>25</v>
      </c>
      <c r="L24" s="14" t="s">
        <v>27053</v>
      </c>
      <c r="M24" s="14" t="s">
        <v>1610</v>
      </c>
      <c r="N24" s="14" t="s">
        <v>21946</v>
      </c>
      <c r="O24" s="14" t="s">
        <v>27021</v>
      </c>
      <c r="P24" s="14" t="str">
        <f>HYPERLINK("https://photon-sol.tinyastro.io/en/lp/DirQ7FDi1C5SZCy8ai1GTSvnm9o8MDf9s4C4cExzpump?handle=676050794bc1b1657a56b", "View")</f>
        <v>View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D00F-4AEA-402C-BF52-DC048FD2A615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HYPERLINK("https://gmgn.ai/sol/address/AMv3pP1RBgjN1FDVRAkmUxChxwfxzyF4xbsBZLHs45uQ", "GMGN")</f>
        <v>GMGN</v>
      </c>
    </row>
    <row r="2" spans="1:14" x14ac:dyDescent="0.25">
      <c r="A2" s="3" t="s">
        <v>4262</v>
      </c>
      <c r="B2" s="3" t="s">
        <v>4263</v>
      </c>
      <c r="C2" s="3" t="s">
        <v>4264</v>
      </c>
      <c r="D2" s="3" t="s">
        <v>4265</v>
      </c>
      <c r="E2" s="3" t="s">
        <v>4266</v>
      </c>
      <c r="F2" s="3" t="s">
        <v>18</v>
      </c>
      <c r="G2" s="3" t="s">
        <v>18</v>
      </c>
      <c r="H2" s="3">
        <v>9</v>
      </c>
      <c r="I2" s="3">
        <v>0</v>
      </c>
      <c r="J2" s="3" t="s">
        <v>4267</v>
      </c>
      <c r="K2" s="3" t="s">
        <v>4268</v>
      </c>
      <c r="L2" s="3">
        <v>9</v>
      </c>
      <c r="M2" s="3">
        <v>10</v>
      </c>
      <c r="N2" s="3" t="str">
        <f>HYPERLINK("https://solscan.io/account/AMv3pP1RBgjN1FDVRAkmUxChxwfxzyF4xbsBZLHs45uQ", "Solscan")</f>
        <v>Solscan</v>
      </c>
    </row>
    <row r="3" spans="1:14" x14ac:dyDescent="0.25">
      <c r="A3" s="1" t="s">
        <v>21</v>
      </c>
      <c r="B3" s="4" t="s">
        <v>4269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HYPERLINK("https://birdeye.so/profile/AMv3pP1RBgjN1FDVRAkmUxChxwfxzyF4xbsBZLHs45uQ", "Birdeye")</f>
        <v>Birdeye</v>
      </c>
    </row>
    <row r="4" spans="1:14" x14ac:dyDescent="0.25">
      <c r="A4" s="1" t="s">
        <v>25</v>
      </c>
      <c r="B4" s="3" t="s">
        <v>4270</v>
      </c>
      <c r="C4" s="3"/>
      <c r="D4" s="3" t="s">
        <v>4271</v>
      </c>
      <c r="E4" s="3" t="s">
        <v>4272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4273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2</v>
      </c>
      <c r="D10" s="1">
        <v>1</v>
      </c>
      <c r="E10" s="1">
        <v>0</v>
      </c>
      <c r="F10" s="1">
        <v>1</v>
      </c>
      <c r="G10" s="1">
        <v>5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4274</v>
      </c>
      <c r="D11" s="1" t="s">
        <v>4275</v>
      </c>
      <c r="E11" s="1" t="s">
        <v>1779</v>
      </c>
      <c r="F11" s="1" t="s">
        <v>4275</v>
      </c>
      <c r="G11" s="1" t="s">
        <v>4276</v>
      </c>
      <c r="H11" s="3"/>
      <c r="I11" s="3" t="s">
        <v>50</v>
      </c>
      <c r="J11" s="3" t="s">
        <v>1792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4277</v>
      </c>
      <c r="D12" s="1" t="s">
        <v>4278</v>
      </c>
      <c r="E12" s="1" t="s">
        <v>1786</v>
      </c>
      <c r="F12" s="1" t="s">
        <v>4279</v>
      </c>
      <c r="G12" s="1" t="s">
        <v>4280</v>
      </c>
      <c r="H12" s="3"/>
      <c r="I12" s="3" t="s">
        <v>59</v>
      </c>
      <c r="J12" s="3" t="s">
        <v>1583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4281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4282</v>
      </c>
      <c r="B20" s="14">
        <v>51066275</v>
      </c>
      <c r="C20" s="14">
        <v>0</v>
      </c>
      <c r="D20" s="14" t="s">
        <v>4283</v>
      </c>
      <c r="E20" s="14" t="s">
        <v>4284</v>
      </c>
      <c r="F20" s="14" t="s">
        <v>96</v>
      </c>
      <c r="G20" s="18" t="s">
        <v>4285</v>
      </c>
      <c r="H20" s="18" t="s">
        <v>98</v>
      </c>
      <c r="I20" s="14" t="s">
        <v>4286</v>
      </c>
      <c r="J20" s="14">
        <v>5</v>
      </c>
      <c r="K20" s="14">
        <v>0</v>
      </c>
      <c r="L20" s="14" t="s">
        <v>4287</v>
      </c>
      <c r="M20" s="14" t="s">
        <v>680</v>
      </c>
      <c r="N20" s="14" t="s">
        <v>4288</v>
      </c>
      <c r="O20" s="14" t="s">
        <v>4289</v>
      </c>
      <c r="P20" s="14" t="str">
        <f>HYPERLINK("https://photon-sol.tinyastro.io/en/lp/7JCYtp78ML613Bx8y1JiCk4xcxRBKobZxkh1RdB1pump?handle=676050794bc1b1657a56b", "View")</f>
        <v>View</v>
      </c>
    </row>
    <row r="21" spans="1:16" x14ac:dyDescent="0.25">
      <c r="A21" s="16" t="s">
        <v>4290</v>
      </c>
      <c r="B21" s="17">
        <v>15171239</v>
      </c>
      <c r="C21" s="17">
        <v>15171239</v>
      </c>
      <c r="D21" s="17" t="s">
        <v>4291</v>
      </c>
      <c r="E21" s="17" t="s">
        <v>4292</v>
      </c>
      <c r="F21" s="17" t="s">
        <v>4293</v>
      </c>
      <c r="G21" s="21" t="s">
        <v>4294</v>
      </c>
      <c r="H21" s="21" t="s">
        <v>4295</v>
      </c>
      <c r="I21" s="17" t="s">
        <v>88</v>
      </c>
      <c r="J21" s="17">
        <v>5</v>
      </c>
      <c r="K21" s="17">
        <v>4</v>
      </c>
      <c r="L21" s="17" t="s">
        <v>4296</v>
      </c>
      <c r="M21" s="17" t="s">
        <v>4297</v>
      </c>
      <c r="N21" s="17" t="s">
        <v>4298</v>
      </c>
      <c r="O21" s="17" t="s">
        <v>4299</v>
      </c>
      <c r="P21" s="17" t="str">
        <f>HYPERLINK("https://photon-sol.tinyastro.io/en/lp/CZV28UR7oVe9XpJz1htqBGFtb7CsavpWoKGqFKZTpump?handle=676050794bc1b1657a56b", "View")</f>
        <v>View</v>
      </c>
    </row>
    <row r="22" spans="1:16" x14ac:dyDescent="0.25">
      <c r="A22" s="13" t="s">
        <v>4300</v>
      </c>
      <c r="B22" s="14">
        <v>11076176</v>
      </c>
      <c r="C22" s="14">
        <v>11076176</v>
      </c>
      <c r="D22" s="14" t="s">
        <v>4301</v>
      </c>
      <c r="E22" s="14" t="s">
        <v>4302</v>
      </c>
      <c r="F22" s="14" t="s">
        <v>3280</v>
      </c>
      <c r="G22" s="15" t="s">
        <v>4303</v>
      </c>
      <c r="H22" s="15" t="s">
        <v>4304</v>
      </c>
      <c r="I22" s="14" t="s">
        <v>88</v>
      </c>
      <c r="J22" s="14">
        <v>1</v>
      </c>
      <c r="K22" s="14">
        <v>1</v>
      </c>
      <c r="L22" s="14" t="s">
        <v>4305</v>
      </c>
      <c r="M22" s="14" t="s">
        <v>160</v>
      </c>
      <c r="N22" s="14" t="s">
        <v>4306</v>
      </c>
      <c r="O22" s="14" t="s">
        <v>4307</v>
      </c>
      <c r="P22" s="14" t="str">
        <f>HYPERLINK("https://photon-sol.tinyastro.io/en/lp/DdhFk7hQkJH8ZSEBpPy2WrZKXjGtH8v3T7mnfzyGV6uo?handle=676050794bc1b1657a56b", "View")</f>
        <v>View</v>
      </c>
    </row>
    <row r="23" spans="1:16" x14ac:dyDescent="0.25">
      <c r="A23" s="16" t="s">
        <v>4308</v>
      </c>
      <c r="B23" s="17">
        <v>12091475</v>
      </c>
      <c r="C23" s="17">
        <v>0</v>
      </c>
      <c r="D23" s="17" t="s">
        <v>913</v>
      </c>
      <c r="E23" s="17" t="s">
        <v>4309</v>
      </c>
      <c r="F23" s="17" t="s">
        <v>96</v>
      </c>
      <c r="G23" s="18" t="s">
        <v>4310</v>
      </c>
      <c r="H23" s="18" t="s">
        <v>98</v>
      </c>
      <c r="I23" s="17" t="s">
        <v>4311</v>
      </c>
      <c r="J23" s="17">
        <v>1</v>
      </c>
      <c r="K23" s="17">
        <v>0</v>
      </c>
      <c r="L23" s="17" t="s">
        <v>4312</v>
      </c>
      <c r="M23" s="19" t="s">
        <v>101</v>
      </c>
      <c r="N23" s="17" t="s">
        <v>4313</v>
      </c>
      <c r="O23" s="17" t="s">
        <v>4314</v>
      </c>
      <c r="P23" s="17" t="str">
        <f>HYPERLINK("https://photon-sol.tinyastro.io/en/lp/Hawt2TYkEr4AsLx6Gveo8scbm37mUUZMJyaPzj6Tpump?handle=676050794bc1b1657a56b", "View")</f>
        <v>View</v>
      </c>
    </row>
    <row r="24" spans="1:16" x14ac:dyDescent="0.25">
      <c r="A24" s="13" t="s">
        <v>4315</v>
      </c>
      <c r="B24" s="14">
        <v>28397964</v>
      </c>
      <c r="C24" s="14">
        <v>28397964</v>
      </c>
      <c r="D24" s="14" t="s">
        <v>4316</v>
      </c>
      <c r="E24" s="14" t="s">
        <v>4317</v>
      </c>
      <c r="F24" s="14" t="s">
        <v>4318</v>
      </c>
      <c r="G24" s="21" t="s">
        <v>3015</v>
      </c>
      <c r="H24" s="21" t="s">
        <v>4319</v>
      </c>
      <c r="I24" s="14" t="s">
        <v>88</v>
      </c>
      <c r="J24" s="14">
        <v>2</v>
      </c>
      <c r="K24" s="14">
        <v>2</v>
      </c>
      <c r="L24" s="14" t="s">
        <v>4320</v>
      </c>
      <c r="M24" s="14" t="s">
        <v>117</v>
      </c>
      <c r="N24" s="14" t="s">
        <v>4321</v>
      </c>
      <c r="O24" s="14" t="s">
        <v>4322</v>
      </c>
      <c r="P24" s="14" t="str">
        <f>HYPERLINK("https://photon-sol.tinyastro.io/en/lp/9pwA6BUBMaVdnLjEHyHxuUVFC8jmSoUs321yFp6epump?handle=676050794bc1b1657a56b", "View")</f>
        <v>View</v>
      </c>
    </row>
    <row r="25" spans="1:16" x14ac:dyDescent="0.25">
      <c r="A25" s="16" t="s">
        <v>4323</v>
      </c>
      <c r="B25" s="17">
        <v>12303756</v>
      </c>
      <c r="C25" s="17">
        <v>12303755</v>
      </c>
      <c r="D25" s="17" t="s">
        <v>4324</v>
      </c>
      <c r="E25" s="17" t="s">
        <v>4325</v>
      </c>
      <c r="F25" s="17" t="s">
        <v>4326</v>
      </c>
      <c r="G25" s="20" t="s">
        <v>4327</v>
      </c>
      <c r="H25" s="20" t="s">
        <v>4328</v>
      </c>
      <c r="I25" s="17" t="s">
        <v>88</v>
      </c>
      <c r="J25" s="17">
        <v>1</v>
      </c>
      <c r="K25" s="17">
        <v>1</v>
      </c>
      <c r="L25" s="17" t="s">
        <v>4329</v>
      </c>
      <c r="M25" s="17" t="s">
        <v>179</v>
      </c>
      <c r="N25" s="17" t="s">
        <v>4249</v>
      </c>
      <c r="O25" s="17" t="s">
        <v>4330</v>
      </c>
      <c r="P25" s="17" t="str">
        <f>HYPERLINK("https://photon-sol.tinyastro.io/en/lp/B3xdf465zYUUFXefrJrazPVMGcYxBxzYVUcPXwVppump?handle=676050794bc1b1657a56b", "View")</f>
        <v>View</v>
      </c>
    </row>
    <row r="26" spans="1:16" x14ac:dyDescent="0.25">
      <c r="A26" s="13" t="s">
        <v>4331</v>
      </c>
      <c r="B26" s="14">
        <v>11431514</v>
      </c>
      <c r="C26" s="14">
        <v>11431514</v>
      </c>
      <c r="D26" s="14" t="s">
        <v>4332</v>
      </c>
      <c r="E26" s="14" t="s">
        <v>4333</v>
      </c>
      <c r="F26" s="14" t="s">
        <v>4334</v>
      </c>
      <c r="G26" s="21" t="s">
        <v>4335</v>
      </c>
      <c r="H26" s="21" t="s">
        <v>4336</v>
      </c>
      <c r="I26" s="14" t="s">
        <v>88</v>
      </c>
      <c r="J26" s="14">
        <v>1</v>
      </c>
      <c r="K26" s="14">
        <v>2</v>
      </c>
      <c r="L26" s="14" t="s">
        <v>4337</v>
      </c>
      <c r="M26" s="14" t="s">
        <v>1986</v>
      </c>
      <c r="N26" s="14" t="s">
        <v>4338</v>
      </c>
      <c r="O26" s="14" t="s">
        <v>4339</v>
      </c>
      <c r="P26" s="14" t="str">
        <f>HYPERLINK("https://photon-sol.tinyastro.io/en/lp/GimSK2arRBpobD8WNs63m3pZWUZx2953nUgSLdDRpump?handle=676050794bc1b1657a56b", "View")</f>
        <v>View</v>
      </c>
    </row>
    <row r="27" spans="1:16" x14ac:dyDescent="0.25">
      <c r="A27" s="16" t="s">
        <v>4340</v>
      </c>
      <c r="B27" s="17">
        <v>12687959</v>
      </c>
      <c r="C27" s="17">
        <v>12687959</v>
      </c>
      <c r="D27" s="17" t="s">
        <v>4341</v>
      </c>
      <c r="E27" s="17" t="s">
        <v>4342</v>
      </c>
      <c r="F27" s="17" t="s">
        <v>4343</v>
      </c>
      <c r="G27" s="15" t="s">
        <v>4344</v>
      </c>
      <c r="H27" s="15" t="s">
        <v>4269</v>
      </c>
      <c r="I27" s="17" t="s">
        <v>88</v>
      </c>
      <c r="J27" s="17">
        <v>1</v>
      </c>
      <c r="K27" s="17">
        <v>1</v>
      </c>
      <c r="L27" s="17" t="s">
        <v>4345</v>
      </c>
      <c r="M27" s="17" t="s">
        <v>179</v>
      </c>
      <c r="N27" s="17" t="s">
        <v>2893</v>
      </c>
      <c r="O27" s="17" t="s">
        <v>4346</v>
      </c>
      <c r="P27" s="17" t="str">
        <f>HYPERLINK("https://photon-sol.tinyastro.io/en/lp/5j6AyHUJPMUJ2AvZA22vkVFD1kQ7DgwA7tHqXgiupump?handle=676050794bc1b1657a56b", "View")</f>
        <v>View</v>
      </c>
    </row>
    <row r="28" spans="1:16" x14ac:dyDescent="0.25">
      <c r="A28" s="13" t="s">
        <v>2875</v>
      </c>
      <c r="B28" s="14">
        <v>20227607</v>
      </c>
      <c r="C28" s="14">
        <v>0</v>
      </c>
      <c r="D28" s="14" t="s">
        <v>4347</v>
      </c>
      <c r="E28" s="14" t="s">
        <v>4325</v>
      </c>
      <c r="F28" s="14" t="s">
        <v>96</v>
      </c>
      <c r="G28" s="18" t="s">
        <v>4348</v>
      </c>
      <c r="H28" s="18" t="s">
        <v>98</v>
      </c>
      <c r="I28" s="14" t="s">
        <v>4349</v>
      </c>
      <c r="J28" s="14">
        <v>1</v>
      </c>
      <c r="K28" s="14">
        <v>0</v>
      </c>
      <c r="L28" s="14" t="s">
        <v>4350</v>
      </c>
      <c r="M28" s="19" t="s">
        <v>101</v>
      </c>
      <c r="N28" s="14" t="s">
        <v>1980</v>
      </c>
      <c r="O28" s="14" t="s">
        <v>4351</v>
      </c>
      <c r="P28" s="14" t="str">
        <f>HYPERLINK("https://photon-sol.tinyastro.io/en/lp/F6nqtMCUeV8TsUgwgWvChD6e2n7tDHT4a1zKBnnopump?handle=676050794bc1b1657a56b", "View")</f>
        <v>View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CA98-7868-4307-8CF3-F14D15B6793E}">
  <dimension ref="A1:P49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HYPERLINK("https://gmgn.ai/sol/address/55V4hMbPjQDQcGM4RM4hQWJwbgMvPD1SKRGunMDkrZJy", "GMGN")</f>
        <v>GMGN</v>
      </c>
    </row>
    <row r="2" spans="1:14" x14ac:dyDescent="0.25">
      <c r="A2" s="3" t="s">
        <v>27319</v>
      </c>
      <c r="B2" s="3" t="s">
        <v>27320</v>
      </c>
      <c r="C2" s="3" t="s">
        <v>21597</v>
      </c>
      <c r="D2" s="3" t="s">
        <v>27321</v>
      </c>
      <c r="E2" s="3" t="s">
        <v>27322</v>
      </c>
      <c r="F2" s="3" t="s">
        <v>27323</v>
      </c>
      <c r="G2" s="3" t="s">
        <v>18</v>
      </c>
      <c r="H2" s="3">
        <v>30</v>
      </c>
      <c r="I2" s="3">
        <v>0</v>
      </c>
      <c r="J2" s="3" t="s">
        <v>4558</v>
      </c>
      <c r="K2" s="3" t="s">
        <v>2047</v>
      </c>
      <c r="L2" s="3">
        <v>18</v>
      </c>
      <c r="M2" s="3">
        <v>84</v>
      </c>
      <c r="N2" s="3" t="str">
        <f>HYPERLINK("https://solscan.io/account/55V4hMbPjQDQcGM4RM4hQWJwbgMvPD1SKRGunMDkrZJy", "Solscan")</f>
        <v>Solscan</v>
      </c>
    </row>
    <row r="3" spans="1:14" x14ac:dyDescent="0.25">
      <c r="A3" s="1" t="s">
        <v>21</v>
      </c>
      <c r="B3" s="23" t="s">
        <v>27324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HYPERLINK("https://birdeye.so/profile/55V4hMbPjQDQcGM4RM4hQWJwbgMvPD1SKRGunMDkrZJy", "Birdeye")</f>
        <v>Birdeye</v>
      </c>
    </row>
    <row r="4" spans="1:14" x14ac:dyDescent="0.25">
      <c r="A4" s="1" t="s">
        <v>25</v>
      </c>
      <c r="B4" s="3" t="s">
        <v>19655</v>
      </c>
      <c r="C4" s="3"/>
      <c r="D4" s="3" t="s">
        <v>17851</v>
      </c>
      <c r="E4" s="3" t="s">
        <v>27325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27326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6</v>
      </c>
      <c r="E10" s="1">
        <v>12</v>
      </c>
      <c r="F10" s="1">
        <v>8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7499</v>
      </c>
      <c r="C11" s="1" t="s">
        <v>7499</v>
      </c>
      <c r="D11" s="1" t="s">
        <v>21196</v>
      </c>
      <c r="E11" s="1" t="s">
        <v>27327</v>
      </c>
      <c r="F11" s="1" t="s">
        <v>20141</v>
      </c>
      <c r="G11" s="1" t="s">
        <v>21195</v>
      </c>
      <c r="H11" s="3"/>
      <c r="I11" s="3" t="s">
        <v>50</v>
      </c>
      <c r="J11" s="3" t="s">
        <v>2022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20733</v>
      </c>
      <c r="C12" s="1" t="s">
        <v>22699</v>
      </c>
      <c r="D12" s="1" t="s">
        <v>27328</v>
      </c>
      <c r="E12" s="1" t="s">
        <v>11201</v>
      </c>
      <c r="F12" s="1" t="s">
        <v>4366</v>
      </c>
      <c r="G12" s="1" t="s">
        <v>9495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15569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27329</v>
      </c>
      <c r="B20" s="14">
        <v>18118699</v>
      </c>
      <c r="C20" s="14">
        <v>18118699</v>
      </c>
      <c r="D20" s="14" t="s">
        <v>10737</v>
      </c>
      <c r="E20" s="14" t="s">
        <v>27330</v>
      </c>
      <c r="F20" s="14" t="s">
        <v>15576</v>
      </c>
      <c r="G20" s="22" t="s">
        <v>4945</v>
      </c>
      <c r="H20" s="22" t="s">
        <v>27331</v>
      </c>
      <c r="I20" s="14" t="s">
        <v>88</v>
      </c>
      <c r="J20" s="14">
        <v>1</v>
      </c>
      <c r="K20" s="14">
        <v>1</v>
      </c>
      <c r="L20" s="14" t="s">
        <v>27332</v>
      </c>
      <c r="M20" s="14" t="s">
        <v>5922</v>
      </c>
      <c r="N20" s="14" t="s">
        <v>507</v>
      </c>
      <c r="O20" s="14" t="s">
        <v>27333</v>
      </c>
      <c r="P20" s="14" t="str">
        <f>HYPERLINK("https://photon-sol.tinyastro.io/en/lp/5kQ4r5fERmhhQZjTp7ULkVpeKRwSx9QigwRLeGwvpump?handle=676050794bc1b1657a56b", "View")</f>
        <v>View</v>
      </c>
    </row>
    <row r="21" spans="1:16" x14ac:dyDescent="0.25">
      <c r="A21" s="16" t="s">
        <v>4331</v>
      </c>
      <c r="B21" s="17">
        <v>7581104</v>
      </c>
      <c r="C21" s="17">
        <v>7581104</v>
      </c>
      <c r="D21" s="17" t="s">
        <v>10737</v>
      </c>
      <c r="E21" s="17" t="s">
        <v>27330</v>
      </c>
      <c r="F21" s="17" t="s">
        <v>21736</v>
      </c>
      <c r="G21" s="22" t="s">
        <v>4989</v>
      </c>
      <c r="H21" s="22" t="s">
        <v>27334</v>
      </c>
      <c r="I21" s="17" t="s">
        <v>88</v>
      </c>
      <c r="J21" s="17">
        <v>1</v>
      </c>
      <c r="K21" s="17">
        <v>1</v>
      </c>
      <c r="L21" s="17" t="s">
        <v>27335</v>
      </c>
      <c r="M21" s="17" t="s">
        <v>1434</v>
      </c>
      <c r="N21" s="17" t="s">
        <v>27336</v>
      </c>
      <c r="O21" s="17" t="s">
        <v>4339</v>
      </c>
      <c r="P21" s="17" t="str">
        <f>HYPERLINK("https://photon-sol.tinyastro.io/en/lp/GimSK2arRBpobD8WNs63m3pZWUZx2953nUgSLdDRpump?handle=676050794bc1b1657a56b", "View")</f>
        <v>View</v>
      </c>
    </row>
    <row r="22" spans="1:16" x14ac:dyDescent="0.25">
      <c r="A22" s="13" t="s">
        <v>27337</v>
      </c>
      <c r="B22" s="14">
        <v>5134001</v>
      </c>
      <c r="C22" s="14">
        <v>5134001</v>
      </c>
      <c r="D22" s="14" t="s">
        <v>10737</v>
      </c>
      <c r="E22" s="14" t="s">
        <v>14865</v>
      </c>
      <c r="F22" s="14" t="s">
        <v>3046</v>
      </c>
      <c r="G22" s="20" t="s">
        <v>5299</v>
      </c>
      <c r="H22" s="20" t="s">
        <v>27338</v>
      </c>
      <c r="I22" s="14" t="s">
        <v>88</v>
      </c>
      <c r="J22" s="14">
        <v>1</v>
      </c>
      <c r="K22" s="14">
        <v>1</v>
      </c>
      <c r="L22" s="14" t="s">
        <v>27339</v>
      </c>
      <c r="M22" s="14" t="s">
        <v>4922</v>
      </c>
      <c r="N22" s="14" t="s">
        <v>27340</v>
      </c>
      <c r="O22" s="14" t="s">
        <v>27341</v>
      </c>
      <c r="P22" s="14" t="str">
        <f>HYPERLINK("https://dexscreener.com/solana/34b3pMvjMC8s1R6dNEEKRn2WSRbo9BB1v9hDKzeSDgEC", "View")</f>
        <v>View</v>
      </c>
    </row>
    <row r="23" spans="1:16" x14ac:dyDescent="0.25">
      <c r="A23" s="16" t="s">
        <v>27342</v>
      </c>
      <c r="B23" s="17">
        <v>17267508</v>
      </c>
      <c r="C23" s="17">
        <v>17267508</v>
      </c>
      <c r="D23" s="17" t="s">
        <v>10737</v>
      </c>
      <c r="E23" s="17" t="s">
        <v>13588</v>
      </c>
      <c r="F23" s="17" t="s">
        <v>14032</v>
      </c>
      <c r="G23" s="20" t="s">
        <v>4066</v>
      </c>
      <c r="H23" s="20" t="s">
        <v>24067</v>
      </c>
      <c r="I23" s="17" t="s">
        <v>88</v>
      </c>
      <c r="J23" s="17">
        <v>1</v>
      </c>
      <c r="K23" s="17">
        <v>1</v>
      </c>
      <c r="L23" s="17" t="s">
        <v>27343</v>
      </c>
      <c r="M23" s="17" t="s">
        <v>2047</v>
      </c>
      <c r="N23" s="17" t="s">
        <v>507</v>
      </c>
      <c r="O23" s="17" t="s">
        <v>27344</v>
      </c>
      <c r="P23" s="17" t="str">
        <f>HYPERLINK("https://photon-sol.tinyastro.io/en/lp/8aPYTjptzaRcL56QGoZSUW5bB3Vs8d5rpRgSLWMFpump?handle=676050794bc1b1657a56b", "View")</f>
        <v>View</v>
      </c>
    </row>
    <row r="24" spans="1:16" x14ac:dyDescent="0.25">
      <c r="A24" s="13" t="s">
        <v>27345</v>
      </c>
      <c r="B24" s="14">
        <v>12528978</v>
      </c>
      <c r="C24" s="14">
        <v>12528978</v>
      </c>
      <c r="D24" s="14" t="s">
        <v>10737</v>
      </c>
      <c r="E24" s="14" t="s">
        <v>1976</v>
      </c>
      <c r="F24" s="14" t="s">
        <v>4240</v>
      </c>
      <c r="G24" s="20" t="s">
        <v>2538</v>
      </c>
      <c r="H24" s="20" t="s">
        <v>27346</v>
      </c>
      <c r="I24" s="14" t="s">
        <v>88</v>
      </c>
      <c r="J24" s="14">
        <v>1</v>
      </c>
      <c r="K24" s="14">
        <v>1</v>
      </c>
      <c r="L24" s="14" t="s">
        <v>27347</v>
      </c>
      <c r="M24" s="14" t="s">
        <v>3180</v>
      </c>
      <c r="N24" s="14" t="s">
        <v>6812</v>
      </c>
      <c r="O24" s="14" t="s">
        <v>27348</v>
      </c>
      <c r="P24" s="14" t="str">
        <f>HYPERLINK("https://photon-sol.tinyastro.io/en/lp/AbhYZvSXK5V6URzfQcnoL23h5BhusQB2H2RVtqbVpump?handle=676050794bc1b1657a56b", "View")</f>
        <v>View</v>
      </c>
    </row>
    <row r="25" spans="1:16" x14ac:dyDescent="0.25">
      <c r="A25" s="16" t="s">
        <v>27349</v>
      </c>
      <c r="B25" s="17">
        <v>26206401</v>
      </c>
      <c r="C25" s="17">
        <v>22643063</v>
      </c>
      <c r="D25" s="17" t="s">
        <v>27350</v>
      </c>
      <c r="E25" s="17" t="s">
        <v>9376</v>
      </c>
      <c r="F25" s="17" t="s">
        <v>27351</v>
      </c>
      <c r="G25" s="21" t="s">
        <v>27352</v>
      </c>
      <c r="H25" s="21" t="s">
        <v>27353</v>
      </c>
      <c r="I25" s="17" t="s">
        <v>88</v>
      </c>
      <c r="J25" s="17">
        <v>1</v>
      </c>
      <c r="K25" s="17">
        <v>16</v>
      </c>
      <c r="L25" s="17" t="s">
        <v>27354</v>
      </c>
      <c r="M25" s="17" t="s">
        <v>179</v>
      </c>
      <c r="N25" s="17" t="s">
        <v>27355</v>
      </c>
      <c r="O25" s="17" t="s">
        <v>27356</v>
      </c>
      <c r="P25" s="17" t="str">
        <f>HYPERLINK("https://dexscreener.com/solana/73y2d48ndV9fwGgL99iYagD27a2UMxCxLcNaDKzpump", "View")</f>
        <v>View</v>
      </c>
    </row>
    <row r="26" spans="1:16" x14ac:dyDescent="0.25">
      <c r="A26" s="13" t="s">
        <v>27357</v>
      </c>
      <c r="B26" s="14">
        <v>5231038</v>
      </c>
      <c r="C26" s="14">
        <v>5231038</v>
      </c>
      <c r="D26" s="14" t="s">
        <v>4389</v>
      </c>
      <c r="E26" s="14" t="s">
        <v>3473</v>
      </c>
      <c r="F26" s="14" t="s">
        <v>27358</v>
      </c>
      <c r="G26" s="22" t="s">
        <v>27359</v>
      </c>
      <c r="H26" s="22" t="s">
        <v>27360</v>
      </c>
      <c r="I26" s="14" t="s">
        <v>88</v>
      </c>
      <c r="J26" s="14">
        <v>1</v>
      </c>
      <c r="K26" s="14">
        <v>1</v>
      </c>
      <c r="L26" s="14" t="s">
        <v>27361</v>
      </c>
      <c r="M26" s="14" t="s">
        <v>1957</v>
      </c>
      <c r="N26" s="14" t="s">
        <v>27362</v>
      </c>
      <c r="O26" s="14" t="s">
        <v>27363</v>
      </c>
      <c r="P26" s="14" t="str">
        <f>HYPERLINK("https://photon-sol.tinyastro.io/en/lp/Dw5ztHRA55p51qmffB64jKgh8HMT7yEpkiKmbwL6N5ie?handle=676050794bc1b1657a56b", "View")</f>
        <v>View</v>
      </c>
    </row>
    <row r="27" spans="1:16" x14ac:dyDescent="0.25">
      <c r="A27" s="16" t="s">
        <v>2602</v>
      </c>
      <c r="B27" s="17">
        <v>36437993</v>
      </c>
      <c r="C27" s="17">
        <v>36437993</v>
      </c>
      <c r="D27" s="17" t="s">
        <v>27364</v>
      </c>
      <c r="E27" s="17" t="s">
        <v>27365</v>
      </c>
      <c r="F27" s="17" t="s">
        <v>27366</v>
      </c>
      <c r="G27" s="21" t="s">
        <v>403</v>
      </c>
      <c r="H27" s="21" t="s">
        <v>27367</v>
      </c>
      <c r="I27" s="17" t="s">
        <v>88</v>
      </c>
      <c r="J27" s="17">
        <v>3</v>
      </c>
      <c r="K27" s="17">
        <v>3</v>
      </c>
      <c r="L27" s="17" t="s">
        <v>27368</v>
      </c>
      <c r="M27" s="17" t="s">
        <v>1705</v>
      </c>
      <c r="N27" s="17" t="s">
        <v>27369</v>
      </c>
      <c r="O27" s="17" t="s">
        <v>22033</v>
      </c>
      <c r="P27" s="17" t="str">
        <f>HYPERLINK("https://dexscreener.com/solana/7KXJouu7ET4CLiBEd83RpuUGPhWgsHNsSRr5WFCgpump", "View")</f>
        <v>View</v>
      </c>
    </row>
    <row r="28" spans="1:16" x14ac:dyDescent="0.25">
      <c r="A28" s="13" t="s">
        <v>12141</v>
      </c>
      <c r="B28" s="14">
        <v>23443930</v>
      </c>
      <c r="C28" s="14">
        <v>23443930</v>
      </c>
      <c r="D28" s="14" t="s">
        <v>10737</v>
      </c>
      <c r="E28" s="14" t="s">
        <v>13260</v>
      </c>
      <c r="F28" s="14" t="s">
        <v>5353</v>
      </c>
      <c r="G28" s="20" t="s">
        <v>4252</v>
      </c>
      <c r="H28" s="20" t="s">
        <v>27370</v>
      </c>
      <c r="I28" s="14" t="s">
        <v>88</v>
      </c>
      <c r="J28" s="14">
        <v>1</v>
      </c>
      <c r="K28" s="14">
        <v>1</v>
      </c>
      <c r="L28" s="14" t="s">
        <v>27371</v>
      </c>
      <c r="M28" s="14" t="s">
        <v>1434</v>
      </c>
      <c r="N28" s="14" t="s">
        <v>1011</v>
      </c>
      <c r="O28" s="14" t="s">
        <v>27372</v>
      </c>
      <c r="P28" s="14" t="str">
        <f>HYPERLINK("https://photon-sol.tinyastro.io/en/lp/8i2g8yN8opaNma9XhZZMxLNRyj5gqUAx9szJVuHSpump?handle=676050794bc1b1657a56b", "View")</f>
        <v>View</v>
      </c>
    </row>
    <row r="29" spans="1:16" x14ac:dyDescent="0.25">
      <c r="A29" s="16" t="s">
        <v>27373</v>
      </c>
      <c r="B29" s="17">
        <v>12917916</v>
      </c>
      <c r="C29" s="17">
        <v>12917916</v>
      </c>
      <c r="D29" s="17" t="s">
        <v>154</v>
      </c>
      <c r="E29" s="17" t="s">
        <v>9815</v>
      </c>
      <c r="F29" s="17" t="s">
        <v>2692</v>
      </c>
      <c r="G29" s="20" t="s">
        <v>14118</v>
      </c>
      <c r="H29" s="20" t="s">
        <v>27374</v>
      </c>
      <c r="I29" s="17" t="s">
        <v>88</v>
      </c>
      <c r="J29" s="17">
        <v>1</v>
      </c>
      <c r="K29" s="17">
        <v>1</v>
      </c>
      <c r="L29" s="17" t="s">
        <v>27375</v>
      </c>
      <c r="M29" s="17" t="s">
        <v>3180</v>
      </c>
      <c r="N29" s="17" t="s">
        <v>1706</v>
      </c>
      <c r="O29" s="17" t="s">
        <v>27376</v>
      </c>
      <c r="P29" s="17" t="str">
        <f>HYPERLINK("https://photon-sol.tinyastro.io/en/lp/5PWxKbFuertFREmF49jeMqhLLLomhjfzRKnCg9Jgpump?handle=676050794bc1b1657a56b", "View")</f>
        <v>View</v>
      </c>
    </row>
    <row r="30" spans="1:16" x14ac:dyDescent="0.25">
      <c r="A30" s="13" t="s">
        <v>27377</v>
      </c>
      <c r="B30" s="14">
        <v>21634418</v>
      </c>
      <c r="C30" s="14">
        <v>21634418</v>
      </c>
      <c r="D30" s="14" t="s">
        <v>19101</v>
      </c>
      <c r="E30" s="14" t="s">
        <v>7850</v>
      </c>
      <c r="F30" s="14" t="s">
        <v>9252</v>
      </c>
      <c r="G30" s="21" t="s">
        <v>27378</v>
      </c>
      <c r="H30" s="21" t="s">
        <v>27379</v>
      </c>
      <c r="I30" s="14" t="s">
        <v>88</v>
      </c>
      <c r="J30" s="14">
        <v>1</v>
      </c>
      <c r="K30" s="14">
        <v>2</v>
      </c>
      <c r="L30" s="14" t="s">
        <v>27380</v>
      </c>
      <c r="M30" s="14" t="s">
        <v>1705</v>
      </c>
      <c r="N30" s="14" t="s">
        <v>8098</v>
      </c>
      <c r="O30" s="14" t="s">
        <v>27381</v>
      </c>
      <c r="P30" s="14" t="str">
        <f>HYPERLINK("https://photon-sol.tinyastro.io/en/lp/BBbu3EUE9SgvnyqdLASXEc5unvgAN27TyYtv4ne2pump?handle=676050794bc1b1657a56b", "View")</f>
        <v>View</v>
      </c>
    </row>
    <row r="31" spans="1:16" x14ac:dyDescent="0.25">
      <c r="A31" s="16" t="s">
        <v>9099</v>
      </c>
      <c r="B31" s="17">
        <v>15063765</v>
      </c>
      <c r="C31" s="17">
        <v>15063765</v>
      </c>
      <c r="D31" s="17" t="s">
        <v>10737</v>
      </c>
      <c r="E31" s="17" t="s">
        <v>12878</v>
      </c>
      <c r="F31" s="17" t="s">
        <v>6418</v>
      </c>
      <c r="G31" s="20" t="s">
        <v>2857</v>
      </c>
      <c r="H31" s="20" t="s">
        <v>27382</v>
      </c>
      <c r="I31" s="17" t="s">
        <v>88</v>
      </c>
      <c r="J31" s="17">
        <v>1</v>
      </c>
      <c r="K31" s="17">
        <v>1</v>
      </c>
      <c r="L31" s="17" t="s">
        <v>27383</v>
      </c>
      <c r="M31" s="19" t="s">
        <v>3492</v>
      </c>
      <c r="N31" s="17" t="s">
        <v>1706</v>
      </c>
      <c r="O31" s="17" t="s">
        <v>27384</v>
      </c>
      <c r="P31" s="17" t="str">
        <f>HYPERLINK("https://photon-sol.tinyastro.io/en/lp/FQ16dVpcAngR75HdNxBWhBwtTbVSZtofbTZC5Kgnpump?handle=676050794bc1b1657a56b", "View")</f>
        <v>View</v>
      </c>
    </row>
    <row r="32" spans="1:16" x14ac:dyDescent="0.25">
      <c r="A32" s="13" t="s">
        <v>27385</v>
      </c>
      <c r="B32" s="14">
        <v>44109564</v>
      </c>
      <c r="C32" s="14">
        <v>44109564</v>
      </c>
      <c r="D32" s="14" t="s">
        <v>27386</v>
      </c>
      <c r="E32" s="14" t="s">
        <v>2596</v>
      </c>
      <c r="F32" s="14" t="s">
        <v>8130</v>
      </c>
      <c r="G32" s="22" t="s">
        <v>17258</v>
      </c>
      <c r="H32" s="22" t="s">
        <v>19628</v>
      </c>
      <c r="I32" s="14" t="s">
        <v>88</v>
      </c>
      <c r="J32" s="14">
        <v>2</v>
      </c>
      <c r="K32" s="14">
        <v>2</v>
      </c>
      <c r="L32" s="14" t="s">
        <v>27387</v>
      </c>
      <c r="M32" s="14" t="s">
        <v>3355</v>
      </c>
      <c r="N32" s="14" t="s">
        <v>8752</v>
      </c>
      <c r="O32" s="14" t="s">
        <v>27388</v>
      </c>
      <c r="P32" s="14" t="str">
        <f>HYPERLINK("https://photon-sol.tinyastro.io/en/lp/CBRkk36QxrtRXahN7QEBsG2ik1ucq1tpSfssdkKZpump?handle=676050794bc1b1657a56b", "View")</f>
        <v>View</v>
      </c>
    </row>
    <row r="33" spans="1:16" x14ac:dyDescent="0.25">
      <c r="A33" s="16" t="s">
        <v>27389</v>
      </c>
      <c r="B33" s="17">
        <v>2827936</v>
      </c>
      <c r="C33" s="17">
        <v>2827936</v>
      </c>
      <c r="D33" s="17" t="s">
        <v>10737</v>
      </c>
      <c r="E33" s="17" t="s">
        <v>4499</v>
      </c>
      <c r="F33" s="17" t="s">
        <v>27390</v>
      </c>
      <c r="G33" s="20" t="s">
        <v>2059</v>
      </c>
      <c r="H33" s="20" t="s">
        <v>27391</v>
      </c>
      <c r="I33" s="17" t="s">
        <v>88</v>
      </c>
      <c r="J33" s="17">
        <v>1</v>
      </c>
      <c r="K33" s="17">
        <v>1</v>
      </c>
      <c r="L33" s="17" t="s">
        <v>27392</v>
      </c>
      <c r="M33" s="19" t="s">
        <v>3231</v>
      </c>
      <c r="N33" s="17" t="s">
        <v>27393</v>
      </c>
      <c r="O33" s="17" t="s">
        <v>27394</v>
      </c>
      <c r="P33" s="17" t="str">
        <f>HYPERLINK("https://dexscreener.com/solana/AjqNDnWMb7W1dnMsmPdMWaPjTn2hidAT5GVERCdApump", "View")</f>
        <v>View</v>
      </c>
    </row>
    <row r="34" spans="1:16" x14ac:dyDescent="0.25">
      <c r="A34" s="13" t="s">
        <v>27395</v>
      </c>
      <c r="B34" s="14">
        <v>18434383</v>
      </c>
      <c r="C34" s="14">
        <v>18434383</v>
      </c>
      <c r="D34" s="14" t="s">
        <v>154</v>
      </c>
      <c r="E34" s="14" t="s">
        <v>3149</v>
      </c>
      <c r="F34" s="14" t="s">
        <v>27396</v>
      </c>
      <c r="G34" s="22" t="s">
        <v>10011</v>
      </c>
      <c r="H34" s="22" t="s">
        <v>27397</v>
      </c>
      <c r="I34" s="14" t="s">
        <v>88</v>
      </c>
      <c r="J34" s="14">
        <v>1</v>
      </c>
      <c r="K34" s="14">
        <v>1</v>
      </c>
      <c r="L34" s="14" t="s">
        <v>27398</v>
      </c>
      <c r="M34" s="14" t="s">
        <v>1566</v>
      </c>
      <c r="N34" s="14" t="s">
        <v>3908</v>
      </c>
      <c r="O34" s="14" t="s">
        <v>27399</v>
      </c>
      <c r="P34" s="14" t="str">
        <f>HYPERLINK("https://photon-sol.tinyastro.io/en/lp/9yEuEhWPAYjy2wAGhArs5rMgmbgz18tqvuPgGHVvpump?handle=676050794bc1b1657a56b", "View")</f>
        <v>View</v>
      </c>
    </row>
    <row r="35" spans="1:16" x14ac:dyDescent="0.25">
      <c r="A35" s="16" t="s">
        <v>27400</v>
      </c>
      <c r="B35" s="17">
        <v>25344388</v>
      </c>
      <c r="C35" s="17">
        <v>25344388</v>
      </c>
      <c r="D35" s="17" t="s">
        <v>27386</v>
      </c>
      <c r="E35" s="17" t="s">
        <v>27401</v>
      </c>
      <c r="F35" s="17" t="s">
        <v>2667</v>
      </c>
      <c r="G35" s="21" t="s">
        <v>3149</v>
      </c>
      <c r="H35" s="21" t="s">
        <v>27402</v>
      </c>
      <c r="I35" s="17" t="s">
        <v>88</v>
      </c>
      <c r="J35" s="17">
        <v>2</v>
      </c>
      <c r="K35" s="17">
        <v>2</v>
      </c>
      <c r="L35" s="17" t="s">
        <v>27403</v>
      </c>
      <c r="M35" s="17" t="s">
        <v>602</v>
      </c>
      <c r="N35" s="17" t="s">
        <v>3026</v>
      </c>
      <c r="O35" s="17" t="s">
        <v>27404</v>
      </c>
      <c r="P35" s="17" t="str">
        <f>HYPERLINK("https://photon-sol.tinyastro.io/en/lp/HjeaZXEkE8f6GtWKjsRsLmGiixGxtFeaY7ryFxHjpump?handle=676050794bc1b1657a56b", "View")</f>
        <v>View</v>
      </c>
    </row>
    <row r="36" spans="1:16" x14ac:dyDescent="0.25">
      <c r="A36" s="13" t="s">
        <v>18067</v>
      </c>
      <c r="B36" s="14">
        <v>31985635</v>
      </c>
      <c r="C36" s="14">
        <v>31985635</v>
      </c>
      <c r="D36" s="14" t="s">
        <v>27405</v>
      </c>
      <c r="E36" s="14" t="s">
        <v>2637</v>
      </c>
      <c r="F36" s="14" t="s">
        <v>27406</v>
      </c>
      <c r="G36" s="21" t="s">
        <v>19308</v>
      </c>
      <c r="H36" s="21" t="s">
        <v>27407</v>
      </c>
      <c r="I36" s="14" t="s">
        <v>88</v>
      </c>
      <c r="J36" s="14">
        <v>3</v>
      </c>
      <c r="K36" s="14">
        <v>1</v>
      </c>
      <c r="L36" s="14" t="s">
        <v>27408</v>
      </c>
      <c r="M36" s="14" t="s">
        <v>2403</v>
      </c>
      <c r="N36" s="14" t="s">
        <v>8702</v>
      </c>
      <c r="O36" s="14" t="s">
        <v>18072</v>
      </c>
      <c r="P36" s="14" t="str">
        <f>HYPERLINK("https://dexscreener.com/solana/GcP5RKfcNHoweAKz1D2nQ3MUwug3FGSKceacK88Epump", "View")</f>
        <v>View</v>
      </c>
    </row>
    <row r="37" spans="1:16" x14ac:dyDescent="0.25">
      <c r="A37" s="16" t="s">
        <v>27409</v>
      </c>
      <c r="B37" s="17">
        <v>4299311</v>
      </c>
      <c r="C37" s="17">
        <v>4299311</v>
      </c>
      <c r="D37" s="17" t="s">
        <v>10737</v>
      </c>
      <c r="E37" s="17" t="s">
        <v>4499</v>
      </c>
      <c r="F37" s="17" t="s">
        <v>1839</v>
      </c>
      <c r="G37" s="21" t="s">
        <v>15576</v>
      </c>
      <c r="H37" s="21" t="s">
        <v>27410</v>
      </c>
      <c r="I37" s="17" t="s">
        <v>88</v>
      </c>
      <c r="J37" s="17">
        <v>1</v>
      </c>
      <c r="K37" s="17">
        <v>1</v>
      </c>
      <c r="L37" s="17" t="s">
        <v>27411</v>
      </c>
      <c r="M37" s="17" t="s">
        <v>2047</v>
      </c>
      <c r="N37" s="17" t="s">
        <v>27412</v>
      </c>
      <c r="O37" s="17" t="s">
        <v>27413</v>
      </c>
      <c r="P37" s="17" t="str">
        <f>HYPERLINK("https://dexscreener.com/solana/DwGJNktdqxH2n6rvQ2MYbMFNzxp8zD5EEGEU59Qapump", "View")</f>
        <v>View</v>
      </c>
    </row>
    <row r="38" spans="1:16" x14ac:dyDescent="0.25">
      <c r="A38" s="13" t="s">
        <v>1836</v>
      </c>
      <c r="B38" s="14">
        <v>9619696</v>
      </c>
      <c r="C38" s="14">
        <v>9619696</v>
      </c>
      <c r="D38" s="14" t="s">
        <v>10737</v>
      </c>
      <c r="E38" s="14" t="s">
        <v>1007</v>
      </c>
      <c r="F38" s="14" t="s">
        <v>13771</v>
      </c>
      <c r="G38" s="22" t="s">
        <v>3912</v>
      </c>
      <c r="H38" s="22" t="s">
        <v>27414</v>
      </c>
      <c r="I38" s="14" t="s">
        <v>88</v>
      </c>
      <c r="J38" s="14">
        <v>1</v>
      </c>
      <c r="K38" s="14">
        <v>1</v>
      </c>
      <c r="L38" s="14" t="s">
        <v>27415</v>
      </c>
      <c r="M38" s="19" t="s">
        <v>2853</v>
      </c>
      <c r="N38" s="14" t="s">
        <v>27416</v>
      </c>
      <c r="O38" s="14" t="s">
        <v>26809</v>
      </c>
      <c r="P38" s="14" t="str">
        <f>HYPERLINK("https://dexscreener.com/solana/265sKc6C7wRcEkuLqzPCWUziHCqsp2Q1gXJo2H9Bpump", "View")</f>
        <v>View</v>
      </c>
    </row>
    <row r="39" spans="1:16" x14ac:dyDescent="0.25">
      <c r="A39" s="16" t="s">
        <v>10179</v>
      </c>
      <c r="B39" s="17">
        <v>9205703</v>
      </c>
      <c r="C39" s="17">
        <v>9205703</v>
      </c>
      <c r="D39" s="17" t="s">
        <v>10737</v>
      </c>
      <c r="E39" s="17" t="s">
        <v>7792</v>
      </c>
      <c r="F39" s="17" t="s">
        <v>2127</v>
      </c>
      <c r="G39" s="15" t="s">
        <v>17566</v>
      </c>
      <c r="H39" s="15" t="s">
        <v>27417</v>
      </c>
      <c r="I39" s="17" t="s">
        <v>88</v>
      </c>
      <c r="J39" s="17">
        <v>1</v>
      </c>
      <c r="K39" s="17">
        <v>1</v>
      </c>
      <c r="L39" s="17" t="s">
        <v>27418</v>
      </c>
      <c r="M39" s="17" t="s">
        <v>1932</v>
      </c>
      <c r="N39" s="17" t="s">
        <v>27419</v>
      </c>
      <c r="O39" s="17" t="s">
        <v>27420</v>
      </c>
      <c r="P39" s="17" t="str">
        <f>HYPERLINK("https://photon-sol.tinyastro.io/en/lp/fRR2kmbzcpKJffYApnbsDR5sneYe6XHAQc9zbNypump?handle=676050794bc1b1657a56b", "View")</f>
        <v>View</v>
      </c>
    </row>
    <row r="40" spans="1:16" x14ac:dyDescent="0.25">
      <c r="A40" s="13" t="s">
        <v>17746</v>
      </c>
      <c r="B40" s="14">
        <v>7777684</v>
      </c>
      <c r="C40" s="14">
        <v>7777684</v>
      </c>
      <c r="D40" s="14" t="s">
        <v>17949</v>
      </c>
      <c r="E40" s="14" t="s">
        <v>3489</v>
      </c>
      <c r="F40" s="14" t="s">
        <v>3771</v>
      </c>
      <c r="G40" s="22" t="s">
        <v>4141</v>
      </c>
      <c r="H40" s="22" t="s">
        <v>16049</v>
      </c>
      <c r="I40" s="14" t="s">
        <v>88</v>
      </c>
      <c r="J40" s="14">
        <v>1</v>
      </c>
      <c r="K40" s="14">
        <v>1</v>
      </c>
      <c r="L40" s="14" t="s">
        <v>27421</v>
      </c>
      <c r="M40" s="14" t="s">
        <v>699</v>
      </c>
      <c r="N40" s="14" t="s">
        <v>507</v>
      </c>
      <c r="O40" s="14" t="s">
        <v>27422</v>
      </c>
      <c r="P40" s="14" t="str">
        <f>HYPERLINK("https://photon-sol.tinyastro.io/en/lp/5cNyrS8y33RwMVBAUTi9VcNZnGDbmwqHUK5NN8jVJH9N?handle=676050794bc1b1657a56b", "View")</f>
        <v>View</v>
      </c>
    </row>
    <row r="41" spans="1:16" x14ac:dyDescent="0.25">
      <c r="A41" s="16" t="s">
        <v>27423</v>
      </c>
      <c r="B41" s="17">
        <v>11680113</v>
      </c>
      <c r="C41" s="17">
        <v>11680113</v>
      </c>
      <c r="D41" s="17" t="s">
        <v>10737</v>
      </c>
      <c r="E41" s="17" t="s">
        <v>15317</v>
      </c>
      <c r="F41" s="17" t="s">
        <v>27424</v>
      </c>
      <c r="G41" s="22" t="s">
        <v>3897</v>
      </c>
      <c r="H41" s="22" t="s">
        <v>27425</v>
      </c>
      <c r="I41" s="17" t="s">
        <v>88</v>
      </c>
      <c r="J41" s="17">
        <v>1</v>
      </c>
      <c r="K41" s="17">
        <v>1</v>
      </c>
      <c r="L41" s="17" t="s">
        <v>27426</v>
      </c>
      <c r="M41" s="17" t="s">
        <v>3136</v>
      </c>
      <c r="N41" s="17" t="s">
        <v>27427</v>
      </c>
      <c r="O41" s="17" t="s">
        <v>27428</v>
      </c>
      <c r="P41" s="17" t="str">
        <f>HYPERLINK("https://dexscreener.com/solana/4CL3LCcKnixvys5yyxdFQyPeAX72aA2pGYxfxFY6pump", "View")</f>
        <v>View</v>
      </c>
    </row>
    <row r="42" spans="1:16" x14ac:dyDescent="0.25">
      <c r="A42" s="13" t="s">
        <v>11291</v>
      </c>
      <c r="B42" s="14">
        <v>19546096</v>
      </c>
      <c r="C42" s="14">
        <v>19546096</v>
      </c>
      <c r="D42" s="14" t="s">
        <v>10737</v>
      </c>
      <c r="E42" s="14" t="s">
        <v>13588</v>
      </c>
      <c r="F42" s="14" t="s">
        <v>27429</v>
      </c>
      <c r="G42" s="22" t="s">
        <v>13760</v>
      </c>
      <c r="H42" s="22" t="s">
        <v>27430</v>
      </c>
      <c r="I42" s="14" t="s">
        <v>88</v>
      </c>
      <c r="J42" s="14">
        <v>1</v>
      </c>
      <c r="K42" s="14">
        <v>1</v>
      </c>
      <c r="L42" s="14" t="s">
        <v>27431</v>
      </c>
      <c r="M42" s="14" t="s">
        <v>1448</v>
      </c>
      <c r="N42" s="14" t="s">
        <v>22085</v>
      </c>
      <c r="O42" s="14" t="s">
        <v>18326</v>
      </c>
      <c r="P42" s="14" t="str">
        <f>HYPERLINK("https://photon-sol.tinyastro.io/en/lp/Fd1MDcNFVr68mgraB2t2q8o1XsCseFt5nwnEHDtMpump?handle=676050794bc1b1657a56b", "View")</f>
        <v>View</v>
      </c>
    </row>
    <row r="43" spans="1:16" x14ac:dyDescent="0.25">
      <c r="A43" s="16" t="s">
        <v>27432</v>
      </c>
      <c r="B43" s="17">
        <v>1289766</v>
      </c>
      <c r="C43" s="17">
        <v>1289766</v>
      </c>
      <c r="D43" s="17" t="s">
        <v>19057</v>
      </c>
      <c r="E43" s="17" t="s">
        <v>5471</v>
      </c>
      <c r="F43" s="17" t="s">
        <v>27014</v>
      </c>
      <c r="G43" s="20" t="s">
        <v>4739</v>
      </c>
      <c r="H43" s="20" t="s">
        <v>27433</v>
      </c>
      <c r="I43" s="17" t="s">
        <v>88</v>
      </c>
      <c r="J43" s="17">
        <v>1</v>
      </c>
      <c r="K43" s="17">
        <v>1</v>
      </c>
      <c r="L43" s="17" t="s">
        <v>27434</v>
      </c>
      <c r="M43" s="17" t="s">
        <v>3180</v>
      </c>
      <c r="N43" s="17" t="s">
        <v>27435</v>
      </c>
      <c r="O43" s="17" t="s">
        <v>27436</v>
      </c>
      <c r="P43" s="17" t="str">
        <f>HYPERLINK("https://photon-sol.tinyastro.io/en/lp/Monkv6a5h2hrfpQzyKdWp9vUxTRGbzWX89zsZ1QTj4F?handle=676050794bc1b1657a56b", "View")</f>
        <v>View</v>
      </c>
    </row>
    <row r="44" spans="1:16" x14ac:dyDescent="0.25">
      <c r="A44" s="13" t="s">
        <v>21515</v>
      </c>
      <c r="B44" s="14">
        <v>1224602</v>
      </c>
      <c r="C44" s="14">
        <v>1224602</v>
      </c>
      <c r="D44" s="14" t="s">
        <v>1289</v>
      </c>
      <c r="E44" s="14" t="s">
        <v>1007</v>
      </c>
      <c r="F44" s="14" t="s">
        <v>27437</v>
      </c>
      <c r="G44" s="21" t="s">
        <v>27438</v>
      </c>
      <c r="H44" s="21" t="s">
        <v>27439</v>
      </c>
      <c r="I44" s="14" t="s">
        <v>88</v>
      </c>
      <c r="J44" s="14">
        <v>1</v>
      </c>
      <c r="K44" s="14">
        <v>1</v>
      </c>
      <c r="L44" s="14" t="s">
        <v>27440</v>
      </c>
      <c r="M44" s="14" t="s">
        <v>1610</v>
      </c>
      <c r="N44" s="14" t="s">
        <v>27441</v>
      </c>
      <c r="O44" s="14" t="s">
        <v>21520</v>
      </c>
      <c r="P44" s="14" t="str">
        <f>HYPERLINK("https://dexscreener.com/solana/9MnSGZn2PMMpo21SiMjCMnUnhh8JpFWE8xy9gtzGpump", "View")</f>
        <v>View</v>
      </c>
    </row>
    <row r="45" spans="1:16" x14ac:dyDescent="0.25">
      <c r="A45" s="16" t="s">
        <v>19893</v>
      </c>
      <c r="B45" s="17">
        <v>3159256</v>
      </c>
      <c r="C45" s="17">
        <v>3159256</v>
      </c>
      <c r="D45" s="17" t="s">
        <v>20588</v>
      </c>
      <c r="E45" s="17" t="s">
        <v>20221</v>
      </c>
      <c r="F45" s="17" t="s">
        <v>21912</v>
      </c>
      <c r="G45" s="22" t="s">
        <v>6151</v>
      </c>
      <c r="H45" s="22" t="s">
        <v>27442</v>
      </c>
      <c r="I45" s="17" t="s">
        <v>88</v>
      </c>
      <c r="J45" s="17">
        <v>1</v>
      </c>
      <c r="K45" s="17">
        <v>1</v>
      </c>
      <c r="L45" s="17" t="s">
        <v>27443</v>
      </c>
      <c r="M45" s="19" t="s">
        <v>3231</v>
      </c>
      <c r="N45" s="17" t="s">
        <v>27444</v>
      </c>
      <c r="O45" s="17" t="s">
        <v>19898</v>
      </c>
      <c r="P45" s="17" t="str">
        <f>HYPERLINK("https://photon-sol.tinyastro.io/en/lp/HTz8NdeEZEGNT7niWdkAohgqpFeMZAXmTTP7zkEtpump?handle=676050794bc1b1657a56b", "View")</f>
        <v>View</v>
      </c>
    </row>
    <row r="46" spans="1:16" x14ac:dyDescent="0.25">
      <c r="A46" s="13" t="s">
        <v>27445</v>
      </c>
      <c r="B46" s="14">
        <v>1549542</v>
      </c>
      <c r="C46" s="14">
        <v>1549542</v>
      </c>
      <c r="D46" s="14" t="s">
        <v>1289</v>
      </c>
      <c r="E46" s="14" t="s">
        <v>2200</v>
      </c>
      <c r="F46" s="14" t="s">
        <v>5424</v>
      </c>
      <c r="G46" s="15" t="s">
        <v>3564</v>
      </c>
      <c r="H46" s="15" t="s">
        <v>27446</v>
      </c>
      <c r="I46" s="14" t="s">
        <v>88</v>
      </c>
      <c r="J46" s="14">
        <v>1</v>
      </c>
      <c r="K46" s="14">
        <v>1</v>
      </c>
      <c r="L46" s="14" t="s">
        <v>27447</v>
      </c>
      <c r="M46" s="14" t="s">
        <v>745</v>
      </c>
      <c r="N46" s="14" t="s">
        <v>507</v>
      </c>
      <c r="O46" s="14" t="s">
        <v>27448</v>
      </c>
      <c r="P46" s="14" t="str">
        <f>HYPERLINK("https://dexscreener.com/solana/ETcyc5aEdHFRXjQsuXqGDMxMJYRGHPaGhbAf1oFKDZgU", "View")</f>
        <v>View</v>
      </c>
    </row>
    <row r="47" spans="1:16" x14ac:dyDescent="0.25">
      <c r="A47" s="16" t="s">
        <v>4513</v>
      </c>
      <c r="B47" s="17">
        <v>1765497</v>
      </c>
      <c r="C47" s="17">
        <v>1765497</v>
      </c>
      <c r="D47" s="17" t="s">
        <v>883</v>
      </c>
      <c r="E47" s="17" t="s">
        <v>1007</v>
      </c>
      <c r="F47" s="17" t="s">
        <v>2177</v>
      </c>
      <c r="G47" s="21" t="s">
        <v>27449</v>
      </c>
      <c r="H47" s="21" t="s">
        <v>27450</v>
      </c>
      <c r="I47" s="17" t="s">
        <v>88</v>
      </c>
      <c r="J47" s="17">
        <v>1</v>
      </c>
      <c r="K47" s="17">
        <v>1</v>
      </c>
      <c r="L47" s="17" t="s">
        <v>27451</v>
      </c>
      <c r="M47" s="17" t="s">
        <v>937</v>
      </c>
      <c r="N47" s="17" t="s">
        <v>27452</v>
      </c>
      <c r="O47" s="17" t="s">
        <v>4517</v>
      </c>
      <c r="P47" s="17" t="str">
        <f>HYPERLINK("https://dexscreener.com/solana/EWy1HPEUq4Lgm6H4pQ8augEuJ7WRwJgENZMTAUzrpump", "View")</f>
        <v>View</v>
      </c>
    </row>
    <row r="48" spans="1:16" x14ac:dyDescent="0.25">
      <c r="A48" s="13" t="s">
        <v>27453</v>
      </c>
      <c r="B48" s="14">
        <v>8088452</v>
      </c>
      <c r="C48" s="14">
        <v>8088452</v>
      </c>
      <c r="D48" s="14" t="s">
        <v>883</v>
      </c>
      <c r="E48" s="14" t="s">
        <v>2200</v>
      </c>
      <c r="F48" s="14" t="s">
        <v>5471</v>
      </c>
      <c r="G48" s="22" t="s">
        <v>4555</v>
      </c>
      <c r="H48" s="22" t="s">
        <v>27454</v>
      </c>
      <c r="I48" s="14" t="s">
        <v>88</v>
      </c>
      <c r="J48" s="14">
        <v>1</v>
      </c>
      <c r="K48" s="14">
        <v>1</v>
      </c>
      <c r="L48" s="14" t="s">
        <v>27455</v>
      </c>
      <c r="M48" s="14" t="s">
        <v>2047</v>
      </c>
      <c r="N48" s="14" t="s">
        <v>15363</v>
      </c>
      <c r="O48" s="14" t="s">
        <v>27456</v>
      </c>
      <c r="P48" s="14" t="str">
        <f>HYPERLINK("https://dexscreener.com/solana/FE3ZEyfJ86c4eH6pTHwHu2m1gyQPBxdirTeroUXGpump", "View")</f>
        <v>View</v>
      </c>
    </row>
    <row r="49" spans="1:16" x14ac:dyDescent="0.25">
      <c r="A49" s="16" t="s">
        <v>27457</v>
      </c>
      <c r="B49" s="17">
        <v>32408216</v>
      </c>
      <c r="C49" s="17">
        <v>32408216</v>
      </c>
      <c r="D49" s="17" t="s">
        <v>883</v>
      </c>
      <c r="E49" s="17" t="s">
        <v>12762</v>
      </c>
      <c r="F49" s="17" t="s">
        <v>27458</v>
      </c>
      <c r="G49" s="22" t="s">
        <v>2554</v>
      </c>
      <c r="H49" s="22" t="s">
        <v>27459</v>
      </c>
      <c r="I49" s="17" t="s">
        <v>88</v>
      </c>
      <c r="J49" s="17">
        <v>1</v>
      </c>
      <c r="K49" s="17">
        <v>1</v>
      </c>
      <c r="L49" s="17" t="s">
        <v>27460</v>
      </c>
      <c r="M49" s="17" t="s">
        <v>1809</v>
      </c>
      <c r="N49" s="17" t="s">
        <v>507</v>
      </c>
      <c r="O49" s="17" t="s">
        <v>27461</v>
      </c>
      <c r="P49" s="17" t="str">
        <f>HYPERLINK("https://photon-sol.tinyastro.io/en/lp/CxWrRKENNyVi5guZrD8Q5yurTy4mGKS8cYe11sRCpump?handle=676050794bc1b1657a56b", "View")</f>
        <v>View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BA7B-672F-4244-BE67-205B1F245E38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HYPERLINK("https://gmgn.ai/sol/address/7DAMCyYSf3PpNn6jVzcrC3tyBQ5tD45JMajpKBocboHW", "GMGN")</f>
        <v>GMGN</v>
      </c>
    </row>
    <row r="2" spans="1:14" x14ac:dyDescent="0.25">
      <c r="A2" s="3" t="s">
        <v>27462</v>
      </c>
      <c r="B2" s="3" t="s">
        <v>27463</v>
      </c>
      <c r="C2" s="3" t="s">
        <v>27464</v>
      </c>
      <c r="D2" s="3" t="s">
        <v>27465</v>
      </c>
      <c r="E2" s="3" t="s">
        <v>27466</v>
      </c>
      <c r="F2" s="3" t="s">
        <v>18</v>
      </c>
      <c r="G2" s="3" t="s">
        <v>18</v>
      </c>
      <c r="H2" s="3">
        <v>9</v>
      </c>
      <c r="I2" s="3">
        <v>0</v>
      </c>
      <c r="J2" s="3" t="s">
        <v>132</v>
      </c>
      <c r="K2" s="3" t="s">
        <v>3180</v>
      </c>
      <c r="L2" s="3">
        <v>9</v>
      </c>
      <c r="M2" s="3">
        <v>0</v>
      </c>
      <c r="N2" s="3" t="str">
        <f>HYPERLINK("https://solscan.io/account/7DAMCyYSf3PpNn6jVzcrC3tyBQ5tD45JMajpKBocboHW", "Solscan")</f>
        <v>Solscan</v>
      </c>
    </row>
    <row r="3" spans="1:14" x14ac:dyDescent="0.25">
      <c r="A3" s="1" t="s">
        <v>21</v>
      </c>
      <c r="B3" s="23" t="s">
        <v>27467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HYPERLINK("https://birdeye.so/profile/7DAMCyYSf3PpNn6jVzcrC3tyBQ5tD45JMajpKBocboHW", "Birdeye")</f>
        <v>Birdeye</v>
      </c>
    </row>
    <row r="4" spans="1:14" x14ac:dyDescent="0.25">
      <c r="A4" s="1" t="s">
        <v>25</v>
      </c>
      <c r="B4" s="23" t="s">
        <v>4264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1</v>
      </c>
      <c r="E10" s="1">
        <v>1</v>
      </c>
      <c r="F10" s="1">
        <v>3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4275</v>
      </c>
      <c r="C11" s="1" t="s">
        <v>4274</v>
      </c>
      <c r="D11" s="1" t="s">
        <v>4275</v>
      </c>
      <c r="E11" s="1" t="s">
        <v>4275</v>
      </c>
      <c r="F11" s="1" t="s">
        <v>9642</v>
      </c>
      <c r="G11" s="1" t="s">
        <v>4275</v>
      </c>
      <c r="H11" s="3"/>
      <c r="I11" s="3" t="s">
        <v>50</v>
      </c>
      <c r="J11" s="3" t="s">
        <v>12318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15566</v>
      </c>
      <c r="C12" s="1" t="s">
        <v>24337</v>
      </c>
      <c r="D12" s="1" t="s">
        <v>25337</v>
      </c>
      <c r="E12" s="1" t="s">
        <v>26986</v>
      </c>
      <c r="F12" s="1" t="s">
        <v>15659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27468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26987</v>
      </c>
      <c r="B20" s="14">
        <v>8984506</v>
      </c>
      <c r="C20" s="14">
        <v>8984506</v>
      </c>
      <c r="D20" s="14" t="s">
        <v>1813</v>
      </c>
      <c r="E20" s="14" t="s">
        <v>4216</v>
      </c>
      <c r="F20" s="14" t="s">
        <v>2575</v>
      </c>
      <c r="G20" s="20" t="s">
        <v>15942</v>
      </c>
      <c r="H20" s="20" t="s">
        <v>7386</v>
      </c>
      <c r="I20" s="14" t="s">
        <v>88</v>
      </c>
      <c r="J20" s="14">
        <v>1</v>
      </c>
      <c r="K20" s="14">
        <v>1</v>
      </c>
      <c r="L20" s="14" t="s">
        <v>26989</v>
      </c>
      <c r="M20" s="14" t="s">
        <v>602</v>
      </c>
      <c r="N20" s="14" t="s">
        <v>27469</v>
      </c>
      <c r="O20" s="14" t="s">
        <v>26990</v>
      </c>
      <c r="P20" s="14" t="str">
        <f>HYPERLINK("https://photon-sol.tinyastro.io/en/lp/DZqXyNkK52FpPHGN73EmvvLoSZNXskpNvtL1GMjLpump?handle=676050794bc1b1657a56b", "View")</f>
        <v>View</v>
      </c>
    </row>
    <row r="21" spans="1:16" x14ac:dyDescent="0.25">
      <c r="A21" s="16" t="s">
        <v>26991</v>
      </c>
      <c r="B21" s="17">
        <v>8959841</v>
      </c>
      <c r="C21" s="17">
        <v>8959841</v>
      </c>
      <c r="D21" s="17" t="s">
        <v>27470</v>
      </c>
      <c r="E21" s="17" t="s">
        <v>12793</v>
      </c>
      <c r="F21" s="17" t="s">
        <v>27471</v>
      </c>
      <c r="G21" s="21" t="s">
        <v>26202</v>
      </c>
      <c r="H21" s="21" t="s">
        <v>27472</v>
      </c>
      <c r="I21" s="17" t="s">
        <v>88</v>
      </c>
      <c r="J21" s="17">
        <v>1</v>
      </c>
      <c r="K21" s="17">
        <v>16</v>
      </c>
      <c r="L21" s="17" t="s">
        <v>27473</v>
      </c>
      <c r="M21" s="17" t="s">
        <v>1566</v>
      </c>
      <c r="N21" s="17" t="s">
        <v>407</v>
      </c>
      <c r="O21" s="17" t="s">
        <v>26996</v>
      </c>
      <c r="P21" s="17" t="str">
        <f>HYPERLINK("https://photon-sol.tinyastro.io/en/lp/CqBmg5ZUoaPg5Yx5uAKYzpyRcXme2UpVmZ8U5iotpump?handle=676050794bc1b1657a56b", "View")</f>
        <v>View</v>
      </c>
    </row>
    <row r="22" spans="1:16" x14ac:dyDescent="0.25">
      <c r="A22" s="13" t="s">
        <v>19027</v>
      </c>
      <c r="B22" s="14">
        <v>10163367</v>
      </c>
      <c r="C22" s="14">
        <v>10163367</v>
      </c>
      <c r="D22" s="14" t="s">
        <v>24430</v>
      </c>
      <c r="E22" s="14" t="s">
        <v>19818</v>
      </c>
      <c r="F22" s="14" t="s">
        <v>27474</v>
      </c>
      <c r="G22" s="21" t="s">
        <v>22624</v>
      </c>
      <c r="H22" s="21" t="s">
        <v>27475</v>
      </c>
      <c r="I22" s="14" t="s">
        <v>88</v>
      </c>
      <c r="J22" s="14">
        <v>1</v>
      </c>
      <c r="K22" s="14">
        <v>12</v>
      </c>
      <c r="L22" s="14" t="s">
        <v>27476</v>
      </c>
      <c r="M22" s="14" t="s">
        <v>788</v>
      </c>
      <c r="N22" s="14" t="s">
        <v>27477</v>
      </c>
      <c r="O22" s="14" t="s">
        <v>27039</v>
      </c>
      <c r="P22" s="14" t="str">
        <f>HYPERLINK("https://photon-sol.tinyastro.io/en/lp/HxdzGHd2jLF12UHjgFKCb6zMzgfqGnwRvwKweXmXpump?handle=676050794bc1b1657a56b", "View")</f>
        <v>View</v>
      </c>
    </row>
    <row r="23" spans="1:16" x14ac:dyDescent="0.25">
      <c r="A23" s="16" t="s">
        <v>19027</v>
      </c>
      <c r="B23" s="17">
        <v>8831328</v>
      </c>
      <c r="C23" s="17">
        <v>8831328</v>
      </c>
      <c r="D23" s="17" t="s">
        <v>27478</v>
      </c>
      <c r="E23" s="17" t="s">
        <v>18077</v>
      </c>
      <c r="F23" s="17" t="s">
        <v>27479</v>
      </c>
      <c r="G23" s="21" t="s">
        <v>27480</v>
      </c>
      <c r="H23" s="21" t="s">
        <v>27481</v>
      </c>
      <c r="I23" s="17" t="s">
        <v>88</v>
      </c>
      <c r="J23" s="17">
        <v>1</v>
      </c>
      <c r="K23" s="17">
        <v>62</v>
      </c>
      <c r="L23" s="17" t="s">
        <v>27001</v>
      </c>
      <c r="M23" s="17" t="s">
        <v>3180</v>
      </c>
      <c r="N23" s="17" t="s">
        <v>27313</v>
      </c>
      <c r="O23" s="17" t="s">
        <v>19033</v>
      </c>
      <c r="P23" s="17" t="str">
        <f>HYPERLINK("https://photon-sol.tinyastro.io/en/lp/ALKTKLRTyF3P83KMCAvGEtY4CsoMzvh1k38uixCgpump?handle=676050794bc1b1657a56b", "View")</f>
        <v>View</v>
      </c>
    </row>
    <row r="24" spans="1:16" x14ac:dyDescent="0.25">
      <c r="A24" s="13" t="s">
        <v>27003</v>
      </c>
      <c r="B24" s="14">
        <v>7929767</v>
      </c>
      <c r="C24" s="14">
        <v>7929767</v>
      </c>
      <c r="D24" s="14" t="s">
        <v>1813</v>
      </c>
      <c r="E24" s="14" t="s">
        <v>6281</v>
      </c>
      <c r="F24" s="14" t="s">
        <v>3595</v>
      </c>
      <c r="G24" s="22" t="s">
        <v>2164</v>
      </c>
      <c r="H24" s="22" t="s">
        <v>27467</v>
      </c>
      <c r="I24" s="14" t="s">
        <v>88</v>
      </c>
      <c r="J24" s="14">
        <v>1</v>
      </c>
      <c r="K24" s="14">
        <v>1</v>
      </c>
      <c r="L24" s="14" t="s">
        <v>27482</v>
      </c>
      <c r="M24" s="14" t="s">
        <v>2047</v>
      </c>
      <c r="N24" s="14" t="s">
        <v>27483</v>
      </c>
      <c r="O24" s="14" t="s">
        <v>27007</v>
      </c>
      <c r="P24" s="14" t="str">
        <f>HYPERLINK("https://photon-sol.tinyastro.io/en/lp/BFc3G2JaqZA3eCJzWiSMhGZp7aXwonXETtr2Nudppump?handle=676050794bc1b1657a56b", "View")</f>
        <v>View</v>
      </c>
    </row>
    <row r="25" spans="1:16" x14ac:dyDescent="0.25">
      <c r="A25" s="16" t="s">
        <v>27008</v>
      </c>
      <c r="B25" s="17">
        <v>11778199</v>
      </c>
      <c r="C25" s="17">
        <v>11778199</v>
      </c>
      <c r="D25" s="17" t="s">
        <v>1813</v>
      </c>
      <c r="E25" s="17" t="s">
        <v>21363</v>
      </c>
      <c r="F25" s="17" t="s">
        <v>27484</v>
      </c>
      <c r="G25" s="20" t="s">
        <v>5747</v>
      </c>
      <c r="H25" s="20" t="s">
        <v>14439</v>
      </c>
      <c r="I25" s="17" t="s">
        <v>88</v>
      </c>
      <c r="J25" s="17">
        <v>1</v>
      </c>
      <c r="K25" s="17">
        <v>1</v>
      </c>
      <c r="L25" s="17" t="s">
        <v>27012</v>
      </c>
      <c r="M25" s="17" t="s">
        <v>1566</v>
      </c>
      <c r="N25" s="17" t="s">
        <v>27485</v>
      </c>
      <c r="O25" s="17" t="s">
        <v>27013</v>
      </c>
      <c r="P25" s="17" t="str">
        <f>HYPERLINK("https://photon-sol.tinyastro.io/en/lp/CDkwBE7pPovZLJC2KxM7jvWXkyygR1Y1u2R7f6hmpump?handle=676050794bc1b1657a56b", "View")</f>
        <v>View</v>
      </c>
    </row>
    <row r="26" spans="1:16" x14ac:dyDescent="0.25">
      <c r="A26" s="13" t="s">
        <v>4867</v>
      </c>
      <c r="B26" s="14">
        <v>1793028</v>
      </c>
      <c r="C26" s="14">
        <v>1793028</v>
      </c>
      <c r="D26" s="14" t="s">
        <v>20279</v>
      </c>
      <c r="E26" s="14" t="s">
        <v>19588</v>
      </c>
      <c r="F26" s="14" t="s">
        <v>21804</v>
      </c>
      <c r="G26" s="20" t="s">
        <v>7684</v>
      </c>
      <c r="H26" s="20" t="s">
        <v>27486</v>
      </c>
      <c r="I26" s="14" t="s">
        <v>88</v>
      </c>
      <c r="J26" s="14">
        <v>2</v>
      </c>
      <c r="K26" s="14">
        <v>2</v>
      </c>
      <c r="L26" s="14" t="s">
        <v>27049</v>
      </c>
      <c r="M26" s="14" t="s">
        <v>1705</v>
      </c>
      <c r="N26" s="14" t="s">
        <v>27487</v>
      </c>
      <c r="O26" s="14" t="s">
        <v>27016</v>
      </c>
      <c r="P26" s="14" t="str">
        <f>HYPERLINK("https://photon-sol.tinyastro.io/en/lp/BPFXTGBjoARa89gbSvbp7Dy6cQwgGc7efW1jE8nTpump?handle=676050794bc1b1657a56b", "View")</f>
        <v>View</v>
      </c>
    </row>
    <row r="27" spans="1:16" x14ac:dyDescent="0.25">
      <c r="A27" s="16" t="s">
        <v>27017</v>
      </c>
      <c r="B27" s="17">
        <v>11384893</v>
      </c>
      <c r="C27" s="17">
        <v>11384893</v>
      </c>
      <c r="D27" s="17" t="s">
        <v>27051</v>
      </c>
      <c r="E27" s="17" t="s">
        <v>14639</v>
      </c>
      <c r="F27" s="17" t="s">
        <v>27488</v>
      </c>
      <c r="G27" s="21" t="s">
        <v>2274</v>
      </c>
      <c r="H27" s="21" t="s">
        <v>27489</v>
      </c>
      <c r="I27" s="17" t="s">
        <v>88</v>
      </c>
      <c r="J27" s="17">
        <v>1</v>
      </c>
      <c r="K27" s="17">
        <v>37</v>
      </c>
      <c r="L27" s="17" t="s">
        <v>27053</v>
      </c>
      <c r="M27" s="17" t="s">
        <v>1610</v>
      </c>
      <c r="N27" s="17" t="s">
        <v>13053</v>
      </c>
      <c r="O27" s="17" t="s">
        <v>27021</v>
      </c>
      <c r="P27" s="17" t="str">
        <f>HYPERLINK("https://photon-sol.tinyastro.io/en/lp/DirQ7FDi1C5SZCy8ai1GTSvnm9o8MDf9s4C4cExzpump?handle=676050794bc1b1657a56b", "View")</f>
        <v>View</v>
      </c>
    </row>
    <row r="28" spans="1:16" x14ac:dyDescent="0.25">
      <c r="A28" s="13" t="s">
        <v>27017</v>
      </c>
      <c r="B28" s="14">
        <v>585788</v>
      </c>
      <c r="C28" s="14">
        <v>585788</v>
      </c>
      <c r="D28" s="14" t="s">
        <v>27022</v>
      </c>
      <c r="E28" s="14" t="s">
        <v>2597</v>
      </c>
      <c r="F28" s="14" t="s">
        <v>5635</v>
      </c>
      <c r="G28" s="15" t="s">
        <v>16947</v>
      </c>
      <c r="H28" s="15" t="s">
        <v>27490</v>
      </c>
      <c r="I28" s="14" t="s">
        <v>88</v>
      </c>
      <c r="J28" s="14">
        <v>1</v>
      </c>
      <c r="K28" s="14">
        <v>1</v>
      </c>
      <c r="L28" s="14" t="s">
        <v>27024</v>
      </c>
      <c r="M28" s="14" t="s">
        <v>2047</v>
      </c>
      <c r="N28" s="14" t="s">
        <v>23380</v>
      </c>
      <c r="O28" s="14" t="s">
        <v>27025</v>
      </c>
      <c r="P28" s="1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27B3-B20C-482D-B760-E17C8AAE31FB}">
  <dimension ref="A1:P31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HYPERLINK("https://gmgn.ai/sol/address/E7Vpwi8ys3iRf2gyVtXLxA8K2CxrtCR2bD2igzR4gWWa", "GMGN")</f>
        <v>GMGN</v>
      </c>
    </row>
    <row r="2" spans="1:14" x14ac:dyDescent="0.25">
      <c r="A2" s="3" t="s">
        <v>27491</v>
      </c>
      <c r="B2" s="3" t="s">
        <v>27492</v>
      </c>
      <c r="C2" s="3" t="s">
        <v>27493</v>
      </c>
      <c r="D2" s="3" t="s">
        <v>18970</v>
      </c>
      <c r="E2" s="3" t="s">
        <v>27494</v>
      </c>
      <c r="F2" s="3" t="s">
        <v>20377</v>
      </c>
      <c r="G2" s="3" t="s">
        <v>18</v>
      </c>
      <c r="H2" s="3">
        <v>12</v>
      </c>
      <c r="I2" s="3">
        <v>0</v>
      </c>
      <c r="J2" s="3" t="s">
        <v>699</v>
      </c>
      <c r="K2" s="3" t="s">
        <v>1957</v>
      </c>
      <c r="L2" s="3">
        <v>11</v>
      </c>
      <c r="M2" s="3">
        <v>7</v>
      </c>
      <c r="N2" s="3" t="str">
        <f>HYPERLINK("https://solscan.io/account/E7Vpwi8ys3iRf2gyVtXLxA8K2CxrtCR2bD2igzR4gWWa", "Solscan")</f>
        <v>Solscan</v>
      </c>
    </row>
    <row r="3" spans="1:14" x14ac:dyDescent="0.25">
      <c r="A3" s="1" t="s">
        <v>21</v>
      </c>
      <c r="B3" s="23" t="s">
        <v>27495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HYPERLINK("https://birdeye.so/profile/E7Vpwi8ys3iRf2gyVtXLxA8K2CxrtCR2bD2igzR4gWWa", "Birdeye")</f>
        <v>Birdeye</v>
      </c>
    </row>
    <row r="4" spans="1:14" x14ac:dyDescent="0.25">
      <c r="A4" s="1" t="s">
        <v>25</v>
      </c>
      <c r="B4" s="23" t="s">
        <v>14693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4</v>
      </c>
      <c r="D10" s="1">
        <v>2</v>
      </c>
      <c r="E10" s="1">
        <v>3</v>
      </c>
      <c r="F10" s="1">
        <v>0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7500</v>
      </c>
      <c r="C11" s="1" t="s">
        <v>9642</v>
      </c>
      <c r="D11" s="1" t="s">
        <v>4363</v>
      </c>
      <c r="E11" s="1" t="s">
        <v>24242</v>
      </c>
      <c r="F11" s="1" t="s">
        <v>1779</v>
      </c>
      <c r="G11" s="1" t="s">
        <v>4363</v>
      </c>
      <c r="H11" s="3"/>
      <c r="I11" s="3" t="s">
        <v>50</v>
      </c>
      <c r="J11" s="3" t="s">
        <v>9497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15566</v>
      </c>
      <c r="C12" s="1" t="s">
        <v>27496</v>
      </c>
      <c r="D12" s="1" t="s">
        <v>8458</v>
      </c>
      <c r="E12" s="1" t="s">
        <v>15567</v>
      </c>
      <c r="F12" s="1" t="s">
        <v>1786</v>
      </c>
      <c r="G12" s="1" t="s">
        <v>4130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15569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27497</v>
      </c>
      <c r="B20" s="14">
        <v>9847334</v>
      </c>
      <c r="C20" s="14">
        <v>9847334</v>
      </c>
      <c r="D20" s="14" t="s">
        <v>27498</v>
      </c>
      <c r="E20" s="14" t="s">
        <v>2536</v>
      </c>
      <c r="F20" s="14" t="s">
        <v>17938</v>
      </c>
      <c r="G20" s="22" t="s">
        <v>17014</v>
      </c>
      <c r="H20" s="22" t="s">
        <v>27499</v>
      </c>
      <c r="I20" s="14" t="s">
        <v>88</v>
      </c>
      <c r="J20" s="14">
        <v>1</v>
      </c>
      <c r="K20" s="14">
        <v>1</v>
      </c>
      <c r="L20" s="14" t="s">
        <v>27500</v>
      </c>
      <c r="M20" s="14" t="s">
        <v>602</v>
      </c>
      <c r="N20" s="14" t="s">
        <v>507</v>
      </c>
      <c r="O20" s="14" t="s">
        <v>27501</v>
      </c>
      <c r="P20" s="14" t="str">
        <f>HYPERLINK("https://photon-sol.tinyastro.io/en/lp/4KdmmBF845nJknS1DpWWdL8CsjKExFoUmiEnzHrtpump?handle=676050794bc1b1657a56b", "View")</f>
        <v>View</v>
      </c>
    </row>
    <row r="21" spans="1:16" x14ac:dyDescent="0.25">
      <c r="A21" s="16" t="s">
        <v>27502</v>
      </c>
      <c r="B21" s="17">
        <v>8038025</v>
      </c>
      <c r="C21" s="17">
        <v>8038025</v>
      </c>
      <c r="D21" s="17" t="s">
        <v>27498</v>
      </c>
      <c r="E21" s="17" t="s">
        <v>10510</v>
      </c>
      <c r="F21" s="17" t="s">
        <v>26237</v>
      </c>
      <c r="G21" s="22" t="s">
        <v>12272</v>
      </c>
      <c r="H21" s="22" t="s">
        <v>27503</v>
      </c>
      <c r="I21" s="17" t="s">
        <v>88</v>
      </c>
      <c r="J21" s="17">
        <v>1</v>
      </c>
      <c r="K21" s="17">
        <v>1</v>
      </c>
      <c r="L21" s="17" t="s">
        <v>27504</v>
      </c>
      <c r="M21" s="19" t="s">
        <v>9152</v>
      </c>
      <c r="N21" s="17" t="s">
        <v>14328</v>
      </c>
      <c r="O21" s="17" t="s">
        <v>27505</v>
      </c>
      <c r="P21" s="17" t="str">
        <f>HYPERLINK("https://photon-sol.tinyastro.io/en/lp/ChhFGDYQ5n6UkCcsX3NDXHfdgoFbjBMn1msye5HDpump?handle=676050794bc1b1657a56b", "View")</f>
        <v>View</v>
      </c>
    </row>
    <row r="22" spans="1:16" x14ac:dyDescent="0.25">
      <c r="A22" s="13" t="s">
        <v>27506</v>
      </c>
      <c r="B22" s="14">
        <v>9953129</v>
      </c>
      <c r="C22" s="14">
        <v>9953129</v>
      </c>
      <c r="D22" s="14" t="s">
        <v>27498</v>
      </c>
      <c r="E22" s="14" t="s">
        <v>6435</v>
      </c>
      <c r="F22" s="14" t="s">
        <v>21212</v>
      </c>
      <c r="G22" s="21" t="s">
        <v>27507</v>
      </c>
      <c r="H22" s="21" t="s">
        <v>27508</v>
      </c>
      <c r="I22" s="14" t="s">
        <v>88</v>
      </c>
      <c r="J22" s="14">
        <v>1</v>
      </c>
      <c r="K22" s="14">
        <v>1</v>
      </c>
      <c r="L22" s="14" t="s">
        <v>27509</v>
      </c>
      <c r="M22" s="14" t="s">
        <v>602</v>
      </c>
      <c r="N22" s="14" t="s">
        <v>861</v>
      </c>
      <c r="O22" s="14" t="s">
        <v>27510</v>
      </c>
      <c r="P22" s="14" t="str">
        <f>HYPERLINK("https://photon-sol.tinyastro.io/en/lp/DSMBxacyzGiqNgmadjZPMMGY2EEjRriH4HMbFDbRpump?handle=676050794bc1b1657a56b", "View")</f>
        <v>View</v>
      </c>
    </row>
    <row r="23" spans="1:16" x14ac:dyDescent="0.25">
      <c r="A23" s="16" t="s">
        <v>19027</v>
      </c>
      <c r="B23" s="17">
        <v>5770298</v>
      </c>
      <c r="C23" s="17">
        <v>5770298</v>
      </c>
      <c r="D23" s="17" t="s">
        <v>27498</v>
      </c>
      <c r="E23" s="17" t="s">
        <v>24266</v>
      </c>
      <c r="F23" s="17" t="s">
        <v>3432</v>
      </c>
      <c r="G23" s="15" t="s">
        <v>27511</v>
      </c>
      <c r="H23" s="15" t="s">
        <v>27512</v>
      </c>
      <c r="I23" s="17" t="s">
        <v>88</v>
      </c>
      <c r="J23" s="17">
        <v>1</v>
      </c>
      <c r="K23" s="17">
        <v>1</v>
      </c>
      <c r="L23" s="17" t="s">
        <v>27513</v>
      </c>
      <c r="M23" s="17" t="s">
        <v>1957</v>
      </c>
      <c r="N23" s="17" t="s">
        <v>27514</v>
      </c>
      <c r="O23" s="17" t="s">
        <v>27039</v>
      </c>
      <c r="P23" s="17" t="str">
        <f>HYPERLINK("https://photon-sol.tinyastro.io/en/lp/HxdzGHd2jLF12UHjgFKCb6zMzgfqGnwRvwKweXmXpump?handle=676050794bc1b1657a56b", "View")</f>
        <v>View</v>
      </c>
    </row>
    <row r="24" spans="1:16" x14ac:dyDescent="0.25">
      <c r="A24" s="13" t="s">
        <v>4867</v>
      </c>
      <c r="B24" s="14">
        <v>6485448</v>
      </c>
      <c r="C24" s="14">
        <v>6485448</v>
      </c>
      <c r="D24" s="14" t="s">
        <v>27498</v>
      </c>
      <c r="E24" s="14" t="s">
        <v>6036</v>
      </c>
      <c r="F24" s="14" t="s">
        <v>27515</v>
      </c>
      <c r="G24" s="21" t="s">
        <v>8251</v>
      </c>
      <c r="H24" s="21" t="s">
        <v>27516</v>
      </c>
      <c r="I24" s="14" t="s">
        <v>88</v>
      </c>
      <c r="J24" s="14">
        <v>1</v>
      </c>
      <c r="K24" s="14">
        <v>1</v>
      </c>
      <c r="L24" s="14" t="s">
        <v>27517</v>
      </c>
      <c r="M24" s="14" t="s">
        <v>1705</v>
      </c>
      <c r="N24" s="14" t="s">
        <v>27518</v>
      </c>
      <c r="O24" s="14" t="s">
        <v>27016</v>
      </c>
      <c r="P24" s="14" t="str">
        <f>HYPERLINK("https://photon-sol.tinyastro.io/en/lp/BPFXTGBjoARa89gbSvbp7Dy6cQwgGc7efW1jE8nTpump?handle=676050794bc1b1657a56b", "View")</f>
        <v>View</v>
      </c>
    </row>
    <row r="25" spans="1:16" x14ac:dyDescent="0.25">
      <c r="A25" s="16" t="s">
        <v>4867</v>
      </c>
      <c r="B25" s="17">
        <v>10056459</v>
      </c>
      <c r="C25" s="17">
        <v>10056459</v>
      </c>
      <c r="D25" s="17" t="s">
        <v>27519</v>
      </c>
      <c r="E25" s="17" t="s">
        <v>24567</v>
      </c>
      <c r="F25" s="17" t="s">
        <v>27520</v>
      </c>
      <c r="G25" s="21" t="s">
        <v>6768</v>
      </c>
      <c r="H25" s="21" t="s">
        <v>27521</v>
      </c>
      <c r="I25" s="17" t="s">
        <v>88</v>
      </c>
      <c r="J25" s="17">
        <v>1</v>
      </c>
      <c r="K25" s="17">
        <v>2</v>
      </c>
      <c r="L25" s="17" t="s">
        <v>27522</v>
      </c>
      <c r="M25" s="17" t="s">
        <v>3180</v>
      </c>
      <c r="N25" s="17" t="s">
        <v>27523</v>
      </c>
      <c r="O25" s="17" t="s">
        <v>4872</v>
      </c>
      <c r="P25" s="17" t="str">
        <f>HYPERLINK("https://photon-sol.tinyastro.io/en/lp/FAS87Vmmejcf5RBtpfGZ8vPAjR2VuUZJ6Sojf8Jgpump?handle=676050794bc1b1657a56b", "View")</f>
        <v>View</v>
      </c>
    </row>
    <row r="26" spans="1:16" x14ac:dyDescent="0.25">
      <c r="A26" s="13" t="s">
        <v>27524</v>
      </c>
      <c r="B26" s="14">
        <v>11589762</v>
      </c>
      <c r="C26" s="14">
        <v>11589762</v>
      </c>
      <c r="D26" s="14" t="s">
        <v>27519</v>
      </c>
      <c r="E26" s="14" t="s">
        <v>5982</v>
      </c>
      <c r="F26" s="14" t="s">
        <v>13726</v>
      </c>
      <c r="G26" s="21" t="s">
        <v>26720</v>
      </c>
      <c r="H26" s="21" t="s">
        <v>27525</v>
      </c>
      <c r="I26" s="14" t="s">
        <v>88</v>
      </c>
      <c r="J26" s="14">
        <v>1</v>
      </c>
      <c r="K26" s="14">
        <v>2</v>
      </c>
      <c r="L26" s="14" t="s">
        <v>27526</v>
      </c>
      <c r="M26" s="14" t="s">
        <v>1566</v>
      </c>
      <c r="N26" s="14" t="s">
        <v>27527</v>
      </c>
      <c r="O26" s="14" t="s">
        <v>27528</v>
      </c>
      <c r="P26" s="14" t="str">
        <f>HYPERLINK("https://photon-sol.tinyastro.io/en/lp/GeHMGsBk1SfZSmRccWiUxoGd9ZpYHhTYYqMn95Hapump?handle=676050794bc1b1657a56b", "View")</f>
        <v>View</v>
      </c>
    </row>
    <row r="27" spans="1:16" x14ac:dyDescent="0.25">
      <c r="A27" s="16" t="s">
        <v>17919</v>
      </c>
      <c r="B27" s="17">
        <v>7591064</v>
      </c>
      <c r="C27" s="17">
        <v>7591064</v>
      </c>
      <c r="D27" s="17" t="s">
        <v>27529</v>
      </c>
      <c r="E27" s="17" t="s">
        <v>19588</v>
      </c>
      <c r="F27" s="17" t="s">
        <v>27530</v>
      </c>
      <c r="G27" s="21" t="s">
        <v>27531</v>
      </c>
      <c r="H27" s="21" t="s">
        <v>27532</v>
      </c>
      <c r="I27" s="17" t="s">
        <v>88</v>
      </c>
      <c r="J27" s="17">
        <v>1</v>
      </c>
      <c r="K27" s="17">
        <v>3</v>
      </c>
      <c r="L27" s="17" t="s">
        <v>27533</v>
      </c>
      <c r="M27" s="17" t="s">
        <v>1566</v>
      </c>
      <c r="N27" s="17" t="s">
        <v>27534</v>
      </c>
      <c r="O27" s="17" t="s">
        <v>17925</v>
      </c>
      <c r="P27" s="17" t="str">
        <f>HYPERLINK("https://photon-sol.tinyastro.io/en/lp/BxaRiJpUwPkiUfwUe7bXqMZV5EG8Xx5BZaY6QM3Jpump?handle=676050794bc1b1657a56b", "View")</f>
        <v>View</v>
      </c>
    </row>
    <row r="28" spans="1:16" x14ac:dyDescent="0.25">
      <c r="A28" s="13" t="s">
        <v>6620</v>
      </c>
      <c r="B28" s="14">
        <v>2783021</v>
      </c>
      <c r="C28" s="14">
        <v>2783021</v>
      </c>
      <c r="D28" s="14" t="s">
        <v>27498</v>
      </c>
      <c r="E28" s="14" t="s">
        <v>1007</v>
      </c>
      <c r="F28" s="14" t="s">
        <v>19677</v>
      </c>
      <c r="G28" s="22" t="s">
        <v>18532</v>
      </c>
      <c r="H28" s="22" t="s">
        <v>27535</v>
      </c>
      <c r="I28" s="14" t="s">
        <v>88</v>
      </c>
      <c r="J28" s="14">
        <v>1</v>
      </c>
      <c r="K28" s="14">
        <v>1</v>
      </c>
      <c r="L28" s="14" t="s">
        <v>27536</v>
      </c>
      <c r="M28" s="14" t="s">
        <v>1434</v>
      </c>
      <c r="N28" s="14" t="s">
        <v>27537</v>
      </c>
      <c r="O28" s="14" t="s">
        <v>6627</v>
      </c>
      <c r="P28" s="14" t="str">
        <f>HYPERLINK("https://dexscreener.com/solana/9wBdGejMb6UJeXDdTSfvRhhECCCNi74vmzLFQixjpump", "View")</f>
        <v>View</v>
      </c>
    </row>
    <row r="29" spans="1:16" x14ac:dyDescent="0.25">
      <c r="A29" s="16" t="s">
        <v>26535</v>
      </c>
      <c r="B29" s="17">
        <v>8672520</v>
      </c>
      <c r="C29" s="17">
        <v>8672520</v>
      </c>
      <c r="D29" s="17" t="s">
        <v>27538</v>
      </c>
      <c r="E29" s="17" t="s">
        <v>27539</v>
      </c>
      <c r="F29" s="17" t="s">
        <v>27540</v>
      </c>
      <c r="G29" s="21" t="s">
        <v>27541</v>
      </c>
      <c r="H29" s="21" t="s">
        <v>27542</v>
      </c>
      <c r="I29" s="17" t="s">
        <v>88</v>
      </c>
      <c r="J29" s="17">
        <v>1</v>
      </c>
      <c r="K29" s="17">
        <v>2</v>
      </c>
      <c r="L29" s="17" t="s">
        <v>27543</v>
      </c>
      <c r="M29" s="17" t="s">
        <v>788</v>
      </c>
      <c r="N29" s="17" t="s">
        <v>27544</v>
      </c>
      <c r="O29" s="17" t="s">
        <v>27545</v>
      </c>
      <c r="P29" s="17" t="str">
        <f>HYPERLINK("https://photon-sol.tinyastro.io/en/lp/2vuTTsSqRjjDcozauGTXcUYR3a7GVJsnKMcMLpxjpump?handle=676050794bc1b1657a56b", "View")</f>
        <v>View</v>
      </c>
    </row>
    <row r="30" spans="1:16" x14ac:dyDescent="0.25">
      <c r="A30" s="13" t="s">
        <v>26535</v>
      </c>
      <c r="B30" s="14">
        <v>7843901</v>
      </c>
      <c r="C30" s="14">
        <v>7843901</v>
      </c>
      <c r="D30" s="14" t="s">
        <v>27498</v>
      </c>
      <c r="E30" s="14" t="s">
        <v>3844</v>
      </c>
      <c r="F30" s="14" t="s">
        <v>27546</v>
      </c>
      <c r="G30" s="21" t="s">
        <v>27547</v>
      </c>
      <c r="H30" s="21" t="s">
        <v>27548</v>
      </c>
      <c r="I30" s="14" t="s">
        <v>88</v>
      </c>
      <c r="J30" s="14">
        <v>1</v>
      </c>
      <c r="K30" s="14">
        <v>2</v>
      </c>
      <c r="L30" s="14" t="s">
        <v>27549</v>
      </c>
      <c r="M30" s="14" t="s">
        <v>1957</v>
      </c>
      <c r="N30" s="14" t="s">
        <v>27550</v>
      </c>
      <c r="O30" s="14" t="s">
        <v>26538</v>
      </c>
      <c r="P30" s="14" t="str">
        <f>HYPERLINK("https://photon-sol.tinyastro.io/en/lp/DsDzFKro1PRxCX2CAuAKaYuc9uHRhmgtbrYLwWa3pump?handle=676050794bc1b1657a56b", "View")</f>
        <v>View</v>
      </c>
    </row>
    <row r="31" spans="1:16" x14ac:dyDescent="0.25">
      <c r="A31" s="16" t="s">
        <v>9071</v>
      </c>
      <c r="B31" s="17">
        <v>3387378</v>
      </c>
      <c r="C31" s="17">
        <v>3387378</v>
      </c>
      <c r="D31" s="17" t="s">
        <v>27498</v>
      </c>
      <c r="E31" s="17" t="s">
        <v>19777</v>
      </c>
      <c r="F31" s="17" t="s">
        <v>8072</v>
      </c>
      <c r="G31" s="15" t="s">
        <v>27551</v>
      </c>
      <c r="H31" s="15" t="s">
        <v>27552</v>
      </c>
      <c r="I31" s="17" t="s">
        <v>88</v>
      </c>
      <c r="J31" s="17">
        <v>1</v>
      </c>
      <c r="K31" s="17">
        <v>2</v>
      </c>
      <c r="L31" s="17" t="s">
        <v>27553</v>
      </c>
      <c r="M31" s="17" t="s">
        <v>3355</v>
      </c>
      <c r="N31" s="17" t="s">
        <v>27554</v>
      </c>
      <c r="O31" s="17" t="s">
        <v>9078</v>
      </c>
      <c r="P31" s="17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0B00-A6F2-48E6-865F-7FC4829A951A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HYPERLINK("https://gmgn.ai/sol/address/5L2VdnbQDDBLHBxLn79chKbszxbfZKkHp3ENHaErsPGA", "GMGN")</f>
        <v>GMGN</v>
      </c>
    </row>
    <row r="2" spans="1:14" x14ac:dyDescent="0.25">
      <c r="A2" s="3" t="s">
        <v>27555</v>
      </c>
      <c r="B2" s="3" t="s">
        <v>27556</v>
      </c>
      <c r="C2" s="3" t="s">
        <v>21597</v>
      </c>
      <c r="D2" s="3" t="s">
        <v>27557</v>
      </c>
      <c r="E2" s="3" t="s">
        <v>27558</v>
      </c>
      <c r="F2" s="3" t="s">
        <v>18</v>
      </c>
      <c r="G2" s="3" t="s">
        <v>18</v>
      </c>
      <c r="H2" s="3">
        <v>9</v>
      </c>
      <c r="I2" s="3">
        <v>0</v>
      </c>
      <c r="J2" s="3" t="s">
        <v>132</v>
      </c>
      <c r="K2" s="3" t="s">
        <v>3180</v>
      </c>
      <c r="L2" s="3">
        <v>9</v>
      </c>
      <c r="M2" s="3">
        <v>0</v>
      </c>
      <c r="N2" s="3" t="str">
        <f>HYPERLINK("https://solscan.io/account/5L2VdnbQDDBLHBxLn79chKbszxbfZKkHp3ENHaErsPGA", "Solscan")</f>
        <v>Solscan</v>
      </c>
    </row>
    <row r="3" spans="1:14" x14ac:dyDescent="0.25">
      <c r="A3" s="1" t="s">
        <v>21</v>
      </c>
      <c r="B3" s="23" t="s">
        <v>27559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HYPERLINK("https://birdeye.so/profile/5L2VdnbQDDBLHBxLn79chKbszxbfZKkHp3ENHaErsPGA", "Birdeye")</f>
        <v>Birdeye</v>
      </c>
    </row>
    <row r="4" spans="1:14" x14ac:dyDescent="0.25">
      <c r="A4" s="1" t="s">
        <v>25</v>
      </c>
      <c r="B4" s="3" t="s">
        <v>4270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3</v>
      </c>
      <c r="E10" s="1">
        <v>1</v>
      </c>
      <c r="F10" s="1">
        <v>2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4275</v>
      </c>
      <c r="C11" s="1" t="s">
        <v>4275</v>
      </c>
      <c r="D11" s="1" t="s">
        <v>9642</v>
      </c>
      <c r="E11" s="1" t="s">
        <v>4275</v>
      </c>
      <c r="F11" s="1" t="s">
        <v>4274</v>
      </c>
      <c r="G11" s="1" t="s">
        <v>4275</v>
      </c>
      <c r="H11" s="3"/>
      <c r="I11" s="3" t="s">
        <v>50</v>
      </c>
      <c r="J11" s="3" t="s">
        <v>12318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26985</v>
      </c>
      <c r="C12" s="1" t="s">
        <v>32</v>
      </c>
      <c r="D12" s="1" t="s">
        <v>16077</v>
      </c>
      <c r="E12" s="1" t="s">
        <v>1786</v>
      </c>
      <c r="F12" s="1" t="s">
        <v>8334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27468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26987</v>
      </c>
      <c r="B20" s="14">
        <v>8984506</v>
      </c>
      <c r="C20" s="14">
        <v>8984506</v>
      </c>
      <c r="D20" s="14" t="s">
        <v>1813</v>
      </c>
      <c r="E20" s="14" t="s">
        <v>3836</v>
      </c>
      <c r="F20" s="14" t="s">
        <v>27438</v>
      </c>
      <c r="G20" s="22" t="s">
        <v>4818</v>
      </c>
      <c r="H20" s="22" t="s">
        <v>27560</v>
      </c>
      <c r="I20" s="14" t="s">
        <v>88</v>
      </c>
      <c r="J20" s="14">
        <v>1</v>
      </c>
      <c r="K20" s="14">
        <v>1</v>
      </c>
      <c r="L20" s="14" t="s">
        <v>27033</v>
      </c>
      <c r="M20" s="14" t="s">
        <v>602</v>
      </c>
      <c r="N20" s="14" t="s">
        <v>2130</v>
      </c>
      <c r="O20" s="14" t="s">
        <v>26990</v>
      </c>
      <c r="P20" s="14" t="str">
        <f>HYPERLINK("https://photon-sol.tinyastro.io/en/lp/DZqXyNkK52FpPHGN73EmvvLoSZNXskpNvtL1GMjLpump?handle=676050794bc1b1657a56b", "View")</f>
        <v>View</v>
      </c>
    </row>
    <row r="21" spans="1:16" x14ac:dyDescent="0.25">
      <c r="A21" s="16" t="s">
        <v>26991</v>
      </c>
      <c r="B21" s="17">
        <v>8959841</v>
      </c>
      <c r="C21" s="17">
        <v>8959841</v>
      </c>
      <c r="D21" s="17" t="s">
        <v>27561</v>
      </c>
      <c r="E21" s="17" t="s">
        <v>11279</v>
      </c>
      <c r="F21" s="17" t="s">
        <v>19523</v>
      </c>
      <c r="G21" s="21" t="s">
        <v>27562</v>
      </c>
      <c r="H21" s="21" t="s">
        <v>27563</v>
      </c>
      <c r="I21" s="17" t="s">
        <v>88</v>
      </c>
      <c r="J21" s="17">
        <v>1</v>
      </c>
      <c r="K21" s="17">
        <v>18</v>
      </c>
      <c r="L21" s="17" t="s">
        <v>27473</v>
      </c>
      <c r="M21" s="17" t="s">
        <v>1566</v>
      </c>
      <c r="N21" s="17" t="s">
        <v>5302</v>
      </c>
      <c r="O21" s="17" t="s">
        <v>26996</v>
      </c>
      <c r="P21" s="17" t="str">
        <f>HYPERLINK("https://photon-sol.tinyastro.io/en/lp/CqBmg5ZUoaPg5Yx5uAKYzpyRcXme2UpVmZ8U5iotpump?handle=676050794bc1b1657a56b", "View")</f>
        <v>View</v>
      </c>
    </row>
    <row r="22" spans="1:16" x14ac:dyDescent="0.25">
      <c r="A22" s="13" t="s">
        <v>19027</v>
      </c>
      <c r="B22" s="14">
        <v>10163367</v>
      </c>
      <c r="C22" s="14">
        <v>10163367</v>
      </c>
      <c r="D22" s="14" t="s">
        <v>24430</v>
      </c>
      <c r="E22" s="14" t="s">
        <v>14496</v>
      </c>
      <c r="F22" s="14" t="s">
        <v>27564</v>
      </c>
      <c r="G22" s="21" t="s">
        <v>21115</v>
      </c>
      <c r="H22" s="21" t="s">
        <v>27565</v>
      </c>
      <c r="I22" s="14" t="s">
        <v>88</v>
      </c>
      <c r="J22" s="14">
        <v>1</v>
      </c>
      <c r="K22" s="14">
        <v>12</v>
      </c>
      <c r="L22" s="14" t="s">
        <v>27037</v>
      </c>
      <c r="M22" s="14" t="s">
        <v>3180</v>
      </c>
      <c r="N22" s="14" t="s">
        <v>21849</v>
      </c>
      <c r="O22" s="14" t="s">
        <v>27039</v>
      </c>
      <c r="P22" s="14" t="str">
        <f>HYPERLINK("https://photon-sol.tinyastro.io/en/lp/HxdzGHd2jLF12UHjgFKCb6zMzgfqGnwRvwKweXmXpump?handle=676050794bc1b1657a56b", "View")</f>
        <v>View</v>
      </c>
    </row>
    <row r="23" spans="1:16" x14ac:dyDescent="0.25">
      <c r="A23" s="16" t="s">
        <v>19027</v>
      </c>
      <c r="B23" s="17">
        <v>8831328</v>
      </c>
      <c r="C23" s="17">
        <v>8831328</v>
      </c>
      <c r="D23" s="17" t="s">
        <v>27566</v>
      </c>
      <c r="E23" s="17" t="s">
        <v>3785</v>
      </c>
      <c r="F23" s="17" t="s">
        <v>27567</v>
      </c>
      <c r="G23" s="21" t="s">
        <v>27568</v>
      </c>
      <c r="H23" s="21" t="s">
        <v>27569</v>
      </c>
      <c r="I23" s="17" t="s">
        <v>88</v>
      </c>
      <c r="J23" s="17">
        <v>1</v>
      </c>
      <c r="K23" s="17">
        <v>60</v>
      </c>
      <c r="L23" s="17" t="s">
        <v>27001</v>
      </c>
      <c r="M23" s="17" t="s">
        <v>3180</v>
      </c>
      <c r="N23" s="17" t="s">
        <v>27570</v>
      </c>
      <c r="O23" s="17" t="s">
        <v>19033</v>
      </c>
      <c r="P23" s="17" t="str">
        <f>HYPERLINK("https://photon-sol.tinyastro.io/en/lp/ALKTKLRTyF3P83KMCAvGEtY4CsoMzvh1k38uixCgpump?handle=676050794bc1b1657a56b", "View")</f>
        <v>View</v>
      </c>
    </row>
    <row r="24" spans="1:16" x14ac:dyDescent="0.25">
      <c r="A24" s="13" t="s">
        <v>27003</v>
      </c>
      <c r="B24" s="14">
        <v>7929767</v>
      </c>
      <c r="C24" s="14">
        <v>7929767</v>
      </c>
      <c r="D24" s="14" t="s">
        <v>1813</v>
      </c>
      <c r="E24" s="14" t="s">
        <v>3140</v>
      </c>
      <c r="F24" s="14" t="s">
        <v>18730</v>
      </c>
      <c r="G24" s="21" t="s">
        <v>27571</v>
      </c>
      <c r="H24" s="21" t="s">
        <v>27559</v>
      </c>
      <c r="I24" s="14" t="s">
        <v>88</v>
      </c>
      <c r="J24" s="14">
        <v>1</v>
      </c>
      <c r="K24" s="14">
        <v>1</v>
      </c>
      <c r="L24" s="14" t="s">
        <v>27572</v>
      </c>
      <c r="M24" s="14" t="s">
        <v>3180</v>
      </c>
      <c r="N24" s="14" t="s">
        <v>27573</v>
      </c>
      <c r="O24" s="14" t="s">
        <v>27007</v>
      </c>
      <c r="P24" s="14" t="str">
        <f>HYPERLINK("https://photon-sol.tinyastro.io/en/lp/BFc3G2JaqZA3eCJzWiSMhGZp7aXwonXETtr2Nudppump?handle=676050794bc1b1657a56b", "View")</f>
        <v>View</v>
      </c>
    </row>
    <row r="25" spans="1:16" x14ac:dyDescent="0.25">
      <c r="A25" s="16" t="s">
        <v>27008</v>
      </c>
      <c r="B25" s="17">
        <v>11778199</v>
      </c>
      <c r="C25" s="17">
        <v>11778199</v>
      </c>
      <c r="D25" s="17" t="s">
        <v>1813</v>
      </c>
      <c r="E25" s="17" t="s">
        <v>3865</v>
      </c>
      <c r="F25" s="17" t="s">
        <v>7392</v>
      </c>
      <c r="G25" s="20" t="s">
        <v>4739</v>
      </c>
      <c r="H25" s="20" t="s">
        <v>14066</v>
      </c>
      <c r="I25" s="17" t="s">
        <v>88</v>
      </c>
      <c r="J25" s="17">
        <v>1</v>
      </c>
      <c r="K25" s="17">
        <v>1</v>
      </c>
      <c r="L25" s="17" t="s">
        <v>27047</v>
      </c>
      <c r="M25" s="17" t="s">
        <v>1566</v>
      </c>
      <c r="N25" s="17" t="s">
        <v>7687</v>
      </c>
      <c r="O25" s="17" t="s">
        <v>27013</v>
      </c>
      <c r="P25" s="17" t="str">
        <f>HYPERLINK("https://photon-sol.tinyastro.io/en/lp/CDkwBE7pPovZLJC2KxM7jvWXkyygR1Y1u2R7f6hmpump?handle=676050794bc1b1657a56b", "View")</f>
        <v>View</v>
      </c>
    </row>
    <row r="26" spans="1:16" x14ac:dyDescent="0.25">
      <c r="A26" s="13" t="s">
        <v>4867</v>
      </c>
      <c r="B26" s="14">
        <v>1793028</v>
      </c>
      <c r="C26" s="14">
        <v>1793028</v>
      </c>
      <c r="D26" s="14" t="s">
        <v>20279</v>
      </c>
      <c r="E26" s="14" t="s">
        <v>9315</v>
      </c>
      <c r="F26" s="14" t="s">
        <v>8850</v>
      </c>
      <c r="G26" s="20" t="s">
        <v>14142</v>
      </c>
      <c r="H26" s="20" t="s">
        <v>27574</v>
      </c>
      <c r="I26" s="14" t="s">
        <v>88</v>
      </c>
      <c r="J26" s="14">
        <v>2</v>
      </c>
      <c r="K26" s="14">
        <v>2</v>
      </c>
      <c r="L26" s="14" t="s">
        <v>27049</v>
      </c>
      <c r="M26" s="14" t="s">
        <v>1705</v>
      </c>
      <c r="N26" s="14" t="s">
        <v>27575</v>
      </c>
      <c r="O26" s="14" t="s">
        <v>27016</v>
      </c>
      <c r="P26" s="14" t="str">
        <f>HYPERLINK("https://photon-sol.tinyastro.io/en/lp/BPFXTGBjoARa89gbSvbp7Dy6cQwgGc7efW1jE8nTpump?handle=676050794bc1b1657a56b", "View")</f>
        <v>View</v>
      </c>
    </row>
    <row r="27" spans="1:16" x14ac:dyDescent="0.25">
      <c r="A27" s="16" t="s">
        <v>27017</v>
      </c>
      <c r="B27" s="17">
        <v>11384893</v>
      </c>
      <c r="C27" s="17">
        <v>11384893</v>
      </c>
      <c r="D27" s="17" t="s">
        <v>27576</v>
      </c>
      <c r="E27" s="17" t="s">
        <v>3046</v>
      </c>
      <c r="F27" s="17" t="s">
        <v>27577</v>
      </c>
      <c r="G27" s="21" t="s">
        <v>13772</v>
      </c>
      <c r="H27" s="21" t="s">
        <v>27578</v>
      </c>
      <c r="I27" s="17" t="s">
        <v>88</v>
      </c>
      <c r="J27" s="17">
        <v>1</v>
      </c>
      <c r="K27" s="17">
        <v>32</v>
      </c>
      <c r="L27" s="17" t="s">
        <v>27579</v>
      </c>
      <c r="M27" s="17" t="s">
        <v>1705</v>
      </c>
      <c r="N27" s="17" t="s">
        <v>8628</v>
      </c>
      <c r="O27" s="17" t="s">
        <v>27021</v>
      </c>
      <c r="P27" s="17" t="str">
        <f>HYPERLINK("https://photon-sol.tinyastro.io/en/lp/DirQ7FDi1C5SZCy8ai1GTSvnm9o8MDf9s4C4cExzpump?handle=676050794bc1b1657a56b", "View")</f>
        <v>View</v>
      </c>
    </row>
    <row r="28" spans="1:16" x14ac:dyDescent="0.25">
      <c r="A28" s="13" t="s">
        <v>27017</v>
      </c>
      <c r="B28" s="14">
        <v>585788</v>
      </c>
      <c r="C28" s="14">
        <v>585788</v>
      </c>
      <c r="D28" s="14" t="s">
        <v>27022</v>
      </c>
      <c r="E28" s="14" t="s">
        <v>2597</v>
      </c>
      <c r="F28" s="14" t="s">
        <v>17627</v>
      </c>
      <c r="G28" s="15" t="s">
        <v>2630</v>
      </c>
      <c r="H28" s="15" t="s">
        <v>27580</v>
      </c>
      <c r="I28" s="14" t="s">
        <v>88</v>
      </c>
      <c r="J28" s="14">
        <v>1</v>
      </c>
      <c r="K28" s="14">
        <v>1</v>
      </c>
      <c r="L28" s="14" t="s">
        <v>27024</v>
      </c>
      <c r="M28" s="14" t="s">
        <v>2047</v>
      </c>
      <c r="N28" s="14" t="s">
        <v>23380</v>
      </c>
      <c r="O28" s="14" t="s">
        <v>27025</v>
      </c>
      <c r="P28" s="1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3202-DF0C-4339-9C56-875470F2A7F4}">
  <dimension ref="A1:P2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HYPERLINK("https://gmgn.ai/sol/address/DSsSCWgC7rfYfLUvQBt2QEgwLHretBbmxPCgWMwb49pB", "GMGN")</f>
        <v>GMGN</v>
      </c>
    </row>
    <row r="2" spans="1:14" x14ac:dyDescent="0.25">
      <c r="A2" s="3" t="s">
        <v>27581</v>
      </c>
      <c r="B2" s="3" t="s">
        <v>27582</v>
      </c>
      <c r="C2" s="3" t="s">
        <v>19651</v>
      </c>
      <c r="D2" s="3" t="s">
        <v>27583</v>
      </c>
      <c r="E2" s="3" t="s">
        <v>27584</v>
      </c>
      <c r="F2" s="3" t="s">
        <v>18</v>
      </c>
      <c r="G2" s="3" t="s">
        <v>18</v>
      </c>
      <c r="H2" s="3">
        <v>8</v>
      </c>
      <c r="I2" s="3">
        <v>0</v>
      </c>
      <c r="J2" s="3" t="s">
        <v>132</v>
      </c>
      <c r="K2" s="3" t="s">
        <v>3180</v>
      </c>
      <c r="L2" s="3">
        <v>8</v>
      </c>
      <c r="M2" s="3">
        <v>2</v>
      </c>
      <c r="N2" s="3" t="str">
        <f>HYPERLINK("https://solscan.io/account/DSsSCWgC7rfYfLUvQBt2QEgwLHretBbmxPCgWMwb49pB", "Solscan")</f>
        <v>Solscan</v>
      </c>
    </row>
    <row r="3" spans="1:14" x14ac:dyDescent="0.25">
      <c r="A3" s="1" t="s">
        <v>21</v>
      </c>
      <c r="B3" s="23" t="s">
        <v>27585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HYPERLINK("https://birdeye.so/profile/DSsSCWgC7rfYfLUvQBt2QEgwLHretBbmxPCgWMwb49pB", "Birdeye")</f>
        <v>Birdeye</v>
      </c>
    </row>
    <row r="4" spans="1:14" x14ac:dyDescent="0.25">
      <c r="A4" s="1" t="s">
        <v>25</v>
      </c>
      <c r="B4" s="23" t="s">
        <v>20134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1</v>
      </c>
      <c r="E10" s="1">
        <v>1</v>
      </c>
      <c r="F10" s="1">
        <v>2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17854</v>
      </c>
      <c r="C11" s="1" t="s">
        <v>24242</v>
      </c>
      <c r="D11" s="1" t="s">
        <v>17854</v>
      </c>
      <c r="E11" s="1" t="s">
        <v>17854</v>
      </c>
      <c r="F11" s="1" t="s">
        <v>24242</v>
      </c>
      <c r="G11" s="1" t="s">
        <v>17854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27586</v>
      </c>
      <c r="C12" s="1" t="s">
        <v>27587</v>
      </c>
      <c r="D12" s="1" t="s">
        <v>4730</v>
      </c>
      <c r="E12" s="1" t="s">
        <v>26986</v>
      </c>
      <c r="F12" s="1" t="s">
        <v>8334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27588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26991</v>
      </c>
      <c r="B20" s="14">
        <v>8959841</v>
      </c>
      <c r="C20" s="14">
        <v>8959841</v>
      </c>
      <c r="D20" s="14" t="s">
        <v>27589</v>
      </c>
      <c r="E20" s="14" t="s">
        <v>3502</v>
      </c>
      <c r="F20" s="14" t="s">
        <v>27590</v>
      </c>
      <c r="G20" s="21" t="s">
        <v>3617</v>
      </c>
      <c r="H20" s="21" t="s">
        <v>27591</v>
      </c>
      <c r="I20" s="14" t="s">
        <v>88</v>
      </c>
      <c r="J20" s="14">
        <v>1</v>
      </c>
      <c r="K20" s="14">
        <v>20</v>
      </c>
      <c r="L20" s="14" t="s">
        <v>27592</v>
      </c>
      <c r="M20" s="14" t="s">
        <v>1566</v>
      </c>
      <c r="N20" s="14" t="s">
        <v>5302</v>
      </c>
      <c r="O20" s="14" t="s">
        <v>26996</v>
      </c>
      <c r="P20" s="14" t="str">
        <f>HYPERLINK("https://photon-sol.tinyastro.io/en/lp/CqBmg5ZUoaPg5Yx5uAKYzpyRcXme2UpVmZ8U5iotpump?handle=676050794bc1b1657a56b", "View")</f>
        <v>View</v>
      </c>
    </row>
    <row r="21" spans="1:16" x14ac:dyDescent="0.25">
      <c r="A21" s="16" t="s">
        <v>19027</v>
      </c>
      <c r="B21" s="17">
        <v>10163367</v>
      </c>
      <c r="C21" s="17">
        <v>10163367</v>
      </c>
      <c r="D21" s="17" t="s">
        <v>27593</v>
      </c>
      <c r="E21" s="17" t="s">
        <v>9671</v>
      </c>
      <c r="F21" s="17" t="s">
        <v>27594</v>
      </c>
      <c r="G21" s="21" t="s">
        <v>27595</v>
      </c>
      <c r="H21" s="21" t="s">
        <v>27596</v>
      </c>
      <c r="I21" s="17" t="s">
        <v>88</v>
      </c>
      <c r="J21" s="17">
        <v>1</v>
      </c>
      <c r="K21" s="17">
        <v>14</v>
      </c>
      <c r="L21" s="17" t="s">
        <v>27476</v>
      </c>
      <c r="M21" s="17" t="s">
        <v>788</v>
      </c>
      <c r="N21" s="17" t="s">
        <v>27597</v>
      </c>
      <c r="O21" s="17" t="s">
        <v>27039</v>
      </c>
      <c r="P21" s="17" t="str">
        <f>HYPERLINK("https://photon-sol.tinyastro.io/en/lp/HxdzGHd2jLF12UHjgFKCb6zMzgfqGnwRvwKweXmXpump?handle=676050794bc1b1657a56b", "View")</f>
        <v>View</v>
      </c>
    </row>
    <row r="22" spans="1:16" x14ac:dyDescent="0.25">
      <c r="A22" s="13" t="s">
        <v>19027</v>
      </c>
      <c r="B22" s="14">
        <v>8831328</v>
      </c>
      <c r="C22" s="14">
        <v>8831328</v>
      </c>
      <c r="D22" s="14" t="s">
        <v>27309</v>
      </c>
      <c r="E22" s="14" t="s">
        <v>21638</v>
      </c>
      <c r="F22" s="14" t="s">
        <v>27598</v>
      </c>
      <c r="G22" s="21" t="s">
        <v>10679</v>
      </c>
      <c r="H22" s="21" t="s">
        <v>27599</v>
      </c>
      <c r="I22" s="14" t="s">
        <v>88</v>
      </c>
      <c r="J22" s="14">
        <v>1</v>
      </c>
      <c r="K22" s="14">
        <v>58</v>
      </c>
      <c r="L22" s="14" t="s">
        <v>27001</v>
      </c>
      <c r="M22" s="14" t="s">
        <v>3180</v>
      </c>
      <c r="N22" s="14" t="s">
        <v>27570</v>
      </c>
      <c r="O22" s="14" t="s">
        <v>19033</v>
      </c>
      <c r="P22" s="14" t="str">
        <f>HYPERLINK("https://photon-sol.tinyastro.io/en/lp/ALKTKLRTyF3P83KMCAvGEtY4CsoMzvh1k38uixCgpump?handle=676050794bc1b1657a56b", "View")</f>
        <v>View</v>
      </c>
    </row>
    <row r="23" spans="1:16" x14ac:dyDescent="0.25">
      <c r="A23" s="16" t="s">
        <v>27003</v>
      </c>
      <c r="B23" s="17">
        <v>7929767</v>
      </c>
      <c r="C23" s="17">
        <v>7929767</v>
      </c>
      <c r="D23" s="17" t="s">
        <v>1813</v>
      </c>
      <c r="E23" s="17" t="s">
        <v>27600</v>
      </c>
      <c r="F23" s="17" t="s">
        <v>4166</v>
      </c>
      <c r="G23" s="20" t="s">
        <v>2059</v>
      </c>
      <c r="H23" s="20" t="s">
        <v>27601</v>
      </c>
      <c r="I23" s="17" t="s">
        <v>88</v>
      </c>
      <c r="J23" s="17">
        <v>1</v>
      </c>
      <c r="K23" s="17">
        <v>1</v>
      </c>
      <c r="L23" s="17" t="s">
        <v>27005</v>
      </c>
      <c r="M23" s="17" t="s">
        <v>2047</v>
      </c>
      <c r="N23" s="17" t="s">
        <v>1316</v>
      </c>
      <c r="O23" s="17" t="s">
        <v>27007</v>
      </c>
      <c r="P23" s="17" t="str">
        <f>HYPERLINK("https://photon-sol.tinyastro.io/en/lp/BFc3G2JaqZA3eCJzWiSMhGZp7aXwonXETtr2Nudppump?handle=676050794bc1b1657a56b", "View")</f>
        <v>View</v>
      </c>
    </row>
    <row r="24" spans="1:16" x14ac:dyDescent="0.25">
      <c r="A24" s="13" t="s">
        <v>27008</v>
      </c>
      <c r="B24" s="14">
        <v>11778199</v>
      </c>
      <c r="C24" s="14">
        <v>11778199</v>
      </c>
      <c r="D24" s="14" t="s">
        <v>1813</v>
      </c>
      <c r="E24" s="14" t="s">
        <v>2720</v>
      </c>
      <c r="F24" s="14" t="s">
        <v>13837</v>
      </c>
      <c r="G24" s="22" t="s">
        <v>4989</v>
      </c>
      <c r="H24" s="22" t="s">
        <v>27602</v>
      </c>
      <c r="I24" s="14" t="s">
        <v>88</v>
      </c>
      <c r="J24" s="14">
        <v>1</v>
      </c>
      <c r="K24" s="14">
        <v>1</v>
      </c>
      <c r="L24" s="14" t="s">
        <v>27012</v>
      </c>
      <c r="M24" s="14" t="s">
        <v>1566</v>
      </c>
      <c r="N24" s="14" t="s">
        <v>2278</v>
      </c>
      <c r="O24" s="14" t="s">
        <v>27013</v>
      </c>
      <c r="P24" s="14" t="str">
        <f>HYPERLINK("https://photon-sol.tinyastro.io/en/lp/CDkwBE7pPovZLJC2KxM7jvWXkyygR1Y1u2R7f6hmpump?handle=676050794bc1b1657a56b", "View")</f>
        <v>View</v>
      </c>
    </row>
    <row r="25" spans="1:16" x14ac:dyDescent="0.25">
      <c r="A25" s="16" t="s">
        <v>4867</v>
      </c>
      <c r="B25" s="17">
        <v>1793028</v>
      </c>
      <c r="C25" s="17">
        <v>1793028</v>
      </c>
      <c r="D25" s="17" t="s">
        <v>20279</v>
      </c>
      <c r="E25" s="17" t="s">
        <v>3577</v>
      </c>
      <c r="F25" s="17" t="s">
        <v>2941</v>
      </c>
      <c r="G25" s="20" t="s">
        <v>27603</v>
      </c>
      <c r="H25" s="20" t="s">
        <v>27604</v>
      </c>
      <c r="I25" s="17" t="s">
        <v>88</v>
      </c>
      <c r="J25" s="17">
        <v>2</v>
      </c>
      <c r="K25" s="17">
        <v>2</v>
      </c>
      <c r="L25" s="17" t="s">
        <v>27049</v>
      </c>
      <c r="M25" s="17" t="s">
        <v>1705</v>
      </c>
      <c r="N25" s="17" t="s">
        <v>27575</v>
      </c>
      <c r="O25" s="17" t="s">
        <v>27016</v>
      </c>
      <c r="P25" s="17" t="str">
        <f>HYPERLINK("https://photon-sol.tinyastro.io/en/lp/BPFXTGBjoARa89gbSvbp7Dy6cQwgGc7efW1jE8nTpump?handle=676050794bc1b1657a56b", "View")</f>
        <v>View</v>
      </c>
    </row>
    <row r="26" spans="1:16" x14ac:dyDescent="0.25">
      <c r="A26" s="13" t="s">
        <v>27017</v>
      </c>
      <c r="B26" s="14">
        <v>11384893</v>
      </c>
      <c r="C26" s="14">
        <v>11384893</v>
      </c>
      <c r="D26" s="14" t="s">
        <v>27605</v>
      </c>
      <c r="E26" s="14" t="s">
        <v>16866</v>
      </c>
      <c r="F26" s="14" t="s">
        <v>7909</v>
      </c>
      <c r="G26" s="21" t="s">
        <v>27606</v>
      </c>
      <c r="H26" s="21" t="s">
        <v>27607</v>
      </c>
      <c r="I26" s="14" t="s">
        <v>88</v>
      </c>
      <c r="J26" s="14">
        <v>1</v>
      </c>
      <c r="K26" s="14">
        <v>29</v>
      </c>
      <c r="L26" s="14" t="s">
        <v>27020</v>
      </c>
      <c r="M26" s="14" t="s">
        <v>1705</v>
      </c>
      <c r="N26" s="14" t="s">
        <v>21946</v>
      </c>
      <c r="O26" s="14" t="s">
        <v>27021</v>
      </c>
      <c r="P26" s="14" t="str">
        <f>HYPERLINK("https://photon-sol.tinyastro.io/en/lp/DirQ7FDi1C5SZCy8ai1GTSvnm9o8MDf9s4C4cExzpump?handle=676050794bc1b1657a56b", "View")</f>
        <v>View</v>
      </c>
    </row>
    <row r="27" spans="1:16" x14ac:dyDescent="0.25">
      <c r="A27" s="16" t="s">
        <v>27017</v>
      </c>
      <c r="B27" s="17">
        <v>585788</v>
      </c>
      <c r="C27" s="17">
        <v>585788</v>
      </c>
      <c r="D27" s="17" t="s">
        <v>27022</v>
      </c>
      <c r="E27" s="17" t="s">
        <v>2597</v>
      </c>
      <c r="F27" s="17" t="s">
        <v>17509</v>
      </c>
      <c r="G27" s="15" t="s">
        <v>3638</v>
      </c>
      <c r="H27" s="15" t="s">
        <v>27608</v>
      </c>
      <c r="I27" s="17" t="s">
        <v>88</v>
      </c>
      <c r="J27" s="17">
        <v>1</v>
      </c>
      <c r="K27" s="17">
        <v>1</v>
      </c>
      <c r="L27" s="17" t="s">
        <v>27609</v>
      </c>
      <c r="M27" s="17" t="s">
        <v>2047</v>
      </c>
      <c r="N27" s="17" t="s">
        <v>23380</v>
      </c>
      <c r="O27" s="17" t="s">
        <v>27025</v>
      </c>
      <c r="P27" s="17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381A-598E-44A7-97C5-B059074D1F50}">
  <dimension ref="A1:P3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HYPERLINK("https://gmgn.ai/sol/address/3p2CpeP8gbVRDoFLr5a3mXzRdwGMp1VCHP4RhthE5Rzo", "GMGN")</f>
        <v>GMGN</v>
      </c>
    </row>
    <row r="2" spans="1:14" x14ac:dyDescent="0.25">
      <c r="A2" s="3" t="s">
        <v>27610</v>
      </c>
      <c r="B2" s="3" t="s">
        <v>27611</v>
      </c>
      <c r="C2" s="3" t="s">
        <v>4121</v>
      </c>
      <c r="D2" s="3" t="s">
        <v>19655</v>
      </c>
      <c r="E2" s="3" t="s">
        <v>27612</v>
      </c>
      <c r="F2" s="3" t="s">
        <v>18</v>
      </c>
      <c r="G2" s="3" t="s">
        <v>18</v>
      </c>
      <c r="H2" s="3">
        <v>14</v>
      </c>
      <c r="I2" s="3">
        <v>0</v>
      </c>
      <c r="J2" s="3" t="s">
        <v>2145</v>
      </c>
      <c r="K2" s="3" t="s">
        <v>414</v>
      </c>
      <c r="L2" s="3">
        <v>7</v>
      </c>
      <c r="M2" s="3">
        <v>7</v>
      </c>
      <c r="N2" s="3" t="str">
        <f>HYPERLINK("https://solscan.io/account/3p2CpeP8gbVRDoFLr5a3mXzRdwGMp1VCHP4RhthE5Rzo",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HYPERLINK("https://birdeye.so/profile/3p2CpeP8gbVRDoFLr5a3mXzRdwGMp1VCHP4RhthE5Rzo", "Birdeye")</f>
        <v>Birdeye</v>
      </c>
    </row>
    <row r="4" spans="1:14" x14ac:dyDescent="0.25">
      <c r="A4" s="1" t="s">
        <v>25</v>
      </c>
      <c r="B4" s="3" t="s">
        <v>19655</v>
      </c>
      <c r="C4" s="3"/>
      <c r="D4" s="3" t="s">
        <v>17848</v>
      </c>
      <c r="E4" s="3" t="s">
        <v>27613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27614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22699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v>12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21271</v>
      </c>
      <c r="D11" s="1" t="s">
        <v>1779</v>
      </c>
      <c r="E11" s="1" t="s">
        <v>21271</v>
      </c>
      <c r="F11" s="1" t="s">
        <v>1779</v>
      </c>
      <c r="G11" s="1" t="s">
        <v>27615</v>
      </c>
      <c r="H11" s="3"/>
      <c r="I11" s="3" t="s">
        <v>50</v>
      </c>
      <c r="J11" s="3" t="s">
        <v>1792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27616</v>
      </c>
      <c r="D12" s="1" t="s">
        <v>1786</v>
      </c>
      <c r="E12" s="1" t="s">
        <v>22697</v>
      </c>
      <c r="F12" s="1" t="s">
        <v>1786</v>
      </c>
      <c r="G12" s="1" t="s">
        <v>27617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8326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27618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20073</v>
      </c>
      <c r="B20" s="14">
        <v>4943198</v>
      </c>
      <c r="C20" s="14">
        <v>3333333</v>
      </c>
      <c r="D20" s="14" t="s">
        <v>8191</v>
      </c>
      <c r="E20" s="14" t="s">
        <v>27619</v>
      </c>
      <c r="F20" s="14" t="s">
        <v>27620</v>
      </c>
      <c r="G20" s="22" t="s">
        <v>27621</v>
      </c>
      <c r="H20" s="22" t="s">
        <v>27622</v>
      </c>
      <c r="I20" s="14" t="s">
        <v>88</v>
      </c>
      <c r="J20" s="14">
        <v>2</v>
      </c>
      <c r="K20" s="14">
        <v>1</v>
      </c>
      <c r="L20" s="14" t="s">
        <v>27623</v>
      </c>
      <c r="M20" s="14" t="s">
        <v>745</v>
      </c>
      <c r="N20" s="14" t="s">
        <v>27624</v>
      </c>
      <c r="O20" s="14" t="s">
        <v>20077</v>
      </c>
      <c r="P20" s="14" t="str">
        <f>HYPERLINK("https://dexscreener.com/solana/Hm4dVV7PtackAn2ePAv4kPNVxfhFahxndCJHCYqdpump", "View")</f>
        <v>View</v>
      </c>
    </row>
    <row r="21" spans="1:16" x14ac:dyDescent="0.25">
      <c r="A21" s="16" t="s">
        <v>18137</v>
      </c>
      <c r="B21" s="17">
        <v>4515665</v>
      </c>
      <c r="C21" s="17">
        <v>0</v>
      </c>
      <c r="D21" s="17" t="s">
        <v>27625</v>
      </c>
      <c r="E21" s="17" t="s">
        <v>21714</v>
      </c>
      <c r="F21" s="17" t="s">
        <v>96</v>
      </c>
      <c r="G21" s="18" t="s">
        <v>27626</v>
      </c>
      <c r="H21" s="18" t="s">
        <v>98</v>
      </c>
      <c r="I21" s="17" t="s">
        <v>27627</v>
      </c>
      <c r="J21" s="17">
        <v>1</v>
      </c>
      <c r="K21" s="17">
        <v>0</v>
      </c>
      <c r="L21" s="17" t="s">
        <v>27628</v>
      </c>
      <c r="M21" s="19" t="s">
        <v>101</v>
      </c>
      <c r="N21" s="17" t="s">
        <v>27629</v>
      </c>
      <c r="O21" s="17" t="s">
        <v>18142</v>
      </c>
      <c r="P21" s="17" t="str">
        <f>HYPERLINK("https://dexscreener.com/solana/41g7KyGh4u6QFkZAEEK1cLYjHfg6TMWECE1YTc5apump", "View")</f>
        <v>View</v>
      </c>
    </row>
    <row r="22" spans="1:16" x14ac:dyDescent="0.25">
      <c r="A22" s="13" t="s">
        <v>27630</v>
      </c>
      <c r="B22" s="14">
        <v>23989630</v>
      </c>
      <c r="C22" s="14">
        <v>0</v>
      </c>
      <c r="D22" s="14" t="s">
        <v>4347</v>
      </c>
      <c r="E22" s="14" t="s">
        <v>22519</v>
      </c>
      <c r="F22" s="14" t="s">
        <v>96</v>
      </c>
      <c r="G22" s="18" t="s">
        <v>27631</v>
      </c>
      <c r="H22" s="18" t="s">
        <v>98</v>
      </c>
      <c r="I22" s="14" t="s">
        <v>27632</v>
      </c>
      <c r="J22" s="14">
        <v>1</v>
      </c>
      <c r="K22" s="14">
        <v>0</v>
      </c>
      <c r="L22" s="14" t="s">
        <v>27633</v>
      </c>
      <c r="M22" s="19" t="s">
        <v>101</v>
      </c>
      <c r="N22" s="14" t="s">
        <v>1011</v>
      </c>
      <c r="O22" s="14" t="s">
        <v>27634</v>
      </c>
      <c r="P22" s="14" t="str">
        <f>HYPERLINK("https://photon-sol.tinyastro.io/en/lp/bSPifrxupQPYfrh45hujTph3GoiPCHs5F85Li65pump?handle=676050794bc1b1657a56b", "View")</f>
        <v>View</v>
      </c>
    </row>
    <row r="23" spans="1:16" x14ac:dyDescent="0.25">
      <c r="A23" s="16" t="s">
        <v>27635</v>
      </c>
      <c r="B23" s="17">
        <v>51115795</v>
      </c>
      <c r="C23" s="17">
        <v>0</v>
      </c>
      <c r="D23" s="17" t="s">
        <v>17949</v>
      </c>
      <c r="E23" s="17" t="s">
        <v>27636</v>
      </c>
      <c r="F23" s="17" t="s">
        <v>96</v>
      </c>
      <c r="G23" s="18" t="s">
        <v>27637</v>
      </c>
      <c r="H23" s="18" t="s">
        <v>98</v>
      </c>
      <c r="I23" s="17" t="s">
        <v>27638</v>
      </c>
      <c r="J23" s="17">
        <v>2</v>
      </c>
      <c r="K23" s="17">
        <v>0</v>
      </c>
      <c r="L23" s="17" t="s">
        <v>27639</v>
      </c>
      <c r="M23" s="17" t="s">
        <v>317</v>
      </c>
      <c r="N23" s="17" t="s">
        <v>27640</v>
      </c>
      <c r="O23" s="17" t="s">
        <v>27641</v>
      </c>
      <c r="P23" s="17" t="str">
        <f>HYPERLINK("https://photon-sol.tinyastro.io/en/lp/4egZWa36ndFdBqiHB66NdwXYfWCWSvkV3umSX6cupump?handle=676050794bc1b1657a56b", "View")</f>
        <v>View</v>
      </c>
    </row>
    <row r="24" spans="1:16" x14ac:dyDescent="0.25">
      <c r="A24" s="13" t="s">
        <v>12145</v>
      </c>
      <c r="B24" s="14">
        <v>1775818</v>
      </c>
      <c r="C24" s="14">
        <v>0</v>
      </c>
      <c r="D24" s="14" t="s">
        <v>10465</v>
      </c>
      <c r="E24" s="14" t="s">
        <v>1007</v>
      </c>
      <c r="F24" s="14" t="s">
        <v>96</v>
      </c>
      <c r="G24" s="18" t="s">
        <v>9365</v>
      </c>
      <c r="H24" s="18" t="s">
        <v>98</v>
      </c>
      <c r="I24" s="14" t="s">
        <v>27642</v>
      </c>
      <c r="J24" s="14">
        <v>1</v>
      </c>
      <c r="K24" s="14">
        <v>0</v>
      </c>
      <c r="L24" s="14" t="s">
        <v>27643</v>
      </c>
      <c r="M24" s="19" t="s">
        <v>101</v>
      </c>
      <c r="N24" s="14" t="s">
        <v>27644</v>
      </c>
      <c r="O24" s="14" t="s">
        <v>27645</v>
      </c>
      <c r="P24" s="14" t="str">
        <f>HYPERLINK("https://dexscreener.com/solana/BNqefzuRXjFQZdgn8zFsM1svNprTAeQJ1SKkMh7Qpump", "View")</f>
        <v>View</v>
      </c>
    </row>
    <row r="25" spans="1:16" x14ac:dyDescent="0.25">
      <c r="A25" s="16" t="s">
        <v>27646</v>
      </c>
      <c r="B25" s="17">
        <v>38606763</v>
      </c>
      <c r="C25" s="17">
        <v>0</v>
      </c>
      <c r="D25" s="17" t="s">
        <v>17071</v>
      </c>
      <c r="E25" s="17" t="s">
        <v>27647</v>
      </c>
      <c r="F25" s="17" t="s">
        <v>96</v>
      </c>
      <c r="G25" s="18" t="s">
        <v>27648</v>
      </c>
      <c r="H25" s="18" t="s">
        <v>98</v>
      </c>
      <c r="I25" s="17" t="s">
        <v>27649</v>
      </c>
      <c r="J25" s="17">
        <v>3</v>
      </c>
      <c r="K25" s="17">
        <v>0</v>
      </c>
      <c r="L25" s="17" t="s">
        <v>27650</v>
      </c>
      <c r="M25" s="17" t="s">
        <v>1159</v>
      </c>
      <c r="N25" s="17" t="s">
        <v>27651</v>
      </c>
      <c r="O25" s="17" t="s">
        <v>27652</v>
      </c>
      <c r="P25" s="17" t="str">
        <f>HYPERLINK("https://photon-sol.tinyastro.io/en/lp/AiCw26DPkAVmFNecgBzCM7sejz3CHidytKuAcaGrpump?handle=676050794bc1b1657a56b", "View")</f>
        <v>View</v>
      </c>
    </row>
    <row r="26" spans="1:16" x14ac:dyDescent="0.25">
      <c r="A26" s="13" t="s">
        <v>27653</v>
      </c>
      <c r="B26" s="14">
        <v>33645873</v>
      </c>
      <c r="C26" s="14">
        <v>0</v>
      </c>
      <c r="D26" s="14" t="s">
        <v>4347</v>
      </c>
      <c r="E26" s="14" t="s">
        <v>21359</v>
      </c>
      <c r="F26" s="14" t="s">
        <v>96</v>
      </c>
      <c r="G26" s="18" t="s">
        <v>27654</v>
      </c>
      <c r="H26" s="18" t="s">
        <v>98</v>
      </c>
      <c r="I26" s="14" t="s">
        <v>27655</v>
      </c>
      <c r="J26" s="14">
        <v>1</v>
      </c>
      <c r="K26" s="14">
        <v>0</v>
      </c>
      <c r="L26" s="14" t="s">
        <v>27656</v>
      </c>
      <c r="M26" s="19" t="s">
        <v>101</v>
      </c>
      <c r="N26" s="14" t="s">
        <v>4104</v>
      </c>
      <c r="O26" s="14" t="s">
        <v>27657</v>
      </c>
      <c r="P26" s="14" t="str">
        <f>HYPERLINK("https://photon-sol.tinyastro.io/en/lp/AjwFwqEWTnUxucfyeWixDMWoEgE21vsWLq8dLkBupump?handle=676050794bc1b1657a56b", "View")</f>
        <v>View</v>
      </c>
    </row>
    <row r="27" spans="1:16" x14ac:dyDescent="0.25">
      <c r="A27" s="16" t="s">
        <v>27658</v>
      </c>
      <c r="B27" s="17">
        <v>17011677</v>
      </c>
      <c r="C27" s="17">
        <v>0</v>
      </c>
      <c r="D27" s="17" t="s">
        <v>22315</v>
      </c>
      <c r="E27" s="17" t="s">
        <v>27659</v>
      </c>
      <c r="F27" s="17" t="s">
        <v>96</v>
      </c>
      <c r="G27" s="18" t="s">
        <v>27660</v>
      </c>
      <c r="H27" s="18" t="s">
        <v>98</v>
      </c>
      <c r="I27" s="17" t="s">
        <v>27661</v>
      </c>
      <c r="J27" s="17">
        <v>1</v>
      </c>
      <c r="K27" s="17">
        <v>0</v>
      </c>
      <c r="L27" s="17" t="s">
        <v>27662</v>
      </c>
      <c r="M27" s="19" t="s">
        <v>101</v>
      </c>
      <c r="N27" s="17" t="s">
        <v>22207</v>
      </c>
      <c r="O27" s="17" t="s">
        <v>27663</v>
      </c>
      <c r="P27" s="17" t="str">
        <f>HYPERLINK("https://photon-sol.tinyastro.io/en/lp/8WTke7BisW4eD11HeqoXMAYCqYbVmii1d1hajWYJpump?handle=676050794bc1b1657a56b", "View")</f>
        <v>View</v>
      </c>
    </row>
    <row r="28" spans="1:16" x14ac:dyDescent="0.25">
      <c r="A28" s="13" t="s">
        <v>1621</v>
      </c>
      <c r="B28" s="14">
        <v>8453929</v>
      </c>
      <c r="C28" s="14">
        <v>0</v>
      </c>
      <c r="D28" s="14" t="s">
        <v>4347</v>
      </c>
      <c r="E28" s="14" t="s">
        <v>27664</v>
      </c>
      <c r="F28" s="14" t="s">
        <v>96</v>
      </c>
      <c r="G28" s="18" t="s">
        <v>27665</v>
      </c>
      <c r="H28" s="18" t="s">
        <v>98</v>
      </c>
      <c r="I28" s="14" t="s">
        <v>27666</v>
      </c>
      <c r="J28" s="14">
        <v>1</v>
      </c>
      <c r="K28" s="14">
        <v>0</v>
      </c>
      <c r="L28" s="14" t="s">
        <v>27667</v>
      </c>
      <c r="M28" s="19" t="s">
        <v>101</v>
      </c>
      <c r="N28" s="14" t="s">
        <v>27668</v>
      </c>
      <c r="O28" s="14" t="s">
        <v>1627</v>
      </c>
      <c r="P28" s="14" t="str">
        <f>HYPERLINK("https://photon-sol.tinyastro.io/en/lp/Djv9h45qTD1Bf9KrePGDecHB9ynreMHssDTQkLrupump?handle=676050794bc1b1657a56b", "View")</f>
        <v>View</v>
      </c>
    </row>
    <row r="29" spans="1:16" x14ac:dyDescent="0.25">
      <c r="A29" s="16" t="s">
        <v>27669</v>
      </c>
      <c r="B29" s="17">
        <v>14515343</v>
      </c>
      <c r="C29" s="17">
        <v>0</v>
      </c>
      <c r="D29" s="17" t="s">
        <v>864</v>
      </c>
      <c r="E29" s="17" t="s">
        <v>219</v>
      </c>
      <c r="F29" s="17" t="s">
        <v>96</v>
      </c>
      <c r="G29" s="18" t="s">
        <v>871</v>
      </c>
      <c r="H29" s="18" t="s">
        <v>98</v>
      </c>
      <c r="I29" s="17" t="s">
        <v>27670</v>
      </c>
      <c r="J29" s="17">
        <v>1</v>
      </c>
      <c r="K29" s="17">
        <v>0</v>
      </c>
      <c r="L29" s="17" t="s">
        <v>27671</v>
      </c>
      <c r="M29" s="19" t="s">
        <v>101</v>
      </c>
      <c r="N29" s="17" t="s">
        <v>27672</v>
      </c>
      <c r="O29" s="17" t="s">
        <v>27673</v>
      </c>
      <c r="P29" s="17" t="str">
        <f>HYPERLINK("https://dexscreener.com/solana/34wfgAa6JzKxN1TGCneRk3LY1xetvnF8q5n6H7fzf2TY", "View")</f>
        <v>View</v>
      </c>
    </row>
    <row r="30" spans="1:16" x14ac:dyDescent="0.25">
      <c r="A30" s="13" t="s">
        <v>21886</v>
      </c>
      <c r="B30" s="14">
        <v>14812718</v>
      </c>
      <c r="C30" s="14">
        <v>157986</v>
      </c>
      <c r="D30" s="14" t="s">
        <v>6267</v>
      </c>
      <c r="E30" s="14" t="s">
        <v>27674</v>
      </c>
      <c r="F30" s="14" t="s">
        <v>3563</v>
      </c>
      <c r="G30" s="15" t="s">
        <v>27675</v>
      </c>
      <c r="H30" s="15" t="s">
        <v>27676</v>
      </c>
      <c r="I30" s="14" t="s">
        <v>88</v>
      </c>
      <c r="J30" s="14">
        <v>3</v>
      </c>
      <c r="K30" s="14">
        <v>1</v>
      </c>
      <c r="L30" s="14" t="s">
        <v>27677</v>
      </c>
      <c r="M30" s="14" t="s">
        <v>4454</v>
      </c>
      <c r="N30" s="14" t="s">
        <v>27678</v>
      </c>
      <c r="O30" s="14" t="s">
        <v>27679</v>
      </c>
      <c r="P30" s="14" t="str">
        <f>HYPERLINK("https://dexscreener.com/solana/HJBHJPL6QZ5wq5sXEsEmMNPLZqxJKsQBHiRF3Hj3pump", "View")</f>
        <v>View</v>
      </c>
    </row>
    <row r="31" spans="1:16" x14ac:dyDescent="0.25">
      <c r="A31" s="16" t="s">
        <v>22842</v>
      </c>
      <c r="B31" s="17">
        <v>9238530</v>
      </c>
      <c r="C31" s="17">
        <v>0</v>
      </c>
      <c r="D31" s="17" t="s">
        <v>864</v>
      </c>
      <c r="E31" s="17" t="s">
        <v>569</v>
      </c>
      <c r="F31" s="17" t="s">
        <v>96</v>
      </c>
      <c r="G31" s="18" t="s">
        <v>877</v>
      </c>
      <c r="H31" s="18" t="s">
        <v>98</v>
      </c>
      <c r="I31" s="17" t="s">
        <v>27680</v>
      </c>
      <c r="J31" s="17">
        <v>1</v>
      </c>
      <c r="K31" s="17">
        <v>0</v>
      </c>
      <c r="L31" s="17" t="s">
        <v>27681</v>
      </c>
      <c r="M31" s="19" t="s">
        <v>101</v>
      </c>
      <c r="N31" s="17" t="s">
        <v>27682</v>
      </c>
      <c r="O31" s="17" t="s">
        <v>22846</v>
      </c>
      <c r="P31" s="17" t="str">
        <f>HYPERLINK("https://dexscreener.com/solana/6UmMAjSYeA5vR94Bn2qD7n2jWpQdd3nW22Vo95RSpump", "View")</f>
        <v>View</v>
      </c>
    </row>
    <row r="32" spans="1:16" x14ac:dyDescent="0.25">
      <c r="A32" s="13" t="s">
        <v>27683</v>
      </c>
      <c r="B32" s="14">
        <v>58080923</v>
      </c>
      <c r="C32" s="14">
        <v>30000000</v>
      </c>
      <c r="D32" s="14" t="s">
        <v>19373</v>
      </c>
      <c r="E32" s="14" t="s">
        <v>27684</v>
      </c>
      <c r="F32" s="14" t="s">
        <v>27685</v>
      </c>
      <c r="G32" s="21" t="s">
        <v>27686</v>
      </c>
      <c r="H32" s="21" t="s">
        <v>27687</v>
      </c>
      <c r="I32" s="14" t="s">
        <v>88</v>
      </c>
      <c r="J32" s="14">
        <v>3</v>
      </c>
      <c r="K32" s="14">
        <v>3</v>
      </c>
      <c r="L32" s="14" t="s">
        <v>27688</v>
      </c>
      <c r="M32" s="14" t="s">
        <v>150</v>
      </c>
      <c r="N32" s="14" t="s">
        <v>27689</v>
      </c>
      <c r="O32" s="14" t="s">
        <v>27690</v>
      </c>
      <c r="P32" s="14" t="str">
        <f>HYPERLINK("https://photon-sol.tinyastro.io/en/lp/FA9jJDQzBEeV4qunJpt7XY7wC4smNYLsBNtMCTPsj3pp?handle=676050794bc1b1657a56b", "View")</f>
        <v>View</v>
      </c>
    </row>
    <row r="33" spans="1:16" x14ac:dyDescent="0.25">
      <c r="A33" s="16" t="s">
        <v>27691</v>
      </c>
      <c r="B33" s="17">
        <v>9636402</v>
      </c>
      <c r="C33" s="17">
        <v>9636402</v>
      </c>
      <c r="D33" s="17" t="s">
        <v>883</v>
      </c>
      <c r="E33" s="17" t="s">
        <v>27692</v>
      </c>
      <c r="F33" s="17" t="s">
        <v>1187</v>
      </c>
      <c r="G33" s="15" t="s">
        <v>27693</v>
      </c>
      <c r="H33" s="15" t="s">
        <v>16887</v>
      </c>
      <c r="I33" s="17" t="s">
        <v>88</v>
      </c>
      <c r="J33" s="17">
        <v>2</v>
      </c>
      <c r="K33" s="17">
        <v>1</v>
      </c>
      <c r="L33" s="17" t="s">
        <v>27694</v>
      </c>
      <c r="M33" s="17" t="s">
        <v>1526</v>
      </c>
      <c r="N33" s="17" t="s">
        <v>27695</v>
      </c>
      <c r="O33" s="17" t="s">
        <v>27696</v>
      </c>
      <c r="P33" s="17" t="str">
        <f>HYPERLINK("https://dexscreener.com/solana/Ctkd5XNt9SAYVgdoD36BQw7cTktjMAUJ954kah1Hpump", "View")</f>
        <v>View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2230-CD2B-4896-9C56-3D7B2D80B7AA}">
  <dimension ref="A1:P3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HYPERLINK("https://gmgn.ai/sol/address/EwMT7ygvaGxSsg7dn9gH6vRXLNSRv9BHYCf8fNUJVxdU", "GMGN")</f>
        <v>GMGN</v>
      </c>
    </row>
    <row r="2" spans="1:14" x14ac:dyDescent="0.25">
      <c r="A2" s="3" t="s">
        <v>27697</v>
      </c>
      <c r="B2" s="3" t="s">
        <v>27698</v>
      </c>
      <c r="C2" s="3" t="s">
        <v>27699</v>
      </c>
      <c r="D2" s="3" t="s">
        <v>4354</v>
      </c>
      <c r="E2" s="3" t="s">
        <v>27700</v>
      </c>
      <c r="F2" s="3" t="s">
        <v>21191</v>
      </c>
      <c r="G2" s="3" t="s">
        <v>18</v>
      </c>
      <c r="H2" s="3">
        <v>15</v>
      </c>
      <c r="I2" s="3">
        <v>3</v>
      </c>
      <c r="J2" s="3" t="s">
        <v>4413</v>
      </c>
      <c r="K2" s="3" t="s">
        <v>3171</v>
      </c>
      <c r="L2" s="3">
        <v>7</v>
      </c>
      <c r="M2" s="3">
        <v>12</v>
      </c>
      <c r="N2" s="3" t="str">
        <f>HYPERLINK("https://solscan.io/account/EwMT7ygvaGxSsg7dn9gH6vRXLNSRv9BHYCf8fNUJVxdU", "Solscan")</f>
        <v>Solscan</v>
      </c>
    </row>
    <row r="3" spans="1:14" x14ac:dyDescent="0.25">
      <c r="A3" s="1" t="s">
        <v>21</v>
      </c>
      <c r="B3" s="4" t="s">
        <v>23251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HYPERLINK("https://birdeye.so/profile/EwMT7ygvaGxSsg7dn9gH6vRXLNSRv9BHYCf8fNUJVxdU", "Birdeye")</f>
        <v>Birdeye</v>
      </c>
    </row>
    <row r="4" spans="1:14" x14ac:dyDescent="0.25">
      <c r="A4" s="1" t="s">
        <v>25</v>
      </c>
      <c r="B4" s="3" t="s">
        <v>4271</v>
      </c>
      <c r="C4" s="3"/>
      <c r="D4" s="3" t="s">
        <v>21597</v>
      </c>
      <c r="E4" s="3" t="s">
        <v>27701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15564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2</v>
      </c>
      <c r="D10" s="1">
        <v>1</v>
      </c>
      <c r="E10" s="1">
        <v>0</v>
      </c>
      <c r="F10" s="1">
        <v>3</v>
      </c>
      <c r="G10" s="1">
        <v>9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21498</v>
      </c>
      <c r="D11" s="1" t="s">
        <v>21195</v>
      </c>
      <c r="E11" s="1" t="s">
        <v>1779</v>
      </c>
      <c r="F11" s="1" t="s">
        <v>21196</v>
      </c>
      <c r="G11" s="1" t="s">
        <v>21499</v>
      </c>
      <c r="H11" s="3"/>
      <c r="I11" s="3" t="s">
        <v>50</v>
      </c>
      <c r="J11" s="3" t="s">
        <v>1792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17859</v>
      </c>
      <c r="D12" s="1" t="s">
        <v>20034</v>
      </c>
      <c r="E12" s="1" t="s">
        <v>1786</v>
      </c>
      <c r="F12" s="1" t="s">
        <v>20573</v>
      </c>
      <c r="G12" s="1" t="s">
        <v>27702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15564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27703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135</v>
      </c>
      <c r="B20" s="14">
        <v>6650</v>
      </c>
      <c r="C20" s="14">
        <v>6650</v>
      </c>
      <c r="D20" s="14" t="s">
        <v>9885</v>
      </c>
      <c r="E20" s="14" t="s">
        <v>4396</v>
      </c>
      <c r="F20" s="14" t="s">
        <v>7291</v>
      </c>
      <c r="G20" s="20" t="s">
        <v>5883</v>
      </c>
      <c r="H20" s="20" t="s">
        <v>27704</v>
      </c>
      <c r="I20" s="14" t="s">
        <v>88</v>
      </c>
      <c r="J20" s="14">
        <v>1</v>
      </c>
      <c r="K20" s="14">
        <v>1</v>
      </c>
      <c r="L20" s="14" t="s">
        <v>27705</v>
      </c>
      <c r="M20" s="14" t="s">
        <v>3171</v>
      </c>
      <c r="N20" s="14" t="s">
        <v>27706</v>
      </c>
      <c r="O20" s="14" t="s">
        <v>143</v>
      </c>
      <c r="P20" s="14" t="str">
        <f>HYPERLINK("https://dexscreener.com/solana/DDxS3mzbFiwPgmpK7j573MDvD7EQj5stPHZ8K8Wppump", "View")</f>
        <v>View</v>
      </c>
    </row>
    <row r="21" spans="1:16" x14ac:dyDescent="0.25">
      <c r="A21" s="16" t="s">
        <v>27707</v>
      </c>
      <c r="B21" s="17">
        <v>1297850</v>
      </c>
      <c r="C21" s="17">
        <v>1297850</v>
      </c>
      <c r="D21" s="17" t="s">
        <v>9885</v>
      </c>
      <c r="E21" s="17" t="s">
        <v>5752</v>
      </c>
      <c r="F21" s="17" t="s">
        <v>23112</v>
      </c>
      <c r="G21" s="21" t="s">
        <v>18133</v>
      </c>
      <c r="H21" s="21" t="s">
        <v>27708</v>
      </c>
      <c r="I21" s="17" t="s">
        <v>88</v>
      </c>
      <c r="J21" s="17">
        <v>1</v>
      </c>
      <c r="K21" s="17">
        <v>1</v>
      </c>
      <c r="L21" s="17" t="s">
        <v>27709</v>
      </c>
      <c r="M21" s="19" t="s">
        <v>2292</v>
      </c>
      <c r="N21" s="17" t="s">
        <v>27710</v>
      </c>
      <c r="O21" s="17" t="s">
        <v>27711</v>
      </c>
      <c r="P21" s="17" t="str">
        <f>HYPERLINK("https://photon-sol.tinyastro.io/en/lp/Brr65HPDUpnYinFiRFqMdFTRjX9mN9Bk9t77PHdTpump?handle=676050794bc1b1657a56b", "View")</f>
        <v>View</v>
      </c>
    </row>
    <row r="22" spans="1:16" x14ac:dyDescent="0.25">
      <c r="A22" s="13" t="s">
        <v>27712</v>
      </c>
      <c r="B22" s="14">
        <v>1603805</v>
      </c>
      <c r="C22" s="14">
        <v>1603805</v>
      </c>
      <c r="D22" s="14" t="s">
        <v>9885</v>
      </c>
      <c r="E22" s="14" t="s">
        <v>17627</v>
      </c>
      <c r="F22" s="14" t="s">
        <v>5608</v>
      </c>
      <c r="G22" s="20" t="s">
        <v>2514</v>
      </c>
      <c r="H22" s="20" t="s">
        <v>27713</v>
      </c>
      <c r="I22" s="14" t="s">
        <v>88</v>
      </c>
      <c r="J22" s="14">
        <v>1</v>
      </c>
      <c r="K22" s="14">
        <v>1</v>
      </c>
      <c r="L22" s="14" t="s">
        <v>15706</v>
      </c>
      <c r="M22" s="14" t="s">
        <v>1434</v>
      </c>
      <c r="N22" s="14" t="s">
        <v>3115</v>
      </c>
      <c r="O22" s="14" t="s">
        <v>27714</v>
      </c>
      <c r="P22" s="14" t="str">
        <f>HYPERLINK("https://photon-sol.tinyastro.io/en/lp/DYun9hK6Y5HeWBoRMFGyKZfZt5GztLoa3ErrgUzTpump?handle=676050794bc1b1657a56b", "View")</f>
        <v>View</v>
      </c>
    </row>
    <row r="23" spans="1:16" x14ac:dyDescent="0.25">
      <c r="A23" s="16" t="s">
        <v>1221</v>
      </c>
      <c r="B23" s="17">
        <v>418455</v>
      </c>
      <c r="C23" s="17">
        <v>418455</v>
      </c>
      <c r="D23" s="17" t="s">
        <v>9885</v>
      </c>
      <c r="E23" s="17" t="s">
        <v>3320</v>
      </c>
      <c r="F23" s="17" t="s">
        <v>15974</v>
      </c>
      <c r="G23" s="15" t="s">
        <v>4181</v>
      </c>
      <c r="H23" s="15" t="s">
        <v>23251</v>
      </c>
      <c r="I23" s="17" t="s">
        <v>88</v>
      </c>
      <c r="J23" s="17">
        <v>1</v>
      </c>
      <c r="K23" s="17">
        <v>1</v>
      </c>
      <c r="L23" s="17" t="s">
        <v>27715</v>
      </c>
      <c r="M23" s="17" t="s">
        <v>3171</v>
      </c>
      <c r="N23" s="17" t="s">
        <v>27716</v>
      </c>
      <c r="O23" s="17" t="s">
        <v>1681</v>
      </c>
      <c r="P23" s="17" t="str">
        <f>HYPERLINK("https://photon-sol.tinyastro.io/en/lp/FcmwNqBmM5Qo3dZXEkhsFGRQTLCDJrhzzb9ubjKrpump?handle=676050794bc1b1657a56b", "View")</f>
        <v>View</v>
      </c>
    </row>
    <row r="24" spans="1:16" x14ac:dyDescent="0.25">
      <c r="A24" s="13" t="s">
        <v>125</v>
      </c>
      <c r="B24" s="14">
        <v>16563</v>
      </c>
      <c r="C24" s="14">
        <v>6765</v>
      </c>
      <c r="D24" s="14" t="s">
        <v>27717</v>
      </c>
      <c r="E24" s="14" t="s">
        <v>2200</v>
      </c>
      <c r="F24" s="14" t="s">
        <v>7695</v>
      </c>
      <c r="G24" s="21" t="s">
        <v>27009</v>
      </c>
      <c r="H24" s="21" t="s">
        <v>27718</v>
      </c>
      <c r="I24" s="14" t="s">
        <v>88</v>
      </c>
      <c r="J24" s="14">
        <v>1</v>
      </c>
      <c r="K24" s="14">
        <v>2</v>
      </c>
      <c r="L24" s="14" t="s">
        <v>27719</v>
      </c>
      <c r="M24" s="14" t="s">
        <v>1714</v>
      </c>
      <c r="N24" s="14" t="s">
        <v>27720</v>
      </c>
      <c r="O24" s="14" t="s">
        <v>134</v>
      </c>
      <c r="P24" s="14" t="str">
        <f>HYPERLINK("https://dexscreener.com/solana/CBdCxKo9QavR9hfShgpEBG3zekorAeD7W1jfq2o3pump", "View")</f>
        <v>View</v>
      </c>
    </row>
    <row r="25" spans="1:16" x14ac:dyDescent="0.25">
      <c r="A25" s="16" t="s">
        <v>16344</v>
      </c>
      <c r="B25" s="17">
        <v>4181</v>
      </c>
      <c r="C25" s="17">
        <v>1943</v>
      </c>
      <c r="D25" s="17" t="s">
        <v>27721</v>
      </c>
      <c r="E25" s="17" t="s">
        <v>1007</v>
      </c>
      <c r="F25" s="17" t="s">
        <v>3610</v>
      </c>
      <c r="G25" s="15" t="s">
        <v>4688</v>
      </c>
      <c r="H25" s="15" t="s">
        <v>27722</v>
      </c>
      <c r="I25" s="17" t="s">
        <v>88</v>
      </c>
      <c r="J25" s="17">
        <v>2</v>
      </c>
      <c r="K25" s="17">
        <v>1</v>
      </c>
      <c r="L25" s="17" t="s">
        <v>27723</v>
      </c>
      <c r="M25" s="17" t="s">
        <v>1566</v>
      </c>
      <c r="N25" s="17" t="s">
        <v>27724</v>
      </c>
      <c r="O25" s="17" t="s">
        <v>27725</v>
      </c>
      <c r="P25" s="17" t="str">
        <f>HYPERLINK("https://dexscreener.com/solana/HeLp6NuQkmYB4pYWo2zYs22mESHXPQYzXbB8n4V98jwC", "View")</f>
        <v>View</v>
      </c>
    </row>
    <row r="26" spans="1:16" x14ac:dyDescent="0.25">
      <c r="A26" s="13" t="s">
        <v>558</v>
      </c>
      <c r="B26" s="14">
        <v>344423</v>
      </c>
      <c r="C26" s="14">
        <v>0</v>
      </c>
      <c r="D26" s="14" t="s">
        <v>13323</v>
      </c>
      <c r="E26" s="14" t="s">
        <v>1007</v>
      </c>
      <c r="F26" s="14" t="s">
        <v>96</v>
      </c>
      <c r="G26" s="18" t="s">
        <v>11177</v>
      </c>
      <c r="H26" s="18" t="s">
        <v>98</v>
      </c>
      <c r="I26" s="14" t="s">
        <v>27726</v>
      </c>
      <c r="J26" s="14">
        <v>1</v>
      </c>
      <c r="K26" s="14">
        <v>0</v>
      </c>
      <c r="L26" s="14" t="s">
        <v>27727</v>
      </c>
      <c r="M26" s="19" t="s">
        <v>101</v>
      </c>
      <c r="N26" s="14" t="s">
        <v>27728</v>
      </c>
      <c r="O26" s="14" t="s">
        <v>13108</v>
      </c>
      <c r="P26" s="14" t="str">
        <f>HYPERLINK("https://dexscreener.com/solana/4Hcm1TfA1MvVhCQHvJCcKL7ymUhJZAV7P439H5ZHnKRh", "View")</f>
        <v>View</v>
      </c>
    </row>
    <row r="27" spans="1:16" x14ac:dyDescent="0.25">
      <c r="A27" s="16" t="s">
        <v>15804</v>
      </c>
      <c r="B27" s="17">
        <v>4852</v>
      </c>
      <c r="C27" s="17">
        <v>0</v>
      </c>
      <c r="D27" s="17" t="s">
        <v>13323</v>
      </c>
      <c r="E27" s="17" t="s">
        <v>1007</v>
      </c>
      <c r="F27" s="17" t="s">
        <v>96</v>
      </c>
      <c r="G27" s="18" t="s">
        <v>11177</v>
      </c>
      <c r="H27" s="18" t="s">
        <v>98</v>
      </c>
      <c r="I27" s="17" t="s">
        <v>27729</v>
      </c>
      <c r="J27" s="17">
        <v>1</v>
      </c>
      <c r="K27" s="17">
        <v>0</v>
      </c>
      <c r="L27" s="17" t="s">
        <v>27730</v>
      </c>
      <c r="M27" s="19" t="s">
        <v>101</v>
      </c>
      <c r="N27" s="17" t="s">
        <v>27731</v>
      </c>
      <c r="O27" s="17" t="s">
        <v>15808</v>
      </c>
      <c r="P27" s="17" t="str">
        <f>HYPERLINK("https://dexscreener.com/solana/3HYx6a9whu5a4dnzE62WNXg46MrEmu9LFxutR2YBpump", "View")</f>
        <v>View</v>
      </c>
    </row>
    <row r="28" spans="1:16" x14ac:dyDescent="0.25">
      <c r="A28" s="13" t="s">
        <v>12576</v>
      </c>
      <c r="B28" s="14">
        <v>29956</v>
      </c>
      <c r="C28" s="14">
        <v>0</v>
      </c>
      <c r="D28" s="14" t="s">
        <v>13323</v>
      </c>
      <c r="E28" s="14" t="s">
        <v>2200</v>
      </c>
      <c r="F28" s="14" t="s">
        <v>96</v>
      </c>
      <c r="G28" s="18" t="s">
        <v>16419</v>
      </c>
      <c r="H28" s="18" t="s">
        <v>98</v>
      </c>
      <c r="I28" s="14" t="s">
        <v>27732</v>
      </c>
      <c r="J28" s="14">
        <v>1</v>
      </c>
      <c r="K28" s="14">
        <v>0</v>
      </c>
      <c r="L28" s="14" t="s">
        <v>27733</v>
      </c>
      <c r="M28" s="19" t="s">
        <v>101</v>
      </c>
      <c r="N28" s="14" t="s">
        <v>15910</v>
      </c>
      <c r="O28" s="14" t="s">
        <v>12583</v>
      </c>
      <c r="P28" s="14" t="str">
        <f>HYPERLINK("https://dexscreener.com/solana/9JhFqCA21MoAXs2PTaeqNQp2XngPn1PgYr2rsEVCpump", "View")</f>
        <v>View</v>
      </c>
    </row>
    <row r="29" spans="1:16" x14ac:dyDescent="0.25">
      <c r="A29" s="16" t="s">
        <v>7765</v>
      </c>
      <c r="B29" s="17">
        <v>6892794</v>
      </c>
      <c r="C29" s="17">
        <v>3114874</v>
      </c>
      <c r="D29" s="17" t="s">
        <v>27734</v>
      </c>
      <c r="E29" s="17" t="s">
        <v>8485</v>
      </c>
      <c r="F29" s="17" t="s">
        <v>2200</v>
      </c>
      <c r="G29" s="20" t="s">
        <v>3611</v>
      </c>
      <c r="H29" s="20" t="s">
        <v>27735</v>
      </c>
      <c r="I29" s="17" t="s">
        <v>88</v>
      </c>
      <c r="J29" s="17">
        <v>1</v>
      </c>
      <c r="K29" s="17">
        <v>1</v>
      </c>
      <c r="L29" s="17" t="s">
        <v>27736</v>
      </c>
      <c r="M29" s="17" t="s">
        <v>132</v>
      </c>
      <c r="N29" s="17" t="s">
        <v>4184</v>
      </c>
      <c r="O29" s="17" t="s">
        <v>7773</v>
      </c>
      <c r="P29" s="17" t="str">
        <f>HYPERLINK("https://photon-sol.tinyastro.io/en/lp/HaL8cPcEZgwLaCbwyf6aAPh7rhw7iHck22zFXSNjpump?handle=676050794bc1b1657a56b", "View")</f>
        <v>View</v>
      </c>
    </row>
    <row r="30" spans="1:16" x14ac:dyDescent="0.25">
      <c r="A30" s="13" t="s">
        <v>21521</v>
      </c>
      <c r="B30" s="14">
        <v>282384</v>
      </c>
      <c r="C30" s="14">
        <v>0</v>
      </c>
      <c r="D30" s="14" t="s">
        <v>9885</v>
      </c>
      <c r="E30" s="14" t="s">
        <v>1007</v>
      </c>
      <c r="F30" s="14" t="s">
        <v>96</v>
      </c>
      <c r="G30" s="18" t="s">
        <v>19314</v>
      </c>
      <c r="H30" s="18" t="s">
        <v>98</v>
      </c>
      <c r="I30" s="14" t="s">
        <v>27737</v>
      </c>
      <c r="J30" s="14">
        <v>2</v>
      </c>
      <c r="K30" s="14">
        <v>0</v>
      </c>
      <c r="L30" s="14" t="s">
        <v>27738</v>
      </c>
      <c r="M30" s="14" t="s">
        <v>1566</v>
      </c>
      <c r="N30" s="14" t="s">
        <v>27739</v>
      </c>
      <c r="O30" s="14" t="s">
        <v>21528</v>
      </c>
      <c r="P30" s="14" t="str">
        <f>HYPERLINK("https://dexscreener.com/solana/6G9UoNmvtpgdwzwNQuqCrTD4Bz3j8VyKVJPsjKnrpump", "View")</f>
        <v>View</v>
      </c>
    </row>
    <row r="31" spans="1:16" x14ac:dyDescent="0.25">
      <c r="A31" s="16" t="s">
        <v>20618</v>
      </c>
      <c r="B31" s="17">
        <v>82861</v>
      </c>
      <c r="C31" s="17">
        <v>0</v>
      </c>
      <c r="D31" s="17" t="s">
        <v>27625</v>
      </c>
      <c r="E31" s="17" t="s">
        <v>2200</v>
      </c>
      <c r="F31" s="17" t="s">
        <v>96</v>
      </c>
      <c r="G31" s="18" t="s">
        <v>11519</v>
      </c>
      <c r="H31" s="18" t="s">
        <v>98</v>
      </c>
      <c r="I31" s="17" t="s">
        <v>27740</v>
      </c>
      <c r="J31" s="17">
        <v>1</v>
      </c>
      <c r="K31" s="17">
        <v>0</v>
      </c>
      <c r="L31" s="17" t="s">
        <v>27741</v>
      </c>
      <c r="M31" s="19" t="s">
        <v>101</v>
      </c>
      <c r="N31" s="17" t="s">
        <v>27742</v>
      </c>
      <c r="O31" s="17" t="s">
        <v>20622</v>
      </c>
      <c r="P31" s="17" t="str">
        <f>HYPERLINK("https://dexscreener.com/solana/8jv1q4Z1jbd22A5MSWruC77DhHESwMr6Er3D8hBXpump", "View")</f>
        <v>View</v>
      </c>
    </row>
    <row r="32" spans="1:16" x14ac:dyDescent="0.25">
      <c r="A32" s="13" t="s">
        <v>27743</v>
      </c>
      <c r="B32" s="14">
        <v>10021158</v>
      </c>
      <c r="C32" s="14">
        <v>0</v>
      </c>
      <c r="D32" s="14" t="s">
        <v>4805</v>
      </c>
      <c r="E32" s="14" t="s">
        <v>8485</v>
      </c>
      <c r="F32" s="14" t="s">
        <v>96</v>
      </c>
      <c r="G32" s="18" t="s">
        <v>13816</v>
      </c>
      <c r="H32" s="18" t="s">
        <v>98</v>
      </c>
      <c r="I32" s="14" t="s">
        <v>27744</v>
      </c>
      <c r="J32" s="14">
        <v>1</v>
      </c>
      <c r="K32" s="14">
        <v>0</v>
      </c>
      <c r="L32" s="14" t="s">
        <v>27745</v>
      </c>
      <c r="M32" s="19" t="s">
        <v>101</v>
      </c>
      <c r="N32" s="14" t="s">
        <v>12453</v>
      </c>
      <c r="O32" s="14" t="s">
        <v>27746</v>
      </c>
      <c r="P32" s="14" t="str">
        <f>HYPERLINK("https://photon-sol.tinyastro.io/en/lp/2Ft2kpgH43s98Q8wPksAqejM9cse4wueuzu9ypzspump?handle=676050794bc1b1657a56b", "View")</f>
        <v>View</v>
      </c>
    </row>
    <row r="33" spans="1:16" x14ac:dyDescent="0.25">
      <c r="A33" s="16" t="s">
        <v>27747</v>
      </c>
      <c r="B33" s="17">
        <v>6460258</v>
      </c>
      <c r="C33" s="17">
        <v>0</v>
      </c>
      <c r="D33" s="17" t="s">
        <v>4347</v>
      </c>
      <c r="E33" s="17" t="s">
        <v>8485</v>
      </c>
      <c r="F33" s="17" t="s">
        <v>96</v>
      </c>
      <c r="G33" s="18" t="s">
        <v>16427</v>
      </c>
      <c r="H33" s="18" t="s">
        <v>98</v>
      </c>
      <c r="I33" s="17" t="s">
        <v>27748</v>
      </c>
      <c r="J33" s="17">
        <v>1</v>
      </c>
      <c r="K33" s="17">
        <v>0</v>
      </c>
      <c r="L33" s="17" t="s">
        <v>27749</v>
      </c>
      <c r="M33" s="19" t="s">
        <v>101</v>
      </c>
      <c r="N33" s="17" t="s">
        <v>507</v>
      </c>
      <c r="O33" s="17" t="s">
        <v>27750</v>
      </c>
      <c r="P33" s="17" t="str">
        <f>HYPERLINK("https://photon-sol.tinyastro.io/en/lp/D9fJwRdzNgh85MApLvQ5cKenhdk5DEoJbfnR9xJjAyVJ?handle=676050794bc1b1657a56b", "View")</f>
        <v>View</v>
      </c>
    </row>
    <row r="34" spans="1:16" x14ac:dyDescent="0.25">
      <c r="A34" s="13" t="s">
        <v>27751</v>
      </c>
      <c r="B34" s="14">
        <v>3630463</v>
      </c>
      <c r="C34" s="14">
        <v>774813</v>
      </c>
      <c r="D34" s="14" t="s">
        <v>27734</v>
      </c>
      <c r="E34" s="14" t="s">
        <v>8485</v>
      </c>
      <c r="F34" s="14" t="s">
        <v>1007</v>
      </c>
      <c r="G34" s="21" t="s">
        <v>22639</v>
      </c>
      <c r="H34" s="21" t="s">
        <v>27752</v>
      </c>
      <c r="I34" s="14" t="s">
        <v>88</v>
      </c>
      <c r="J34" s="14">
        <v>1</v>
      </c>
      <c r="K34" s="14">
        <v>1</v>
      </c>
      <c r="L34" s="14" t="s">
        <v>27753</v>
      </c>
      <c r="M34" s="14" t="s">
        <v>7248</v>
      </c>
      <c r="N34" s="14" t="s">
        <v>27754</v>
      </c>
      <c r="O34" s="14" t="s">
        <v>27755</v>
      </c>
      <c r="P34" s="14" t="str">
        <f>HYPERLINK("https://photon-sol.tinyastro.io/en/lp/9StrGbWhX8nuKSuTNjv5B3BgfLNrbk3c3Hh9YB85pump?handle=676050794bc1b1657a56b", "View")</f>
        <v>View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66AE-5A31-4F03-844D-7369D530F7B1}">
  <dimension ref="A1:P2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HYPERLINK("https://gmgn.ai/sol/address/2FaNRoiXTZ9xXXNKRPap3VXiSZQr6ebwjnHBseCWJc9h", "GMGN")</f>
        <v>GMGN</v>
      </c>
    </row>
    <row r="2" spans="1:14" x14ac:dyDescent="0.25">
      <c r="A2" s="3" t="s">
        <v>27756</v>
      </c>
      <c r="B2" s="3" t="s">
        <v>27757</v>
      </c>
      <c r="C2" s="3" t="s">
        <v>19651</v>
      </c>
      <c r="D2" s="3" t="s">
        <v>27758</v>
      </c>
      <c r="E2" s="3" t="s">
        <v>27759</v>
      </c>
      <c r="F2" s="3" t="s">
        <v>18</v>
      </c>
      <c r="G2" s="3" t="s">
        <v>18</v>
      </c>
      <c r="H2" s="3">
        <v>8</v>
      </c>
      <c r="I2" s="3">
        <v>0</v>
      </c>
      <c r="J2" s="3" t="s">
        <v>132</v>
      </c>
      <c r="K2" s="3" t="s">
        <v>3180</v>
      </c>
      <c r="L2" s="3">
        <v>8</v>
      </c>
      <c r="M2" s="3">
        <v>2</v>
      </c>
      <c r="N2" s="3" t="str">
        <f>HYPERLINK("https://solscan.io/account/2FaNRoiXTZ9xXXNKRPap3VXiSZQr6ebwjnHBseCWJc9h", "Solscan")</f>
        <v>Solscan</v>
      </c>
    </row>
    <row r="3" spans="1:14" x14ac:dyDescent="0.25">
      <c r="A3" s="1" t="s">
        <v>21</v>
      </c>
      <c r="B3" s="23" t="s">
        <v>27760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HYPERLINK("https://birdeye.so/profile/2FaNRoiXTZ9xXXNKRPap3VXiSZQr6ebwjnHBseCWJc9h", "Birdeye")</f>
        <v>Birdeye</v>
      </c>
    </row>
    <row r="4" spans="1:14" x14ac:dyDescent="0.25">
      <c r="A4" s="1" t="s">
        <v>25</v>
      </c>
      <c r="B4" s="3" t="s">
        <v>16590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27326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3</v>
      </c>
      <c r="E10" s="1">
        <v>0</v>
      </c>
      <c r="F10" s="1">
        <v>2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17854</v>
      </c>
      <c r="C11" s="1" t="s">
        <v>17854</v>
      </c>
      <c r="D11" s="1" t="s">
        <v>17856</v>
      </c>
      <c r="E11" s="1" t="s">
        <v>1779</v>
      </c>
      <c r="F11" s="1" t="s">
        <v>24242</v>
      </c>
      <c r="G11" s="1" t="s">
        <v>17854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26985</v>
      </c>
      <c r="C12" s="1" t="s">
        <v>1778</v>
      </c>
      <c r="D12" s="1" t="s">
        <v>7498</v>
      </c>
      <c r="E12" s="1" t="s">
        <v>1786</v>
      </c>
      <c r="F12" s="1" t="s">
        <v>17860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27761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26991</v>
      </c>
      <c r="B20" s="14">
        <v>8959841</v>
      </c>
      <c r="C20" s="14">
        <v>8959841</v>
      </c>
      <c r="D20" s="14" t="s">
        <v>27762</v>
      </c>
      <c r="E20" s="14" t="s">
        <v>27562</v>
      </c>
      <c r="F20" s="14" t="s">
        <v>13599</v>
      </c>
      <c r="G20" s="21" t="s">
        <v>3577</v>
      </c>
      <c r="H20" s="21" t="s">
        <v>12960</v>
      </c>
      <c r="I20" s="14" t="s">
        <v>88</v>
      </c>
      <c r="J20" s="14">
        <v>1</v>
      </c>
      <c r="K20" s="14">
        <v>17</v>
      </c>
      <c r="L20" s="14" t="s">
        <v>26995</v>
      </c>
      <c r="M20" s="14" t="s">
        <v>1566</v>
      </c>
      <c r="N20" s="14" t="s">
        <v>407</v>
      </c>
      <c r="O20" s="14" t="s">
        <v>26996</v>
      </c>
      <c r="P20" s="14" t="str">
        <f>HYPERLINK("https://photon-sol.tinyastro.io/en/lp/CqBmg5ZUoaPg5Yx5uAKYzpyRcXme2UpVmZ8U5iotpump?handle=676050794bc1b1657a56b", "View")</f>
        <v>View</v>
      </c>
    </row>
    <row r="21" spans="1:16" x14ac:dyDescent="0.25">
      <c r="A21" s="16" t="s">
        <v>19027</v>
      </c>
      <c r="B21" s="17">
        <v>10163367</v>
      </c>
      <c r="C21" s="17">
        <v>10163367</v>
      </c>
      <c r="D21" s="17" t="s">
        <v>27035</v>
      </c>
      <c r="E21" s="17" t="s">
        <v>14363</v>
      </c>
      <c r="F21" s="17" t="s">
        <v>7314</v>
      </c>
      <c r="G21" s="21" t="s">
        <v>27763</v>
      </c>
      <c r="H21" s="21" t="s">
        <v>27764</v>
      </c>
      <c r="I21" s="17" t="s">
        <v>88</v>
      </c>
      <c r="J21" s="17">
        <v>1</v>
      </c>
      <c r="K21" s="17">
        <v>13</v>
      </c>
      <c r="L21" s="17" t="s">
        <v>27765</v>
      </c>
      <c r="M21" s="17" t="s">
        <v>788</v>
      </c>
      <c r="N21" s="17" t="s">
        <v>27308</v>
      </c>
      <c r="O21" s="17" t="s">
        <v>27039</v>
      </c>
      <c r="P21" s="17" t="str">
        <f>HYPERLINK("https://photon-sol.tinyastro.io/en/lp/HxdzGHd2jLF12UHjgFKCb6zMzgfqGnwRvwKweXmXpump?handle=676050794bc1b1657a56b", "View")</f>
        <v>View</v>
      </c>
    </row>
    <row r="22" spans="1:16" x14ac:dyDescent="0.25">
      <c r="A22" s="13" t="s">
        <v>19027</v>
      </c>
      <c r="B22" s="14">
        <v>8831328</v>
      </c>
      <c r="C22" s="14">
        <v>8831328</v>
      </c>
      <c r="D22" s="14" t="s">
        <v>27478</v>
      </c>
      <c r="E22" s="14" t="s">
        <v>4146</v>
      </c>
      <c r="F22" s="14" t="s">
        <v>27766</v>
      </c>
      <c r="G22" s="21" t="s">
        <v>27767</v>
      </c>
      <c r="H22" s="21" t="s">
        <v>27768</v>
      </c>
      <c r="I22" s="14" t="s">
        <v>88</v>
      </c>
      <c r="J22" s="14">
        <v>1</v>
      </c>
      <c r="K22" s="14">
        <v>62</v>
      </c>
      <c r="L22" s="14" t="s">
        <v>27001</v>
      </c>
      <c r="M22" s="14" t="s">
        <v>3180</v>
      </c>
      <c r="N22" s="14" t="s">
        <v>27769</v>
      </c>
      <c r="O22" s="14" t="s">
        <v>19033</v>
      </c>
      <c r="P22" s="14" t="str">
        <f>HYPERLINK("https://photon-sol.tinyastro.io/en/lp/ALKTKLRTyF3P83KMCAvGEtY4CsoMzvh1k38uixCgpump?handle=676050794bc1b1657a56b", "View")</f>
        <v>View</v>
      </c>
    </row>
    <row r="23" spans="1:16" x14ac:dyDescent="0.25">
      <c r="A23" s="16" t="s">
        <v>27003</v>
      </c>
      <c r="B23" s="17">
        <v>7929767</v>
      </c>
      <c r="C23" s="17">
        <v>7929767</v>
      </c>
      <c r="D23" s="17" t="s">
        <v>1813</v>
      </c>
      <c r="E23" s="17" t="s">
        <v>3502</v>
      </c>
      <c r="F23" s="17" t="s">
        <v>25030</v>
      </c>
      <c r="G23" s="20" t="s">
        <v>21254</v>
      </c>
      <c r="H23" s="20" t="s">
        <v>27770</v>
      </c>
      <c r="I23" s="17" t="s">
        <v>88</v>
      </c>
      <c r="J23" s="17">
        <v>1</v>
      </c>
      <c r="K23" s="17">
        <v>1</v>
      </c>
      <c r="L23" s="17" t="s">
        <v>27771</v>
      </c>
      <c r="M23" s="17" t="s">
        <v>2047</v>
      </c>
      <c r="N23" s="17" t="s">
        <v>27772</v>
      </c>
      <c r="O23" s="17" t="s">
        <v>27007</v>
      </c>
      <c r="P23" s="17" t="str">
        <f>HYPERLINK("https://photon-sol.tinyastro.io/en/lp/BFc3G2JaqZA3eCJzWiSMhGZp7aXwonXETtr2Nudppump?handle=676050794bc1b1657a56b", "View")</f>
        <v>View</v>
      </c>
    </row>
    <row r="24" spans="1:16" x14ac:dyDescent="0.25">
      <c r="A24" s="13" t="s">
        <v>27008</v>
      </c>
      <c r="B24" s="14">
        <v>11778199</v>
      </c>
      <c r="C24" s="14">
        <v>11778199</v>
      </c>
      <c r="D24" s="14" t="s">
        <v>1813</v>
      </c>
      <c r="E24" s="14" t="s">
        <v>18482</v>
      </c>
      <c r="F24" s="14" t="s">
        <v>9299</v>
      </c>
      <c r="G24" s="21" t="s">
        <v>9669</v>
      </c>
      <c r="H24" s="21" t="s">
        <v>27773</v>
      </c>
      <c r="I24" s="14" t="s">
        <v>88</v>
      </c>
      <c r="J24" s="14">
        <v>1</v>
      </c>
      <c r="K24" s="14">
        <v>1</v>
      </c>
      <c r="L24" s="14" t="s">
        <v>27012</v>
      </c>
      <c r="M24" s="14" t="s">
        <v>1566</v>
      </c>
      <c r="N24" s="14" t="s">
        <v>1819</v>
      </c>
      <c r="O24" s="14" t="s">
        <v>27013</v>
      </c>
      <c r="P24" s="14" t="str">
        <f>HYPERLINK("https://photon-sol.tinyastro.io/en/lp/CDkwBE7pPovZLJC2KxM7jvWXkyygR1Y1u2R7f6hmpump?handle=676050794bc1b1657a56b", "View")</f>
        <v>View</v>
      </c>
    </row>
    <row r="25" spans="1:16" x14ac:dyDescent="0.25">
      <c r="A25" s="16" t="s">
        <v>4867</v>
      </c>
      <c r="B25" s="17">
        <v>1793028</v>
      </c>
      <c r="C25" s="17">
        <v>1793028</v>
      </c>
      <c r="D25" s="17" t="s">
        <v>20279</v>
      </c>
      <c r="E25" s="17" t="s">
        <v>3938</v>
      </c>
      <c r="F25" s="17" t="s">
        <v>19954</v>
      </c>
      <c r="G25" s="20" t="s">
        <v>8569</v>
      </c>
      <c r="H25" s="20" t="s">
        <v>27774</v>
      </c>
      <c r="I25" s="17" t="s">
        <v>88</v>
      </c>
      <c r="J25" s="17">
        <v>2</v>
      </c>
      <c r="K25" s="17">
        <v>2</v>
      </c>
      <c r="L25" s="17" t="s">
        <v>27049</v>
      </c>
      <c r="M25" s="17" t="s">
        <v>1705</v>
      </c>
      <c r="N25" s="17" t="s">
        <v>6258</v>
      </c>
      <c r="O25" s="17" t="s">
        <v>27016</v>
      </c>
      <c r="P25" s="17" t="str">
        <f>HYPERLINK("https://photon-sol.tinyastro.io/en/lp/BPFXTGBjoARa89gbSvbp7Dy6cQwgGc7efW1jE8nTpump?handle=676050794bc1b1657a56b", "View")</f>
        <v>View</v>
      </c>
    </row>
    <row r="26" spans="1:16" x14ac:dyDescent="0.25">
      <c r="A26" s="13" t="s">
        <v>27017</v>
      </c>
      <c r="B26" s="14">
        <v>11384893</v>
      </c>
      <c r="C26" s="14">
        <v>11384893</v>
      </c>
      <c r="D26" s="14" t="s">
        <v>27018</v>
      </c>
      <c r="E26" s="14" t="s">
        <v>13085</v>
      </c>
      <c r="F26" s="14" t="s">
        <v>27775</v>
      </c>
      <c r="G26" s="21" t="s">
        <v>21344</v>
      </c>
      <c r="H26" s="21" t="s">
        <v>1930</v>
      </c>
      <c r="I26" s="14" t="s">
        <v>88</v>
      </c>
      <c r="J26" s="14">
        <v>1</v>
      </c>
      <c r="K26" s="14">
        <v>31</v>
      </c>
      <c r="L26" s="14" t="s">
        <v>27053</v>
      </c>
      <c r="M26" s="14" t="s">
        <v>1610</v>
      </c>
      <c r="N26" s="14" t="s">
        <v>27054</v>
      </c>
      <c r="O26" s="14" t="s">
        <v>27021</v>
      </c>
      <c r="P26" s="14" t="str">
        <f>HYPERLINK("https://photon-sol.tinyastro.io/en/lp/DirQ7FDi1C5SZCy8ai1GTSvnm9o8MDf9s4C4cExzpump?handle=676050794bc1b1657a56b", "View")</f>
        <v>View</v>
      </c>
    </row>
    <row r="27" spans="1:16" x14ac:dyDescent="0.25">
      <c r="A27" s="16" t="s">
        <v>27017</v>
      </c>
      <c r="B27" s="17">
        <v>585788</v>
      </c>
      <c r="C27" s="17">
        <v>585788</v>
      </c>
      <c r="D27" s="17" t="s">
        <v>27022</v>
      </c>
      <c r="E27" s="17" t="s">
        <v>2597</v>
      </c>
      <c r="F27" s="17" t="s">
        <v>17509</v>
      </c>
      <c r="G27" s="15" t="s">
        <v>3638</v>
      </c>
      <c r="H27" s="15" t="s">
        <v>27776</v>
      </c>
      <c r="I27" s="17" t="s">
        <v>88</v>
      </c>
      <c r="J27" s="17">
        <v>1</v>
      </c>
      <c r="K27" s="17">
        <v>1</v>
      </c>
      <c r="L27" s="17" t="s">
        <v>27609</v>
      </c>
      <c r="M27" s="17" t="s">
        <v>2047</v>
      </c>
      <c r="N27" s="17" t="s">
        <v>23380</v>
      </c>
      <c r="O27" s="17" t="s">
        <v>27025</v>
      </c>
      <c r="P27" s="17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3A05-E6AD-4974-9659-0CE55EC64A85}">
  <dimension ref="A1:P4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HYPERLINK("https://gmgn.ai/sol/address/9r7b8dnjoCGfpQNcVLf4kPCsbPy6u8eFsD4rLYVHEgmr", "GMGN")</f>
        <v>GMGN</v>
      </c>
    </row>
    <row r="2" spans="1:14" x14ac:dyDescent="0.25">
      <c r="A2" s="3" t="s">
        <v>27777</v>
      </c>
      <c r="B2" s="3" t="s">
        <v>27778</v>
      </c>
      <c r="C2" s="3" t="s">
        <v>27779</v>
      </c>
      <c r="D2" s="3" t="s">
        <v>21597</v>
      </c>
      <c r="E2" s="3" t="s">
        <v>27780</v>
      </c>
      <c r="F2" s="3" t="s">
        <v>27781</v>
      </c>
      <c r="G2" s="3" t="s">
        <v>21269</v>
      </c>
      <c r="H2" s="3">
        <v>28</v>
      </c>
      <c r="I2" s="3">
        <v>1</v>
      </c>
      <c r="J2" s="3" t="s">
        <v>538</v>
      </c>
      <c r="K2" s="3" t="s">
        <v>1434</v>
      </c>
      <c r="L2" s="3">
        <v>22</v>
      </c>
      <c r="M2" s="3">
        <v>28</v>
      </c>
      <c r="N2" s="3" t="str">
        <f>HYPERLINK("https://solscan.io/account/9r7b8dnjoCGfpQNcVLf4kPCsbPy6u8eFsD4rLYVHEgmr", "Solscan")</f>
        <v>Solscan</v>
      </c>
    </row>
    <row r="3" spans="1:14" x14ac:dyDescent="0.25">
      <c r="A3" s="1" t="s">
        <v>21</v>
      </c>
      <c r="B3" s="23" t="s">
        <v>27782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HYPERLINK("https://birdeye.so/profile/9r7b8dnjoCGfpQNcVLf4kPCsbPy6u8eFsD4rLYVHEgmr", "Birdeye")</f>
        <v>Birdeye</v>
      </c>
    </row>
    <row r="4" spans="1:14" x14ac:dyDescent="0.25">
      <c r="A4" s="1" t="s">
        <v>25</v>
      </c>
      <c r="B4" s="23" t="s">
        <v>20565</v>
      </c>
      <c r="C4" s="3"/>
      <c r="D4" s="3" t="s">
        <v>1568</v>
      </c>
      <c r="E4" s="3" t="s">
        <v>27783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1785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8</v>
      </c>
      <c r="D10" s="1">
        <v>2</v>
      </c>
      <c r="E10" s="1">
        <v>7</v>
      </c>
      <c r="F10" s="1">
        <v>5</v>
      </c>
      <c r="G10" s="1">
        <v>4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21271</v>
      </c>
      <c r="C11" s="1" t="s">
        <v>4125</v>
      </c>
      <c r="D11" s="1" t="s">
        <v>21271</v>
      </c>
      <c r="E11" s="1" t="s">
        <v>24242</v>
      </c>
      <c r="F11" s="1" t="s">
        <v>27784</v>
      </c>
      <c r="G11" s="1" t="s">
        <v>21272</v>
      </c>
      <c r="H11" s="3"/>
      <c r="I11" s="3" t="s">
        <v>50</v>
      </c>
      <c r="J11" s="3" t="s">
        <v>1785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27785</v>
      </c>
      <c r="C12" s="1" t="s">
        <v>27786</v>
      </c>
      <c r="D12" s="1" t="s">
        <v>13989</v>
      </c>
      <c r="E12" s="1" t="s">
        <v>20146</v>
      </c>
      <c r="F12" s="1" t="s">
        <v>27787</v>
      </c>
      <c r="G12" s="1" t="s">
        <v>27788</v>
      </c>
      <c r="H12" s="3"/>
      <c r="I12" s="3" t="s">
        <v>59</v>
      </c>
      <c r="J12" s="3" t="s">
        <v>4368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8326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27789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2911417</v>
      </c>
      <c r="C20" s="14">
        <v>2911417</v>
      </c>
      <c r="D20" s="14" t="s">
        <v>9569</v>
      </c>
      <c r="E20" s="14" t="s">
        <v>1007</v>
      </c>
      <c r="F20" s="14" t="s">
        <v>27790</v>
      </c>
      <c r="G20" s="21" t="s">
        <v>27791</v>
      </c>
      <c r="H20" s="21" t="s">
        <v>27792</v>
      </c>
      <c r="I20" s="14" t="s">
        <v>88</v>
      </c>
      <c r="J20" s="14">
        <v>1</v>
      </c>
      <c r="K20" s="14">
        <v>2</v>
      </c>
      <c r="L20" s="14" t="s">
        <v>27793</v>
      </c>
      <c r="M20" s="14" t="s">
        <v>117</v>
      </c>
      <c r="N20" s="14" t="s">
        <v>27672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27497</v>
      </c>
      <c r="B21" s="17">
        <v>58871549</v>
      </c>
      <c r="C21" s="17">
        <v>58871549</v>
      </c>
      <c r="D21" s="17" t="s">
        <v>27794</v>
      </c>
      <c r="E21" s="17" t="s">
        <v>27795</v>
      </c>
      <c r="F21" s="17" t="s">
        <v>27796</v>
      </c>
      <c r="G21" s="21" t="s">
        <v>15065</v>
      </c>
      <c r="H21" s="21" t="s">
        <v>27797</v>
      </c>
      <c r="I21" s="17" t="s">
        <v>88</v>
      </c>
      <c r="J21" s="17">
        <v>2</v>
      </c>
      <c r="K21" s="17">
        <v>2</v>
      </c>
      <c r="L21" s="17" t="s">
        <v>27798</v>
      </c>
      <c r="M21" s="17" t="s">
        <v>1566</v>
      </c>
      <c r="N21" s="17" t="s">
        <v>507</v>
      </c>
      <c r="O21" s="17" t="s">
        <v>27501</v>
      </c>
      <c r="P21" s="17" t="str">
        <f>HYPERLINK("https://photon-sol.tinyastro.io/en/lp/4KdmmBF845nJknS1DpWWdL8CsjKExFoUmiEnzHrtpump?handle=676050794bc1b1657a56b", "View")</f>
        <v>View</v>
      </c>
    </row>
    <row r="22" spans="1:16" x14ac:dyDescent="0.25">
      <c r="A22" s="13" t="s">
        <v>27506</v>
      </c>
      <c r="B22" s="14">
        <v>40652990</v>
      </c>
      <c r="C22" s="14">
        <v>40652990</v>
      </c>
      <c r="D22" s="14" t="s">
        <v>27799</v>
      </c>
      <c r="E22" s="14" t="s">
        <v>27800</v>
      </c>
      <c r="F22" s="14" t="s">
        <v>27801</v>
      </c>
      <c r="G22" s="21" t="s">
        <v>27802</v>
      </c>
      <c r="H22" s="21" t="s">
        <v>27803</v>
      </c>
      <c r="I22" s="14" t="s">
        <v>88</v>
      </c>
      <c r="J22" s="14">
        <v>1</v>
      </c>
      <c r="K22" s="14">
        <v>2</v>
      </c>
      <c r="L22" s="14" t="s">
        <v>27804</v>
      </c>
      <c r="M22" s="14" t="s">
        <v>602</v>
      </c>
      <c r="N22" s="14" t="s">
        <v>27805</v>
      </c>
      <c r="O22" s="14" t="s">
        <v>27510</v>
      </c>
      <c r="P22" s="14" t="str">
        <f>HYPERLINK("https://photon-sol.tinyastro.io/en/lp/DSMBxacyzGiqNgmadjZPMMGY2EEjRriH4HMbFDbRpump?handle=676050794bc1b1657a56b", "View")</f>
        <v>View</v>
      </c>
    </row>
    <row r="23" spans="1:16" x14ac:dyDescent="0.25">
      <c r="A23" s="16" t="s">
        <v>27806</v>
      </c>
      <c r="B23" s="17">
        <v>43513137</v>
      </c>
      <c r="C23" s="17">
        <v>43513137</v>
      </c>
      <c r="D23" s="17" t="s">
        <v>27807</v>
      </c>
      <c r="E23" s="17" t="s">
        <v>27808</v>
      </c>
      <c r="F23" s="17" t="s">
        <v>12849</v>
      </c>
      <c r="G23" s="20" t="s">
        <v>15318</v>
      </c>
      <c r="H23" s="20" t="s">
        <v>12777</v>
      </c>
      <c r="I23" s="17" t="s">
        <v>88</v>
      </c>
      <c r="J23" s="17">
        <v>1</v>
      </c>
      <c r="K23" s="17">
        <v>1</v>
      </c>
      <c r="L23" s="17" t="s">
        <v>27809</v>
      </c>
      <c r="M23" s="17" t="s">
        <v>937</v>
      </c>
      <c r="N23" s="17" t="s">
        <v>27810</v>
      </c>
      <c r="O23" s="17" t="s">
        <v>27811</v>
      </c>
      <c r="P23" s="17" t="str">
        <f>HYPERLINK("https://photon-sol.tinyastro.io/en/lp/6TPFp2mEUFKRS9YZ7SCMXu8HZdmPczRM1PnxikiPpump?handle=676050794bc1b1657a56b", "View")</f>
        <v>View</v>
      </c>
    </row>
    <row r="24" spans="1:16" x14ac:dyDescent="0.25">
      <c r="A24" s="13" t="s">
        <v>27812</v>
      </c>
      <c r="B24" s="14">
        <v>23271495</v>
      </c>
      <c r="C24" s="14">
        <v>23271495</v>
      </c>
      <c r="D24" s="14" t="s">
        <v>7092</v>
      </c>
      <c r="E24" s="14" t="s">
        <v>27813</v>
      </c>
      <c r="F24" s="14" t="s">
        <v>27814</v>
      </c>
      <c r="G24" s="22" t="s">
        <v>3536</v>
      </c>
      <c r="H24" s="22" t="s">
        <v>27815</v>
      </c>
      <c r="I24" s="14" t="s">
        <v>88</v>
      </c>
      <c r="J24" s="14">
        <v>2</v>
      </c>
      <c r="K24" s="14">
        <v>2</v>
      </c>
      <c r="L24" s="14" t="s">
        <v>27816</v>
      </c>
      <c r="M24" s="14" t="s">
        <v>1434</v>
      </c>
      <c r="N24" s="14" t="s">
        <v>27817</v>
      </c>
      <c r="O24" s="14" t="s">
        <v>27818</v>
      </c>
      <c r="P24" s="14" t="str">
        <f>HYPERLINK("https://photon-sol.tinyastro.io/en/lp/Ei9HjRCTKgurMJDo3dhGjJsgCS7REex24wcQ3Pehpump?handle=676050794bc1b1657a56b", "View")</f>
        <v>View</v>
      </c>
    </row>
    <row r="25" spans="1:16" x14ac:dyDescent="0.25">
      <c r="A25" s="16" t="s">
        <v>27819</v>
      </c>
      <c r="B25" s="17">
        <v>49408162</v>
      </c>
      <c r="C25" s="17">
        <v>49408162</v>
      </c>
      <c r="D25" s="17" t="s">
        <v>27820</v>
      </c>
      <c r="E25" s="17" t="s">
        <v>27821</v>
      </c>
      <c r="F25" s="17" t="s">
        <v>27822</v>
      </c>
      <c r="G25" s="22" t="s">
        <v>27823</v>
      </c>
      <c r="H25" s="22" t="s">
        <v>27824</v>
      </c>
      <c r="I25" s="17" t="s">
        <v>88</v>
      </c>
      <c r="J25" s="17">
        <v>2</v>
      </c>
      <c r="K25" s="17">
        <v>2</v>
      </c>
      <c r="L25" s="17" t="s">
        <v>27825</v>
      </c>
      <c r="M25" s="19" t="s">
        <v>2915</v>
      </c>
      <c r="N25" s="17" t="s">
        <v>27826</v>
      </c>
      <c r="O25" s="17" t="s">
        <v>27827</v>
      </c>
      <c r="P25" s="17" t="str">
        <f>HYPERLINK("https://photon-sol.tinyastro.io/en/lp/aembnJ3BuUHV1Wd2et6q8ZD9BqbsVgr9qct7C8cpump?handle=676050794bc1b1657a56b", "View")</f>
        <v>View</v>
      </c>
    </row>
    <row r="26" spans="1:16" x14ac:dyDescent="0.25">
      <c r="A26" s="13" t="s">
        <v>2519</v>
      </c>
      <c r="B26" s="14">
        <v>12327622</v>
      </c>
      <c r="C26" s="14">
        <v>12327622</v>
      </c>
      <c r="D26" s="14" t="s">
        <v>27828</v>
      </c>
      <c r="E26" s="14" t="s">
        <v>165</v>
      </c>
      <c r="F26" s="14" t="s">
        <v>27829</v>
      </c>
      <c r="G26" s="21" t="s">
        <v>27830</v>
      </c>
      <c r="H26" s="21" t="s">
        <v>27831</v>
      </c>
      <c r="I26" s="14" t="s">
        <v>88</v>
      </c>
      <c r="J26" s="14">
        <v>3</v>
      </c>
      <c r="K26" s="14">
        <v>2</v>
      </c>
      <c r="L26" s="14" t="s">
        <v>27832</v>
      </c>
      <c r="M26" s="14" t="s">
        <v>1566</v>
      </c>
      <c r="N26" s="14" t="s">
        <v>27833</v>
      </c>
      <c r="O26" s="14" t="s">
        <v>27834</v>
      </c>
      <c r="P26" s="14" t="str">
        <f>HYPERLINK("https://dexscreener.com/solana/5DoGHVxbcQgLgPx3uKMDK8ft97shHC3gfoQBdTMapump", "View")</f>
        <v>View</v>
      </c>
    </row>
    <row r="27" spans="1:16" x14ac:dyDescent="0.25">
      <c r="A27" s="16" t="s">
        <v>27835</v>
      </c>
      <c r="B27" s="17">
        <v>47292578</v>
      </c>
      <c r="C27" s="17">
        <v>47292578</v>
      </c>
      <c r="D27" s="17" t="s">
        <v>27807</v>
      </c>
      <c r="E27" s="17" t="s">
        <v>12816</v>
      </c>
      <c r="F27" s="17" t="s">
        <v>27836</v>
      </c>
      <c r="G27" s="21" t="s">
        <v>9260</v>
      </c>
      <c r="H27" s="21" t="s">
        <v>27837</v>
      </c>
      <c r="I27" s="17" t="s">
        <v>88</v>
      </c>
      <c r="J27" s="17">
        <v>1</v>
      </c>
      <c r="K27" s="17">
        <v>1</v>
      </c>
      <c r="L27" s="17" t="s">
        <v>27838</v>
      </c>
      <c r="M27" s="19" t="s">
        <v>3626</v>
      </c>
      <c r="N27" s="17" t="s">
        <v>7713</v>
      </c>
      <c r="O27" s="17" t="s">
        <v>27839</v>
      </c>
      <c r="P27" s="17" t="str">
        <f>HYPERLINK("https://photon-sol.tinyastro.io/en/lp/NmqxqcouxxsmdeeNV6MFGJjjGgE13ZTuuuwbd1Zpump?handle=676050794bc1b1657a56b", "View")</f>
        <v>View</v>
      </c>
    </row>
    <row r="28" spans="1:16" x14ac:dyDescent="0.25">
      <c r="A28" s="13" t="s">
        <v>22709</v>
      </c>
      <c r="B28" s="14">
        <v>678139</v>
      </c>
      <c r="C28" s="14">
        <v>678139</v>
      </c>
      <c r="D28" s="14" t="s">
        <v>1813</v>
      </c>
      <c r="E28" s="14" t="s">
        <v>569</v>
      </c>
      <c r="F28" s="14" t="s">
        <v>27840</v>
      </c>
      <c r="G28" s="15" t="s">
        <v>27841</v>
      </c>
      <c r="H28" s="15" t="s">
        <v>27842</v>
      </c>
      <c r="I28" s="14" t="s">
        <v>88</v>
      </c>
      <c r="J28" s="14">
        <v>1</v>
      </c>
      <c r="K28" s="14">
        <v>1</v>
      </c>
      <c r="L28" s="14" t="s">
        <v>27843</v>
      </c>
      <c r="M28" s="19" t="s">
        <v>6781</v>
      </c>
      <c r="N28" s="14" t="s">
        <v>27844</v>
      </c>
      <c r="O28" s="14" t="s">
        <v>22715</v>
      </c>
      <c r="P28" s="14" t="str">
        <f>HYPERLINK("https://dexscreener.com/solana/7LzF7BgpmXapBUMmJMwyP5o4uC2rr7T8keRc4R3kpump", "View")</f>
        <v>View</v>
      </c>
    </row>
    <row r="29" spans="1:16" x14ac:dyDescent="0.25">
      <c r="A29" s="16" t="s">
        <v>4867</v>
      </c>
      <c r="B29" s="17">
        <v>10112439</v>
      </c>
      <c r="C29" s="17">
        <v>10112439</v>
      </c>
      <c r="D29" s="17" t="s">
        <v>1813</v>
      </c>
      <c r="E29" s="17" t="s">
        <v>2333</v>
      </c>
      <c r="F29" s="17" t="s">
        <v>13552</v>
      </c>
      <c r="G29" s="20" t="s">
        <v>1846</v>
      </c>
      <c r="H29" s="20" t="s">
        <v>27845</v>
      </c>
      <c r="I29" s="17" t="s">
        <v>88</v>
      </c>
      <c r="J29" s="17">
        <v>1</v>
      </c>
      <c r="K29" s="17">
        <v>1</v>
      </c>
      <c r="L29" s="17" t="s">
        <v>27846</v>
      </c>
      <c r="M29" s="19" t="s">
        <v>2955</v>
      </c>
      <c r="N29" s="17" t="s">
        <v>968</v>
      </c>
      <c r="O29" s="17" t="s">
        <v>27016</v>
      </c>
      <c r="P29" s="17" t="str">
        <f>HYPERLINK("https://photon-sol.tinyastro.io/en/lp/BPFXTGBjoARa89gbSvbp7Dy6cQwgGc7efW1jE8nTpump?handle=676050794bc1b1657a56b", "View")</f>
        <v>View</v>
      </c>
    </row>
    <row r="30" spans="1:16" x14ac:dyDescent="0.25">
      <c r="A30" s="13" t="s">
        <v>4867</v>
      </c>
      <c r="B30" s="14">
        <v>4470537</v>
      </c>
      <c r="C30" s="14">
        <v>4470537</v>
      </c>
      <c r="D30" s="14" t="s">
        <v>1813</v>
      </c>
      <c r="E30" s="14" t="s">
        <v>1457</v>
      </c>
      <c r="F30" s="14" t="s">
        <v>8491</v>
      </c>
      <c r="G30" s="20" t="s">
        <v>27847</v>
      </c>
      <c r="H30" s="20" t="s">
        <v>27848</v>
      </c>
      <c r="I30" s="14" t="s">
        <v>88</v>
      </c>
      <c r="J30" s="14">
        <v>1</v>
      </c>
      <c r="K30" s="14">
        <v>1</v>
      </c>
      <c r="L30" s="14" t="s">
        <v>27849</v>
      </c>
      <c r="M30" s="19" t="s">
        <v>2239</v>
      </c>
      <c r="N30" s="14" t="s">
        <v>27850</v>
      </c>
      <c r="O30" s="14" t="s">
        <v>4872</v>
      </c>
      <c r="P30" s="14" t="str">
        <f>HYPERLINK("https://dexscreener.com/solana/FAS87Vmmejcf5RBtpfGZ8vPAjR2VuUZJ6Sojf8Jgpump", "View")</f>
        <v>View</v>
      </c>
    </row>
    <row r="31" spans="1:16" x14ac:dyDescent="0.25">
      <c r="A31" s="16" t="s">
        <v>27851</v>
      </c>
      <c r="B31" s="17">
        <v>39848983</v>
      </c>
      <c r="C31" s="17">
        <v>39848983</v>
      </c>
      <c r="D31" s="17" t="s">
        <v>27799</v>
      </c>
      <c r="E31" s="17" t="s">
        <v>3451</v>
      </c>
      <c r="F31" s="17" t="s">
        <v>7033</v>
      </c>
      <c r="G31" s="21" t="s">
        <v>12896</v>
      </c>
      <c r="H31" s="21" t="s">
        <v>27852</v>
      </c>
      <c r="I31" s="17" t="s">
        <v>88</v>
      </c>
      <c r="J31" s="17">
        <v>1</v>
      </c>
      <c r="K31" s="17">
        <v>2</v>
      </c>
      <c r="L31" s="17" t="s">
        <v>27853</v>
      </c>
      <c r="M31" s="19" t="s">
        <v>2915</v>
      </c>
      <c r="N31" s="17" t="s">
        <v>3384</v>
      </c>
      <c r="O31" s="17" t="s">
        <v>27854</v>
      </c>
      <c r="P31" s="17" t="str">
        <f>HYPERLINK("https://photon-sol.tinyastro.io/en/lp/DoaT1YeXjNRDDJPs7pGX4LV21p5L6799cMuik9Ypump?handle=676050794bc1b1657a56b", "View")</f>
        <v>View</v>
      </c>
    </row>
    <row r="32" spans="1:16" x14ac:dyDescent="0.25">
      <c r="A32" s="13" t="s">
        <v>20393</v>
      </c>
      <c r="B32" s="14">
        <v>2848792</v>
      </c>
      <c r="C32" s="14">
        <v>2848792</v>
      </c>
      <c r="D32" s="14" t="s">
        <v>21760</v>
      </c>
      <c r="E32" s="14" t="s">
        <v>219</v>
      </c>
      <c r="F32" s="14" t="s">
        <v>27855</v>
      </c>
      <c r="G32" s="21" t="s">
        <v>27856</v>
      </c>
      <c r="H32" s="21" t="s">
        <v>27857</v>
      </c>
      <c r="I32" s="14" t="s">
        <v>88</v>
      </c>
      <c r="J32" s="14">
        <v>2</v>
      </c>
      <c r="K32" s="14">
        <v>1</v>
      </c>
      <c r="L32" s="14" t="s">
        <v>27858</v>
      </c>
      <c r="M32" s="14" t="s">
        <v>937</v>
      </c>
      <c r="N32" s="14" t="s">
        <v>27859</v>
      </c>
      <c r="O32" s="14" t="s">
        <v>20399</v>
      </c>
      <c r="P32" s="14" t="str">
        <f>HYPERLINK("https://dexscreener.com/solana/DtWz93pDUZe5cYqBFmZjXq1wzZqZPygCeox5d3ajpump", "View")</f>
        <v>View</v>
      </c>
    </row>
    <row r="33" spans="1:16" x14ac:dyDescent="0.25">
      <c r="A33" s="16" t="s">
        <v>9229</v>
      </c>
      <c r="B33" s="17">
        <v>9491786</v>
      </c>
      <c r="C33" s="17">
        <v>20212957</v>
      </c>
      <c r="D33" s="17" t="s">
        <v>21895</v>
      </c>
      <c r="E33" s="17" t="s">
        <v>27860</v>
      </c>
      <c r="F33" s="17" t="s">
        <v>27861</v>
      </c>
      <c r="G33" s="21" t="s">
        <v>27862</v>
      </c>
      <c r="H33" s="21" t="s">
        <v>27863</v>
      </c>
      <c r="I33" s="17" t="s">
        <v>88</v>
      </c>
      <c r="J33" s="17">
        <v>1</v>
      </c>
      <c r="K33" s="17">
        <v>1</v>
      </c>
      <c r="L33" s="17" t="s">
        <v>27864</v>
      </c>
      <c r="M33" s="17" t="s">
        <v>1448</v>
      </c>
      <c r="N33" s="17" t="s">
        <v>27865</v>
      </c>
      <c r="O33" s="17" t="s">
        <v>27866</v>
      </c>
      <c r="P33" s="17" t="str">
        <f>HYPERLINK("https://photon-sol.tinyastro.io/en/lp/G1pKojoCJopPDVMMLUowsyXTaPzKPnBfNWQhraqvpump?handle=676050794bc1b1657a56b", "View")</f>
        <v>View</v>
      </c>
    </row>
    <row r="34" spans="1:16" x14ac:dyDescent="0.25">
      <c r="A34" s="13" t="s">
        <v>12637</v>
      </c>
      <c r="B34" s="14">
        <v>8512231</v>
      </c>
      <c r="C34" s="14">
        <v>0</v>
      </c>
      <c r="D34" s="14" t="s">
        <v>27867</v>
      </c>
      <c r="E34" s="14" t="s">
        <v>27868</v>
      </c>
      <c r="F34" s="14" t="s">
        <v>96</v>
      </c>
      <c r="G34" s="18" t="s">
        <v>27869</v>
      </c>
      <c r="H34" s="18" t="s">
        <v>98</v>
      </c>
      <c r="I34" s="14" t="s">
        <v>27870</v>
      </c>
      <c r="J34" s="14">
        <v>1</v>
      </c>
      <c r="K34" s="14">
        <v>0</v>
      </c>
      <c r="L34" s="14" t="s">
        <v>27871</v>
      </c>
      <c r="M34" s="19" t="s">
        <v>101</v>
      </c>
      <c r="N34" s="14" t="s">
        <v>9882</v>
      </c>
      <c r="O34" s="14" t="s">
        <v>20409</v>
      </c>
      <c r="P34" s="14" t="str">
        <f>HYPERLINK("https://photon-sol.tinyastro.io/en/lp/39WcEuRp1poYHyjEtDVXA5vcy85F7gy6UurEL157pump?handle=676050794bc1b1657a56b", "View")</f>
        <v>View</v>
      </c>
    </row>
    <row r="35" spans="1:16" x14ac:dyDescent="0.25">
      <c r="A35" s="16" t="s">
        <v>5476</v>
      </c>
      <c r="B35" s="17">
        <v>9977303</v>
      </c>
      <c r="C35" s="17">
        <v>17977303</v>
      </c>
      <c r="D35" s="17" t="s">
        <v>27872</v>
      </c>
      <c r="E35" s="17" t="s">
        <v>27873</v>
      </c>
      <c r="F35" s="17" t="s">
        <v>27874</v>
      </c>
      <c r="G35" s="21" t="s">
        <v>27875</v>
      </c>
      <c r="H35" s="21" t="s">
        <v>27876</v>
      </c>
      <c r="I35" s="17" t="s">
        <v>88</v>
      </c>
      <c r="J35" s="17">
        <v>1</v>
      </c>
      <c r="K35" s="17">
        <v>1</v>
      </c>
      <c r="L35" s="17" t="s">
        <v>27877</v>
      </c>
      <c r="M35" s="17" t="s">
        <v>602</v>
      </c>
      <c r="N35" s="17" t="s">
        <v>27878</v>
      </c>
      <c r="O35" s="17" t="s">
        <v>5480</v>
      </c>
      <c r="P35" s="17" t="str">
        <f>HYPERLINK("https://photon-sol.tinyastro.io/en/lp/9zGjSYsr44zi6kjYbSoKsPx9YQ5y6xFZRhj2nignpump?handle=676050794bc1b1657a56b", "View")</f>
        <v>View</v>
      </c>
    </row>
    <row r="36" spans="1:16" x14ac:dyDescent="0.25">
      <c r="A36" s="13" t="s">
        <v>27879</v>
      </c>
      <c r="B36" s="14">
        <v>8254378</v>
      </c>
      <c r="C36" s="14">
        <v>0</v>
      </c>
      <c r="D36" s="14" t="s">
        <v>27880</v>
      </c>
      <c r="E36" s="14" t="s">
        <v>27881</v>
      </c>
      <c r="F36" s="14" t="s">
        <v>96</v>
      </c>
      <c r="G36" s="18" t="s">
        <v>27882</v>
      </c>
      <c r="H36" s="18" t="s">
        <v>98</v>
      </c>
      <c r="I36" s="14" t="s">
        <v>27883</v>
      </c>
      <c r="J36" s="14">
        <v>1</v>
      </c>
      <c r="K36" s="14">
        <v>0</v>
      </c>
      <c r="L36" s="14" t="s">
        <v>27884</v>
      </c>
      <c r="M36" s="19" t="s">
        <v>101</v>
      </c>
      <c r="N36" s="14" t="s">
        <v>27885</v>
      </c>
      <c r="O36" s="14" t="s">
        <v>27886</v>
      </c>
      <c r="P36" s="14" t="str">
        <f>HYPERLINK("https://photon-sol.tinyastro.io/en/lp/BQYPkPWpYY36eUgt2fbPNrQnvE7Qa5vd5JPjqYvmpump?handle=676050794bc1b1657a56b", "View")</f>
        <v>View</v>
      </c>
    </row>
    <row r="37" spans="1:16" x14ac:dyDescent="0.25">
      <c r="A37" s="16" t="s">
        <v>27887</v>
      </c>
      <c r="B37" s="17">
        <v>33172649</v>
      </c>
      <c r="C37" s="17">
        <v>33172649</v>
      </c>
      <c r="D37" s="17" t="s">
        <v>27807</v>
      </c>
      <c r="E37" s="17" t="s">
        <v>27888</v>
      </c>
      <c r="F37" s="17" t="s">
        <v>27889</v>
      </c>
      <c r="G37" s="21" t="s">
        <v>21838</v>
      </c>
      <c r="H37" s="21" t="s">
        <v>27890</v>
      </c>
      <c r="I37" s="17" t="s">
        <v>88</v>
      </c>
      <c r="J37" s="17">
        <v>1</v>
      </c>
      <c r="K37" s="17">
        <v>1</v>
      </c>
      <c r="L37" s="17" t="s">
        <v>27891</v>
      </c>
      <c r="M37" s="19" t="s">
        <v>2323</v>
      </c>
      <c r="N37" s="17" t="s">
        <v>27892</v>
      </c>
      <c r="O37" s="17" t="s">
        <v>27893</v>
      </c>
      <c r="P37" s="17" t="str">
        <f>HYPERLINK("https://photon-sol.tinyastro.io/en/lp/283sGa3ZMauu1HSuMNt4CrgFAtZji5ziia71aAgppump?handle=676050794bc1b1657a56b", "View")</f>
        <v>View</v>
      </c>
    </row>
    <row r="38" spans="1:16" x14ac:dyDescent="0.25">
      <c r="A38" s="13" t="s">
        <v>2987</v>
      </c>
      <c r="B38" s="14">
        <v>36363636</v>
      </c>
      <c r="C38" s="14">
        <v>36363636</v>
      </c>
      <c r="D38" s="14" t="s">
        <v>27807</v>
      </c>
      <c r="E38" s="14" t="s">
        <v>27894</v>
      </c>
      <c r="F38" s="14" t="s">
        <v>27895</v>
      </c>
      <c r="G38" s="22" t="s">
        <v>2164</v>
      </c>
      <c r="H38" s="22" t="s">
        <v>27896</v>
      </c>
      <c r="I38" s="14" t="s">
        <v>88</v>
      </c>
      <c r="J38" s="14">
        <v>1</v>
      </c>
      <c r="K38" s="14">
        <v>1</v>
      </c>
      <c r="L38" s="14" t="s">
        <v>27897</v>
      </c>
      <c r="M38" s="19" t="s">
        <v>1856</v>
      </c>
      <c r="N38" s="14" t="s">
        <v>2763</v>
      </c>
      <c r="O38" s="14" t="s">
        <v>27898</v>
      </c>
      <c r="P38" s="14" t="str">
        <f>HYPERLINK("https://photon-sol.tinyastro.io/en/lp/FLuFhGLV1EqnKLZnNNaUQ1aC4Huvoemk84tMKP4Upump?handle=676050794bc1b1657a56b", "View")</f>
        <v>View</v>
      </c>
    </row>
    <row r="39" spans="1:16" x14ac:dyDescent="0.25">
      <c r="A39" s="16" t="s">
        <v>27899</v>
      </c>
      <c r="B39" s="17">
        <v>10326306</v>
      </c>
      <c r="C39" s="17">
        <v>10326306</v>
      </c>
      <c r="D39" s="17" t="s">
        <v>27807</v>
      </c>
      <c r="E39" s="17" t="s">
        <v>27900</v>
      </c>
      <c r="F39" s="17" t="s">
        <v>27901</v>
      </c>
      <c r="G39" s="20" t="s">
        <v>27902</v>
      </c>
      <c r="H39" s="20" t="s">
        <v>27903</v>
      </c>
      <c r="I39" s="17" t="s">
        <v>88</v>
      </c>
      <c r="J39" s="17">
        <v>1</v>
      </c>
      <c r="K39" s="17">
        <v>1</v>
      </c>
      <c r="L39" s="17" t="s">
        <v>27904</v>
      </c>
      <c r="M39" s="17" t="s">
        <v>602</v>
      </c>
      <c r="N39" s="17" t="s">
        <v>27905</v>
      </c>
      <c r="O39" s="17" t="s">
        <v>27906</v>
      </c>
      <c r="P39" s="17" t="str">
        <f>HYPERLINK("https://photon-sol.tinyastro.io/en/lp/13v7nvkkd1PpMJ6meoscLKeLRRZLznLfFhXpzFTKpump?handle=676050794bc1b1657a56b", "View")</f>
        <v>View</v>
      </c>
    </row>
    <row r="40" spans="1:16" x14ac:dyDescent="0.25">
      <c r="A40" s="13" t="s">
        <v>27907</v>
      </c>
      <c r="B40" s="14">
        <v>45445775</v>
      </c>
      <c r="C40" s="14">
        <v>45445775</v>
      </c>
      <c r="D40" s="14" t="s">
        <v>27908</v>
      </c>
      <c r="E40" s="14" t="s">
        <v>27909</v>
      </c>
      <c r="F40" s="14" t="s">
        <v>27910</v>
      </c>
      <c r="G40" s="22" t="s">
        <v>1430</v>
      </c>
      <c r="H40" s="22" t="s">
        <v>27911</v>
      </c>
      <c r="I40" s="14" t="s">
        <v>88</v>
      </c>
      <c r="J40" s="14">
        <v>5</v>
      </c>
      <c r="K40" s="14">
        <v>5</v>
      </c>
      <c r="L40" s="14" t="s">
        <v>27912</v>
      </c>
      <c r="M40" s="14" t="s">
        <v>2789</v>
      </c>
      <c r="N40" s="14" t="s">
        <v>27913</v>
      </c>
      <c r="O40" s="14" t="s">
        <v>27914</v>
      </c>
      <c r="P40" s="14" t="str">
        <f>HYPERLINK("https://dexscreener.com/solana/2wSnYg2he87jofkzz3k3CPqMUSvbVGhu923EwYkEpump", "View")</f>
        <v>View</v>
      </c>
    </row>
    <row r="41" spans="1:16" x14ac:dyDescent="0.25">
      <c r="A41" s="16" t="s">
        <v>27915</v>
      </c>
      <c r="B41" s="17">
        <v>32207430</v>
      </c>
      <c r="C41" s="17">
        <v>32207430</v>
      </c>
      <c r="D41" s="17" t="s">
        <v>27807</v>
      </c>
      <c r="E41" s="17" t="s">
        <v>27916</v>
      </c>
      <c r="F41" s="17" t="s">
        <v>27917</v>
      </c>
      <c r="G41" s="21" t="s">
        <v>27918</v>
      </c>
      <c r="H41" s="21" t="s">
        <v>27919</v>
      </c>
      <c r="I41" s="17" t="s">
        <v>88</v>
      </c>
      <c r="J41" s="17">
        <v>1</v>
      </c>
      <c r="K41" s="17">
        <v>1</v>
      </c>
      <c r="L41" s="17" t="s">
        <v>27920</v>
      </c>
      <c r="M41" s="19" t="s">
        <v>2509</v>
      </c>
      <c r="N41" s="17" t="s">
        <v>27921</v>
      </c>
      <c r="O41" s="17" t="s">
        <v>27922</v>
      </c>
      <c r="P41" s="17" t="str">
        <f>HYPERLINK("https://photon-sol.tinyastro.io/en/lp/dTqEjwRFUMVMetJovR92d29S5V8MM4ftGTXgR1Jpump?handle=676050794bc1b1657a56b", "View")</f>
        <v>View</v>
      </c>
    </row>
    <row r="42" spans="1:16" x14ac:dyDescent="0.25">
      <c r="A42" s="13" t="s">
        <v>27923</v>
      </c>
      <c r="B42" s="14">
        <v>39848983</v>
      </c>
      <c r="C42" s="14">
        <v>39848983</v>
      </c>
      <c r="D42" s="14" t="s">
        <v>27807</v>
      </c>
      <c r="E42" s="14" t="s">
        <v>13882</v>
      </c>
      <c r="F42" s="14" t="s">
        <v>27924</v>
      </c>
      <c r="G42" s="21" t="s">
        <v>9055</v>
      </c>
      <c r="H42" s="21" t="s">
        <v>27925</v>
      </c>
      <c r="I42" s="14" t="s">
        <v>88</v>
      </c>
      <c r="J42" s="14">
        <v>1</v>
      </c>
      <c r="K42" s="14">
        <v>1</v>
      </c>
      <c r="L42" s="14" t="s">
        <v>27926</v>
      </c>
      <c r="M42" s="19" t="s">
        <v>2323</v>
      </c>
      <c r="N42" s="14" t="s">
        <v>6919</v>
      </c>
      <c r="O42" s="14" t="s">
        <v>27927</v>
      </c>
      <c r="P42" s="14" t="str">
        <f>HYPERLINK("https://photon-sol.tinyastro.io/en/lp/B87nziHcGyTjVPZFW6yJNxzzZTRcPDSUNAWsUq7vpump?handle=676050794bc1b1657a56b", "View")</f>
        <v>View</v>
      </c>
    </row>
    <row r="43" spans="1:16" x14ac:dyDescent="0.25">
      <c r="A43" s="16" t="s">
        <v>27928</v>
      </c>
      <c r="B43" s="17">
        <v>10105803</v>
      </c>
      <c r="C43" s="17">
        <v>10105803</v>
      </c>
      <c r="D43" s="17" t="s">
        <v>1813</v>
      </c>
      <c r="E43" s="17" t="s">
        <v>27929</v>
      </c>
      <c r="F43" s="17" t="s">
        <v>9107</v>
      </c>
      <c r="G43" s="22" t="s">
        <v>10121</v>
      </c>
      <c r="H43" s="22" t="s">
        <v>21071</v>
      </c>
      <c r="I43" s="17" t="s">
        <v>88</v>
      </c>
      <c r="J43" s="17">
        <v>1</v>
      </c>
      <c r="K43" s="17">
        <v>1</v>
      </c>
      <c r="L43" s="17" t="s">
        <v>27930</v>
      </c>
      <c r="M43" s="19" t="s">
        <v>2315</v>
      </c>
      <c r="N43" s="17" t="s">
        <v>27931</v>
      </c>
      <c r="O43" s="17" t="s">
        <v>27932</v>
      </c>
      <c r="P43" s="17" t="str">
        <f>HYPERLINK("https://photon-sol.tinyastro.io/en/lp/6DGF3Dh6BNddtvRb386KvDrxWcSzHHEvXAr55HYTpump?handle=676050794bc1b1657a56b", "View")</f>
        <v>View</v>
      </c>
    </row>
    <row r="44" spans="1:16" x14ac:dyDescent="0.25">
      <c r="A44" s="13" t="s">
        <v>19392</v>
      </c>
      <c r="B44" s="14">
        <v>18057953</v>
      </c>
      <c r="C44" s="14">
        <v>18057953</v>
      </c>
      <c r="D44" s="14" t="s">
        <v>1813</v>
      </c>
      <c r="E44" s="14" t="s">
        <v>27933</v>
      </c>
      <c r="F44" s="14" t="s">
        <v>27934</v>
      </c>
      <c r="G44" s="20" t="s">
        <v>1445</v>
      </c>
      <c r="H44" s="20" t="s">
        <v>9564</v>
      </c>
      <c r="I44" s="14" t="s">
        <v>88</v>
      </c>
      <c r="J44" s="14">
        <v>1</v>
      </c>
      <c r="K44" s="14">
        <v>1</v>
      </c>
      <c r="L44" s="14" t="s">
        <v>27935</v>
      </c>
      <c r="M44" s="19" t="s">
        <v>2486</v>
      </c>
      <c r="N44" s="14" t="s">
        <v>27485</v>
      </c>
      <c r="O44" s="14" t="s">
        <v>27936</v>
      </c>
      <c r="P44" s="14" t="str">
        <f>HYPERLINK("https://photon-sol.tinyastro.io/en/lp/LvknyzvzAurVB5KK14qBVy9a8YzCyFAdttyJ15cpump?handle=676050794bc1b1657a56b", "View")</f>
        <v>View</v>
      </c>
    </row>
    <row r="45" spans="1:16" x14ac:dyDescent="0.25">
      <c r="A45" s="16" t="s">
        <v>27937</v>
      </c>
      <c r="B45" s="17">
        <v>11489275</v>
      </c>
      <c r="C45" s="17">
        <v>11489275</v>
      </c>
      <c r="D45" s="17" t="s">
        <v>1813</v>
      </c>
      <c r="E45" s="17" t="s">
        <v>7860</v>
      </c>
      <c r="F45" s="17" t="s">
        <v>3827</v>
      </c>
      <c r="G45" s="15" t="s">
        <v>27938</v>
      </c>
      <c r="H45" s="15" t="s">
        <v>27939</v>
      </c>
      <c r="I45" s="17" t="s">
        <v>88</v>
      </c>
      <c r="J45" s="17">
        <v>1</v>
      </c>
      <c r="K45" s="17">
        <v>1</v>
      </c>
      <c r="L45" s="17" t="s">
        <v>27940</v>
      </c>
      <c r="M45" s="17" t="s">
        <v>602</v>
      </c>
      <c r="N45" s="17" t="s">
        <v>27941</v>
      </c>
      <c r="O45" s="17" t="s">
        <v>27942</v>
      </c>
      <c r="P45" s="17" t="str">
        <f>HYPERLINK("https://photon-sol.tinyastro.io/en/lp/6AuhhT1KsznuTdTWBBch3EoBeij9J2aUcq4mWCCNpump?handle=676050794bc1b1657a56b", "View")</f>
        <v>View</v>
      </c>
    </row>
    <row r="46" spans="1:16" x14ac:dyDescent="0.25">
      <c r="A46" s="13" t="s">
        <v>6530</v>
      </c>
      <c r="B46" s="14">
        <v>37386542</v>
      </c>
      <c r="C46" s="14">
        <v>37386542</v>
      </c>
      <c r="D46" s="14" t="s">
        <v>1813</v>
      </c>
      <c r="E46" s="14" t="s">
        <v>8727</v>
      </c>
      <c r="F46" s="14" t="s">
        <v>27943</v>
      </c>
      <c r="G46" s="22" t="s">
        <v>5449</v>
      </c>
      <c r="H46" s="22" t="s">
        <v>27944</v>
      </c>
      <c r="I46" s="14" t="s">
        <v>88</v>
      </c>
      <c r="J46" s="14">
        <v>1</v>
      </c>
      <c r="K46" s="14">
        <v>1</v>
      </c>
      <c r="L46" s="14" t="s">
        <v>27945</v>
      </c>
      <c r="M46" s="19" t="s">
        <v>1721</v>
      </c>
      <c r="N46" s="14" t="s">
        <v>2278</v>
      </c>
      <c r="O46" s="14" t="s">
        <v>27946</v>
      </c>
      <c r="P46" s="14" t="str">
        <f>HYPERLINK("https://photon-sol.tinyastro.io/en/lp/CWbS3j6bdm9HWrwh5F4soFNHZk34e9iRwBxFoXm8pump?handle=676050794bc1b1657a56b", "View")</f>
        <v>View</v>
      </c>
    </row>
    <row r="47" spans="1:16" x14ac:dyDescent="0.25">
      <c r="A47" s="16" t="s">
        <v>27947</v>
      </c>
      <c r="B47" s="17">
        <v>12275100</v>
      </c>
      <c r="C47" s="17">
        <v>12275100</v>
      </c>
      <c r="D47" s="17" t="s">
        <v>27807</v>
      </c>
      <c r="E47" s="17" t="s">
        <v>14638</v>
      </c>
      <c r="F47" s="17" t="s">
        <v>27948</v>
      </c>
      <c r="G47" s="22" t="s">
        <v>12242</v>
      </c>
      <c r="H47" s="22" t="s">
        <v>27949</v>
      </c>
      <c r="I47" s="17" t="s">
        <v>88</v>
      </c>
      <c r="J47" s="17">
        <v>1</v>
      </c>
      <c r="K47" s="17">
        <v>1</v>
      </c>
      <c r="L47" s="17" t="s">
        <v>27950</v>
      </c>
      <c r="M47" s="17" t="s">
        <v>788</v>
      </c>
      <c r="N47" s="17" t="s">
        <v>27951</v>
      </c>
      <c r="O47" s="17" t="s">
        <v>27952</v>
      </c>
      <c r="P47" s="17" t="str">
        <f>HYPERLINK("https://photon-sol.tinyastro.io/en/lp/2ZBLtWiwFeSK7qVLApQnmdDucsd2Z6ht8tk36Y8jpump?handle=676050794bc1b1657a56b", "View")</f>
        <v>View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1DE0-FD4E-4171-9FEC-77DBA7E09BDB}">
  <dimension ref="A1:P2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HYPERLINK("https://gmgn.ai/sol/address/47KdXtjkFVcUkew2hwjhX7kaTrN3JYvEx8dBpgHVABoH", "GMGN")</f>
        <v>GMGN</v>
      </c>
    </row>
    <row r="2" spans="1:14" x14ac:dyDescent="0.25">
      <c r="A2" s="3" t="s">
        <v>27953</v>
      </c>
      <c r="B2" s="3" t="s">
        <v>27954</v>
      </c>
      <c r="C2" s="3" t="s">
        <v>17986</v>
      </c>
      <c r="D2" s="3" t="s">
        <v>27955</v>
      </c>
      <c r="E2" s="3" t="s">
        <v>27956</v>
      </c>
      <c r="F2" s="3" t="s">
        <v>18</v>
      </c>
      <c r="G2" s="3" t="s">
        <v>18</v>
      </c>
      <c r="H2" s="3">
        <v>7</v>
      </c>
      <c r="I2" s="3">
        <v>0</v>
      </c>
      <c r="J2" s="3" t="s">
        <v>27957</v>
      </c>
      <c r="K2" s="3" t="s">
        <v>2047</v>
      </c>
      <c r="L2" s="3">
        <v>7</v>
      </c>
      <c r="M2" s="3">
        <v>4</v>
      </c>
      <c r="N2" s="3" t="str">
        <f>HYPERLINK("https://solscan.io/account/47KdXtjkFVcUkew2hwjhX7kaTrN3JYvEx8dBpgHVABoH", "Solscan")</f>
        <v>Solscan</v>
      </c>
    </row>
    <row r="3" spans="1:14" x14ac:dyDescent="0.25">
      <c r="A3" s="1" t="s">
        <v>21</v>
      </c>
      <c r="B3" s="23" t="s">
        <v>23298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HYPERLINK("https://birdeye.so/profile/47KdXtjkFVcUkew2hwjhX7kaTrN3JYvEx8dBpgHVABoH", "Birdeye")</f>
        <v>Birdeye</v>
      </c>
    </row>
    <row r="4" spans="1:14" x14ac:dyDescent="0.25">
      <c r="A4" s="1" t="s">
        <v>25</v>
      </c>
      <c r="B4" s="3" t="s">
        <v>11184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2</v>
      </c>
      <c r="D10" s="1">
        <v>1</v>
      </c>
      <c r="E10" s="1">
        <v>1</v>
      </c>
      <c r="F10" s="1">
        <v>2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4125</v>
      </c>
      <c r="D11" s="1" t="s">
        <v>21272</v>
      </c>
      <c r="E11" s="1" t="s">
        <v>21272</v>
      </c>
      <c r="F11" s="1" t="s">
        <v>4125</v>
      </c>
      <c r="G11" s="1" t="s">
        <v>21272</v>
      </c>
      <c r="H11" s="3"/>
      <c r="I11" s="3" t="s">
        <v>50</v>
      </c>
      <c r="J11" s="3" t="s">
        <v>1792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8464</v>
      </c>
      <c r="D12" s="1" t="s">
        <v>4129</v>
      </c>
      <c r="E12" s="1" t="s">
        <v>15658</v>
      </c>
      <c r="F12" s="1" t="s">
        <v>17860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4131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19027</v>
      </c>
      <c r="B20" s="14">
        <v>10163367</v>
      </c>
      <c r="C20" s="14">
        <v>10163367</v>
      </c>
      <c r="D20" s="14" t="s">
        <v>27035</v>
      </c>
      <c r="E20" s="14" t="s">
        <v>27359</v>
      </c>
      <c r="F20" s="14" t="s">
        <v>12344</v>
      </c>
      <c r="G20" s="21" t="s">
        <v>27958</v>
      </c>
      <c r="H20" s="21" t="s">
        <v>27959</v>
      </c>
      <c r="I20" s="14" t="s">
        <v>88</v>
      </c>
      <c r="J20" s="14">
        <v>1</v>
      </c>
      <c r="K20" s="14">
        <v>13</v>
      </c>
      <c r="L20" s="14" t="s">
        <v>27037</v>
      </c>
      <c r="M20" s="14" t="s">
        <v>3180</v>
      </c>
      <c r="N20" s="14" t="s">
        <v>27960</v>
      </c>
      <c r="O20" s="14" t="s">
        <v>27039</v>
      </c>
      <c r="P20" s="14" t="str">
        <f>HYPERLINK("https://photon-sol.tinyastro.io/en/lp/HxdzGHd2jLF12UHjgFKCb6zMzgfqGnwRvwKweXmXpump?handle=676050794bc1b1657a56b", "View")</f>
        <v>View</v>
      </c>
    </row>
    <row r="21" spans="1:16" x14ac:dyDescent="0.25">
      <c r="A21" s="16" t="s">
        <v>19027</v>
      </c>
      <c r="B21" s="17">
        <v>8831328</v>
      </c>
      <c r="C21" s="17">
        <v>8831328</v>
      </c>
      <c r="D21" s="17" t="s">
        <v>26997</v>
      </c>
      <c r="E21" s="17" t="s">
        <v>27961</v>
      </c>
      <c r="F21" s="17" t="s">
        <v>27962</v>
      </c>
      <c r="G21" s="21" t="s">
        <v>27963</v>
      </c>
      <c r="H21" s="21" t="s">
        <v>27964</v>
      </c>
      <c r="I21" s="17" t="s">
        <v>88</v>
      </c>
      <c r="J21" s="17">
        <v>1</v>
      </c>
      <c r="K21" s="17">
        <v>61</v>
      </c>
      <c r="L21" s="17" t="s">
        <v>27001</v>
      </c>
      <c r="M21" s="17" t="s">
        <v>3180</v>
      </c>
      <c r="N21" s="17" t="s">
        <v>27965</v>
      </c>
      <c r="O21" s="17" t="s">
        <v>19033</v>
      </c>
      <c r="P21" s="17" t="str">
        <f>HYPERLINK("https://photon-sol.tinyastro.io/en/lp/ALKTKLRTyF3P83KMCAvGEtY4CsoMzvh1k38uixCgpump?handle=676050794bc1b1657a56b", "View")</f>
        <v>View</v>
      </c>
    </row>
    <row r="22" spans="1:16" x14ac:dyDescent="0.25">
      <c r="A22" s="13" t="s">
        <v>27003</v>
      </c>
      <c r="B22" s="14">
        <v>7929767</v>
      </c>
      <c r="C22" s="14">
        <v>7929767</v>
      </c>
      <c r="D22" s="14" t="s">
        <v>1813</v>
      </c>
      <c r="E22" s="14" t="s">
        <v>2200</v>
      </c>
      <c r="F22" s="14" t="s">
        <v>27966</v>
      </c>
      <c r="G22" s="22" t="s">
        <v>11934</v>
      </c>
      <c r="H22" s="22" t="s">
        <v>23298</v>
      </c>
      <c r="I22" s="14" t="s">
        <v>88</v>
      </c>
      <c r="J22" s="14">
        <v>1</v>
      </c>
      <c r="K22" s="14">
        <v>1</v>
      </c>
      <c r="L22" s="14" t="s">
        <v>27482</v>
      </c>
      <c r="M22" s="14" t="s">
        <v>2047</v>
      </c>
      <c r="N22" s="14" t="s">
        <v>20909</v>
      </c>
      <c r="O22" s="14" t="s">
        <v>27007</v>
      </c>
      <c r="P22" s="14" t="str">
        <f>HYPERLINK("https://photon-sol.tinyastro.io/en/lp/BFc3G2JaqZA3eCJzWiSMhGZp7aXwonXETtr2Nudppump?handle=676050794bc1b1657a56b", "View")</f>
        <v>View</v>
      </c>
    </row>
    <row r="23" spans="1:16" x14ac:dyDescent="0.25">
      <c r="A23" s="16" t="s">
        <v>27008</v>
      </c>
      <c r="B23" s="17">
        <v>11778199</v>
      </c>
      <c r="C23" s="17">
        <v>11778199</v>
      </c>
      <c r="D23" s="17" t="s">
        <v>1813</v>
      </c>
      <c r="E23" s="17" t="s">
        <v>4197</v>
      </c>
      <c r="F23" s="17" t="s">
        <v>16828</v>
      </c>
      <c r="G23" s="20" t="s">
        <v>3920</v>
      </c>
      <c r="H23" s="20" t="s">
        <v>27967</v>
      </c>
      <c r="I23" s="17" t="s">
        <v>88</v>
      </c>
      <c r="J23" s="17">
        <v>1</v>
      </c>
      <c r="K23" s="17">
        <v>1</v>
      </c>
      <c r="L23" s="17" t="s">
        <v>27047</v>
      </c>
      <c r="M23" s="17" t="s">
        <v>1566</v>
      </c>
      <c r="N23" s="17" t="s">
        <v>1706</v>
      </c>
      <c r="O23" s="17" t="s">
        <v>27013</v>
      </c>
      <c r="P23" s="17" t="str">
        <f>HYPERLINK("https://photon-sol.tinyastro.io/en/lp/CDkwBE7pPovZLJC2KxM7jvWXkyygR1Y1u2R7f6hmpump?handle=676050794bc1b1657a56b", "View")</f>
        <v>View</v>
      </c>
    </row>
    <row r="24" spans="1:16" x14ac:dyDescent="0.25">
      <c r="A24" s="13" t="s">
        <v>4867</v>
      </c>
      <c r="B24" s="14">
        <v>1793028</v>
      </c>
      <c r="C24" s="14">
        <v>1793028</v>
      </c>
      <c r="D24" s="14" t="s">
        <v>20279</v>
      </c>
      <c r="E24" s="14" t="s">
        <v>3221</v>
      </c>
      <c r="F24" s="14" t="s">
        <v>2220</v>
      </c>
      <c r="G24" s="20" t="s">
        <v>3511</v>
      </c>
      <c r="H24" s="20" t="s">
        <v>27968</v>
      </c>
      <c r="I24" s="14" t="s">
        <v>88</v>
      </c>
      <c r="J24" s="14">
        <v>2</v>
      </c>
      <c r="K24" s="14">
        <v>2</v>
      </c>
      <c r="L24" s="14" t="s">
        <v>27049</v>
      </c>
      <c r="M24" s="14" t="s">
        <v>1705</v>
      </c>
      <c r="N24" s="14" t="s">
        <v>27969</v>
      </c>
      <c r="O24" s="14" t="s">
        <v>27016</v>
      </c>
      <c r="P24" s="14" t="str">
        <f>HYPERLINK("https://photon-sol.tinyastro.io/en/lp/BPFXTGBjoARa89gbSvbp7Dy6cQwgGc7efW1jE8nTpump?handle=676050794bc1b1657a56b", "View")</f>
        <v>View</v>
      </c>
    </row>
    <row r="25" spans="1:16" x14ac:dyDescent="0.25">
      <c r="A25" s="16" t="s">
        <v>27017</v>
      </c>
      <c r="B25" s="17">
        <v>11384893</v>
      </c>
      <c r="C25" s="17">
        <v>11384893</v>
      </c>
      <c r="D25" s="17" t="s">
        <v>27605</v>
      </c>
      <c r="E25" s="17" t="s">
        <v>10598</v>
      </c>
      <c r="F25" s="17" t="s">
        <v>27970</v>
      </c>
      <c r="G25" s="21" t="s">
        <v>14596</v>
      </c>
      <c r="H25" s="21" t="s">
        <v>27971</v>
      </c>
      <c r="I25" s="17" t="s">
        <v>88</v>
      </c>
      <c r="J25" s="17">
        <v>1</v>
      </c>
      <c r="K25" s="17">
        <v>29</v>
      </c>
      <c r="L25" s="17" t="s">
        <v>27053</v>
      </c>
      <c r="M25" s="17" t="s">
        <v>1610</v>
      </c>
      <c r="N25" s="17" t="s">
        <v>27972</v>
      </c>
      <c r="O25" s="17" t="s">
        <v>27021</v>
      </c>
      <c r="P25" s="17" t="str">
        <f>HYPERLINK("https://photon-sol.tinyastro.io/en/lp/DirQ7FDi1C5SZCy8ai1GTSvnm9o8MDf9s4C4cExzpump?handle=676050794bc1b1657a56b", "View")</f>
        <v>View</v>
      </c>
    </row>
    <row r="26" spans="1:16" x14ac:dyDescent="0.25">
      <c r="A26" s="13" t="s">
        <v>27017</v>
      </c>
      <c r="B26" s="14">
        <v>585788</v>
      </c>
      <c r="C26" s="14">
        <v>585788</v>
      </c>
      <c r="D26" s="14" t="s">
        <v>27022</v>
      </c>
      <c r="E26" s="14" t="s">
        <v>2597</v>
      </c>
      <c r="F26" s="14" t="s">
        <v>3142</v>
      </c>
      <c r="G26" s="15" t="s">
        <v>16947</v>
      </c>
      <c r="H26" s="15" t="s">
        <v>27973</v>
      </c>
      <c r="I26" s="14" t="s">
        <v>88</v>
      </c>
      <c r="J26" s="14">
        <v>1</v>
      </c>
      <c r="K26" s="14">
        <v>1</v>
      </c>
      <c r="L26" s="14" t="s">
        <v>27024</v>
      </c>
      <c r="M26" s="14" t="s">
        <v>2047</v>
      </c>
      <c r="N26" s="14" t="s">
        <v>23380</v>
      </c>
      <c r="O26" s="14" t="s">
        <v>27025</v>
      </c>
      <c r="P26" s="1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6EA1-9D89-41E9-93F3-69E6917815BE}">
  <dimension ref="A1:P7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HYPERLINK("https://gmgn.ai/sol/address/DkRs21giV1YPrP86GmhqPYHTWyFrCsUFyk336i9e9Rg4", "GMGN")</f>
        <v>GMGN</v>
      </c>
    </row>
    <row r="2" spans="1:14" x14ac:dyDescent="0.25">
      <c r="A2" s="3" t="s">
        <v>4352</v>
      </c>
      <c r="B2" s="3" t="s">
        <v>4353</v>
      </c>
      <c r="C2" s="3" t="s">
        <v>15</v>
      </c>
      <c r="D2" s="3" t="s">
        <v>4354</v>
      </c>
      <c r="E2" s="3" t="s">
        <v>4355</v>
      </c>
      <c r="F2" s="3" t="s">
        <v>18</v>
      </c>
      <c r="G2" s="3" t="s">
        <v>18</v>
      </c>
      <c r="H2" s="3">
        <v>54</v>
      </c>
      <c r="I2" s="3">
        <v>6</v>
      </c>
      <c r="J2" s="3" t="s">
        <v>4356</v>
      </c>
      <c r="K2" s="3" t="s">
        <v>132</v>
      </c>
      <c r="L2" s="3">
        <v>3</v>
      </c>
      <c r="M2" s="3">
        <v>13</v>
      </c>
      <c r="N2" s="3" t="str">
        <f>HYPERLINK("https://solscan.io/account/DkRs21giV1YPrP86GmhqPYHTWyFrCsUFyk336i9e9Rg4",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HYPERLINK("https://birdeye.so/profile/DkRs21giV1YPrP86GmhqPYHTWyFrCsUFyk336i9e9Rg4", "Birdeye")</f>
        <v>Birdeye</v>
      </c>
    </row>
    <row r="4" spans="1:14" x14ac:dyDescent="0.25">
      <c r="A4" s="1" t="s">
        <v>25</v>
      </c>
      <c r="B4" s="3" t="s">
        <v>2005</v>
      </c>
      <c r="C4" s="3"/>
      <c r="D4" s="3" t="s">
        <v>4357</v>
      </c>
      <c r="E4" s="3" t="s">
        <v>4358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4359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1</v>
      </c>
      <c r="D10" s="1">
        <v>0</v>
      </c>
      <c r="E10" s="1">
        <v>8</v>
      </c>
      <c r="F10" s="1">
        <v>9</v>
      </c>
      <c r="G10" s="1">
        <v>36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4361</v>
      </c>
      <c r="D11" s="1" t="s">
        <v>1779</v>
      </c>
      <c r="E11" s="1" t="s">
        <v>4362</v>
      </c>
      <c r="F11" s="1" t="s">
        <v>4363</v>
      </c>
      <c r="G11" s="1" t="s">
        <v>4364</v>
      </c>
      <c r="H11" s="3"/>
      <c r="I11" s="3" t="s">
        <v>50</v>
      </c>
      <c r="J11" s="3" t="s">
        <v>1583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4127</v>
      </c>
      <c r="D12" s="1" t="s">
        <v>1786</v>
      </c>
      <c r="E12" s="1" t="s">
        <v>4365</v>
      </c>
      <c r="F12" s="1" t="s">
        <v>4366</v>
      </c>
      <c r="G12" s="1" t="s">
        <v>4367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4368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4369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4370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4371</v>
      </c>
      <c r="B20" s="14">
        <v>198804</v>
      </c>
      <c r="C20" s="14">
        <v>0</v>
      </c>
      <c r="D20" s="14" t="s">
        <v>4372</v>
      </c>
      <c r="E20" s="14" t="s">
        <v>2554</v>
      </c>
      <c r="F20" s="14" t="s">
        <v>96</v>
      </c>
      <c r="G20" s="18" t="s">
        <v>4373</v>
      </c>
      <c r="H20" s="18" t="s">
        <v>98</v>
      </c>
      <c r="I20" s="14" t="s">
        <v>4374</v>
      </c>
      <c r="J20" s="14">
        <v>1</v>
      </c>
      <c r="K20" s="14">
        <v>0</v>
      </c>
      <c r="L20" s="14" t="s">
        <v>4375</v>
      </c>
      <c r="M20" s="19" t="s">
        <v>101</v>
      </c>
      <c r="N20" s="14" t="s">
        <v>4376</v>
      </c>
      <c r="O20" s="14" t="s">
        <v>4377</v>
      </c>
      <c r="P20" s="14" t="str">
        <f>HYPERLINK("https://dexscreener.com/solana/HcrrEuGkoLXZhKkGxgTRitMtruMchQ2iDMhFZg8wazrp", "View")</f>
        <v>View</v>
      </c>
    </row>
    <row r="21" spans="1:16" x14ac:dyDescent="0.25">
      <c r="A21" s="16" t="s">
        <v>4378</v>
      </c>
      <c r="B21" s="17">
        <v>1195201</v>
      </c>
      <c r="C21" s="17">
        <v>1195201</v>
      </c>
      <c r="D21" s="17" t="s">
        <v>4379</v>
      </c>
      <c r="E21" s="17" t="s">
        <v>4380</v>
      </c>
      <c r="F21" s="17" t="s">
        <v>4381</v>
      </c>
      <c r="G21" s="20" t="s">
        <v>4382</v>
      </c>
      <c r="H21" s="20" t="s">
        <v>4383</v>
      </c>
      <c r="I21" s="17" t="s">
        <v>88</v>
      </c>
      <c r="J21" s="17">
        <v>1</v>
      </c>
      <c r="K21" s="17">
        <v>2</v>
      </c>
      <c r="L21" s="17" t="s">
        <v>4384</v>
      </c>
      <c r="M21" s="17" t="s">
        <v>4385</v>
      </c>
      <c r="N21" s="17" t="s">
        <v>4386</v>
      </c>
      <c r="O21" s="17" t="s">
        <v>4387</v>
      </c>
      <c r="P21" s="17" t="str">
        <f>HYPERLINK("https://photon-sol.tinyastro.io/en/lp/6j66BaTcazN9sEj5JzA5uq4MeNt838gQhKmjSdPkmJRe?handle=676050794bc1b1657a56b", "View")</f>
        <v>View</v>
      </c>
    </row>
    <row r="22" spans="1:16" x14ac:dyDescent="0.25">
      <c r="A22" s="13" t="s">
        <v>4388</v>
      </c>
      <c r="B22" s="14">
        <v>5552523</v>
      </c>
      <c r="C22" s="14">
        <v>0</v>
      </c>
      <c r="D22" s="14" t="s">
        <v>4389</v>
      </c>
      <c r="E22" s="14" t="s">
        <v>1630</v>
      </c>
      <c r="F22" s="14" t="s">
        <v>96</v>
      </c>
      <c r="G22" s="18" t="s">
        <v>4390</v>
      </c>
      <c r="H22" s="18" t="s">
        <v>98</v>
      </c>
      <c r="I22" s="14" t="s">
        <v>4391</v>
      </c>
      <c r="J22" s="14">
        <v>2</v>
      </c>
      <c r="K22" s="14">
        <v>0</v>
      </c>
      <c r="L22" s="14" t="s">
        <v>4392</v>
      </c>
      <c r="M22" s="14" t="s">
        <v>4393</v>
      </c>
      <c r="N22" s="14" t="s">
        <v>4394</v>
      </c>
      <c r="O22" s="14" t="s">
        <v>4395</v>
      </c>
      <c r="P22" s="14" t="str">
        <f>HYPERLINK("https://dexscreener.com/solana/4xp8Ysi2oEHjBWocqrgm8w8kUFQvExCmjaYUxuwzpump", "View")</f>
        <v>View</v>
      </c>
    </row>
    <row r="23" spans="1:16" x14ac:dyDescent="0.25">
      <c r="A23" s="16" t="s">
        <v>248</v>
      </c>
      <c r="B23" s="17">
        <v>79779</v>
      </c>
      <c r="C23" s="17">
        <v>0</v>
      </c>
      <c r="D23" s="17" t="s">
        <v>4372</v>
      </c>
      <c r="E23" s="17" t="s">
        <v>4396</v>
      </c>
      <c r="F23" s="17" t="s">
        <v>96</v>
      </c>
      <c r="G23" s="18" t="s">
        <v>4397</v>
      </c>
      <c r="H23" s="18" t="s">
        <v>98</v>
      </c>
      <c r="I23" s="17" t="s">
        <v>4398</v>
      </c>
      <c r="J23" s="17">
        <v>1</v>
      </c>
      <c r="K23" s="17">
        <v>0</v>
      </c>
      <c r="L23" s="17" t="s">
        <v>4399</v>
      </c>
      <c r="M23" s="19" t="s">
        <v>101</v>
      </c>
      <c r="N23" s="17" t="s">
        <v>4400</v>
      </c>
      <c r="O23" s="17" t="s">
        <v>255</v>
      </c>
      <c r="P23" s="17" t="str">
        <f>HYPERLINK("https://dexscreener.com/solana/9HjsPutyGGPpxnRn4ibH1hTfPvitAY5EPvtAwGFkpump", "View")</f>
        <v>View</v>
      </c>
    </row>
    <row r="24" spans="1:16" x14ac:dyDescent="0.25">
      <c r="A24" s="13" t="s">
        <v>1794</v>
      </c>
      <c r="B24" s="14">
        <v>1618437</v>
      </c>
      <c r="C24" s="14">
        <v>647375</v>
      </c>
      <c r="D24" s="14" t="s">
        <v>4401</v>
      </c>
      <c r="E24" s="14" t="s">
        <v>1457</v>
      </c>
      <c r="F24" s="14" t="s">
        <v>4402</v>
      </c>
      <c r="G24" s="22" t="s">
        <v>4403</v>
      </c>
      <c r="H24" s="22" t="s">
        <v>4404</v>
      </c>
      <c r="I24" s="14" t="s">
        <v>88</v>
      </c>
      <c r="J24" s="14">
        <v>1</v>
      </c>
      <c r="K24" s="14">
        <v>1</v>
      </c>
      <c r="L24" s="14" t="s">
        <v>4405</v>
      </c>
      <c r="M24" s="14" t="s">
        <v>1566</v>
      </c>
      <c r="N24" s="14" t="s">
        <v>4406</v>
      </c>
      <c r="O24" s="14" t="s">
        <v>1802</v>
      </c>
      <c r="P24" s="14" t="str">
        <f>HYPERLINK("https://dexscreener.com/solana/WziqSdg6EGYooGBmoxeUWLe2Czwk7AsEH2J42cepump", "View")</f>
        <v>View</v>
      </c>
    </row>
    <row r="25" spans="1:16" x14ac:dyDescent="0.25">
      <c r="A25" s="16" t="s">
        <v>4407</v>
      </c>
      <c r="B25" s="17">
        <v>1411000</v>
      </c>
      <c r="C25" s="17">
        <v>525880</v>
      </c>
      <c r="D25" s="17" t="s">
        <v>4408</v>
      </c>
      <c r="E25" s="17" t="s">
        <v>4409</v>
      </c>
      <c r="F25" s="17" t="s">
        <v>2251</v>
      </c>
      <c r="G25" s="15" t="s">
        <v>4410</v>
      </c>
      <c r="H25" s="15" t="s">
        <v>4411</v>
      </c>
      <c r="I25" s="17" t="s">
        <v>88</v>
      </c>
      <c r="J25" s="17">
        <v>3</v>
      </c>
      <c r="K25" s="17">
        <v>1</v>
      </c>
      <c r="L25" s="17" t="s">
        <v>4412</v>
      </c>
      <c r="M25" s="17" t="s">
        <v>4413</v>
      </c>
      <c r="N25" s="17" t="s">
        <v>4414</v>
      </c>
      <c r="O25" s="17" t="s">
        <v>4415</v>
      </c>
      <c r="P25" s="17" t="str">
        <f>HYPERLINK("https://dexscreener.com/solana/46RN3PxRWtoPhu4jeA7WxWR5MAaLh6cm3S1kYmu8pump", "View")</f>
        <v>View</v>
      </c>
    </row>
    <row r="26" spans="1:16" x14ac:dyDescent="0.25">
      <c r="A26" s="13" t="s">
        <v>4416</v>
      </c>
      <c r="B26" s="14">
        <v>206999</v>
      </c>
      <c r="C26" s="14">
        <v>0</v>
      </c>
      <c r="D26" s="14" t="s">
        <v>4389</v>
      </c>
      <c r="E26" s="14" t="s">
        <v>2390</v>
      </c>
      <c r="F26" s="14" t="s">
        <v>96</v>
      </c>
      <c r="G26" s="18" t="s">
        <v>4417</v>
      </c>
      <c r="H26" s="18" t="s">
        <v>98</v>
      </c>
      <c r="I26" s="14" t="s">
        <v>4418</v>
      </c>
      <c r="J26" s="14">
        <v>2</v>
      </c>
      <c r="K26" s="14">
        <v>0</v>
      </c>
      <c r="L26" s="14" t="s">
        <v>4419</v>
      </c>
      <c r="M26" s="14" t="s">
        <v>4420</v>
      </c>
      <c r="N26" s="14" t="s">
        <v>4421</v>
      </c>
      <c r="O26" s="14" t="s">
        <v>4422</v>
      </c>
      <c r="P26" s="14" t="str">
        <f>HYPERLINK("https://dexscreener.com/solana/GJLiErro8cbWeDngDMWJug9dkwwckYZg4Lvb79F3pump", "View")</f>
        <v>View</v>
      </c>
    </row>
    <row r="27" spans="1:16" x14ac:dyDescent="0.25">
      <c r="A27" s="16" t="s">
        <v>4423</v>
      </c>
      <c r="B27" s="17">
        <v>3377445</v>
      </c>
      <c r="C27" s="17">
        <v>232500</v>
      </c>
      <c r="D27" s="17" t="s">
        <v>4424</v>
      </c>
      <c r="E27" s="17" t="s">
        <v>778</v>
      </c>
      <c r="F27" s="17" t="s">
        <v>4425</v>
      </c>
      <c r="G27" s="15" t="s">
        <v>4426</v>
      </c>
      <c r="H27" s="15" t="s">
        <v>4427</v>
      </c>
      <c r="I27" s="17" t="s">
        <v>88</v>
      </c>
      <c r="J27" s="17">
        <v>4</v>
      </c>
      <c r="K27" s="17">
        <v>1</v>
      </c>
      <c r="L27" s="17" t="s">
        <v>4428</v>
      </c>
      <c r="M27" s="17" t="s">
        <v>4429</v>
      </c>
      <c r="N27" s="17" t="s">
        <v>4430</v>
      </c>
      <c r="O27" s="17" t="s">
        <v>4431</v>
      </c>
      <c r="P27" s="17" t="str">
        <f>HYPERLINK("https://dexscreener.com/solana/BsTRFEVZhXbBuy5fhxbttuim8iwzXqMdRCfFftDAkkeu", "View")</f>
        <v>View</v>
      </c>
    </row>
    <row r="28" spans="1:16" x14ac:dyDescent="0.25">
      <c r="A28" s="13" t="s">
        <v>4432</v>
      </c>
      <c r="B28" s="14">
        <v>272954</v>
      </c>
      <c r="C28" s="14">
        <v>0</v>
      </c>
      <c r="D28" s="14" t="s">
        <v>4379</v>
      </c>
      <c r="E28" s="14" t="s">
        <v>4433</v>
      </c>
      <c r="F28" s="14" t="s">
        <v>96</v>
      </c>
      <c r="G28" s="18" t="s">
        <v>4434</v>
      </c>
      <c r="H28" s="18" t="s">
        <v>98</v>
      </c>
      <c r="I28" s="14" t="s">
        <v>4435</v>
      </c>
      <c r="J28" s="14">
        <v>4</v>
      </c>
      <c r="K28" s="14">
        <v>0</v>
      </c>
      <c r="L28" s="14" t="s">
        <v>4436</v>
      </c>
      <c r="M28" s="14" t="s">
        <v>4437</v>
      </c>
      <c r="N28" s="14" t="s">
        <v>4438</v>
      </c>
      <c r="O28" s="14" t="s">
        <v>4439</v>
      </c>
      <c r="P28" s="14" t="str">
        <f>HYPERLINK("https://dexscreener.com/solana/8Sk2EJ9oo25b7Mmf4qd5gJw6z3738AXvAbkuSSpQpump", "View")</f>
        <v>View</v>
      </c>
    </row>
    <row r="29" spans="1:16" x14ac:dyDescent="0.25">
      <c r="A29" s="16" t="s">
        <v>4440</v>
      </c>
      <c r="B29" s="17">
        <v>81884</v>
      </c>
      <c r="C29" s="17">
        <v>80656</v>
      </c>
      <c r="D29" s="17" t="s">
        <v>4441</v>
      </c>
      <c r="E29" s="17" t="s">
        <v>4442</v>
      </c>
      <c r="F29" s="17" t="s">
        <v>4443</v>
      </c>
      <c r="G29" s="22" t="s">
        <v>3523</v>
      </c>
      <c r="H29" s="22" t="s">
        <v>4444</v>
      </c>
      <c r="I29" s="17" t="s">
        <v>88</v>
      </c>
      <c r="J29" s="17">
        <v>2</v>
      </c>
      <c r="K29" s="17">
        <v>3</v>
      </c>
      <c r="L29" s="17" t="s">
        <v>4445</v>
      </c>
      <c r="M29" s="17" t="s">
        <v>4446</v>
      </c>
      <c r="N29" s="17" t="s">
        <v>4447</v>
      </c>
      <c r="O29" s="17" t="s">
        <v>4448</v>
      </c>
      <c r="P29" s="17" t="str">
        <f>HYPERLINK("https://dexscreener.com/solana/Av6qVigkb7USQyPXJkUvAEm4f599WTRvd75PUWBA9eNm", "View")</f>
        <v>View</v>
      </c>
    </row>
    <row r="30" spans="1:16" x14ac:dyDescent="0.25">
      <c r="A30" s="13" t="s">
        <v>4449</v>
      </c>
      <c r="B30" s="14">
        <v>148585</v>
      </c>
      <c r="C30" s="14">
        <v>100226</v>
      </c>
      <c r="D30" s="14" t="s">
        <v>4424</v>
      </c>
      <c r="E30" s="14" t="s">
        <v>4450</v>
      </c>
      <c r="F30" s="14" t="s">
        <v>4451</v>
      </c>
      <c r="G30" s="22" t="s">
        <v>2553</v>
      </c>
      <c r="H30" s="22" t="s">
        <v>4452</v>
      </c>
      <c r="I30" s="14" t="s">
        <v>88</v>
      </c>
      <c r="J30" s="14">
        <v>4</v>
      </c>
      <c r="K30" s="14">
        <v>1</v>
      </c>
      <c r="L30" s="14" t="s">
        <v>4453</v>
      </c>
      <c r="M30" s="14" t="s">
        <v>4454</v>
      </c>
      <c r="N30" s="14" t="s">
        <v>4455</v>
      </c>
      <c r="O30" s="14" t="s">
        <v>4456</v>
      </c>
      <c r="P30" s="14" t="str">
        <f>HYPERLINK("https://dexscreener.com/solana/ENoD8J2J6wNHkcJkvVBkwq5JMiR1oNBfBZRkoHCQogyT", "View")</f>
        <v>View</v>
      </c>
    </row>
    <row r="31" spans="1:16" x14ac:dyDescent="0.25">
      <c r="A31" s="16" t="s">
        <v>4457</v>
      </c>
      <c r="B31" s="17">
        <v>3535272</v>
      </c>
      <c r="C31" s="17">
        <v>3535272</v>
      </c>
      <c r="D31" s="17" t="s">
        <v>4401</v>
      </c>
      <c r="E31" s="17" t="s">
        <v>4458</v>
      </c>
      <c r="F31" s="17" t="s">
        <v>4459</v>
      </c>
      <c r="G31" s="15" t="s">
        <v>4181</v>
      </c>
      <c r="H31" s="15" t="s">
        <v>4460</v>
      </c>
      <c r="I31" s="17" t="s">
        <v>88</v>
      </c>
      <c r="J31" s="17">
        <v>1</v>
      </c>
      <c r="K31" s="17">
        <v>1</v>
      </c>
      <c r="L31" s="17" t="s">
        <v>4461</v>
      </c>
      <c r="M31" s="17" t="s">
        <v>398</v>
      </c>
      <c r="N31" s="17" t="s">
        <v>1203</v>
      </c>
      <c r="O31" s="17" t="s">
        <v>4462</v>
      </c>
      <c r="P31" s="17" t="str">
        <f>HYPERLINK("https://photon-sol.tinyastro.io/en/lp/7SS6UZ6D8iZ9XEPNjuqNhvRtRSJuph2h2SDDtHN7pump?handle=676050794bc1b1657a56b", "View")</f>
        <v>View</v>
      </c>
    </row>
    <row r="32" spans="1:16" x14ac:dyDescent="0.25">
      <c r="A32" s="13" t="s">
        <v>4463</v>
      </c>
      <c r="B32" s="14">
        <v>222195</v>
      </c>
      <c r="C32" s="14">
        <v>0</v>
      </c>
      <c r="D32" s="14" t="s">
        <v>4372</v>
      </c>
      <c r="E32" s="14" t="s">
        <v>2200</v>
      </c>
      <c r="F32" s="14" t="s">
        <v>96</v>
      </c>
      <c r="G32" s="18" t="s">
        <v>4464</v>
      </c>
      <c r="H32" s="18" t="s">
        <v>98</v>
      </c>
      <c r="I32" s="14" t="s">
        <v>4465</v>
      </c>
      <c r="J32" s="14">
        <v>1</v>
      </c>
      <c r="K32" s="14">
        <v>0</v>
      </c>
      <c r="L32" s="14" t="s">
        <v>4466</v>
      </c>
      <c r="M32" s="19" t="s">
        <v>101</v>
      </c>
      <c r="N32" s="14" t="s">
        <v>4467</v>
      </c>
      <c r="O32" s="14" t="s">
        <v>4468</v>
      </c>
      <c r="P32" s="14" t="str">
        <f>HYPERLINK("https://dexscreener.com/solana/6VUY3gNQSXf4W1YzR8qZfPm2GN6utVrr5dhyZmzTpump", "View")</f>
        <v>View</v>
      </c>
    </row>
    <row r="33" spans="1:16" x14ac:dyDescent="0.25">
      <c r="A33" s="16" t="s">
        <v>724</v>
      </c>
      <c r="B33" s="17">
        <v>30800</v>
      </c>
      <c r="C33" s="17">
        <v>0</v>
      </c>
      <c r="D33" s="17" t="s">
        <v>4372</v>
      </c>
      <c r="E33" s="17" t="s">
        <v>1007</v>
      </c>
      <c r="F33" s="17" t="s">
        <v>96</v>
      </c>
      <c r="G33" s="18" t="s">
        <v>4469</v>
      </c>
      <c r="H33" s="18" t="s">
        <v>98</v>
      </c>
      <c r="I33" s="17" t="s">
        <v>4470</v>
      </c>
      <c r="J33" s="17">
        <v>1</v>
      </c>
      <c r="K33" s="17">
        <v>0</v>
      </c>
      <c r="L33" s="17" t="s">
        <v>4471</v>
      </c>
      <c r="M33" s="19" t="s">
        <v>101</v>
      </c>
      <c r="N33" s="17" t="s">
        <v>4472</v>
      </c>
      <c r="O33" s="17" t="s">
        <v>731</v>
      </c>
      <c r="P33" s="17" t="str">
        <f>HYPERLINK("https://dexscreener.com/solana/A9e6JzPQstmz94pMnzxgyV14QUqoULSXuf5FPsq8UiRa", "View")</f>
        <v>View</v>
      </c>
    </row>
    <row r="34" spans="1:16" x14ac:dyDescent="0.25">
      <c r="A34" s="13" t="s">
        <v>4473</v>
      </c>
      <c r="B34" s="14">
        <v>29867</v>
      </c>
      <c r="C34" s="14">
        <v>29867</v>
      </c>
      <c r="D34" s="14" t="s">
        <v>4424</v>
      </c>
      <c r="E34" s="14" t="s">
        <v>1007</v>
      </c>
      <c r="F34" s="14" t="s">
        <v>4474</v>
      </c>
      <c r="G34" s="22" t="s">
        <v>4475</v>
      </c>
      <c r="H34" s="22" t="s">
        <v>4476</v>
      </c>
      <c r="I34" s="14" t="s">
        <v>88</v>
      </c>
      <c r="J34" s="14">
        <v>1</v>
      </c>
      <c r="K34" s="14">
        <v>3</v>
      </c>
      <c r="L34" s="14" t="s">
        <v>4477</v>
      </c>
      <c r="M34" s="14" t="s">
        <v>150</v>
      </c>
      <c r="N34" s="14" t="s">
        <v>4478</v>
      </c>
      <c r="O34" s="14" t="s">
        <v>4479</v>
      </c>
      <c r="P34" s="14" t="str">
        <f>HYPERLINK("https://dexscreener.com/solana/8fZL148nnC168RAVCZh4PkjvMZmxMEfMLDhoziWVPnqf", "View")</f>
        <v>View</v>
      </c>
    </row>
    <row r="35" spans="1:16" x14ac:dyDescent="0.25">
      <c r="A35" s="16" t="s">
        <v>4480</v>
      </c>
      <c r="B35" s="17">
        <v>175790</v>
      </c>
      <c r="C35" s="17">
        <v>87895</v>
      </c>
      <c r="D35" s="17" t="s">
        <v>4401</v>
      </c>
      <c r="E35" s="17" t="s">
        <v>1007</v>
      </c>
      <c r="F35" s="17" t="s">
        <v>4481</v>
      </c>
      <c r="G35" s="22" t="s">
        <v>4482</v>
      </c>
      <c r="H35" s="22" t="s">
        <v>4483</v>
      </c>
      <c r="I35" s="17" t="s">
        <v>88</v>
      </c>
      <c r="J35" s="17">
        <v>1</v>
      </c>
      <c r="K35" s="17">
        <v>1</v>
      </c>
      <c r="L35" s="17" t="s">
        <v>4484</v>
      </c>
      <c r="M35" s="17" t="s">
        <v>253</v>
      </c>
      <c r="N35" s="17" t="s">
        <v>4485</v>
      </c>
      <c r="O35" s="17" t="s">
        <v>4486</v>
      </c>
      <c r="P35" s="17" t="str">
        <f>HYPERLINK("https://dexscreener.com/solana/AwcCFuJgUYNYHXm6tHhr7DsXDY6FKvXUt2DFjmgHpump", "View")</f>
        <v>View</v>
      </c>
    </row>
    <row r="36" spans="1:16" x14ac:dyDescent="0.25">
      <c r="A36" s="13" t="s">
        <v>4487</v>
      </c>
      <c r="B36" s="14">
        <v>25533</v>
      </c>
      <c r="C36" s="14">
        <v>0</v>
      </c>
      <c r="D36" s="14" t="s">
        <v>4389</v>
      </c>
      <c r="E36" s="14" t="s">
        <v>569</v>
      </c>
      <c r="F36" s="14" t="s">
        <v>96</v>
      </c>
      <c r="G36" s="18" t="s">
        <v>4488</v>
      </c>
      <c r="H36" s="18" t="s">
        <v>98</v>
      </c>
      <c r="I36" s="14" t="s">
        <v>4489</v>
      </c>
      <c r="J36" s="14">
        <v>2</v>
      </c>
      <c r="K36" s="14">
        <v>0</v>
      </c>
      <c r="L36" s="14" t="s">
        <v>4490</v>
      </c>
      <c r="M36" s="14" t="s">
        <v>4437</v>
      </c>
      <c r="N36" s="14" t="s">
        <v>4491</v>
      </c>
      <c r="O36" s="14" t="s">
        <v>4492</v>
      </c>
      <c r="P36" s="14" t="str">
        <f>HYPERLINK("https://dexscreener.com/solana/DtR4D9FtVoTX2569gaL837ZgrB6wNjj6tkmnX9Rdk9B2", "View")</f>
        <v>View</v>
      </c>
    </row>
    <row r="37" spans="1:16" x14ac:dyDescent="0.25">
      <c r="A37" s="16" t="s">
        <v>4493</v>
      </c>
      <c r="B37" s="17">
        <v>42390</v>
      </c>
      <c r="C37" s="17">
        <v>0</v>
      </c>
      <c r="D37" s="17" t="s">
        <v>4372</v>
      </c>
      <c r="E37" s="17" t="s">
        <v>2200</v>
      </c>
      <c r="F37" s="17" t="s">
        <v>96</v>
      </c>
      <c r="G37" s="18" t="s">
        <v>4464</v>
      </c>
      <c r="H37" s="18" t="s">
        <v>98</v>
      </c>
      <c r="I37" s="17" t="s">
        <v>4494</v>
      </c>
      <c r="J37" s="17">
        <v>1</v>
      </c>
      <c r="K37" s="17">
        <v>0</v>
      </c>
      <c r="L37" s="17" t="s">
        <v>4495</v>
      </c>
      <c r="M37" s="19" t="s">
        <v>101</v>
      </c>
      <c r="N37" s="17" t="s">
        <v>4496</v>
      </c>
      <c r="O37" s="17" t="s">
        <v>4497</v>
      </c>
      <c r="P37" s="17" t="str">
        <f>HYPERLINK("https://dexscreener.com/solana/C4j7kPx9PqDnfvxe2uycJQRTAeyGwmU4DyGf21Xgpump", "View")</f>
        <v>View</v>
      </c>
    </row>
    <row r="38" spans="1:16" x14ac:dyDescent="0.25">
      <c r="A38" s="13" t="s">
        <v>4498</v>
      </c>
      <c r="B38" s="14">
        <v>1333</v>
      </c>
      <c r="C38" s="14">
        <v>800</v>
      </c>
      <c r="D38" s="14" t="s">
        <v>4401</v>
      </c>
      <c r="E38" s="14" t="s">
        <v>4499</v>
      </c>
      <c r="F38" s="14" t="s">
        <v>3342</v>
      </c>
      <c r="G38" s="20" t="s">
        <v>4500</v>
      </c>
      <c r="H38" s="20" t="s">
        <v>4501</v>
      </c>
      <c r="I38" s="14" t="s">
        <v>88</v>
      </c>
      <c r="J38" s="14">
        <v>1</v>
      </c>
      <c r="K38" s="14">
        <v>1</v>
      </c>
      <c r="L38" s="14" t="s">
        <v>4502</v>
      </c>
      <c r="M38" s="14" t="s">
        <v>4503</v>
      </c>
      <c r="N38" s="14" t="s">
        <v>4504</v>
      </c>
      <c r="O38" s="14" t="s">
        <v>4505</v>
      </c>
      <c r="P38" s="14" t="str">
        <f>HYPERLINK("https://dexscreener.com/solana/ED5nyyWEzpPPiWimP8vYm7sD7TD3LAt3Q3gRTWHzPJBY", "View")</f>
        <v>View</v>
      </c>
    </row>
    <row r="39" spans="1:16" x14ac:dyDescent="0.25">
      <c r="A39" s="16" t="s">
        <v>4506</v>
      </c>
      <c r="B39" s="17">
        <v>39669</v>
      </c>
      <c r="C39" s="17">
        <v>3173</v>
      </c>
      <c r="D39" s="17" t="s">
        <v>4401</v>
      </c>
      <c r="E39" s="17" t="s">
        <v>165</v>
      </c>
      <c r="F39" s="17" t="s">
        <v>4507</v>
      </c>
      <c r="G39" s="15" t="s">
        <v>4508</v>
      </c>
      <c r="H39" s="15" t="s">
        <v>4509</v>
      </c>
      <c r="I39" s="17" t="s">
        <v>88</v>
      </c>
      <c r="J39" s="17">
        <v>1</v>
      </c>
      <c r="K39" s="17">
        <v>1</v>
      </c>
      <c r="L39" s="17" t="s">
        <v>4510</v>
      </c>
      <c r="M39" s="17" t="s">
        <v>4454</v>
      </c>
      <c r="N39" s="17" t="s">
        <v>4511</v>
      </c>
      <c r="O39" s="17" t="s">
        <v>4512</v>
      </c>
      <c r="P39" s="17" t="str">
        <f>HYPERLINK("https://dexscreener.com/solana/6ogzHhzdrQr9Pgv6hZ2MNze7UrzBMAFyBBWUYp1Fhitx", "View")</f>
        <v>View</v>
      </c>
    </row>
    <row r="40" spans="1:16" x14ac:dyDescent="0.25">
      <c r="A40" s="13" t="s">
        <v>4513</v>
      </c>
      <c r="B40" s="14">
        <v>336064</v>
      </c>
      <c r="C40" s="14">
        <v>0</v>
      </c>
      <c r="D40" s="14" t="s">
        <v>4372</v>
      </c>
      <c r="E40" s="14" t="s">
        <v>1007</v>
      </c>
      <c r="F40" s="14" t="s">
        <v>96</v>
      </c>
      <c r="G40" s="18" t="s">
        <v>4469</v>
      </c>
      <c r="H40" s="18" t="s">
        <v>98</v>
      </c>
      <c r="I40" s="14" t="s">
        <v>4514</v>
      </c>
      <c r="J40" s="14">
        <v>1</v>
      </c>
      <c r="K40" s="14">
        <v>0</v>
      </c>
      <c r="L40" s="14" t="s">
        <v>4515</v>
      </c>
      <c r="M40" s="19" t="s">
        <v>101</v>
      </c>
      <c r="N40" s="14" t="s">
        <v>4516</v>
      </c>
      <c r="O40" s="14" t="s">
        <v>4517</v>
      </c>
      <c r="P40" s="14" t="str">
        <f>HYPERLINK("https://dexscreener.com/solana/EWy1HPEUq4Lgm6H4pQ8augEuJ7WRwJgENZMTAUzrpump", "View")</f>
        <v>View</v>
      </c>
    </row>
    <row r="41" spans="1:16" x14ac:dyDescent="0.25">
      <c r="A41" s="16" t="s">
        <v>4518</v>
      </c>
      <c r="B41" s="17">
        <v>36220</v>
      </c>
      <c r="C41" s="17">
        <v>29290</v>
      </c>
      <c r="D41" s="17" t="s">
        <v>4519</v>
      </c>
      <c r="E41" s="17" t="s">
        <v>219</v>
      </c>
      <c r="F41" s="17" t="s">
        <v>4520</v>
      </c>
      <c r="G41" s="22" t="s">
        <v>4521</v>
      </c>
      <c r="H41" s="22" t="s">
        <v>4522</v>
      </c>
      <c r="I41" s="17" t="s">
        <v>88</v>
      </c>
      <c r="J41" s="17">
        <v>2</v>
      </c>
      <c r="K41" s="17">
        <v>2</v>
      </c>
      <c r="L41" s="17" t="s">
        <v>4523</v>
      </c>
      <c r="M41" s="17" t="s">
        <v>231</v>
      </c>
      <c r="N41" s="17" t="s">
        <v>4524</v>
      </c>
      <c r="O41" s="17" t="s">
        <v>4525</v>
      </c>
      <c r="P41" s="17" t="str">
        <f>HYPERLINK("https://dexscreener.com/solana/FqvtZ2UFR9we82Ni4LeacC1zyTiQ77usDo31DUokpump", "View")</f>
        <v>View</v>
      </c>
    </row>
    <row r="42" spans="1:16" x14ac:dyDescent="0.25">
      <c r="A42" s="13" t="s">
        <v>4526</v>
      </c>
      <c r="B42" s="14">
        <v>150939</v>
      </c>
      <c r="C42" s="14">
        <v>0</v>
      </c>
      <c r="D42" s="14" t="s">
        <v>4372</v>
      </c>
      <c r="E42" s="14" t="s">
        <v>1007</v>
      </c>
      <c r="F42" s="14" t="s">
        <v>96</v>
      </c>
      <c r="G42" s="18" t="s">
        <v>4469</v>
      </c>
      <c r="H42" s="18" t="s">
        <v>98</v>
      </c>
      <c r="I42" s="14" t="s">
        <v>4527</v>
      </c>
      <c r="J42" s="14">
        <v>1</v>
      </c>
      <c r="K42" s="14">
        <v>0</v>
      </c>
      <c r="L42" s="14" t="s">
        <v>4528</v>
      </c>
      <c r="M42" s="19" t="s">
        <v>101</v>
      </c>
      <c r="N42" s="14" t="s">
        <v>4529</v>
      </c>
      <c r="O42" s="14" t="s">
        <v>4530</v>
      </c>
      <c r="P42" s="14" t="str">
        <f>HYPERLINK("https://dexscreener.com/solana/HzezmX8bRGCBKThgjZu7ZoBN3P825jHk3azBMGZAuTuo", "View")</f>
        <v>View</v>
      </c>
    </row>
    <row r="43" spans="1:16" x14ac:dyDescent="0.25">
      <c r="A43" s="16" t="s">
        <v>4531</v>
      </c>
      <c r="B43" s="17">
        <v>87624483</v>
      </c>
      <c r="C43" s="17">
        <v>0</v>
      </c>
      <c r="D43" s="17" t="s">
        <v>4389</v>
      </c>
      <c r="E43" s="17" t="s">
        <v>1457</v>
      </c>
      <c r="F43" s="17" t="s">
        <v>96</v>
      </c>
      <c r="G43" s="18" t="s">
        <v>952</v>
      </c>
      <c r="H43" s="18" t="s">
        <v>98</v>
      </c>
      <c r="I43" s="17" t="s">
        <v>4532</v>
      </c>
      <c r="J43" s="17">
        <v>2</v>
      </c>
      <c r="K43" s="17">
        <v>0</v>
      </c>
      <c r="L43" s="17" t="s">
        <v>4533</v>
      </c>
      <c r="M43" s="17" t="s">
        <v>1566</v>
      </c>
      <c r="N43" s="17" t="s">
        <v>4534</v>
      </c>
      <c r="O43" s="17" t="s">
        <v>4535</v>
      </c>
      <c r="P43" s="17" t="str">
        <f>HYPERLINK("https://dexscreener.com/solana/FVx2WMK9tuU9mvbDgTMFjxfZwoXbmvc9aam9g4iFnYB9", "View")</f>
        <v>View</v>
      </c>
    </row>
    <row r="44" spans="1:16" x14ac:dyDescent="0.25">
      <c r="A44" s="13" t="s">
        <v>4536</v>
      </c>
      <c r="B44" s="14">
        <v>1631519</v>
      </c>
      <c r="C44" s="14">
        <v>0</v>
      </c>
      <c r="D44" s="14" t="s">
        <v>4372</v>
      </c>
      <c r="E44" s="14" t="s">
        <v>2200</v>
      </c>
      <c r="F44" s="14" t="s">
        <v>96</v>
      </c>
      <c r="G44" s="18" t="s">
        <v>4464</v>
      </c>
      <c r="H44" s="18" t="s">
        <v>98</v>
      </c>
      <c r="I44" s="14" t="s">
        <v>4537</v>
      </c>
      <c r="J44" s="14">
        <v>1</v>
      </c>
      <c r="K44" s="14">
        <v>0</v>
      </c>
      <c r="L44" s="14" t="s">
        <v>4538</v>
      </c>
      <c r="M44" s="19" t="s">
        <v>101</v>
      </c>
      <c r="N44" s="14" t="s">
        <v>1233</v>
      </c>
      <c r="O44" s="14" t="s">
        <v>4539</v>
      </c>
      <c r="P44" s="14" t="str">
        <f>HYPERLINK("https://dexscreener.com/solana/HuJksz87ZWvLmujwRadndz9biFr7pr6QimWY6p6spump", "View")</f>
        <v>View</v>
      </c>
    </row>
    <row r="45" spans="1:16" x14ac:dyDescent="0.25">
      <c r="A45" s="16" t="s">
        <v>4540</v>
      </c>
      <c r="B45" s="17">
        <v>54810</v>
      </c>
      <c r="C45" s="17">
        <v>0</v>
      </c>
      <c r="D45" s="17" t="s">
        <v>4372</v>
      </c>
      <c r="E45" s="17" t="s">
        <v>1007</v>
      </c>
      <c r="F45" s="17" t="s">
        <v>96</v>
      </c>
      <c r="G45" s="18" t="s">
        <v>4469</v>
      </c>
      <c r="H45" s="18" t="s">
        <v>98</v>
      </c>
      <c r="I45" s="17" t="s">
        <v>4541</v>
      </c>
      <c r="J45" s="17">
        <v>1</v>
      </c>
      <c r="K45" s="17">
        <v>0</v>
      </c>
      <c r="L45" s="17" t="s">
        <v>4542</v>
      </c>
      <c r="M45" s="19" t="s">
        <v>101</v>
      </c>
      <c r="N45" s="17" t="s">
        <v>4543</v>
      </c>
      <c r="O45" s="17" t="s">
        <v>4544</v>
      </c>
      <c r="P45" s="17" t="str">
        <f>HYPERLINK("https://dexscreener.com/solana/5AFpf9H8CPpmHe9gmwZYQPtup3MDZ887PUxvY1yapump", "View")</f>
        <v>View</v>
      </c>
    </row>
    <row r="46" spans="1:16" x14ac:dyDescent="0.25">
      <c r="A46" s="13" t="s">
        <v>4545</v>
      </c>
      <c r="B46" s="14">
        <v>119910</v>
      </c>
      <c r="C46" s="14">
        <v>0</v>
      </c>
      <c r="D46" s="14" t="s">
        <v>4389</v>
      </c>
      <c r="E46" s="14" t="s">
        <v>4546</v>
      </c>
      <c r="F46" s="14" t="s">
        <v>96</v>
      </c>
      <c r="G46" s="18" t="s">
        <v>4547</v>
      </c>
      <c r="H46" s="18" t="s">
        <v>98</v>
      </c>
      <c r="I46" s="14" t="s">
        <v>4548</v>
      </c>
      <c r="J46" s="14">
        <v>2</v>
      </c>
      <c r="K46" s="14">
        <v>0</v>
      </c>
      <c r="L46" s="14" t="s">
        <v>4549</v>
      </c>
      <c r="M46" s="14" t="s">
        <v>4550</v>
      </c>
      <c r="N46" s="14" t="s">
        <v>4551</v>
      </c>
      <c r="O46" s="14" t="s">
        <v>4552</v>
      </c>
      <c r="P46" s="14" t="str">
        <f>HYPERLINK("https://dexscreener.com/solana/qiaupfns561LJPudU2YL48S2mx1nbekrn8V4RrpyJG6", "View")</f>
        <v>View</v>
      </c>
    </row>
    <row r="47" spans="1:16" x14ac:dyDescent="0.25">
      <c r="A47" s="16" t="s">
        <v>4553</v>
      </c>
      <c r="B47" s="17">
        <v>34027</v>
      </c>
      <c r="C47" s="17">
        <v>34027</v>
      </c>
      <c r="D47" s="17" t="s">
        <v>4554</v>
      </c>
      <c r="E47" s="17" t="s">
        <v>3404</v>
      </c>
      <c r="F47" s="17" t="s">
        <v>2126</v>
      </c>
      <c r="G47" s="22" t="s">
        <v>4555</v>
      </c>
      <c r="H47" s="22" t="s">
        <v>4556</v>
      </c>
      <c r="I47" s="17" t="s">
        <v>88</v>
      </c>
      <c r="J47" s="17">
        <v>2</v>
      </c>
      <c r="K47" s="17">
        <v>1</v>
      </c>
      <c r="L47" s="17" t="s">
        <v>4557</v>
      </c>
      <c r="M47" s="17" t="s">
        <v>4558</v>
      </c>
      <c r="N47" s="17" t="s">
        <v>4559</v>
      </c>
      <c r="O47" s="17" t="s">
        <v>4560</v>
      </c>
      <c r="P47" s="17" t="str">
        <f>HYPERLINK("https://dexscreener.com/solana/3BeJ9zCgQhaqKMu2HgKJ79yQBChD1Pf3hPwRX44fpump", "View")</f>
        <v>View</v>
      </c>
    </row>
    <row r="48" spans="1:16" x14ac:dyDescent="0.25">
      <c r="A48" s="13" t="s">
        <v>4561</v>
      </c>
      <c r="B48" s="14">
        <v>193633379</v>
      </c>
      <c r="C48" s="14">
        <v>0</v>
      </c>
      <c r="D48" s="14" t="s">
        <v>4389</v>
      </c>
      <c r="E48" s="14" t="s">
        <v>4562</v>
      </c>
      <c r="F48" s="14" t="s">
        <v>96</v>
      </c>
      <c r="G48" s="18" t="s">
        <v>4563</v>
      </c>
      <c r="H48" s="18" t="s">
        <v>98</v>
      </c>
      <c r="I48" s="14" t="s">
        <v>4564</v>
      </c>
      <c r="J48" s="14">
        <v>2</v>
      </c>
      <c r="K48" s="14">
        <v>0</v>
      </c>
      <c r="L48" s="14" t="s">
        <v>4565</v>
      </c>
      <c r="M48" s="14" t="s">
        <v>1434</v>
      </c>
      <c r="N48" s="14" t="s">
        <v>4566</v>
      </c>
      <c r="O48" s="14" t="s">
        <v>4567</v>
      </c>
      <c r="P48" s="14" t="str">
        <f>HYPERLINK("https://dexscreener.com/solana/GinNabffZL4fUj9Vactxha74GDAW8kDPGaHqMtMzps2f", "View")</f>
        <v>View</v>
      </c>
    </row>
    <row r="49" spans="1:16" x14ac:dyDescent="0.25">
      <c r="A49" s="16" t="s">
        <v>4568</v>
      </c>
      <c r="B49" s="17">
        <v>3469013</v>
      </c>
      <c r="C49" s="17">
        <v>0</v>
      </c>
      <c r="D49" s="17" t="s">
        <v>4372</v>
      </c>
      <c r="E49" s="17" t="s">
        <v>3522</v>
      </c>
      <c r="F49" s="17" t="s">
        <v>96</v>
      </c>
      <c r="G49" s="18" t="s">
        <v>3185</v>
      </c>
      <c r="H49" s="18" t="s">
        <v>98</v>
      </c>
      <c r="I49" s="17" t="s">
        <v>4569</v>
      </c>
      <c r="J49" s="17">
        <v>1</v>
      </c>
      <c r="K49" s="17">
        <v>0</v>
      </c>
      <c r="L49" s="17" t="s">
        <v>4570</v>
      </c>
      <c r="M49" s="19" t="s">
        <v>101</v>
      </c>
      <c r="N49" s="17" t="s">
        <v>507</v>
      </c>
      <c r="O49" s="17" t="s">
        <v>4571</v>
      </c>
      <c r="P49" s="17" t="str">
        <f>HYPERLINK("https://photon-sol.tinyastro.io/en/lp/5yx4xz3DWLeFjekf1DPEFV3KAz1ozM7pCaLQviiZpump?handle=676050794bc1b1657a56b", "View")</f>
        <v>View</v>
      </c>
    </row>
    <row r="50" spans="1:16" x14ac:dyDescent="0.25">
      <c r="A50" s="13" t="s">
        <v>4572</v>
      </c>
      <c r="B50" s="14">
        <v>295764</v>
      </c>
      <c r="C50" s="14">
        <v>295764</v>
      </c>
      <c r="D50" s="14" t="s">
        <v>4401</v>
      </c>
      <c r="E50" s="14" t="s">
        <v>165</v>
      </c>
      <c r="F50" s="14" t="s">
        <v>4573</v>
      </c>
      <c r="G50" s="21" t="s">
        <v>4574</v>
      </c>
      <c r="H50" s="21" t="s">
        <v>4575</v>
      </c>
      <c r="I50" s="14" t="s">
        <v>88</v>
      </c>
      <c r="J50" s="14">
        <v>1</v>
      </c>
      <c r="K50" s="14">
        <v>1</v>
      </c>
      <c r="L50" s="14" t="s">
        <v>4576</v>
      </c>
      <c r="M50" s="14" t="s">
        <v>479</v>
      </c>
      <c r="N50" s="14" t="s">
        <v>4478</v>
      </c>
      <c r="O50" s="14" t="s">
        <v>4577</v>
      </c>
      <c r="P50" s="14" t="str">
        <f>HYPERLINK("https://dexscreener.com/solana/FkBF9u1upwEMUPxnXjcydxxVSxgr8f3k1YXbz7G7bmtA", "View")</f>
        <v>View</v>
      </c>
    </row>
    <row r="51" spans="1:16" x14ac:dyDescent="0.25">
      <c r="A51" s="16" t="s">
        <v>651</v>
      </c>
      <c r="B51" s="17">
        <v>16991</v>
      </c>
      <c r="C51" s="17">
        <v>0</v>
      </c>
      <c r="D51" s="17" t="s">
        <v>4389</v>
      </c>
      <c r="E51" s="17" t="s">
        <v>1007</v>
      </c>
      <c r="F51" s="17" t="s">
        <v>96</v>
      </c>
      <c r="G51" s="18" t="s">
        <v>4578</v>
      </c>
      <c r="H51" s="18" t="s">
        <v>98</v>
      </c>
      <c r="I51" s="17" t="s">
        <v>4579</v>
      </c>
      <c r="J51" s="17">
        <v>2</v>
      </c>
      <c r="K51" s="17">
        <v>0</v>
      </c>
      <c r="L51" s="17" t="s">
        <v>4580</v>
      </c>
      <c r="M51" s="17" t="s">
        <v>4581</v>
      </c>
      <c r="N51" s="17" t="s">
        <v>4582</v>
      </c>
      <c r="O51" s="17" t="s">
        <v>658</v>
      </c>
      <c r="P51" s="17" t="str">
        <f>HYPERLINK("https://dexscreener.com/solana/4ytpZgVoNB66bFs6NRCUaAVsLdtYk2fHq4U92Jnjpump", "View")</f>
        <v>View</v>
      </c>
    </row>
    <row r="52" spans="1:16" x14ac:dyDescent="0.25">
      <c r="A52" s="13" t="s">
        <v>4583</v>
      </c>
      <c r="B52" s="14">
        <v>5696609</v>
      </c>
      <c r="C52" s="14">
        <v>0</v>
      </c>
      <c r="D52" s="14" t="s">
        <v>4372</v>
      </c>
      <c r="E52" s="14" t="s">
        <v>1457</v>
      </c>
      <c r="F52" s="14" t="s">
        <v>96</v>
      </c>
      <c r="G52" s="18" t="s">
        <v>4584</v>
      </c>
      <c r="H52" s="18" t="s">
        <v>98</v>
      </c>
      <c r="I52" s="14" t="s">
        <v>4585</v>
      </c>
      <c r="J52" s="14">
        <v>1</v>
      </c>
      <c r="K52" s="14">
        <v>0</v>
      </c>
      <c r="L52" s="14" t="s">
        <v>4586</v>
      </c>
      <c r="M52" s="19" t="s">
        <v>101</v>
      </c>
      <c r="N52" s="14" t="s">
        <v>4587</v>
      </c>
      <c r="O52" s="14" t="s">
        <v>4588</v>
      </c>
      <c r="P52" s="14" t="str">
        <f>HYPERLINK("https://dexscreener.com/solana/5LafQUrVco6o7KMz42eqVEJ9LW31StPyGjeeu5sKoMtA", "View")</f>
        <v>View</v>
      </c>
    </row>
    <row r="53" spans="1:16" x14ac:dyDescent="0.25">
      <c r="A53" s="16" t="s">
        <v>4589</v>
      </c>
      <c r="B53" s="17">
        <v>94865</v>
      </c>
      <c r="C53" s="17">
        <v>0</v>
      </c>
      <c r="D53" s="17" t="s">
        <v>4372</v>
      </c>
      <c r="E53" s="17" t="s">
        <v>4396</v>
      </c>
      <c r="F53" s="17" t="s">
        <v>96</v>
      </c>
      <c r="G53" s="18" t="s">
        <v>4397</v>
      </c>
      <c r="H53" s="18" t="s">
        <v>98</v>
      </c>
      <c r="I53" s="17" t="s">
        <v>4590</v>
      </c>
      <c r="J53" s="17">
        <v>1</v>
      </c>
      <c r="K53" s="17">
        <v>0</v>
      </c>
      <c r="L53" s="17" t="s">
        <v>4591</v>
      </c>
      <c r="M53" s="19" t="s">
        <v>101</v>
      </c>
      <c r="N53" s="17" t="s">
        <v>323</v>
      </c>
      <c r="O53" s="17" t="s">
        <v>4592</v>
      </c>
      <c r="P53" s="17" t="str">
        <f>HYPERLINK("https://dexscreener.com/solana/FwQnyJnL8e3Yg9TyyCeYP3ZCpCU54BS1XJZMqLb5pump", "View")</f>
        <v>View</v>
      </c>
    </row>
    <row r="54" spans="1:16" x14ac:dyDescent="0.25">
      <c r="A54" s="13" t="s">
        <v>4593</v>
      </c>
      <c r="B54" s="14">
        <v>1099565</v>
      </c>
      <c r="C54" s="14">
        <v>0</v>
      </c>
      <c r="D54" s="14" t="s">
        <v>4389</v>
      </c>
      <c r="E54" s="14" t="s">
        <v>1007</v>
      </c>
      <c r="F54" s="14" t="s">
        <v>96</v>
      </c>
      <c r="G54" s="18" t="s">
        <v>4578</v>
      </c>
      <c r="H54" s="18" t="s">
        <v>98</v>
      </c>
      <c r="I54" s="14" t="s">
        <v>4594</v>
      </c>
      <c r="J54" s="14">
        <v>2</v>
      </c>
      <c r="K54" s="14">
        <v>0</v>
      </c>
      <c r="L54" s="14" t="s">
        <v>4595</v>
      </c>
      <c r="M54" s="14" t="s">
        <v>1434</v>
      </c>
      <c r="N54" s="14" t="s">
        <v>4596</v>
      </c>
      <c r="O54" s="14" t="s">
        <v>4597</v>
      </c>
      <c r="P54" s="14" t="str">
        <f>HYPERLINK("https://dexscreener.com/solana/94zczHm8beQ4ToTSCpngqMxEDvvwpxk5EnAt7cuBpump", "View")</f>
        <v>View</v>
      </c>
    </row>
    <row r="55" spans="1:16" x14ac:dyDescent="0.25">
      <c r="A55" s="16" t="s">
        <v>4598</v>
      </c>
      <c r="B55" s="17">
        <v>208394</v>
      </c>
      <c r="C55" s="17">
        <v>0</v>
      </c>
      <c r="D55" s="17" t="s">
        <v>4372</v>
      </c>
      <c r="E55" s="17" t="s">
        <v>1457</v>
      </c>
      <c r="F55" s="17" t="s">
        <v>96</v>
      </c>
      <c r="G55" s="18" t="s">
        <v>4584</v>
      </c>
      <c r="H55" s="18" t="s">
        <v>98</v>
      </c>
      <c r="I55" s="17" t="s">
        <v>4599</v>
      </c>
      <c r="J55" s="17">
        <v>1</v>
      </c>
      <c r="K55" s="17">
        <v>0</v>
      </c>
      <c r="L55" s="17" t="s">
        <v>4600</v>
      </c>
      <c r="M55" s="19" t="s">
        <v>101</v>
      </c>
      <c r="N55" s="17" t="s">
        <v>4601</v>
      </c>
      <c r="O55" s="17" t="s">
        <v>4602</v>
      </c>
      <c r="P55" s="17" t="str">
        <f>HYPERLINK("https://dexscreener.com/solana/FtHCi9cxJSSizrzMzsPjAfTfJi32V1CGRDM5Skqn4QBF", "View")</f>
        <v>View</v>
      </c>
    </row>
    <row r="56" spans="1:16" x14ac:dyDescent="0.25">
      <c r="A56" s="13" t="s">
        <v>4603</v>
      </c>
      <c r="B56" s="14">
        <v>75099</v>
      </c>
      <c r="C56" s="14">
        <v>0</v>
      </c>
      <c r="D56" s="14" t="s">
        <v>4372</v>
      </c>
      <c r="E56" s="14" t="s">
        <v>1457</v>
      </c>
      <c r="F56" s="14" t="s">
        <v>96</v>
      </c>
      <c r="G56" s="18" t="s">
        <v>4584</v>
      </c>
      <c r="H56" s="18" t="s">
        <v>98</v>
      </c>
      <c r="I56" s="14" t="s">
        <v>4604</v>
      </c>
      <c r="J56" s="14">
        <v>1</v>
      </c>
      <c r="K56" s="14">
        <v>0</v>
      </c>
      <c r="L56" s="14" t="s">
        <v>4605</v>
      </c>
      <c r="M56" s="19" t="s">
        <v>101</v>
      </c>
      <c r="N56" s="14" t="s">
        <v>4606</v>
      </c>
      <c r="O56" s="14" t="s">
        <v>4607</v>
      </c>
      <c r="P56" s="14" t="str">
        <f>HYPERLINK("https://dexscreener.com/solana/DG5bH1BnfjB5YL7Vt3GjykkUKf6maDUW3jYvdNa9eEVa", "View")</f>
        <v>View</v>
      </c>
    </row>
    <row r="57" spans="1:16" x14ac:dyDescent="0.25">
      <c r="A57" s="16" t="s">
        <v>4608</v>
      </c>
      <c r="B57" s="17">
        <v>5793</v>
      </c>
      <c r="C57" s="17">
        <v>5793</v>
      </c>
      <c r="D57" s="17" t="s">
        <v>4379</v>
      </c>
      <c r="E57" s="17" t="s">
        <v>4396</v>
      </c>
      <c r="F57" s="17" t="s">
        <v>4609</v>
      </c>
      <c r="G57" s="20" t="s">
        <v>4610</v>
      </c>
      <c r="H57" s="20" t="s">
        <v>4611</v>
      </c>
      <c r="I57" s="17" t="s">
        <v>88</v>
      </c>
      <c r="J57" s="17">
        <v>1</v>
      </c>
      <c r="K57" s="17">
        <v>2</v>
      </c>
      <c r="L57" s="17" t="s">
        <v>4612</v>
      </c>
      <c r="M57" s="17" t="s">
        <v>414</v>
      </c>
      <c r="N57" s="17" t="s">
        <v>4613</v>
      </c>
      <c r="O57" s="17" t="s">
        <v>4614</v>
      </c>
      <c r="P57" s="17" t="str">
        <f>HYPERLINK("https://dexscreener.com/solana/7iagMTDPfNSR5zVcERT1To7A9eaQoz58dJAh42EMHcCC", "View")</f>
        <v>View</v>
      </c>
    </row>
    <row r="58" spans="1:16" x14ac:dyDescent="0.25">
      <c r="A58" s="13" t="s">
        <v>4615</v>
      </c>
      <c r="B58" s="14">
        <v>6794</v>
      </c>
      <c r="C58" s="14">
        <v>0</v>
      </c>
      <c r="D58" s="14" t="s">
        <v>4372</v>
      </c>
      <c r="E58" s="14" t="s">
        <v>1457</v>
      </c>
      <c r="F58" s="14" t="s">
        <v>96</v>
      </c>
      <c r="G58" s="18" t="s">
        <v>4584</v>
      </c>
      <c r="H58" s="18" t="s">
        <v>98</v>
      </c>
      <c r="I58" s="14" t="s">
        <v>4616</v>
      </c>
      <c r="J58" s="14">
        <v>1</v>
      </c>
      <c r="K58" s="14">
        <v>0</v>
      </c>
      <c r="L58" s="14" t="s">
        <v>4617</v>
      </c>
      <c r="M58" s="19" t="s">
        <v>101</v>
      </c>
      <c r="N58" s="14" t="s">
        <v>4618</v>
      </c>
      <c r="O58" s="14" t="s">
        <v>4619</v>
      </c>
      <c r="P58" s="14" t="str">
        <f>HYPERLINK("https://dexscreener.com/solana/3B5wuUrMEi5yATD7on46hKfej3pfmd7t1RKgrsN3pump", "View")</f>
        <v>View</v>
      </c>
    </row>
    <row r="59" spans="1:16" x14ac:dyDescent="0.25">
      <c r="A59" s="16" t="s">
        <v>4620</v>
      </c>
      <c r="B59" s="17">
        <v>69293</v>
      </c>
      <c r="C59" s="17">
        <v>0</v>
      </c>
      <c r="D59" s="17" t="s">
        <v>4372</v>
      </c>
      <c r="E59" s="17" t="s">
        <v>4396</v>
      </c>
      <c r="F59" s="17" t="s">
        <v>96</v>
      </c>
      <c r="G59" s="18" t="s">
        <v>4397</v>
      </c>
      <c r="H59" s="18" t="s">
        <v>98</v>
      </c>
      <c r="I59" s="17" t="s">
        <v>4621</v>
      </c>
      <c r="J59" s="17">
        <v>1</v>
      </c>
      <c r="K59" s="17">
        <v>0</v>
      </c>
      <c r="L59" s="17" t="s">
        <v>4622</v>
      </c>
      <c r="M59" s="19" t="s">
        <v>101</v>
      </c>
      <c r="N59" s="17" t="s">
        <v>4623</v>
      </c>
      <c r="O59" s="17" t="s">
        <v>4624</v>
      </c>
      <c r="P59" s="17" t="str">
        <f>HYPERLINK("https://dexscreener.com/solana/52uooUN2zbK2yifYR6FjUcHpDrok33SFj1T5Peumpump", "View")</f>
        <v>View</v>
      </c>
    </row>
    <row r="60" spans="1:16" x14ac:dyDescent="0.25">
      <c r="A60" s="13" t="s">
        <v>4625</v>
      </c>
      <c r="B60" s="14">
        <v>5408</v>
      </c>
      <c r="C60" s="14">
        <v>0</v>
      </c>
      <c r="D60" s="14" t="s">
        <v>4389</v>
      </c>
      <c r="E60" s="14" t="s">
        <v>1549</v>
      </c>
      <c r="F60" s="14" t="s">
        <v>96</v>
      </c>
      <c r="G60" s="18" t="s">
        <v>4626</v>
      </c>
      <c r="H60" s="18" t="s">
        <v>98</v>
      </c>
      <c r="I60" s="14" t="s">
        <v>4627</v>
      </c>
      <c r="J60" s="14">
        <v>2</v>
      </c>
      <c r="K60" s="14">
        <v>0</v>
      </c>
      <c r="L60" s="14" t="s">
        <v>4628</v>
      </c>
      <c r="M60" s="14" t="s">
        <v>414</v>
      </c>
      <c r="N60" s="14" t="s">
        <v>4629</v>
      </c>
      <c r="O60" s="14" t="s">
        <v>4630</v>
      </c>
      <c r="P60" s="14" t="str">
        <f>HYPERLINK("https://dexscreener.com/solana/BreuhVohXX5fv6q41uyb3sojtAuGoGaiAhKBMtcrpump", "View")</f>
        <v>View</v>
      </c>
    </row>
    <row r="61" spans="1:16" x14ac:dyDescent="0.25">
      <c r="A61" s="16" t="s">
        <v>4631</v>
      </c>
      <c r="B61" s="17">
        <v>2559807</v>
      </c>
      <c r="C61" s="17">
        <v>0</v>
      </c>
      <c r="D61" s="17" t="s">
        <v>4372</v>
      </c>
      <c r="E61" s="17" t="s">
        <v>4396</v>
      </c>
      <c r="F61" s="17" t="s">
        <v>96</v>
      </c>
      <c r="G61" s="18" t="s">
        <v>4397</v>
      </c>
      <c r="H61" s="18" t="s">
        <v>98</v>
      </c>
      <c r="I61" s="17" t="s">
        <v>4632</v>
      </c>
      <c r="J61" s="17">
        <v>1</v>
      </c>
      <c r="K61" s="17">
        <v>0</v>
      </c>
      <c r="L61" s="17" t="s">
        <v>4633</v>
      </c>
      <c r="M61" s="19" t="s">
        <v>101</v>
      </c>
      <c r="N61" s="17" t="s">
        <v>4634</v>
      </c>
      <c r="O61" s="17" t="s">
        <v>4635</v>
      </c>
      <c r="P61" s="17" t="str">
        <f>HYPERLINK("https://dexscreener.com/solana/GHVn5vaWaDcyGPJ2Zt5vkD3fSvyr7TVufNZjyWtppump", "View")</f>
        <v>View</v>
      </c>
    </row>
    <row r="62" spans="1:16" x14ac:dyDescent="0.25">
      <c r="A62" s="13" t="s">
        <v>4636</v>
      </c>
      <c r="B62" s="14">
        <v>264728</v>
      </c>
      <c r="C62" s="14">
        <v>264728</v>
      </c>
      <c r="D62" s="14" t="s">
        <v>4401</v>
      </c>
      <c r="E62" s="14" t="s">
        <v>2200</v>
      </c>
      <c r="F62" s="14" t="s">
        <v>4637</v>
      </c>
      <c r="G62" s="15" t="s">
        <v>4638</v>
      </c>
      <c r="H62" s="15" t="s">
        <v>4639</v>
      </c>
      <c r="I62" s="14" t="s">
        <v>88</v>
      </c>
      <c r="J62" s="14">
        <v>1</v>
      </c>
      <c r="K62" s="14">
        <v>1</v>
      </c>
      <c r="L62" s="14" t="s">
        <v>4640</v>
      </c>
      <c r="M62" s="14" t="s">
        <v>680</v>
      </c>
      <c r="N62" s="14" t="s">
        <v>4641</v>
      </c>
      <c r="O62" s="14" t="s">
        <v>4642</v>
      </c>
      <c r="P62" s="14" t="str">
        <f>HYPERLINK("https://dexscreener.com/solana/ELcWUSrcWUhbQuoYaBB3Xnf9mC5uW9Qc76L434Dwpump", "View")</f>
        <v>View</v>
      </c>
    </row>
    <row r="63" spans="1:16" x14ac:dyDescent="0.25">
      <c r="A63" s="16" t="s">
        <v>4643</v>
      </c>
      <c r="B63" s="17">
        <v>182806</v>
      </c>
      <c r="C63" s="17">
        <v>0</v>
      </c>
      <c r="D63" s="17" t="s">
        <v>4372</v>
      </c>
      <c r="E63" s="17" t="s">
        <v>4396</v>
      </c>
      <c r="F63" s="17" t="s">
        <v>96</v>
      </c>
      <c r="G63" s="18" t="s">
        <v>4397</v>
      </c>
      <c r="H63" s="18" t="s">
        <v>98</v>
      </c>
      <c r="I63" s="17" t="s">
        <v>4644</v>
      </c>
      <c r="J63" s="17">
        <v>1</v>
      </c>
      <c r="K63" s="17">
        <v>0</v>
      </c>
      <c r="L63" s="17" t="s">
        <v>4645</v>
      </c>
      <c r="M63" s="19" t="s">
        <v>101</v>
      </c>
      <c r="N63" s="17" t="s">
        <v>4646</v>
      </c>
      <c r="O63" s="17" t="s">
        <v>4647</v>
      </c>
      <c r="P63" s="17" t="str">
        <f>HYPERLINK("https://dexscreener.com/solana/3SRwSLWW6cQfBTKVHDbGfygsPdGYRLdkSfYW3mAVpump", "View")</f>
        <v>View</v>
      </c>
    </row>
    <row r="64" spans="1:16" x14ac:dyDescent="0.25">
      <c r="A64" s="13" t="s">
        <v>4648</v>
      </c>
      <c r="B64" s="14">
        <v>466748</v>
      </c>
      <c r="C64" s="14">
        <v>466748</v>
      </c>
      <c r="D64" s="14" t="s">
        <v>4401</v>
      </c>
      <c r="E64" s="14" t="s">
        <v>2200</v>
      </c>
      <c r="F64" s="14" t="s">
        <v>3727</v>
      </c>
      <c r="G64" s="20" t="s">
        <v>4649</v>
      </c>
      <c r="H64" s="20" t="s">
        <v>4650</v>
      </c>
      <c r="I64" s="14" t="s">
        <v>88</v>
      </c>
      <c r="J64" s="14">
        <v>1</v>
      </c>
      <c r="K64" s="14">
        <v>1</v>
      </c>
      <c r="L64" s="14" t="s">
        <v>4651</v>
      </c>
      <c r="M64" s="14" t="s">
        <v>132</v>
      </c>
      <c r="N64" s="14" t="s">
        <v>4652</v>
      </c>
      <c r="O64" s="14" t="s">
        <v>4653</v>
      </c>
      <c r="P64" s="14" t="str">
        <f>HYPERLINK("https://dexscreener.com/solana/2SbUMHVzAAwyK7wh4ZC335Y3AHXuNybDjruvktWGpump", "View")</f>
        <v>View</v>
      </c>
    </row>
    <row r="65" spans="1:16" x14ac:dyDescent="0.25">
      <c r="A65" s="16" t="s">
        <v>4654</v>
      </c>
      <c r="B65" s="17">
        <v>139457</v>
      </c>
      <c r="C65" s="17">
        <v>0</v>
      </c>
      <c r="D65" s="17" t="s">
        <v>4372</v>
      </c>
      <c r="E65" s="17" t="s">
        <v>4396</v>
      </c>
      <c r="F65" s="17" t="s">
        <v>96</v>
      </c>
      <c r="G65" s="18" t="s">
        <v>4397</v>
      </c>
      <c r="H65" s="18" t="s">
        <v>98</v>
      </c>
      <c r="I65" s="17" t="s">
        <v>4655</v>
      </c>
      <c r="J65" s="17">
        <v>1</v>
      </c>
      <c r="K65" s="17">
        <v>0</v>
      </c>
      <c r="L65" s="17" t="s">
        <v>4656</v>
      </c>
      <c r="M65" s="19" t="s">
        <v>101</v>
      </c>
      <c r="N65" s="17" t="s">
        <v>4657</v>
      </c>
      <c r="O65" s="17" t="s">
        <v>4658</v>
      </c>
      <c r="P65" s="17" t="str">
        <f>HYPERLINK("https://dexscreener.com/solana/EzmRtUdU7ArXkUUWoogRBSbNikxBKNRuCWFMqe5epump", "View")</f>
        <v>View</v>
      </c>
    </row>
    <row r="66" spans="1:16" x14ac:dyDescent="0.25">
      <c r="A66" s="13" t="s">
        <v>4659</v>
      </c>
      <c r="B66" s="14">
        <v>726800</v>
      </c>
      <c r="C66" s="14">
        <v>726800</v>
      </c>
      <c r="D66" s="14" t="s">
        <v>4379</v>
      </c>
      <c r="E66" s="14" t="s">
        <v>4396</v>
      </c>
      <c r="F66" s="14" t="s">
        <v>4660</v>
      </c>
      <c r="G66" s="20" t="s">
        <v>2172</v>
      </c>
      <c r="H66" s="20" t="s">
        <v>4661</v>
      </c>
      <c r="I66" s="14" t="s">
        <v>88</v>
      </c>
      <c r="J66" s="14">
        <v>1</v>
      </c>
      <c r="K66" s="14">
        <v>2</v>
      </c>
      <c r="L66" s="14" t="s">
        <v>4662</v>
      </c>
      <c r="M66" s="14" t="s">
        <v>364</v>
      </c>
      <c r="N66" s="14" t="s">
        <v>507</v>
      </c>
      <c r="O66" s="14" t="s">
        <v>4663</v>
      </c>
      <c r="P66" s="14" t="str">
        <f>HYPERLINK("https://dexscreener.com/solana/2cefa1dSDqrEBaRDMgUfYq8nTkTbpKoKzX2nBoBUqCqg", "View")</f>
        <v>View</v>
      </c>
    </row>
    <row r="67" spans="1:16" x14ac:dyDescent="0.25">
      <c r="A67" s="16" t="s">
        <v>4664</v>
      </c>
      <c r="B67" s="17">
        <v>31805</v>
      </c>
      <c r="C67" s="17">
        <v>31805</v>
      </c>
      <c r="D67" s="17" t="s">
        <v>4401</v>
      </c>
      <c r="E67" s="17" t="s">
        <v>4665</v>
      </c>
      <c r="F67" s="17" t="s">
        <v>4666</v>
      </c>
      <c r="G67" s="22" t="s">
        <v>4667</v>
      </c>
      <c r="H67" s="22" t="s">
        <v>4668</v>
      </c>
      <c r="I67" s="17" t="s">
        <v>88</v>
      </c>
      <c r="J67" s="17">
        <v>1</v>
      </c>
      <c r="K67" s="17">
        <v>1</v>
      </c>
      <c r="L67" s="17" t="s">
        <v>4669</v>
      </c>
      <c r="M67" s="17" t="s">
        <v>179</v>
      </c>
      <c r="N67" s="17" t="s">
        <v>4670</v>
      </c>
      <c r="O67" s="17" t="s">
        <v>4671</v>
      </c>
      <c r="P67" s="17" t="str">
        <f>HYPERLINK("https://dexscreener.com/solana/C9FTn7hQddPTmZQxvygBk2LVGwWriBvRGU4x2UEkpump", "View")</f>
        <v>View</v>
      </c>
    </row>
    <row r="68" spans="1:16" x14ac:dyDescent="0.25">
      <c r="A68" s="13" t="s">
        <v>4672</v>
      </c>
      <c r="B68" s="14">
        <v>323943</v>
      </c>
      <c r="C68" s="14">
        <v>323943</v>
      </c>
      <c r="D68" s="14" t="s">
        <v>4401</v>
      </c>
      <c r="E68" s="14" t="s">
        <v>4665</v>
      </c>
      <c r="F68" s="14" t="s">
        <v>4673</v>
      </c>
      <c r="G68" s="20" t="s">
        <v>1616</v>
      </c>
      <c r="H68" s="20" t="s">
        <v>4674</v>
      </c>
      <c r="I68" s="14" t="s">
        <v>88</v>
      </c>
      <c r="J68" s="14">
        <v>1</v>
      </c>
      <c r="K68" s="14">
        <v>1</v>
      </c>
      <c r="L68" s="14" t="s">
        <v>4675</v>
      </c>
      <c r="M68" s="14" t="s">
        <v>160</v>
      </c>
      <c r="N68" s="14" t="s">
        <v>4676</v>
      </c>
      <c r="O68" s="14" t="s">
        <v>4677</v>
      </c>
      <c r="P68" s="14" t="str">
        <f>HYPERLINK("https://dexscreener.com/solana/9H9sNRfiuCwV4XWM8j22pVKg6ZvLciqUpJZN99Wme1TZ", "View")</f>
        <v>View</v>
      </c>
    </row>
    <row r="69" spans="1:16" x14ac:dyDescent="0.25">
      <c r="A69" s="16" t="s">
        <v>4678</v>
      </c>
      <c r="B69" s="17">
        <v>166836</v>
      </c>
      <c r="C69" s="17">
        <v>166836</v>
      </c>
      <c r="D69" s="17" t="s">
        <v>4401</v>
      </c>
      <c r="E69" s="17" t="s">
        <v>4679</v>
      </c>
      <c r="F69" s="17" t="s">
        <v>4680</v>
      </c>
      <c r="G69" s="20" t="s">
        <v>4681</v>
      </c>
      <c r="H69" s="20" t="s">
        <v>4682</v>
      </c>
      <c r="I69" s="17" t="s">
        <v>88</v>
      </c>
      <c r="J69" s="17">
        <v>1</v>
      </c>
      <c r="K69" s="17">
        <v>1</v>
      </c>
      <c r="L69" s="17" t="s">
        <v>4683</v>
      </c>
      <c r="M69" s="17" t="s">
        <v>179</v>
      </c>
      <c r="N69" s="17" t="s">
        <v>4684</v>
      </c>
      <c r="O69" s="17" t="s">
        <v>4685</v>
      </c>
      <c r="P69" s="17" t="str">
        <f>HYPERLINK("https://dexscreener.com/solana/5LDoAGxTwTPhkdLPBdGkounXhPbHPwN2pNMfsh3Vpump", "View")</f>
        <v>View</v>
      </c>
    </row>
    <row r="70" spans="1:16" x14ac:dyDescent="0.25">
      <c r="A70" s="13" t="s">
        <v>4686</v>
      </c>
      <c r="B70" s="14">
        <v>699359</v>
      </c>
      <c r="C70" s="14">
        <v>699359</v>
      </c>
      <c r="D70" s="14" t="s">
        <v>4401</v>
      </c>
      <c r="E70" s="14" t="s">
        <v>2200</v>
      </c>
      <c r="F70" s="14" t="s">
        <v>4687</v>
      </c>
      <c r="G70" s="15" t="s">
        <v>4688</v>
      </c>
      <c r="H70" s="15" t="s">
        <v>4689</v>
      </c>
      <c r="I70" s="14" t="s">
        <v>88</v>
      </c>
      <c r="J70" s="14">
        <v>1</v>
      </c>
      <c r="K70" s="14">
        <v>1</v>
      </c>
      <c r="L70" s="14" t="s">
        <v>4690</v>
      </c>
      <c r="M70" s="14" t="s">
        <v>150</v>
      </c>
      <c r="N70" s="14" t="s">
        <v>4691</v>
      </c>
      <c r="O70" s="14" t="s">
        <v>4692</v>
      </c>
      <c r="P70" s="14" t="str">
        <f>HYPERLINK("https://dexscreener.com/solana/DECKqBSicvNz775HwCEjugsKJ6rpus53oAaAefm7gNon", "View")</f>
        <v>View</v>
      </c>
    </row>
    <row r="71" spans="1:16" x14ac:dyDescent="0.25">
      <c r="A71" s="16" t="s">
        <v>4693</v>
      </c>
      <c r="B71" s="17">
        <v>48018</v>
      </c>
      <c r="C71" s="17">
        <v>48018</v>
      </c>
      <c r="D71" s="17" t="s">
        <v>4379</v>
      </c>
      <c r="E71" s="17" t="s">
        <v>4396</v>
      </c>
      <c r="F71" s="17" t="s">
        <v>4694</v>
      </c>
      <c r="G71" s="20" t="s">
        <v>4695</v>
      </c>
      <c r="H71" s="20" t="s">
        <v>4696</v>
      </c>
      <c r="I71" s="17" t="s">
        <v>88</v>
      </c>
      <c r="J71" s="17">
        <v>1</v>
      </c>
      <c r="K71" s="17">
        <v>2</v>
      </c>
      <c r="L71" s="17" t="s">
        <v>4697</v>
      </c>
      <c r="M71" s="17" t="s">
        <v>132</v>
      </c>
      <c r="N71" s="17" t="s">
        <v>4698</v>
      </c>
      <c r="O71" s="17" t="s">
        <v>4699</v>
      </c>
      <c r="P71" s="17" t="str">
        <f>HYPERLINK("https://dexscreener.com/solana/2DWYC19ULy5NRBv69NFNtukz1fztrEASzRye9qECpump", "View")</f>
        <v>View</v>
      </c>
    </row>
    <row r="72" spans="1:16" x14ac:dyDescent="0.25">
      <c r="A72" s="13" t="s">
        <v>3071</v>
      </c>
      <c r="B72" s="14">
        <v>133133</v>
      </c>
      <c r="C72" s="14">
        <v>133133</v>
      </c>
      <c r="D72" s="14" t="s">
        <v>4379</v>
      </c>
      <c r="E72" s="14" t="s">
        <v>4396</v>
      </c>
      <c r="F72" s="14" t="s">
        <v>4700</v>
      </c>
      <c r="G72" s="20" t="s">
        <v>2514</v>
      </c>
      <c r="H72" s="20" t="s">
        <v>4701</v>
      </c>
      <c r="I72" s="14" t="s">
        <v>88</v>
      </c>
      <c r="J72" s="14">
        <v>1</v>
      </c>
      <c r="K72" s="14">
        <v>2</v>
      </c>
      <c r="L72" s="14" t="s">
        <v>4702</v>
      </c>
      <c r="M72" s="14" t="s">
        <v>160</v>
      </c>
      <c r="N72" s="14" t="s">
        <v>4703</v>
      </c>
      <c r="O72" s="14" t="s">
        <v>4704</v>
      </c>
      <c r="P72" s="14" t="str">
        <f>HYPERLINK("https://dexscreener.com/solana/81X9vLkoWRpKqdTpG8zGim7V3nP6x5dKovH2njWmpump", "View")</f>
        <v>View</v>
      </c>
    </row>
    <row r="73" spans="1:16" x14ac:dyDescent="0.25">
      <c r="A73" s="16" t="s">
        <v>4705</v>
      </c>
      <c r="B73" s="17">
        <v>448228</v>
      </c>
      <c r="C73" s="17">
        <v>224114</v>
      </c>
      <c r="D73" s="17" t="s">
        <v>4401</v>
      </c>
      <c r="E73" s="17" t="s">
        <v>4665</v>
      </c>
      <c r="F73" s="17" t="s">
        <v>4706</v>
      </c>
      <c r="G73" s="15" t="s">
        <v>4707</v>
      </c>
      <c r="H73" s="15" t="s">
        <v>4708</v>
      </c>
      <c r="I73" s="17" t="s">
        <v>88</v>
      </c>
      <c r="J73" s="17">
        <v>1</v>
      </c>
      <c r="K73" s="17">
        <v>1</v>
      </c>
      <c r="L73" s="17" t="s">
        <v>4709</v>
      </c>
      <c r="M73" s="17" t="s">
        <v>90</v>
      </c>
      <c r="N73" s="17" t="s">
        <v>4710</v>
      </c>
      <c r="O73" s="17" t="s">
        <v>4711</v>
      </c>
      <c r="P73" s="17" t="str">
        <f>HYPERLINK("https://dexscreener.com/solana/6vXV77oBW2Jsxw2ZxXQmGmtfT6iHotcympJUyqhpump", "View")</f>
        <v>View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4FF7-A333-4ACA-A828-6693B9B6C1E0}">
  <dimension ref="A1:P44"/>
  <sheetViews>
    <sheetView workbookViewId="0"/>
  </sheetViews>
  <sheetFormatPr defaultRowHeight="15" x14ac:dyDescent="0.25"/>
  <cols>
    <col min="1" max="1" width="46" style="2" customWidth="1"/>
    <col min="2" max="3" width="17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HYPERLINK("https://gmgn.ai/sol/address/AP3oxFV3eTS4Vvo2FoS9ZCfTni1BuXTm2jkx6kp2F1hd", "GMGN")</f>
        <v>GMGN</v>
      </c>
    </row>
    <row r="2" spans="1:14" x14ac:dyDescent="0.25">
      <c r="A2" s="3" t="s">
        <v>27974</v>
      </c>
      <c r="B2" s="3" t="s">
        <v>27975</v>
      </c>
      <c r="C2" s="3" t="s">
        <v>27699</v>
      </c>
      <c r="D2" s="3" t="s">
        <v>27976</v>
      </c>
      <c r="E2" s="3" t="s">
        <v>27977</v>
      </c>
      <c r="F2" s="3" t="s">
        <v>18</v>
      </c>
      <c r="G2" s="3" t="s">
        <v>27978</v>
      </c>
      <c r="H2" s="3">
        <v>25</v>
      </c>
      <c r="I2" s="3">
        <v>1</v>
      </c>
      <c r="J2" s="3" t="s">
        <v>27979</v>
      </c>
      <c r="K2" s="3" t="s">
        <v>132</v>
      </c>
      <c r="L2" s="3">
        <v>0</v>
      </c>
      <c r="M2" s="3">
        <v>30</v>
      </c>
      <c r="N2" s="3" t="str">
        <f>HYPERLINK("https://solscan.io/account/AP3oxFV3eTS4Vvo2FoS9ZCfTni1BuXTm2jkx6kp2F1hd", "Solscan")</f>
        <v>Solscan</v>
      </c>
    </row>
    <row r="3" spans="1:14" x14ac:dyDescent="0.25">
      <c r="A3" s="1" t="s">
        <v>21</v>
      </c>
      <c r="B3" s="4" t="s">
        <v>5700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HYPERLINK("https://birdeye.so/profile/AP3oxFV3eTS4Vvo2FoS9ZCfTni1BuXTm2jkx6kp2F1hd", "Birdeye")</f>
        <v>Birdeye</v>
      </c>
    </row>
    <row r="4" spans="1:14" x14ac:dyDescent="0.25">
      <c r="A4" s="1" t="s">
        <v>25</v>
      </c>
      <c r="B4" s="3" t="s">
        <v>7496</v>
      </c>
      <c r="C4" s="3"/>
      <c r="D4" s="3" t="s">
        <v>12315</v>
      </c>
      <c r="E4" s="3" t="s">
        <v>27980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27981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24337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0</v>
      </c>
      <c r="D10" s="1">
        <v>0</v>
      </c>
      <c r="E10" s="1">
        <v>2</v>
      </c>
      <c r="F10" s="1">
        <v>6</v>
      </c>
      <c r="G10" s="1">
        <v>14</v>
      </c>
      <c r="H10" s="3"/>
      <c r="I10" s="3" t="s">
        <v>42</v>
      </c>
      <c r="J10" s="3" t="s">
        <v>1570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8597</v>
      </c>
      <c r="C11" s="1" t="s">
        <v>1779</v>
      </c>
      <c r="D11" s="1" t="s">
        <v>1779</v>
      </c>
      <c r="E11" s="1" t="s">
        <v>11192</v>
      </c>
      <c r="F11" s="1" t="s">
        <v>7502</v>
      </c>
      <c r="G11" s="1" t="s">
        <v>27982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20146</v>
      </c>
      <c r="C12" s="1" t="s">
        <v>1786</v>
      </c>
      <c r="D12" s="1" t="s">
        <v>1786</v>
      </c>
      <c r="E12" s="1" t="s">
        <v>26986</v>
      </c>
      <c r="F12" s="1" t="s">
        <v>27983</v>
      </c>
      <c r="G12" s="1" t="s">
        <v>27984</v>
      </c>
      <c r="H12" s="3"/>
      <c r="I12" s="3" t="s">
        <v>59</v>
      </c>
      <c r="J12" s="3" t="s">
        <v>8461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1583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19667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27985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135</v>
      </c>
      <c r="B20" s="14">
        <v>237365</v>
      </c>
      <c r="C20" s="14">
        <v>0</v>
      </c>
      <c r="D20" s="14" t="s">
        <v>17978</v>
      </c>
      <c r="E20" s="14" t="s">
        <v>27986</v>
      </c>
      <c r="F20" s="14" t="s">
        <v>96</v>
      </c>
      <c r="G20" s="18" t="s">
        <v>27987</v>
      </c>
      <c r="H20" s="18" t="s">
        <v>98</v>
      </c>
      <c r="I20" s="14" t="s">
        <v>27988</v>
      </c>
      <c r="J20" s="14">
        <v>1</v>
      </c>
      <c r="K20" s="14">
        <v>0</v>
      </c>
      <c r="L20" s="14" t="s">
        <v>27989</v>
      </c>
      <c r="M20" s="19" t="s">
        <v>101</v>
      </c>
      <c r="N20" s="14" t="s">
        <v>27990</v>
      </c>
      <c r="O20" s="14" t="s">
        <v>143</v>
      </c>
      <c r="P20" s="14" t="str">
        <f>HYPERLINK("https://dexscreener.com/solana/DDxS3mzbFiwPgmpK7j573MDvD7EQj5stPHZ8K8Wppump", "View")</f>
        <v>View</v>
      </c>
    </row>
    <row r="21" spans="1:16" x14ac:dyDescent="0.25">
      <c r="A21" s="16" t="s">
        <v>20177</v>
      </c>
      <c r="B21" s="17">
        <v>298594</v>
      </c>
      <c r="C21" s="17">
        <v>0</v>
      </c>
      <c r="D21" s="17" t="s">
        <v>9192</v>
      </c>
      <c r="E21" s="17" t="s">
        <v>24353</v>
      </c>
      <c r="F21" s="17" t="s">
        <v>96</v>
      </c>
      <c r="G21" s="18" t="s">
        <v>27991</v>
      </c>
      <c r="H21" s="18" t="s">
        <v>98</v>
      </c>
      <c r="I21" s="17" t="s">
        <v>27992</v>
      </c>
      <c r="J21" s="17">
        <v>3</v>
      </c>
      <c r="K21" s="17">
        <v>0</v>
      </c>
      <c r="L21" s="17" t="s">
        <v>27993</v>
      </c>
      <c r="M21" s="17" t="s">
        <v>1478</v>
      </c>
      <c r="N21" s="17" t="s">
        <v>27994</v>
      </c>
      <c r="O21" s="17" t="s">
        <v>20185</v>
      </c>
      <c r="P21" s="17" t="str">
        <f>HYPERLINK("https://dexscreener.com/solana/8SuMAjoZeLGaaekNHP235Dv4soXsrcseFXefT3A9pump", "View")</f>
        <v>View</v>
      </c>
    </row>
    <row r="22" spans="1:16" x14ac:dyDescent="0.25">
      <c r="A22" s="13" t="s">
        <v>17305</v>
      </c>
      <c r="B22" s="14">
        <v>468308</v>
      </c>
      <c r="C22" s="14">
        <v>0</v>
      </c>
      <c r="D22" s="14" t="s">
        <v>4324</v>
      </c>
      <c r="E22" s="14" t="s">
        <v>4665</v>
      </c>
      <c r="F22" s="14" t="s">
        <v>96</v>
      </c>
      <c r="G22" s="18" t="s">
        <v>4929</v>
      </c>
      <c r="H22" s="18" t="s">
        <v>98</v>
      </c>
      <c r="I22" s="14" t="s">
        <v>27995</v>
      </c>
      <c r="J22" s="14">
        <v>1</v>
      </c>
      <c r="K22" s="14">
        <v>0</v>
      </c>
      <c r="L22" s="14" t="s">
        <v>27996</v>
      </c>
      <c r="M22" s="19" t="s">
        <v>101</v>
      </c>
      <c r="N22" s="14" t="s">
        <v>10182</v>
      </c>
      <c r="O22" s="14" t="s">
        <v>27997</v>
      </c>
      <c r="P22" s="14" t="str">
        <f>HYPERLINK("https://dexscreener.com/solana/F2Vs9VuvAjRnJADwb6gcnHyRynweGSegxYYssGAapuMP", "View")</f>
        <v>View</v>
      </c>
    </row>
    <row r="23" spans="1:16" x14ac:dyDescent="0.25">
      <c r="A23" s="16" t="s">
        <v>27998</v>
      </c>
      <c r="B23" s="17">
        <v>2126830</v>
      </c>
      <c r="C23" s="17">
        <v>0</v>
      </c>
      <c r="D23" s="17" t="s">
        <v>8478</v>
      </c>
      <c r="E23" s="17" t="s">
        <v>16828</v>
      </c>
      <c r="F23" s="17" t="s">
        <v>96</v>
      </c>
      <c r="G23" s="18" t="s">
        <v>27999</v>
      </c>
      <c r="H23" s="18" t="s">
        <v>98</v>
      </c>
      <c r="I23" s="17" t="s">
        <v>28000</v>
      </c>
      <c r="J23" s="17">
        <v>2</v>
      </c>
      <c r="K23" s="17">
        <v>0</v>
      </c>
      <c r="L23" s="17" t="s">
        <v>28001</v>
      </c>
      <c r="M23" s="17" t="s">
        <v>4985</v>
      </c>
      <c r="N23" s="17" t="s">
        <v>28002</v>
      </c>
      <c r="O23" s="17" t="s">
        <v>28003</v>
      </c>
      <c r="P23" s="17" t="str">
        <f>HYPERLINK("https://dexscreener.com/solana/2STuxBNmKUtBkAzLwuN8hVKWYMGf6h3vVHSJJe74pump", "View")</f>
        <v>View</v>
      </c>
    </row>
    <row r="24" spans="1:16" x14ac:dyDescent="0.25">
      <c r="A24" s="13" t="s">
        <v>297</v>
      </c>
      <c r="B24" s="14">
        <v>196466</v>
      </c>
      <c r="C24" s="14">
        <v>176820</v>
      </c>
      <c r="D24" s="14" t="s">
        <v>15934</v>
      </c>
      <c r="E24" s="14" t="s">
        <v>11553</v>
      </c>
      <c r="F24" s="14" t="s">
        <v>8814</v>
      </c>
      <c r="G24" s="21" t="s">
        <v>14539</v>
      </c>
      <c r="H24" s="21" t="s">
        <v>28004</v>
      </c>
      <c r="I24" s="14" t="s">
        <v>88</v>
      </c>
      <c r="J24" s="14">
        <v>1</v>
      </c>
      <c r="K24" s="14">
        <v>2</v>
      </c>
      <c r="L24" s="14" t="s">
        <v>28005</v>
      </c>
      <c r="M24" s="14" t="s">
        <v>4385</v>
      </c>
      <c r="N24" s="14" t="s">
        <v>28006</v>
      </c>
      <c r="O24" s="14" t="s">
        <v>306</v>
      </c>
      <c r="P24" s="14" t="str">
        <f>HYPERLINK("https://dexscreener.com/solana/yG6bXPEFaUnGAEHHqH9H7t1VSfaK7YrggCqHy35pump", "View")</f>
        <v>View</v>
      </c>
    </row>
    <row r="25" spans="1:16" x14ac:dyDescent="0.25">
      <c r="A25" s="16" t="s">
        <v>16871</v>
      </c>
      <c r="B25" s="17">
        <v>1882956</v>
      </c>
      <c r="C25" s="17">
        <v>941478</v>
      </c>
      <c r="D25" s="17" t="s">
        <v>12809</v>
      </c>
      <c r="E25" s="17" t="s">
        <v>28007</v>
      </c>
      <c r="F25" s="17" t="s">
        <v>2044</v>
      </c>
      <c r="G25" s="15" t="s">
        <v>22117</v>
      </c>
      <c r="H25" s="15" t="s">
        <v>5700</v>
      </c>
      <c r="I25" s="17" t="s">
        <v>88</v>
      </c>
      <c r="J25" s="17">
        <v>2</v>
      </c>
      <c r="K25" s="17">
        <v>1</v>
      </c>
      <c r="L25" s="17" t="s">
        <v>28008</v>
      </c>
      <c r="M25" s="17" t="s">
        <v>414</v>
      </c>
      <c r="N25" s="17" t="s">
        <v>28009</v>
      </c>
      <c r="O25" s="17" t="s">
        <v>16879</v>
      </c>
      <c r="P25" s="17" t="str">
        <f>HYPERLINK("https://dexscreener.com/solana/HzhhfexEbj3dnVr55mBhiq4Zzh7kSQdDWdjxrMX3pump", "View")</f>
        <v>View</v>
      </c>
    </row>
    <row r="26" spans="1:16" x14ac:dyDescent="0.25">
      <c r="A26" s="13" t="s">
        <v>23925</v>
      </c>
      <c r="B26" s="14">
        <v>10465352</v>
      </c>
      <c r="C26" s="14">
        <v>12255749</v>
      </c>
      <c r="D26" s="14" t="s">
        <v>28010</v>
      </c>
      <c r="E26" s="14" t="s">
        <v>12607</v>
      </c>
      <c r="F26" s="14" t="s">
        <v>28011</v>
      </c>
      <c r="G26" s="20" t="s">
        <v>28012</v>
      </c>
      <c r="H26" s="20" t="s">
        <v>28013</v>
      </c>
      <c r="I26" s="14" t="s">
        <v>88</v>
      </c>
      <c r="J26" s="14">
        <v>22</v>
      </c>
      <c r="K26" s="14">
        <v>8</v>
      </c>
      <c r="L26" s="14" t="s">
        <v>28014</v>
      </c>
      <c r="M26" s="14" t="s">
        <v>4454</v>
      </c>
      <c r="N26" s="14" t="s">
        <v>28015</v>
      </c>
      <c r="O26" s="14" t="s">
        <v>23930</v>
      </c>
      <c r="P26" s="14" t="str">
        <f>HYPERLINK("https://dexscreener.com/solana/3heCeKrsD5wunvxDLZaqF91Tu1ZaihdXMe6PEueQpump", "View")</f>
        <v>View</v>
      </c>
    </row>
    <row r="27" spans="1:16" x14ac:dyDescent="0.25">
      <c r="A27" s="16" t="s">
        <v>25511</v>
      </c>
      <c r="B27" s="17">
        <v>122225</v>
      </c>
      <c r="C27" s="17">
        <v>122225</v>
      </c>
      <c r="D27" s="17" t="s">
        <v>26330</v>
      </c>
      <c r="E27" s="17" t="s">
        <v>11508</v>
      </c>
      <c r="F27" s="17" t="s">
        <v>1671</v>
      </c>
      <c r="G27" s="20" t="s">
        <v>20418</v>
      </c>
      <c r="H27" s="20" t="s">
        <v>28016</v>
      </c>
      <c r="I27" s="17" t="s">
        <v>88</v>
      </c>
      <c r="J27" s="17">
        <v>1</v>
      </c>
      <c r="K27" s="17">
        <v>1</v>
      </c>
      <c r="L27" s="17" t="s">
        <v>28017</v>
      </c>
      <c r="M27" s="17" t="s">
        <v>9948</v>
      </c>
      <c r="N27" s="17" t="s">
        <v>28018</v>
      </c>
      <c r="O27" s="17" t="s">
        <v>25515</v>
      </c>
      <c r="P27" s="17" t="str">
        <f>HYPERLINK("https://dexscreener.com/solana/GFGSBt8NUqXa6w33dScPXoJQsq7iNpjLXaB7FNj5pump", "View")</f>
        <v>View</v>
      </c>
    </row>
    <row r="28" spans="1:16" x14ac:dyDescent="0.25">
      <c r="A28" s="13" t="s">
        <v>15071</v>
      </c>
      <c r="B28" s="14">
        <v>123600</v>
      </c>
      <c r="C28" s="14">
        <v>0</v>
      </c>
      <c r="D28" s="14" t="s">
        <v>16388</v>
      </c>
      <c r="E28" s="14" t="s">
        <v>28019</v>
      </c>
      <c r="F28" s="14" t="s">
        <v>96</v>
      </c>
      <c r="G28" s="18" t="s">
        <v>8512</v>
      </c>
      <c r="H28" s="18" t="s">
        <v>98</v>
      </c>
      <c r="I28" s="14" t="s">
        <v>28020</v>
      </c>
      <c r="J28" s="14">
        <v>3</v>
      </c>
      <c r="K28" s="14">
        <v>0</v>
      </c>
      <c r="L28" s="14" t="s">
        <v>28021</v>
      </c>
      <c r="M28" s="14" t="s">
        <v>2145</v>
      </c>
      <c r="N28" s="14" t="s">
        <v>28022</v>
      </c>
      <c r="O28" s="14" t="s">
        <v>15079</v>
      </c>
      <c r="P28" s="14" t="str">
        <f>HYPERLINK("https://dexscreener.com/solana/HeJUFDxfJSzYFUuHLxkMqCgytU31G6mjP4wKviwqpump", "View")</f>
        <v>View</v>
      </c>
    </row>
    <row r="29" spans="1:16" x14ac:dyDescent="0.25">
      <c r="A29" s="16" t="s">
        <v>9583</v>
      </c>
      <c r="B29" s="17">
        <v>19238</v>
      </c>
      <c r="C29" s="17">
        <v>31387</v>
      </c>
      <c r="D29" s="17" t="s">
        <v>16251</v>
      </c>
      <c r="E29" s="17" t="s">
        <v>12136</v>
      </c>
      <c r="F29" s="17" t="s">
        <v>28023</v>
      </c>
      <c r="G29" s="21" t="s">
        <v>22462</v>
      </c>
      <c r="H29" s="21" t="s">
        <v>28024</v>
      </c>
      <c r="I29" s="17" t="s">
        <v>88</v>
      </c>
      <c r="J29" s="17">
        <v>2</v>
      </c>
      <c r="K29" s="17">
        <v>2</v>
      </c>
      <c r="L29" s="17" t="s">
        <v>28025</v>
      </c>
      <c r="M29" s="17" t="s">
        <v>699</v>
      </c>
      <c r="N29" s="17" t="s">
        <v>28026</v>
      </c>
      <c r="O29" s="17" t="s">
        <v>9588</v>
      </c>
      <c r="P29" s="17" t="str">
        <f>HYPERLINK("https://dexscreener.com/solana/Gu3LDkn7Vx3bmCzLafYNKcDxv2mH7YN44NJZFXnypump", "View")</f>
        <v>View</v>
      </c>
    </row>
    <row r="30" spans="1:16" x14ac:dyDescent="0.25">
      <c r="A30" s="13" t="s">
        <v>5544</v>
      </c>
      <c r="B30" s="14">
        <v>4762</v>
      </c>
      <c r="C30" s="14">
        <v>4762</v>
      </c>
      <c r="D30" s="14" t="s">
        <v>24342</v>
      </c>
      <c r="E30" s="14" t="s">
        <v>27966</v>
      </c>
      <c r="F30" s="14" t="s">
        <v>2267</v>
      </c>
      <c r="G30" s="20" t="s">
        <v>3793</v>
      </c>
      <c r="H30" s="20" t="s">
        <v>19895</v>
      </c>
      <c r="I30" s="14" t="s">
        <v>88</v>
      </c>
      <c r="J30" s="14">
        <v>1</v>
      </c>
      <c r="K30" s="14">
        <v>1</v>
      </c>
      <c r="L30" s="14" t="s">
        <v>28027</v>
      </c>
      <c r="M30" s="14" t="s">
        <v>1642</v>
      </c>
      <c r="N30" s="14" t="s">
        <v>28028</v>
      </c>
      <c r="O30" s="14" t="s">
        <v>5550</v>
      </c>
      <c r="P30" s="14" t="str">
        <f>HYPERLINK("https://dexscreener.com/solana/Bz4MhmVRQENiCou7ZpJ575wpjNFjBjVBSiVhuNg1pump", "View")</f>
        <v>View</v>
      </c>
    </row>
    <row r="31" spans="1:16" x14ac:dyDescent="0.25">
      <c r="A31" s="16" t="s">
        <v>7423</v>
      </c>
      <c r="B31" s="17">
        <v>2216</v>
      </c>
      <c r="C31" s="17">
        <v>627</v>
      </c>
      <c r="D31" s="17" t="s">
        <v>28029</v>
      </c>
      <c r="E31" s="17" t="s">
        <v>8996</v>
      </c>
      <c r="F31" s="17" t="s">
        <v>21953</v>
      </c>
      <c r="G31" s="20" t="s">
        <v>19298</v>
      </c>
      <c r="H31" s="20" t="s">
        <v>28030</v>
      </c>
      <c r="I31" s="17" t="s">
        <v>88</v>
      </c>
      <c r="J31" s="17">
        <v>2</v>
      </c>
      <c r="K31" s="17">
        <v>1</v>
      </c>
      <c r="L31" s="17" t="s">
        <v>28031</v>
      </c>
      <c r="M31" s="17" t="s">
        <v>414</v>
      </c>
      <c r="N31" s="17" t="s">
        <v>28032</v>
      </c>
      <c r="O31" s="17" t="s">
        <v>7430</v>
      </c>
      <c r="P31" s="17" t="str">
        <f>HYPERLINK("https://dexscreener.com/solana/CzLSujWBLFsSjncfkh59rUFqvafWcY5tzedWJSuypump", "View")</f>
        <v>View</v>
      </c>
    </row>
    <row r="32" spans="1:16" x14ac:dyDescent="0.25">
      <c r="A32" s="13" t="s">
        <v>26070</v>
      </c>
      <c r="B32" s="14">
        <v>3187</v>
      </c>
      <c r="C32" s="14">
        <v>0</v>
      </c>
      <c r="D32" s="14" t="s">
        <v>832</v>
      </c>
      <c r="E32" s="14" t="s">
        <v>11383</v>
      </c>
      <c r="F32" s="14" t="s">
        <v>96</v>
      </c>
      <c r="G32" s="18" t="s">
        <v>2214</v>
      </c>
      <c r="H32" s="18" t="s">
        <v>98</v>
      </c>
      <c r="I32" s="14" t="s">
        <v>28033</v>
      </c>
      <c r="J32" s="14">
        <v>1</v>
      </c>
      <c r="K32" s="14">
        <v>0</v>
      </c>
      <c r="L32" s="14" t="s">
        <v>28034</v>
      </c>
      <c r="M32" s="19" t="s">
        <v>101</v>
      </c>
      <c r="N32" s="14" t="s">
        <v>28035</v>
      </c>
      <c r="O32" s="14" t="s">
        <v>26074</v>
      </c>
      <c r="P32" s="14" t="str">
        <f>HYPERLINK("https://dexscreener.com/solana/2fUFhZyd47Mapv9wcfXh5gnQwFXtqcYu9xAN4THBpump", "View")</f>
        <v>View</v>
      </c>
    </row>
    <row r="33" spans="1:16" x14ac:dyDescent="0.25">
      <c r="A33" s="16" t="s">
        <v>11697</v>
      </c>
      <c r="B33" s="17">
        <v>16638</v>
      </c>
      <c r="C33" s="17">
        <v>28592</v>
      </c>
      <c r="D33" s="17" t="s">
        <v>28036</v>
      </c>
      <c r="E33" s="17" t="s">
        <v>17252</v>
      </c>
      <c r="F33" s="17" t="s">
        <v>4637</v>
      </c>
      <c r="G33" s="20" t="s">
        <v>4649</v>
      </c>
      <c r="H33" s="20" t="s">
        <v>28037</v>
      </c>
      <c r="I33" s="17" t="s">
        <v>88</v>
      </c>
      <c r="J33" s="17">
        <v>1</v>
      </c>
      <c r="K33" s="17">
        <v>1</v>
      </c>
      <c r="L33" s="17" t="s">
        <v>28038</v>
      </c>
      <c r="M33" s="17" t="s">
        <v>132</v>
      </c>
      <c r="N33" s="17" t="s">
        <v>28039</v>
      </c>
      <c r="O33" s="17" t="s">
        <v>11702</v>
      </c>
      <c r="P33" s="17" t="str">
        <f>HYPERLINK("https://dexscreener.com/solana/EvNBoWwZFF6pPpjTnNSzrurxkDfw1PGUmih1eAStpump", "View")</f>
        <v>View</v>
      </c>
    </row>
    <row r="34" spans="1:16" x14ac:dyDescent="0.25">
      <c r="A34" s="13" t="s">
        <v>26177</v>
      </c>
      <c r="B34" s="14">
        <v>556632</v>
      </c>
      <c r="C34" s="14">
        <v>723708</v>
      </c>
      <c r="D34" s="14" t="s">
        <v>20434</v>
      </c>
      <c r="E34" s="14" t="s">
        <v>28040</v>
      </c>
      <c r="F34" s="14" t="s">
        <v>12694</v>
      </c>
      <c r="G34" s="20" t="s">
        <v>14305</v>
      </c>
      <c r="H34" s="20" t="s">
        <v>28041</v>
      </c>
      <c r="I34" s="14" t="s">
        <v>88</v>
      </c>
      <c r="J34" s="14">
        <v>3</v>
      </c>
      <c r="K34" s="14">
        <v>1</v>
      </c>
      <c r="L34" s="14" t="s">
        <v>28042</v>
      </c>
      <c r="M34" s="14" t="s">
        <v>699</v>
      </c>
      <c r="N34" s="14" t="s">
        <v>28043</v>
      </c>
      <c r="O34" s="14" t="s">
        <v>28044</v>
      </c>
      <c r="P34" s="14" t="str">
        <f>HYPERLINK("https://dexscreener.com/solana/9WuADsQtSPQCA18xan5PJj8m1t82bQeUkLoLssS2pump", "View")</f>
        <v>View</v>
      </c>
    </row>
    <row r="35" spans="1:16" x14ac:dyDescent="0.25">
      <c r="A35" s="16" t="s">
        <v>28045</v>
      </c>
      <c r="B35" s="17">
        <v>27310</v>
      </c>
      <c r="C35" s="17">
        <v>0</v>
      </c>
      <c r="D35" s="17" t="s">
        <v>15708</v>
      </c>
      <c r="E35" s="17" t="s">
        <v>5573</v>
      </c>
      <c r="F35" s="17" t="s">
        <v>96</v>
      </c>
      <c r="G35" s="18" t="s">
        <v>16660</v>
      </c>
      <c r="H35" s="18" t="s">
        <v>98</v>
      </c>
      <c r="I35" s="17" t="s">
        <v>28046</v>
      </c>
      <c r="J35" s="17">
        <v>1</v>
      </c>
      <c r="K35" s="17">
        <v>0</v>
      </c>
      <c r="L35" s="17" t="s">
        <v>28047</v>
      </c>
      <c r="M35" s="19" t="s">
        <v>101</v>
      </c>
      <c r="N35" s="17" t="s">
        <v>507</v>
      </c>
      <c r="O35" s="17" t="s">
        <v>28048</v>
      </c>
      <c r="P35" s="17" t="str">
        <f>HYPERLINK("https://dexscreener.com/solana/2xyoTZzNVvbWABQmaDwYb1mhuvutQkGuCPTSMqicpump", "View")</f>
        <v>View</v>
      </c>
    </row>
    <row r="36" spans="1:16" x14ac:dyDescent="0.25">
      <c r="A36" s="13" t="s">
        <v>28049</v>
      </c>
      <c r="B36" s="14">
        <v>119080127896134</v>
      </c>
      <c r="C36" s="14">
        <v>138909375821120</v>
      </c>
      <c r="D36" s="14" t="s">
        <v>10163</v>
      </c>
      <c r="E36" s="14" t="s">
        <v>13248</v>
      </c>
      <c r="F36" s="14" t="s">
        <v>2092</v>
      </c>
      <c r="G36" s="22" t="s">
        <v>11559</v>
      </c>
      <c r="H36" s="22" t="s">
        <v>12483</v>
      </c>
      <c r="I36" s="14" t="s">
        <v>88</v>
      </c>
      <c r="J36" s="14">
        <v>1</v>
      </c>
      <c r="K36" s="14">
        <v>1</v>
      </c>
      <c r="L36" s="14" t="s">
        <v>28050</v>
      </c>
      <c r="M36" s="14" t="s">
        <v>1526</v>
      </c>
      <c r="N36" s="14" t="s">
        <v>28051</v>
      </c>
      <c r="O36" s="14" t="s">
        <v>28052</v>
      </c>
      <c r="P36" s="14" t="str">
        <f>HYPERLINK("https://dexscreener.com/solana/Cq1y5UdQfqf1JMFw98iEYHRXm1VY7aLxhdShxGbffp7e", "View")</f>
        <v>View</v>
      </c>
    </row>
    <row r="37" spans="1:16" x14ac:dyDescent="0.25">
      <c r="A37" s="16" t="s">
        <v>17851</v>
      </c>
      <c r="B37" s="17">
        <v>19829248073674</v>
      </c>
      <c r="C37" s="17">
        <v>0</v>
      </c>
      <c r="D37" s="17" t="s">
        <v>8721</v>
      </c>
      <c r="E37" s="17" t="s">
        <v>28053</v>
      </c>
      <c r="F37" s="17" t="s">
        <v>96</v>
      </c>
      <c r="G37" s="18" t="s">
        <v>28054</v>
      </c>
      <c r="H37" s="18" t="s">
        <v>98</v>
      </c>
      <c r="I37" s="17" t="s">
        <v>28055</v>
      </c>
      <c r="J37" s="17">
        <v>3</v>
      </c>
      <c r="K37" s="17">
        <v>0</v>
      </c>
      <c r="L37" s="17" t="s">
        <v>28056</v>
      </c>
      <c r="M37" s="17" t="s">
        <v>132</v>
      </c>
      <c r="N37" s="17" t="s">
        <v>28057</v>
      </c>
      <c r="O37" s="17" t="s">
        <v>26056</v>
      </c>
      <c r="P37" s="17" t="str">
        <f>HYPERLINK("https://dexscreener.com/solana/3dwu2tw7kBFZvWEdJMbPCGm7MBwgziABChLV1kGspump", "View")</f>
        <v>View</v>
      </c>
    </row>
    <row r="38" spans="1:16" x14ac:dyDescent="0.25">
      <c r="A38" s="13" t="s">
        <v>28058</v>
      </c>
      <c r="B38" s="14">
        <v>25484</v>
      </c>
      <c r="C38" s="14">
        <v>107439</v>
      </c>
      <c r="D38" s="14" t="s">
        <v>28059</v>
      </c>
      <c r="E38" s="14" t="s">
        <v>5608</v>
      </c>
      <c r="F38" s="14" t="s">
        <v>28060</v>
      </c>
      <c r="G38" s="21" t="s">
        <v>2821</v>
      </c>
      <c r="H38" s="21" t="s">
        <v>28061</v>
      </c>
      <c r="I38" s="14" t="s">
        <v>88</v>
      </c>
      <c r="J38" s="14">
        <v>1</v>
      </c>
      <c r="K38" s="14">
        <v>2</v>
      </c>
      <c r="L38" s="14" t="s">
        <v>28062</v>
      </c>
      <c r="M38" s="14" t="s">
        <v>132</v>
      </c>
      <c r="N38" s="14" t="s">
        <v>28063</v>
      </c>
      <c r="O38" s="14" t="s">
        <v>28064</v>
      </c>
      <c r="P38" s="14" t="str">
        <f>HYPERLINK("https://dexscreener.com/solana/CkXMc7jucs85oPfFsE4N51TgKWttSPuFuu6AAGZYpump", "View")</f>
        <v>View</v>
      </c>
    </row>
    <row r="39" spans="1:16" x14ac:dyDescent="0.25">
      <c r="A39" s="16" t="s">
        <v>28065</v>
      </c>
      <c r="B39" s="17">
        <v>35382</v>
      </c>
      <c r="C39" s="17">
        <v>0</v>
      </c>
      <c r="D39" s="17" t="s">
        <v>8439</v>
      </c>
      <c r="E39" s="17" t="s">
        <v>28066</v>
      </c>
      <c r="F39" s="17" t="s">
        <v>96</v>
      </c>
      <c r="G39" s="18" t="s">
        <v>28067</v>
      </c>
      <c r="H39" s="18" t="s">
        <v>98</v>
      </c>
      <c r="I39" s="17" t="s">
        <v>28068</v>
      </c>
      <c r="J39" s="17">
        <v>2</v>
      </c>
      <c r="K39" s="17">
        <v>0</v>
      </c>
      <c r="L39" s="17" t="s">
        <v>28069</v>
      </c>
      <c r="M39" s="17" t="s">
        <v>5729</v>
      </c>
      <c r="N39" s="17" t="s">
        <v>28070</v>
      </c>
      <c r="O39" s="17" t="s">
        <v>28071</v>
      </c>
      <c r="P39" s="17" t="str">
        <f>HYPERLINK("https://dexscreener.com/solana/sSo14endRuUbvQaJS3dq36Q829a3A6BEfoeeRGJywEh", "View")</f>
        <v>View</v>
      </c>
    </row>
    <row r="40" spans="1:16" x14ac:dyDescent="0.25">
      <c r="A40" s="13" t="s">
        <v>28072</v>
      </c>
      <c r="B40" s="14">
        <v>557192</v>
      </c>
      <c r="C40" s="14">
        <v>278596</v>
      </c>
      <c r="D40" s="14" t="s">
        <v>10737</v>
      </c>
      <c r="E40" s="14" t="s">
        <v>28073</v>
      </c>
      <c r="F40" s="14" t="s">
        <v>3577</v>
      </c>
      <c r="G40" s="15" t="s">
        <v>28074</v>
      </c>
      <c r="H40" s="15" t="s">
        <v>28075</v>
      </c>
      <c r="I40" s="14" t="s">
        <v>88</v>
      </c>
      <c r="J40" s="14">
        <v>2</v>
      </c>
      <c r="K40" s="14">
        <v>1</v>
      </c>
      <c r="L40" s="14" t="s">
        <v>28076</v>
      </c>
      <c r="M40" s="14" t="s">
        <v>2695</v>
      </c>
      <c r="N40" s="14" t="s">
        <v>28077</v>
      </c>
      <c r="O40" s="14" t="s">
        <v>28078</v>
      </c>
      <c r="P40" s="14" t="str">
        <f>HYPERLINK("https://dexscreener.com/solana/4aL5GLRuzsnJjJWNdXK7TPTVpGhP6PyV4ZhyQiyxpump", "View")</f>
        <v>View</v>
      </c>
    </row>
    <row r="41" spans="1:16" x14ac:dyDescent="0.25">
      <c r="A41" s="16" t="s">
        <v>28079</v>
      </c>
      <c r="B41" s="17">
        <v>135531</v>
      </c>
      <c r="C41" s="17">
        <v>0</v>
      </c>
      <c r="D41" s="17" t="s">
        <v>16942</v>
      </c>
      <c r="E41" s="17" t="s">
        <v>5046</v>
      </c>
      <c r="F41" s="17" t="s">
        <v>96</v>
      </c>
      <c r="G41" s="18" t="s">
        <v>14882</v>
      </c>
      <c r="H41" s="18" t="s">
        <v>98</v>
      </c>
      <c r="I41" s="17" t="s">
        <v>28080</v>
      </c>
      <c r="J41" s="17">
        <v>2</v>
      </c>
      <c r="K41" s="17">
        <v>0</v>
      </c>
      <c r="L41" s="17" t="s">
        <v>28081</v>
      </c>
      <c r="M41" s="17" t="s">
        <v>179</v>
      </c>
      <c r="N41" s="17" t="s">
        <v>28082</v>
      </c>
      <c r="O41" s="17" t="s">
        <v>28083</v>
      </c>
      <c r="P41" s="17" t="str">
        <f>HYPERLINK("https://dexscreener.com/solana/KMnDBXcPXoz6oMJW5XG4tXdwSWpmWEP2RQM1Uujpump", "View")</f>
        <v>View</v>
      </c>
    </row>
    <row r="42" spans="1:16" x14ac:dyDescent="0.25">
      <c r="A42" s="13" t="s">
        <v>28084</v>
      </c>
      <c r="B42" s="14">
        <v>54635</v>
      </c>
      <c r="C42" s="14">
        <v>54635</v>
      </c>
      <c r="D42" s="14" t="s">
        <v>4805</v>
      </c>
      <c r="E42" s="14" t="s">
        <v>12822</v>
      </c>
      <c r="F42" s="14" t="s">
        <v>1970</v>
      </c>
      <c r="G42" s="15" t="s">
        <v>20316</v>
      </c>
      <c r="H42" s="15" t="s">
        <v>18153</v>
      </c>
      <c r="I42" s="14" t="s">
        <v>88</v>
      </c>
      <c r="J42" s="14">
        <v>1</v>
      </c>
      <c r="K42" s="14">
        <v>1</v>
      </c>
      <c r="L42" s="14" t="s">
        <v>28085</v>
      </c>
      <c r="M42" s="14" t="s">
        <v>699</v>
      </c>
      <c r="N42" s="14" t="s">
        <v>28086</v>
      </c>
      <c r="O42" s="14" t="s">
        <v>28087</v>
      </c>
      <c r="P42" s="14" t="str">
        <f>HYPERLINK("https://dexscreener.com/solana/2pbQKb4SPxVhXZRBxoyzbAbJNtVU1hDSQJqHjGdDpump", "View")</f>
        <v>View</v>
      </c>
    </row>
    <row r="43" spans="1:16" x14ac:dyDescent="0.25">
      <c r="A43" s="16" t="s">
        <v>28088</v>
      </c>
      <c r="B43" s="17">
        <v>146204</v>
      </c>
      <c r="C43" s="17">
        <v>146204</v>
      </c>
      <c r="D43" s="17" t="s">
        <v>17388</v>
      </c>
      <c r="E43" s="17" t="s">
        <v>6179</v>
      </c>
      <c r="F43" s="17" t="s">
        <v>96</v>
      </c>
      <c r="G43" s="15" t="s">
        <v>20316</v>
      </c>
      <c r="H43" s="15" t="s">
        <v>16129</v>
      </c>
      <c r="I43" s="17" t="s">
        <v>88</v>
      </c>
      <c r="J43" s="17">
        <v>1</v>
      </c>
      <c r="K43" s="17">
        <v>1</v>
      </c>
      <c r="L43" s="17" t="s">
        <v>28089</v>
      </c>
      <c r="M43" s="17" t="s">
        <v>364</v>
      </c>
      <c r="N43" s="17" t="s">
        <v>507</v>
      </c>
      <c r="O43" s="17" t="s">
        <v>28090</v>
      </c>
      <c r="P43" s="17" t="str">
        <f>HYPERLINK("https://dexscreener.com/solana/2j9NXadKFKojd9aENsGh85f5gMdi4tytxo9uBDCFKfHh", "View")</f>
        <v>View</v>
      </c>
    </row>
    <row r="44" spans="1:16" x14ac:dyDescent="0.25">
      <c r="A44" s="13" t="s">
        <v>17651</v>
      </c>
      <c r="B44" s="14">
        <v>52876</v>
      </c>
      <c r="C44" s="14">
        <v>52876</v>
      </c>
      <c r="D44" s="14" t="s">
        <v>28091</v>
      </c>
      <c r="E44" s="14" t="s">
        <v>5752</v>
      </c>
      <c r="F44" s="14" t="s">
        <v>5752</v>
      </c>
      <c r="G44" s="22" t="s">
        <v>96</v>
      </c>
      <c r="H44" s="22" t="s">
        <v>22572</v>
      </c>
      <c r="I44" s="14" t="s">
        <v>88</v>
      </c>
      <c r="J44" s="14">
        <v>1</v>
      </c>
      <c r="K44" s="14">
        <v>1</v>
      </c>
      <c r="L44" s="14" t="s">
        <v>28092</v>
      </c>
      <c r="M44" s="14" t="s">
        <v>680</v>
      </c>
      <c r="N44" s="14" t="s">
        <v>28093</v>
      </c>
      <c r="O44" s="14" t="s">
        <v>28094</v>
      </c>
      <c r="P44" s="14" t="str">
        <f>HYPERLINK("https://dexscreener.com/solana/5zSDDWmrejaoZ5hMKtZA1bEE3we1Z7RvN4aiWZqKpump", "View")</f>
        <v>View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8DB3-DB23-413A-9EF3-4DAAA4CF2797}">
  <dimension ref="A1:P151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HYPERLINK("https://gmgn.ai/sol/address/8vQjS83mYfGaF9bhmJHNcHodPUVQ8Vsgc2S84nRS4zfx", "GMGN")</f>
        <v>GMGN</v>
      </c>
    </row>
    <row r="2" spans="1:14" x14ac:dyDescent="0.25">
      <c r="A2" s="3" t="s">
        <v>28095</v>
      </c>
      <c r="B2" s="3" t="s">
        <v>28096</v>
      </c>
      <c r="C2" s="3" t="s">
        <v>26</v>
      </c>
      <c r="D2" s="3" t="s">
        <v>15652</v>
      </c>
      <c r="E2" s="3" t="s">
        <v>28097</v>
      </c>
      <c r="F2" s="3" t="s">
        <v>18</v>
      </c>
      <c r="G2" s="3" t="s">
        <v>18</v>
      </c>
      <c r="H2" s="3">
        <v>132</v>
      </c>
      <c r="I2" s="3">
        <v>30</v>
      </c>
      <c r="J2" s="3" t="s">
        <v>690</v>
      </c>
      <c r="K2" s="3" t="s">
        <v>4268</v>
      </c>
      <c r="L2" s="3">
        <v>38</v>
      </c>
      <c r="M2" s="3">
        <v>127</v>
      </c>
      <c r="N2" s="3" t="str">
        <f>HYPERLINK("https://solscan.io/account/8vQjS83mYfGaF9bhmJHNcHodPUVQ8Vsgc2S84nRS4zfx",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HYPERLINK("https://birdeye.so/profile/8vQjS83mYfGaF9bhmJHNcHodPUVQ8Vsgc2S84nRS4zfx", "Birdeye")</f>
        <v>Birdeye</v>
      </c>
    </row>
    <row r="4" spans="1:14" x14ac:dyDescent="0.25">
      <c r="A4" s="1" t="s">
        <v>25</v>
      </c>
      <c r="B4" s="3" t="s">
        <v>17990</v>
      </c>
      <c r="C4" s="3"/>
      <c r="D4" s="3" t="s">
        <v>20030</v>
      </c>
      <c r="E4" s="3" t="s">
        <v>28098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4368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8458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5</v>
      </c>
      <c r="C10" s="1">
        <v>5</v>
      </c>
      <c r="D10" s="1">
        <v>0</v>
      </c>
      <c r="E10" s="1">
        <v>3</v>
      </c>
      <c r="F10" s="1">
        <v>1</v>
      </c>
      <c r="G10" s="1">
        <v>118</v>
      </c>
      <c r="H10" s="3"/>
      <c r="I10" s="3" t="s">
        <v>42</v>
      </c>
      <c r="J10" s="3" t="s">
        <v>1570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21661</v>
      </c>
      <c r="C11" s="1" t="s">
        <v>21661</v>
      </c>
      <c r="D11" s="1" t="s">
        <v>1779</v>
      </c>
      <c r="E11" s="1" t="s">
        <v>28099</v>
      </c>
      <c r="F11" s="1" t="s">
        <v>25333</v>
      </c>
      <c r="G11" s="1" t="s">
        <v>28100</v>
      </c>
      <c r="H11" s="3"/>
      <c r="I11" s="3" t="s">
        <v>50</v>
      </c>
      <c r="J11" s="3" t="s">
        <v>28101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28102</v>
      </c>
      <c r="C12" s="1" t="s">
        <v>21667</v>
      </c>
      <c r="D12" s="1" t="s">
        <v>1786</v>
      </c>
      <c r="E12" s="1" t="s">
        <v>9644</v>
      </c>
      <c r="F12" s="1" t="s">
        <v>9645</v>
      </c>
      <c r="G12" s="1" t="s">
        <v>28103</v>
      </c>
      <c r="H12" s="3"/>
      <c r="I12" s="3" t="s">
        <v>59</v>
      </c>
      <c r="J12" s="3" t="s">
        <v>51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4369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12331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28104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104</v>
      </c>
      <c r="B20" s="14">
        <v>297125</v>
      </c>
      <c r="C20" s="14">
        <v>0</v>
      </c>
      <c r="D20" s="14" t="s">
        <v>9662</v>
      </c>
      <c r="E20" s="14" t="s">
        <v>2200</v>
      </c>
      <c r="F20" s="14" t="s">
        <v>96</v>
      </c>
      <c r="G20" s="18" t="s">
        <v>13011</v>
      </c>
      <c r="H20" s="18" t="s">
        <v>98</v>
      </c>
      <c r="I20" s="14" t="s">
        <v>28105</v>
      </c>
      <c r="J20" s="14">
        <v>1</v>
      </c>
      <c r="K20" s="14">
        <v>0</v>
      </c>
      <c r="L20" s="14" t="s">
        <v>26294</v>
      </c>
      <c r="M20" s="19" t="s">
        <v>101</v>
      </c>
      <c r="N20" s="14" t="s">
        <v>28106</v>
      </c>
      <c r="O20" s="14" t="s">
        <v>110</v>
      </c>
      <c r="P20" s="14" t="str">
        <f>HYPERLINK("https://dexscreener.com/solana/8zuLGDdCMELwGjD9b3gtyqfCKwj5hbNUnCCw66eBpump", "View")</f>
        <v>View</v>
      </c>
    </row>
    <row r="21" spans="1:16" x14ac:dyDescent="0.25">
      <c r="A21" s="16" t="s">
        <v>26299</v>
      </c>
      <c r="B21" s="17">
        <v>1024586</v>
      </c>
      <c r="C21" s="17">
        <v>0</v>
      </c>
      <c r="D21" s="17" t="s">
        <v>9662</v>
      </c>
      <c r="E21" s="17" t="s">
        <v>2200</v>
      </c>
      <c r="F21" s="17" t="s">
        <v>96</v>
      </c>
      <c r="G21" s="18" t="s">
        <v>13011</v>
      </c>
      <c r="H21" s="18" t="s">
        <v>98</v>
      </c>
      <c r="I21" s="17" t="s">
        <v>28107</v>
      </c>
      <c r="J21" s="17">
        <v>1</v>
      </c>
      <c r="K21" s="17">
        <v>0</v>
      </c>
      <c r="L21" s="17" t="s">
        <v>26301</v>
      </c>
      <c r="M21" s="19" t="s">
        <v>101</v>
      </c>
      <c r="N21" s="17" t="s">
        <v>1175</v>
      </c>
      <c r="O21" s="17" t="s">
        <v>26302</v>
      </c>
      <c r="P21" s="17" t="str">
        <f>HYPERLINK("https://dexscreener.com/solana/Gqm9CNRm3ZL6qVnbcjS9f4qvsPtW28gxanAuMbo4pump", "View")</f>
        <v>View</v>
      </c>
    </row>
    <row r="22" spans="1:16" x14ac:dyDescent="0.25">
      <c r="A22" s="13" t="s">
        <v>1699</v>
      </c>
      <c r="B22" s="14">
        <v>217103</v>
      </c>
      <c r="C22" s="14">
        <v>0</v>
      </c>
      <c r="D22" s="14" t="s">
        <v>9662</v>
      </c>
      <c r="E22" s="14" t="s">
        <v>2200</v>
      </c>
      <c r="F22" s="14" t="s">
        <v>96</v>
      </c>
      <c r="G22" s="18" t="s">
        <v>13011</v>
      </c>
      <c r="H22" s="18" t="s">
        <v>98</v>
      </c>
      <c r="I22" s="14" t="s">
        <v>28108</v>
      </c>
      <c r="J22" s="14">
        <v>1</v>
      </c>
      <c r="K22" s="14">
        <v>0</v>
      </c>
      <c r="L22" s="14" t="s">
        <v>26304</v>
      </c>
      <c r="M22" s="19" t="s">
        <v>101</v>
      </c>
      <c r="N22" s="14" t="s">
        <v>28109</v>
      </c>
      <c r="O22" s="14" t="s">
        <v>2161</v>
      </c>
      <c r="P22" s="14" t="str">
        <f>HYPERLINK("https://dexscreener.com/solana/4FieKJu1twj631v1NbDdpocqWS72Up36N3Lf3C1dpump", "View")</f>
        <v>View</v>
      </c>
    </row>
    <row r="23" spans="1:16" x14ac:dyDescent="0.25">
      <c r="A23" s="16" t="s">
        <v>19673</v>
      </c>
      <c r="B23" s="17">
        <v>953529</v>
      </c>
      <c r="C23" s="17">
        <v>0</v>
      </c>
      <c r="D23" s="17" t="s">
        <v>9662</v>
      </c>
      <c r="E23" s="17" t="s">
        <v>20102</v>
      </c>
      <c r="F23" s="17" t="s">
        <v>96</v>
      </c>
      <c r="G23" s="18" t="s">
        <v>1824</v>
      </c>
      <c r="H23" s="18" t="s">
        <v>98</v>
      </c>
      <c r="I23" s="17" t="s">
        <v>28110</v>
      </c>
      <c r="J23" s="17">
        <v>1</v>
      </c>
      <c r="K23" s="17">
        <v>0</v>
      </c>
      <c r="L23" s="17" t="s">
        <v>28111</v>
      </c>
      <c r="M23" s="19" t="s">
        <v>101</v>
      </c>
      <c r="N23" s="17" t="s">
        <v>2271</v>
      </c>
      <c r="O23" s="17" t="s">
        <v>19681</v>
      </c>
      <c r="P23" s="17" t="str">
        <f>HYPERLINK("https://photon-sol.tinyastro.io/en/lp/3M85pJDvorLLtdq9zNcB2r5N36JvBvPpSFrB7pEnpump?handle=676050794bc1b1657a56b", "View")</f>
        <v>View</v>
      </c>
    </row>
    <row r="24" spans="1:16" x14ac:dyDescent="0.25">
      <c r="A24" s="13" t="s">
        <v>26313</v>
      </c>
      <c r="B24" s="14">
        <v>572438</v>
      </c>
      <c r="C24" s="14">
        <v>0</v>
      </c>
      <c r="D24" s="14" t="s">
        <v>9662</v>
      </c>
      <c r="E24" s="14" t="s">
        <v>2200</v>
      </c>
      <c r="F24" s="14" t="s">
        <v>96</v>
      </c>
      <c r="G24" s="18" t="s">
        <v>13011</v>
      </c>
      <c r="H24" s="18" t="s">
        <v>98</v>
      </c>
      <c r="I24" s="14" t="s">
        <v>28112</v>
      </c>
      <c r="J24" s="14">
        <v>1</v>
      </c>
      <c r="K24" s="14">
        <v>0</v>
      </c>
      <c r="L24" s="14" t="s">
        <v>28113</v>
      </c>
      <c r="M24" s="19" t="s">
        <v>101</v>
      </c>
      <c r="N24" s="14" t="s">
        <v>28114</v>
      </c>
      <c r="O24" s="14" t="s">
        <v>26317</v>
      </c>
      <c r="P24" s="14" t="str">
        <f>HYPERLINK("https://dexscreener.com/solana/ABGuyFsRx6coPxDqXnFwUmFNG3hsg5i24XSsHV1Apump", "View")</f>
        <v>View</v>
      </c>
    </row>
    <row r="25" spans="1:16" x14ac:dyDescent="0.25">
      <c r="A25" s="16" t="s">
        <v>26309</v>
      </c>
      <c r="B25" s="17">
        <v>1395946</v>
      </c>
      <c r="C25" s="17">
        <v>0</v>
      </c>
      <c r="D25" s="17" t="s">
        <v>9662</v>
      </c>
      <c r="E25" s="17" t="s">
        <v>5498</v>
      </c>
      <c r="F25" s="17" t="s">
        <v>96</v>
      </c>
      <c r="G25" s="18" t="s">
        <v>28115</v>
      </c>
      <c r="H25" s="18" t="s">
        <v>98</v>
      </c>
      <c r="I25" s="17" t="s">
        <v>28116</v>
      </c>
      <c r="J25" s="17">
        <v>1</v>
      </c>
      <c r="K25" s="17">
        <v>0</v>
      </c>
      <c r="L25" s="17" t="s">
        <v>28117</v>
      </c>
      <c r="M25" s="19" t="s">
        <v>101</v>
      </c>
      <c r="N25" s="17" t="s">
        <v>904</v>
      </c>
      <c r="O25" s="17" t="s">
        <v>26312</v>
      </c>
      <c r="P25" s="17" t="str">
        <f>HYPERLINK("https://photon-sol.tinyastro.io/en/lp/7gTqhPZNGfEJZ6yvE7WjkX76wmDhzKDjGeP9Rv74pump?handle=676050794bc1b1657a56b", "View")</f>
        <v>View</v>
      </c>
    </row>
    <row r="26" spans="1:16" x14ac:dyDescent="0.25">
      <c r="A26" s="13" t="s">
        <v>111</v>
      </c>
      <c r="B26" s="14">
        <v>241486</v>
      </c>
      <c r="C26" s="14">
        <v>241486</v>
      </c>
      <c r="D26" s="14" t="s">
        <v>10517</v>
      </c>
      <c r="E26" s="14" t="s">
        <v>3045</v>
      </c>
      <c r="F26" s="14" t="s">
        <v>2243</v>
      </c>
      <c r="G26" s="21" t="s">
        <v>4343</v>
      </c>
      <c r="H26" s="21" t="s">
        <v>28118</v>
      </c>
      <c r="I26" s="14" t="s">
        <v>88</v>
      </c>
      <c r="J26" s="14">
        <v>1</v>
      </c>
      <c r="K26" s="14">
        <v>1</v>
      </c>
      <c r="L26" s="14" t="s">
        <v>28119</v>
      </c>
      <c r="M26" s="14" t="s">
        <v>680</v>
      </c>
      <c r="N26" s="14" t="s">
        <v>28120</v>
      </c>
      <c r="O26" s="14" t="s">
        <v>119</v>
      </c>
      <c r="P26" s="14" t="str">
        <f>HYPERLINK("https://dexscreener.com/solana/D5S1nXXaMnJui8rCnMbP1GZQnL9TxzbF92hXvgkVpump", "View")</f>
        <v>View</v>
      </c>
    </row>
    <row r="27" spans="1:16" x14ac:dyDescent="0.25">
      <c r="A27" s="16" t="s">
        <v>26334</v>
      </c>
      <c r="B27" s="17">
        <v>4419322</v>
      </c>
      <c r="C27" s="17">
        <v>0</v>
      </c>
      <c r="D27" s="17" t="s">
        <v>9662</v>
      </c>
      <c r="E27" s="17" t="s">
        <v>7925</v>
      </c>
      <c r="F27" s="17" t="s">
        <v>96</v>
      </c>
      <c r="G27" s="18" t="s">
        <v>14489</v>
      </c>
      <c r="H27" s="18" t="s">
        <v>98</v>
      </c>
      <c r="I27" s="17" t="s">
        <v>28121</v>
      </c>
      <c r="J27" s="17">
        <v>1</v>
      </c>
      <c r="K27" s="17">
        <v>0</v>
      </c>
      <c r="L27" s="17" t="s">
        <v>28122</v>
      </c>
      <c r="M27" s="19" t="s">
        <v>101</v>
      </c>
      <c r="N27" s="17" t="s">
        <v>407</v>
      </c>
      <c r="O27" s="17" t="s">
        <v>26337</v>
      </c>
      <c r="P27" s="17" t="str">
        <f>HYPERLINK("https://photon-sol.tinyastro.io/en/lp/Ffaxk9jV1xA7abZ36dyGanAk6gNbGMszTZ5JFMXhpump?handle=676050794bc1b1657a56b", "View")</f>
        <v>View</v>
      </c>
    </row>
    <row r="28" spans="1:16" x14ac:dyDescent="0.25">
      <c r="A28" s="13" t="s">
        <v>1621</v>
      </c>
      <c r="B28" s="14">
        <v>2113163</v>
      </c>
      <c r="C28" s="14">
        <v>0</v>
      </c>
      <c r="D28" s="14" t="s">
        <v>9662</v>
      </c>
      <c r="E28" s="14" t="s">
        <v>11464</v>
      </c>
      <c r="F28" s="14" t="s">
        <v>96</v>
      </c>
      <c r="G28" s="18" t="s">
        <v>9181</v>
      </c>
      <c r="H28" s="18" t="s">
        <v>98</v>
      </c>
      <c r="I28" s="14" t="s">
        <v>28123</v>
      </c>
      <c r="J28" s="14">
        <v>1</v>
      </c>
      <c r="K28" s="14">
        <v>0</v>
      </c>
      <c r="L28" s="14" t="s">
        <v>28124</v>
      </c>
      <c r="M28" s="19" t="s">
        <v>101</v>
      </c>
      <c r="N28" s="14" t="s">
        <v>28125</v>
      </c>
      <c r="O28" s="14" t="s">
        <v>1627</v>
      </c>
      <c r="P28" s="14" t="str">
        <f>HYPERLINK("https://photon-sol.tinyastro.io/en/lp/Djv9h45qTD1Bf9KrePGDecHB9ynreMHssDTQkLrupump?handle=676050794bc1b1657a56b", "View")</f>
        <v>View</v>
      </c>
    </row>
    <row r="29" spans="1:16" x14ac:dyDescent="0.25">
      <c r="A29" s="16" t="s">
        <v>26338</v>
      </c>
      <c r="B29" s="17">
        <v>9561617</v>
      </c>
      <c r="C29" s="17">
        <v>0</v>
      </c>
      <c r="D29" s="17" t="s">
        <v>9662</v>
      </c>
      <c r="E29" s="17" t="s">
        <v>3820</v>
      </c>
      <c r="F29" s="17" t="s">
        <v>96</v>
      </c>
      <c r="G29" s="18" t="s">
        <v>18020</v>
      </c>
      <c r="H29" s="18" t="s">
        <v>98</v>
      </c>
      <c r="I29" s="17" t="s">
        <v>28126</v>
      </c>
      <c r="J29" s="17">
        <v>1</v>
      </c>
      <c r="K29" s="17">
        <v>0</v>
      </c>
      <c r="L29" s="17" t="s">
        <v>26340</v>
      </c>
      <c r="M29" s="19" t="s">
        <v>101</v>
      </c>
      <c r="N29" s="17" t="s">
        <v>2308</v>
      </c>
      <c r="O29" s="17" t="s">
        <v>26341</v>
      </c>
      <c r="P29" s="17" t="str">
        <f>HYPERLINK("https://photon-sol.tinyastro.io/en/lp/6cf3ZvWPhaVo6Reoz5YqYwJ9anuBkWvqgnksHLf6pump?handle=676050794bc1b1657a56b", "View")</f>
        <v>View</v>
      </c>
    </row>
    <row r="30" spans="1:16" x14ac:dyDescent="0.25">
      <c r="A30" s="13" t="s">
        <v>4788</v>
      </c>
      <c r="B30" s="14">
        <v>1119130</v>
      </c>
      <c r="C30" s="14">
        <v>0</v>
      </c>
      <c r="D30" s="14" t="s">
        <v>9662</v>
      </c>
      <c r="E30" s="14" t="s">
        <v>3045</v>
      </c>
      <c r="F30" s="14" t="s">
        <v>96</v>
      </c>
      <c r="G30" s="18" t="s">
        <v>18437</v>
      </c>
      <c r="H30" s="18" t="s">
        <v>98</v>
      </c>
      <c r="I30" s="14" t="s">
        <v>28127</v>
      </c>
      <c r="J30" s="14">
        <v>1</v>
      </c>
      <c r="K30" s="14">
        <v>0</v>
      </c>
      <c r="L30" s="14" t="s">
        <v>26343</v>
      </c>
      <c r="M30" s="19" t="s">
        <v>101</v>
      </c>
      <c r="N30" s="14" t="s">
        <v>28128</v>
      </c>
      <c r="O30" s="14" t="s">
        <v>9805</v>
      </c>
      <c r="P30" s="14" t="str">
        <f>HYPERLINK("https://dexscreener.com/solana/7595tbPqDXijgZ3q2raR9aS311agcokwAJ21aczVpump", "View")</f>
        <v>View</v>
      </c>
    </row>
    <row r="31" spans="1:16" x14ac:dyDescent="0.25">
      <c r="A31" s="16" t="s">
        <v>4788</v>
      </c>
      <c r="B31" s="17">
        <v>1957790</v>
      </c>
      <c r="C31" s="17">
        <v>0</v>
      </c>
      <c r="D31" s="17" t="s">
        <v>9662</v>
      </c>
      <c r="E31" s="17" t="s">
        <v>3045</v>
      </c>
      <c r="F31" s="17" t="s">
        <v>96</v>
      </c>
      <c r="G31" s="18" t="s">
        <v>18437</v>
      </c>
      <c r="H31" s="18" t="s">
        <v>98</v>
      </c>
      <c r="I31" s="17" t="s">
        <v>28129</v>
      </c>
      <c r="J31" s="17">
        <v>1</v>
      </c>
      <c r="K31" s="17">
        <v>0</v>
      </c>
      <c r="L31" s="17" t="s">
        <v>28130</v>
      </c>
      <c r="M31" s="19" t="s">
        <v>101</v>
      </c>
      <c r="N31" s="17" t="s">
        <v>11522</v>
      </c>
      <c r="O31" s="17" t="s">
        <v>4792</v>
      </c>
      <c r="P31" s="17" t="str">
        <f>HYPERLINK("https://dexscreener.com/solana/2CtwtX2A3jXgxG8WFJThQiNZpHzvqiCVwNU4za9fWH23", "View")</f>
        <v>View</v>
      </c>
    </row>
    <row r="32" spans="1:16" x14ac:dyDescent="0.25">
      <c r="A32" s="13" t="s">
        <v>26349</v>
      </c>
      <c r="B32" s="14">
        <v>1929834</v>
      </c>
      <c r="C32" s="14">
        <v>0</v>
      </c>
      <c r="D32" s="14" t="s">
        <v>9662</v>
      </c>
      <c r="E32" s="14" t="s">
        <v>2186</v>
      </c>
      <c r="F32" s="14" t="s">
        <v>96</v>
      </c>
      <c r="G32" s="18" t="s">
        <v>2912</v>
      </c>
      <c r="H32" s="18" t="s">
        <v>98</v>
      </c>
      <c r="I32" s="14" t="s">
        <v>28131</v>
      </c>
      <c r="J32" s="14">
        <v>1</v>
      </c>
      <c r="K32" s="14">
        <v>0</v>
      </c>
      <c r="L32" s="14" t="s">
        <v>28132</v>
      </c>
      <c r="M32" s="19" t="s">
        <v>101</v>
      </c>
      <c r="N32" s="14" t="s">
        <v>28133</v>
      </c>
      <c r="O32" s="14" t="s">
        <v>26353</v>
      </c>
      <c r="P32" s="14" t="str">
        <f>HYPERLINK("https://photon-sol.tinyastro.io/en/lp/32GkYeFscJRLH1ZYxzg52kQxcTQxRK49cn87vGtHpump?handle=676050794bc1b1657a56b", "View")</f>
        <v>View</v>
      </c>
    </row>
    <row r="33" spans="1:16" x14ac:dyDescent="0.25">
      <c r="A33" s="16" t="s">
        <v>9831</v>
      </c>
      <c r="B33" s="17">
        <v>251382</v>
      </c>
      <c r="C33" s="17">
        <v>0</v>
      </c>
      <c r="D33" s="17" t="s">
        <v>9662</v>
      </c>
      <c r="E33" s="17" t="s">
        <v>2200</v>
      </c>
      <c r="F33" s="17" t="s">
        <v>96</v>
      </c>
      <c r="G33" s="18" t="s">
        <v>13011</v>
      </c>
      <c r="H33" s="18" t="s">
        <v>98</v>
      </c>
      <c r="I33" s="17" t="s">
        <v>28134</v>
      </c>
      <c r="J33" s="17">
        <v>1</v>
      </c>
      <c r="K33" s="17">
        <v>0</v>
      </c>
      <c r="L33" s="17" t="s">
        <v>28135</v>
      </c>
      <c r="M33" s="19" t="s">
        <v>101</v>
      </c>
      <c r="N33" s="17" t="s">
        <v>28136</v>
      </c>
      <c r="O33" s="17" t="s">
        <v>9835</v>
      </c>
      <c r="P33" s="17" t="str">
        <f>HYPERLINK("https://dexscreener.com/solana/CFBYjzT357obRmihT9F5uyCY3kqgksRvXKM3RJN1pump", "View")</f>
        <v>View</v>
      </c>
    </row>
    <row r="34" spans="1:16" x14ac:dyDescent="0.25">
      <c r="A34" s="13" t="s">
        <v>26359</v>
      </c>
      <c r="B34" s="14">
        <v>806208</v>
      </c>
      <c r="C34" s="14">
        <v>0</v>
      </c>
      <c r="D34" s="14" t="s">
        <v>9662</v>
      </c>
      <c r="E34" s="14" t="s">
        <v>9395</v>
      </c>
      <c r="F34" s="14" t="s">
        <v>96</v>
      </c>
      <c r="G34" s="18" t="s">
        <v>19201</v>
      </c>
      <c r="H34" s="18" t="s">
        <v>98</v>
      </c>
      <c r="I34" s="14" t="s">
        <v>28137</v>
      </c>
      <c r="J34" s="14">
        <v>1</v>
      </c>
      <c r="K34" s="14">
        <v>0</v>
      </c>
      <c r="L34" s="14" t="s">
        <v>26361</v>
      </c>
      <c r="M34" s="19" t="s">
        <v>101</v>
      </c>
      <c r="N34" s="14" t="s">
        <v>26362</v>
      </c>
      <c r="O34" s="14" t="s">
        <v>26363</v>
      </c>
      <c r="P34" s="14" t="str">
        <f>HYPERLINK("https://dexscreener.com/solana/2aVCSF8R74m5Nh18nXUSx1YDNS3Zxj2kQCa3mrdgpump", "View")</f>
        <v>View</v>
      </c>
    </row>
    <row r="35" spans="1:16" x14ac:dyDescent="0.25">
      <c r="A35" s="16" t="s">
        <v>26367</v>
      </c>
      <c r="B35" s="17">
        <v>3481809</v>
      </c>
      <c r="C35" s="17">
        <v>3481809</v>
      </c>
      <c r="D35" s="17" t="s">
        <v>8685</v>
      </c>
      <c r="E35" s="17" t="s">
        <v>7462</v>
      </c>
      <c r="F35" s="17" t="s">
        <v>4838</v>
      </c>
      <c r="G35" s="15" t="s">
        <v>1945</v>
      </c>
      <c r="H35" s="15" t="s">
        <v>28138</v>
      </c>
      <c r="I35" s="17" t="s">
        <v>88</v>
      </c>
      <c r="J35" s="17">
        <v>1</v>
      </c>
      <c r="K35" s="17">
        <v>1</v>
      </c>
      <c r="L35" s="17" t="s">
        <v>28139</v>
      </c>
      <c r="M35" s="17" t="s">
        <v>1434</v>
      </c>
      <c r="N35" s="17" t="s">
        <v>2763</v>
      </c>
      <c r="O35" s="17" t="s">
        <v>26370</v>
      </c>
      <c r="P35" s="17" t="str">
        <f>HYPERLINK("https://photon-sol.tinyastro.io/en/lp/7CikmYdm5NDb4edDuJh2cpjiihBbbNiALobekcpUpump?handle=676050794bc1b1657a56b", "View")</f>
        <v>View</v>
      </c>
    </row>
    <row r="36" spans="1:16" x14ac:dyDescent="0.25">
      <c r="A36" s="13" t="s">
        <v>26371</v>
      </c>
      <c r="B36" s="14">
        <v>1992338</v>
      </c>
      <c r="C36" s="14">
        <v>1992338</v>
      </c>
      <c r="D36" s="14" t="s">
        <v>8685</v>
      </c>
      <c r="E36" s="14" t="s">
        <v>3682</v>
      </c>
      <c r="F36" s="14" t="s">
        <v>4989</v>
      </c>
      <c r="G36" s="15" t="s">
        <v>12883</v>
      </c>
      <c r="H36" s="15" t="s">
        <v>28140</v>
      </c>
      <c r="I36" s="14" t="s">
        <v>88</v>
      </c>
      <c r="J36" s="14">
        <v>1</v>
      </c>
      <c r="K36" s="14">
        <v>1</v>
      </c>
      <c r="L36" s="14" t="s">
        <v>28141</v>
      </c>
      <c r="M36" s="14" t="s">
        <v>4922</v>
      </c>
      <c r="N36" s="14" t="s">
        <v>23253</v>
      </c>
      <c r="O36" s="14" t="s">
        <v>26375</v>
      </c>
      <c r="P36" s="14" t="str">
        <f>HYPERLINK("https://photon-sol.tinyastro.io/en/lp/HpDFmLyMnxafwZZEPiJ65JZYvPxgCN5txusaAEvnpump?handle=676050794bc1b1657a56b", "View")</f>
        <v>View</v>
      </c>
    </row>
    <row r="37" spans="1:16" x14ac:dyDescent="0.25">
      <c r="A37" s="16" t="s">
        <v>26384</v>
      </c>
      <c r="B37" s="17">
        <v>1647194</v>
      </c>
      <c r="C37" s="17">
        <v>0</v>
      </c>
      <c r="D37" s="17" t="s">
        <v>9662</v>
      </c>
      <c r="E37" s="17" t="s">
        <v>5674</v>
      </c>
      <c r="F37" s="17" t="s">
        <v>96</v>
      </c>
      <c r="G37" s="18" t="s">
        <v>22783</v>
      </c>
      <c r="H37" s="18" t="s">
        <v>98</v>
      </c>
      <c r="I37" s="17" t="s">
        <v>28142</v>
      </c>
      <c r="J37" s="17">
        <v>1</v>
      </c>
      <c r="K37" s="17">
        <v>0</v>
      </c>
      <c r="L37" s="17" t="s">
        <v>28143</v>
      </c>
      <c r="M37" s="19" t="s">
        <v>101</v>
      </c>
      <c r="N37" s="17" t="s">
        <v>1240</v>
      </c>
      <c r="O37" s="17" t="s">
        <v>26386</v>
      </c>
      <c r="P37" s="17" t="str">
        <f>HYPERLINK("https://photon-sol.tinyastro.io/en/lp/95kXx8ZyrRQfNHaHfDD6KyfR7gisCMSnmVrZU2QbPSaq?handle=676050794bc1b1657a56b", "View")</f>
        <v>View</v>
      </c>
    </row>
    <row r="38" spans="1:16" x14ac:dyDescent="0.25">
      <c r="A38" s="13" t="s">
        <v>26380</v>
      </c>
      <c r="B38" s="14">
        <v>1473512</v>
      </c>
      <c r="C38" s="14">
        <v>0</v>
      </c>
      <c r="D38" s="14" t="s">
        <v>9662</v>
      </c>
      <c r="E38" s="14" t="s">
        <v>3859</v>
      </c>
      <c r="F38" s="14" t="s">
        <v>96</v>
      </c>
      <c r="G38" s="18" t="s">
        <v>20641</v>
      </c>
      <c r="H38" s="18" t="s">
        <v>98</v>
      </c>
      <c r="I38" s="14" t="s">
        <v>28144</v>
      </c>
      <c r="J38" s="14">
        <v>1</v>
      </c>
      <c r="K38" s="14">
        <v>0</v>
      </c>
      <c r="L38" s="14" t="s">
        <v>28145</v>
      </c>
      <c r="M38" s="19" t="s">
        <v>101</v>
      </c>
      <c r="N38" s="14" t="s">
        <v>223</v>
      </c>
      <c r="O38" s="14" t="s">
        <v>26383</v>
      </c>
      <c r="P38" s="14" t="str">
        <f>HYPERLINK("https://photon-sol.tinyastro.io/en/lp/7LoZyi93eNYz7WYWs3N7gxzPf3mLRj68wy82Tfu2pump?handle=676050794bc1b1657a56b", "View")</f>
        <v>View</v>
      </c>
    </row>
    <row r="39" spans="1:16" x14ac:dyDescent="0.25">
      <c r="A39" s="16" t="s">
        <v>26387</v>
      </c>
      <c r="B39" s="17">
        <v>206334</v>
      </c>
      <c r="C39" s="17">
        <v>0</v>
      </c>
      <c r="D39" s="17" t="s">
        <v>9662</v>
      </c>
      <c r="E39" s="17" t="s">
        <v>2200</v>
      </c>
      <c r="F39" s="17" t="s">
        <v>96</v>
      </c>
      <c r="G39" s="18" t="s">
        <v>13011</v>
      </c>
      <c r="H39" s="18" t="s">
        <v>98</v>
      </c>
      <c r="I39" s="17" t="s">
        <v>28146</v>
      </c>
      <c r="J39" s="17">
        <v>1</v>
      </c>
      <c r="K39" s="17">
        <v>0</v>
      </c>
      <c r="L39" s="17" t="s">
        <v>26389</v>
      </c>
      <c r="M39" s="19" t="s">
        <v>101</v>
      </c>
      <c r="N39" s="17" t="s">
        <v>28147</v>
      </c>
      <c r="O39" s="17" t="s">
        <v>26391</v>
      </c>
      <c r="P39" s="17" t="str">
        <f>HYPERLINK("https://dexscreener.com/solana/6iB7vcB6bcB5BGVf2gFXTvH2DfUeCiaT4FE9VYBQpump", "View")</f>
        <v>View</v>
      </c>
    </row>
    <row r="40" spans="1:16" x14ac:dyDescent="0.25">
      <c r="A40" s="13" t="s">
        <v>28148</v>
      </c>
      <c r="B40" s="14">
        <v>3451133</v>
      </c>
      <c r="C40" s="14">
        <v>0</v>
      </c>
      <c r="D40" s="14" t="s">
        <v>9662</v>
      </c>
      <c r="E40" s="14" t="s">
        <v>2200</v>
      </c>
      <c r="F40" s="14" t="s">
        <v>96</v>
      </c>
      <c r="G40" s="18" t="s">
        <v>13011</v>
      </c>
      <c r="H40" s="18" t="s">
        <v>98</v>
      </c>
      <c r="I40" s="14" t="s">
        <v>28149</v>
      </c>
      <c r="J40" s="14">
        <v>1</v>
      </c>
      <c r="K40" s="14">
        <v>0</v>
      </c>
      <c r="L40" s="14" t="s">
        <v>28150</v>
      </c>
      <c r="M40" s="19" t="s">
        <v>101</v>
      </c>
      <c r="N40" s="14" t="s">
        <v>13522</v>
      </c>
      <c r="O40" s="14" t="s">
        <v>28151</v>
      </c>
      <c r="P40" s="14" t="str">
        <f>HYPERLINK("https://dexscreener.com/solana/9jso3Fzdp8xuLXXbRuMAzZqpnp9U2Dn5s17Bxr11pump", "View")</f>
        <v>View</v>
      </c>
    </row>
    <row r="41" spans="1:16" x14ac:dyDescent="0.25">
      <c r="A41" s="16" t="s">
        <v>2579</v>
      </c>
      <c r="B41" s="17">
        <v>183550</v>
      </c>
      <c r="C41" s="17">
        <v>0</v>
      </c>
      <c r="D41" s="17" t="s">
        <v>9662</v>
      </c>
      <c r="E41" s="17" t="s">
        <v>2200</v>
      </c>
      <c r="F41" s="17" t="s">
        <v>96</v>
      </c>
      <c r="G41" s="18" t="s">
        <v>13011</v>
      </c>
      <c r="H41" s="18" t="s">
        <v>98</v>
      </c>
      <c r="I41" s="17" t="s">
        <v>28152</v>
      </c>
      <c r="J41" s="17">
        <v>1</v>
      </c>
      <c r="K41" s="17">
        <v>0</v>
      </c>
      <c r="L41" s="17" t="s">
        <v>26393</v>
      </c>
      <c r="M41" s="19" t="s">
        <v>101</v>
      </c>
      <c r="N41" s="17" t="s">
        <v>28153</v>
      </c>
      <c r="O41" s="17" t="s">
        <v>26395</v>
      </c>
      <c r="P41" s="17" t="str">
        <f>HYPERLINK("https://dexscreener.com/solana/6YHvVQ5B7tBbwmG4tU4ESbRKQKeiVBoE3q6u6sCWpump", "View")</f>
        <v>View</v>
      </c>
    </row>
    <row r="42" spans="1:16" x14ac:dyDescent="0.25">
      <c r="A42" s="13" t="s">
        <v>28154</v>
      </c>
      <c r="B42" s="14">
        <v>4344556</v>
      </c>
      <c r="C42" s="14">
        <v>0</v>
      </c>
      <c r="D42" s="14" t="s">
        <v>9662</v>
      </c>
      <c r="E42" s="14" t="s">
        <v>5573</v>
      </c>
      <c r="F42" s="14" t="s">
        <v>96</v>
      </c>
      <c r="G42" s="18" t="s">
        <v>10198</v>
      </c>
      <c r="H42" s="18" t="s">
        <v>98</v>
      </c>
      <c r="I42" s="14" t="s">
        <v>28155</v>
      </c>
      <c r="J42" s="14">
        <v>1</v>
      </c>
      <c r="K42" s="14">
        <v>0</v>
      </c>
      <c r="L42" s="14" t="s">
        <v>28156</v>
      </c>
      <c r="M42" s="19" t="s">
        <v>101</v>
      </c>
      <c r="N42" s="14" t="s">
        <v>13053</v>
      </c>
      <c r="O42" s="14" t="s">
        <v>28157</v>
      </c>
      <c r="P42" s="14" t="str">
        <f>HYPERLINK("https://dexscreener.com/solana/GoxzQqv43D6e4AM9ZB9GtJXAuGsXaSh9nTvSRRnzpump", "View")</f>
        <v>View</v>
      </c>
    </row>
    <row r="43" spans="1:16" x14ac:dyDescent="0.25">
      <c r="A43" s="16" t="s">
        <v>26396</v>
      </c>
      <c r="B43" s="17">
        <v>1450521</v>
      </c>
      <c r="C43" s="17">
        <v>0</v>
      </c>
      <c r="D43" s="17" t="s">
        <v>9662</v>
      </c>
      <c r="E43" s="17" t="s">
        <v>5065</v>
      </c>
      <c r="F43" s="17" t="s">
        <v>96</v>
      </c>
      <c r="G43" s="18" t="s">
        <v>3496</v>
      </c>
      <c r="H43" s="18" t="s">
        <v>98</v>
      </c>
      <c r="I43" s="17" t="s">
        <v>28158</v>
      </c>
      <c r="J43" s="17">
        <v>1</v>
      </c>
      <c r="K43" s="17">
        <v>0</v>
      </c>
      <c r="L43" s="17" t="s">
        <v>28159</v>
      </c>
      <c r="M43" s="19" t="s">
        <v>101</v>
      </c>
      <c r="N43" s="17" t="s">
        <v>13053</v>
      </c>
      <c r="O43" s="17" t="s">
        <v>26399</v>
      </c>
      <c r="P43" s="17" t="str">
        <f>HYPERLINK("https://dexscreener.com/solana/HzPd7yoaFNYZKCXepstCr7u8QuMhXF1aBS7NjxNppump", "View")</f>
        <v>View</v>
      </c>
    </row>
    <row r="44" spans="1:16" x14ac:dyDescent="0.25">
      <c r="A44" s="13" t="s">
        <v>26400</v>
      </c>
      <c r="B44" s="14">
        <v>197454</v>
      </c>
      <c r="C44" s="14">
        <v>0</v>
      </c>
      <c r="D44" s="14" t="s">
        <v>9662</v>
      </c>
      <c r="E44" s="14" t="s">
        <v>2200</v>
      </c>
      <c r="F44" s="14" t="s">
        <v>96</v>
      </c>
      <c r="G44" s="18" t="s">
        <v>13011</v>
      </c>
      <c r="H44" s="18" t="s">
        <v>98</v>
      </c>
      <c r="I44" s="14" t="s">
        <v>28160</v>
      </c>
      <c r="J44" s="14">
        <v>1</v>
      </c>
      <c r="K44" s="14">
        <v>0</v>
      </c>
      <c r="L44" s="14" t="s">
        <v>26402</v>
      </c>
      <c r="M44" s="19" t="s">
        <v>101</v>
      </c>
      <c r="N44" s="14" t="s">
        <v>28161</v>
      </c>
      <c r="O44" s="14" t="s">
        <v>26404</v>
      </c>
      <c r="P44" s="14" t="str">
        <f>HYPERLINK("https://dexscreener.com/solana/EJdD2Tx4MWzbhjMRAHpTPt7xHTr9wKyDqQtnXH2wpump", "View")</f>
        <v>View</v>
      </c>
    </row>
    <row r="45" spans="1:16" x14ac:dyDescent="0.25">
      <c r="A45" s="16" t="s">
        <v>18215</v>
      </c>
      <c r="B45" s="17">
        <v>1442180</v>
      </c>
      <c r="C45" s="17">
        <v>0</v>
      </c>
      <c r="D45" s="17" t="s">
        <v>9662</v>
      </c>
      <c r="E45" s="17" t="s">
        <v>5077</v>
      </c>
      <c r="F45" s="17" t="s">
        <v>96</v>
      </c>
      <c r="G45" s="18" t="s">
        <v>2172</v>
      </c>
      <c r="H45" s="18" t="s">
        <v>98</v>
      </c>
      <c r="I45" s="17" t="s">
        <v>28162</v>
      </c>
      <c r="J45" s="17">
        <v>1</v>
      </c>
      <c r="K45" s="17">
        <v>0</v>
      </c>
      <c r="L45" s="17" t="s">
        <v>26411</v>
      </c>
      <c r="M45" s="19" t="s">
        <v>101</v>
      </c>
      <c r="N45" s="17" t="s">
        <v>12453</v>
      </c>
      <c r="O45" s="17" t="s">
        <v>18218</v>
      </c>
      <c r="P45" s="17" t="str">
        <f>HYPERLINK("https://dexscreener.com/solana/DyjxrHGPiZYeanHJpSQS8gENSPfZgaqh1MdR4AoFpump", "View")</f>
        <v>View</v>
      </c>
    </row>
    <row r="46" spans="1:16" x14ac:dyDescent="0.25">
      <c r="A46" s="13" t="s">
        <v>26412</v>
      </c>
      <c r="B46" s="14">
        <v>1959234</v>
      </c>
      <c r="C46" s="14">
        <v>0</v>
      </c>
      <c r="D46" s="14" t="s">
        <v>9662</v>
      </c>
      <c r="E46" s="14" t="s">
        <v>9395</v>
      </c>
      <c r="F46" s="14" t="s">
        <v>96</v>
      </c>
      <c r="G46" s="18" t="s">
        <v>19201</v>
      </c>
      <c r="H46" s="18" t="s">
        <v>98</v>
      </c>
      <c r="I46" s="14" t="s">
        <v>28163</v>
      </c>
      <c r="J46" s="14">
        <v>1</v>
      </c>
      <c r="K46" s="14">
        <v>0</v>
      </c>
      <c r="L46" s="14" t="s">
        <v>26414</v>
      </c>
      <c r="M46" s="19" t="s">
        <v>101</v>
      </c>
      <c r="N46" s="14" t="s">
        <v>880</v>
      </c>
      <c r="O46" s="14" t="s">
        <v>26415</v>
      </c>
      <c r="P46" s="14" t="str">
        <f>HYPERLINK("https://dexscreener.com/solana/F8guQLPX3QfWwMTZ8SveQ7TAEYccyCDsayUh5ZoGpump", "View")</f>
        <v>View</v>
      </c>
    </row>
    <row r="47" spans="1:16" x14ac:dyDescent="0.25">
      <c r="A47" s="16" t="s">
        <v>18227</v>
      </c>
      <c r="B47" s="17">
        <v>229318</v>
      </c>
      <c r="C47" s="17">
        <v>0</v>
      </c>
      <c r="D47" s="17" t="s">
        <v>9662</v>
      </c>
      <c r="E47" s="17" t="s">
        <v>2200</v>
      </c>
      <c r="F47" s="17" t="s">
        <v>96</v>
      </c>
      <c r="G47" s="18" t="s">
        <v>13011</v>
      </c>
      <c r="H47" s="18" t="s">
        <v>98</v>
      </c>
      <c r="I47" s="17" t="s">
        <v>28164</v>
      </c>
      <c r="J47" s="17">
        <v>1</v>
      </c>
      <c r="K47" s="17">
        <v>0</v>
      </c>
      <c r="L47" s="17" t="s">
        <v>26422</v>
      </c>
      <c r="M47" s="19" t="s">
        <v>101</v>
      </c>
      <c r="N47" s="17" t="s">
        <v>28165</v>
      </c>
      <c r="O47" s="17" t="s">
        <v>18231</v>
      </c>
      <c r="P47" s="17" t="str">
        <f>HYPERLINK("https://dexscreener.com/solana/9AFJZo69ATfqf6qms3kd2hyDg7wKt1MHhr6dg8Tspump", "View")</f>
        <v>View</v>
      </c>
    </row>
    <row r="48" spans="1:16" x14ac:dyDescent="0.25">
      <c r="A48" s="13" t="s">
        <v>26424</v>
      </c>
      <c r="B48" s="14">
        <v>1027398</v>
      </c>
      <c r="C48" s="14">
        <v>0</v>
      </c>
      <c r="D48" s="14" t="s">
        <v>9662</v>
      </c>
      <c r="E48" s="14" t="s">
        <v>3045</v>
      </c>
      <c r="F48" s="14" t="s">
        <v>96</v>
      </c>
      <c r="G48" s="18" t="s">
        <v>18437</v>
      </c>
      <c r="H48" s="18" t="s">
        <v>98</v>
      </c>
      <c r="I48" s="14" t="s">
        <v>28166</v>
      </c>
      <c r="J48" s="14">
        <v>1</v>
      </c>
      <c r="K48" s="14">
        <v>0</v>
      </c>
      <c r="L48" s="14" t="s">
        <v>26426</v>
      </c>
      <c r="M48" s="19" t="s">
        <v>101</v>
      </c>
      <c r="N48" s="14" t="s">
        <v>18473</v>
      </c>
      <c r="O48" s="14" t="s">
        <v>26427</v>
      </c>
      <c r="P48" s="14" t="str">
        <f>HYPERLINK("https://dexscreener.com/solana/CBAZNZrZtiBB3GToBqCZ9sRiXZV1z81F6ncH9Exqpump", "View")</f>
        <v>View</v>
      </c>
    </row>
    <row r="49" spans="1:16" x14ac:dyDescent="0.25">
      <c r="A49" s="16" t="s">
        <v>4879</v>
      </c>
      <c r="B49" s="17">
        <v>315470</v>
      </c>
      <c r="C49" s="17">
        <v>0</v>
      </c>
      <c r="D49" s="17" t="s">
        <v>9662</v>
      </c>
      <c r="E49" s="17" t="s">
        <v>2200</v>
      </c>
      <c r="F49" s="17" t="s">
        <v>96</v>
      </c>
      <c r="G49" s="18" t="s">
        <v>13011</v>
      </c>
      <c r="H49" s="18" t="s">
        <v>98</v>
      </c>
      <c r="I49" s="17" t="s">
        <v>28167</v>
      </c>
      <c r="J49" s="17">
        <v>1</v>
      </c>
      <c r="K49" s="17">
        <v>0</v>
      </c>
      <c r="L49" s="17" t="s">
        <v>28168</v>
      </c>
      <c r="M49" s="19" t="s">
        <v>101</v>
      </c>
      <c r="N49" s="17" t="s">
        <v>28169</v>
      </c>
      <c r="O49" s="17" t="s">
        <v>4884</v>
      </c>
      <c r="P49" s="17" t="str">
        <f>HYPERLINK("https://dexscreener.com/solana/EegQmCFNWdhZsh75XUdW2TaM8S13LAGf6JzNgHpxpump", "View")</f>
        <v>View</v>
      </c>
    </row>
    <row r="50" spans="1:16" x14ac:dyDescent="0.25">
      <c r="A50" s="13" t="s">
        <v>5811</v>
      </c>
      <c r="B50" s="14">
        <v>678240</v>
      </c>
      <c r="C50" s="14">
        <v>0</v>
      </c>
      <c r="D50" s="14" t="s">
        <v>9662</v>
      </c>
      <c r="E50" s="14" t="s">
        <v>3045</v>
      </c>
      <c r="F50" s="14" t="s">
        <v>96</v>
      </c>
      <c r="G50" s="18" t="s">
        <v>18437</v>
      </c>
      <c r="H50" s="18" t="s">
        <v>98</v>
      </c>
      <c r="I50" s="14" t="s">
        <v>28170</v>
      </c>
      <c r="J50" s="14">
        <v>1</v>
      </c>
      <c r="K50" s="14">
        <v>0</v>
      </c>
      <c r="L50" s="14" t="s">
        <v>26432</v>
      </c>
      <c r="M50" s="19" t="s">
        <v>101</v>
      </c>
      <c r="N50" s="14" t="s">
        <v>26433</v>
      </c>
      <c r="O50" s="14" t="s">
        <v>26434</v>
      </c>
      <c r="P50" s="14" t="str">
        <f>HYPERLINK("https://dexscreener.com/solana/HcSHefAEHNtxbDASQEeMrjjF26FFjMFV7pqfifBXpump", "View")</f>
        <v>View</v>
      </c>
    </row>
    <row r="51" spans="1:16" x14ac:dyDescent="0.25">
      <c r="A51" s="16" t="s">
        <v>16163</v>
      </c>
      <c r="B51" s="17">
        <v>399501</v>
      </c>
      <c r="C51" s="17">
        <v>399501</v>
      </c>
      <c r="D51" s="17" t="s">
        <v>10517</v>
      </c>
      <c r="E51" s="17" t="s">
        <v>2200</v>
      </c>
      <c r="F51" s="17" t="s">
        <v>10641</v>
      </c>
      <c r="G51" s="15" t="s">
        <v>9004</v>
      </c>
      <c r="H51" s="15" t="s">
        <v>28171</v>
      </c>
      <c r="I51" s="17" t="s">
        <v>88</v>
      </c>
      <c r="J51" s="17">
        <v>1</v>
      </c>
      <c r="K51" s="17">
        <v>1</v>
      </c>
      <c r="L51" s="17" t="s">
        <v>28172</v>
      </c>
      <c r="M51" s="17" t="s">
        <v>179</v>
      </c>
      <c r="N51" s="17" t="s">
        <v>18692</v>
      </c>
      <c r="O51" s="17" t="s">
        <v>16168</v>
      </c>
      <c r="P51" s="17" t="str">
        <f>HYPERLINK("https://dexscreener.com/solana/HEYEkK75ZTh5CBbozwWbxJBsjUVygtzuetCxXUjmpump", "View")</f>
        <v>View</v>
      </c>
    </row>
    <row r="52" spans="1:16" x14ac:dyDescent="0.25">
      <c r="A52" s="13" t="s">
        <v>19737</v>
      </c>
      <c r="B52" s="14">
        <v>487281</v>
      </c>
      <c r="C52" s="14">
        <v>0</v>
      </c>
      <c r="D52" s="14" t="s">
        <v>9662</v>
      </c>
      <c r="E52" s="14" t="s">
        <v>2200</v>
      </c>
      <c r="F52" s="14" t="s">
        <v>96</v>
      </c>
      <c r="G52" s="18" t="s">
        <v>13011</v>
      </c>
      <c r="H52" s="18" t="s">
        <v>98</v>
      </c>
      <c r="I52" s="14" t="s">
        <v>28173</v>
      </c>
      <c r="J52" s="14">
        <v>1</v>
      </c>
      <c r="K52" s="14">
        <v>0</v>
      </c>
      <c r="L52" s="14" t="s">
        <v>26455</v>
      </c>
      <c r="M52" s="19" t="s">
        <v>101</v>
      </c>
      <c r="N52" s="14" t="s">
        <v>28174</v>
      </c>
      <c r="O52" s="14" t="s">
        <v>19744</v>
      </c>
      <c r="P52" s="14" t="str">
        <f>HYPERLINK("https://dexscreener.com/solana/58ofVUi8HEDL22i6BMgv4Xycirs7uHgLVqfRiXS7pump", "View")</f>
        <v>View</v>
      </c>
    </row>
    <row r="53" spans="1:16" x14ac:dyDescent="0.25">
      <c r="A53" s="16" t="s">
        <v>26460</v>
      </c>
      <c r="B53" s="17">
        <v>515320</v>
      </c>
      <c r="C53" s="17">
        <v>0</v>
      </c>
      <c r="D53" s="17" t="s">
        <v>9662</v>
      </c>
      <c r="E53" s="17" t="s">
        <v>2200</v>
      </c>
      <c r="F53" s="17" t="s">
        <v>96</v>
      </c>
      <c r="G53" s="18" t="s">
        <v>13011</v>
      </c>
      <c r="H53" s="18" t="s">
        <v>98</v>
      </c>
      <c r="I53" s="17" t="s">
        <v>28175</v>
      </c>
      <c r="J53" s="17">
        <v>1</v>
      </c>
      <c r="K53" s="17">
        <v>0</v>
      </c>
      <c r="L53" s="17" t="s">
        <v>26462</v>
      </c>
      <c r="M53" s="19" t="s">
        <v>101</v>
      </c>
      <c r="N53" s="17" t="s">
        <v>26456</v>
      </c>
      <c r="O53" s="17" t="s">
        <v>26463</v>
      </c>
      <c r="P53" s="17" t="str">
        <f>HYPERLINK("https://dexscreener.com/solana/AFmnF7gsWVmKCvcLM4xFgsZfz4JNLw53d3uAZYLWpump", "View")</f>
        <v>View</v>
      </c>
    </row>
    <row r="54" spans="1:16" x14ac:dyDescent="0.25">
      <c r="A54" s="13" t="s">
        <v>320</v>
      </c>
      <c r="B54" s="14">
        <v>292583</v>
      </c>
      <c r="C54" s="14">
        <v>0</v>
      </c>
      <c r="D54" s="14" t="s">
        <v>9662</v>
      </c>
      <c r="E54" s="14" t="s">
        <v>2200</v>
      </c>
      <c r="F54" s="14" t="s">
        <v>96</v>
      </c>
      <c r="G54" s="18" t="s">
        <v>13011</v>
      </c>
      <c r="H54" s="18" t="s">
        <v>98</v>
      </c>
      <c r="I54" s="14" t="s">
        <v>28176</v>
      </c>
      <c r="J54" s="14">
        <v>1</v>
      </c>
      <c r="K54" s="14">
        <v>0</v>
      </c>
      <c r="L54" s="14" t="s">
        <v>26478</v>
      </c>
      <c r="M54" s="19" t="s">
        <v>101</v>
      </c>
      <c r="N54" s="14" t="s">
        <v>28177</v>
      </c>
      <c r="O54" s="14" t="s">
        <v>324</v>
      </c>
      <c r="P54" s="14" t="str">
        <f>HYPERLINK("https://dexscreener.com/solana/iByRAnwB6oHjphgaixPkKqno41ida9yqKwwmrsKpump", "View")</f>
        <v>View</v>
      </c>
    </row>
    <row r="55" spans="1:16" x14ac:dyDescent="0.25">
      <c r="A55" s="16" t="s">
        <v>26468</v>
      </c>
      <c r="B55" s="17">
        <v>1088862</v>
      </c>
      <c r="C55" s="17">
        <v>0</v>
      </c>
      <c r="D55" s="17" t="s">
        <v>9662</v>
      </c>
      <c r="E55" s="17" t="s">
        <v>3045</v>
      </c>
      <c r="F55" s="17" t="s">
        <v>96</v>
      </c>
      <c r="G55" s="18" t="s">
        <v>18437</v>
      </c>
      <c r="H55" s="18" t="s">
        <v>98</v>
      </c>
      <c r="I55" s="17" t="s">
        <v>28178</v>
      </c>
      <c r="J55" s="17">
        <v>1</v>
      </c>
      <c r="K55" s="17">
        <v>0</v>
      </c>
      <c r="L55" s="17" t="s">
        <v>28179</v>
      </c>
      <c r="M55" s="19" t="s">
        <v>101</v>
      </c>
      <c r="N55" s="17" t="s">
        <v>28180</v>
      </c>
      <c r="O55" s="17" t="s">
        <v>26472</v>
      </c>
      <c r="P55" s="17" t="str">
        <f>HYPERLINK("https://dexscreener.com/solana/7458jTLdMTuqtfHg1eiPY3vUvDX6RgKZAntATVPDpump", "View")</f>
        <v>View</v>
      </c>
    </row>
    <row r="56" spans="1:16" x14ac:dyDescent="0.25">
      <c r="A56" s="13" t="s">
        <v>26529</v>
      </c>
      <c r="B56" s="14">
        <v>2582871</v>
      </c>
      <c r="C56" s="14">
        <v>2582871</v>
      </c>
      <c r="D56" s="14" t="s">
        <v>10517</v>
      </c>
      <c r="E56" s="14" t="s">
        <v>5894</v>
      </c>
      <c r="F56" s="14" t="s">
        <v>28181</v>
      </c>
      <c r="G56" s="21" t="s">
        <v>28182</v>
      </c>
      <c r="H56" s="21" t="s">
        <v>28183</v>
      </c>
      <c r="I56" s="14" t="s">
        <v>88</v>
      </c>
      <c r="J56" s="14">
        <v>1</v>
      </c>
      <c r="K56" s="14">
        <v>1</v>
      </c>
      <c r="L56" s="14" t="s">
        <v>28184</v>
      </c>
      <c r="M56" s="14" t="s">
        <v>179</v>
      </c>
      <c r="N56" s="14" t="s">
        <v>24195</v>
      </c>
      <c r="O56" s="14" t="s">
        <v>26532</v>
      </c>
      <c r="P56" s="14" t="str">
        <f>HYPERLINK("https://photon-sol.tinyastro.io/en/lp/AnQCNde4nXGG4vT6XGpYJc7tyh1cjwyjC3raeRxnNN4F?handle=676050794bc1b1657a56b", "View")</f>
        <v>View</v>
      </c>
    </row>
    <row r="57" spans="1:16" x14ac:dyDescent="0.25">
      <c r="A57" s="16" t="s">
        <v>28185</v>
      </c>
      <c r="B57" s="17">
        <v>1789083</v>
      </c>
      <c r="C57" s="17">
        <v>0</v>
      </c>
      <c r="D57" s="17" t="s">
        <v>9662</v>
      </c>
      <c r="E57" s="17" t="s">
        <v>3859</v>
      </c>
      <c r="F57" s="17" t="s">
        <v>96</v>
      </c>
      <c r="G57" s="18" t="s">
        <v>11596</v>
      </c>
      <c r="H57" s="18" t="s">
        <v>98</v>
      </c>
      <c r="I57" s="17" t="s">
        <v>28186</v>
      </c>
      <c r="J57" s="17">
        <v>1</v>
      </c>
      <c r="K57" s="17">
        <v>0</v>
      </c>
      <c r="L57" s="17" t="s">
        <v>28187</v>
      </c>
      <c r="M57" s="19" t="s">
        <v>101</v>
      </c>
      <c r="N57" s="17" t="s">
        <v>1240</v>
      </c>
      <c r="O57" s="17" t="s">
        <v>28188</v>
      </c>
      <c r="P57" s="17" t="str">
        <f>HYPERLINK("https://photon-sol.tinyastro.io/en/lp/3PgU1nJK3NSimGLDpC3BnzVarxNSfcMwwGrt9SF6pump?handle=676050794bc1b1657a56b", "View")</f>
        <v>View</v>
      </c>
    </row>
    <row r="58" spans="1:16" x14ac:dyDescent="0.25">
      <c r="A58" s="13" t="s">
        <v>2995</v>
      </c>
      <c r="B58" s="14">
        <v>1984145</v>
      </c>
      <c r="C58" s="14">
        <v>0</v>
      </c>
      <c r="D58" s="14" t="s">
        <v>9662</v>
      </c>
      <c r="E58" s="14" t="s">
        <v>2823</v>
      </c>
      <c r="F58" s="14" t="s">
        <v>96</v>
      </c>
      <c r="G58" s="18" t="s">
        <v>22829</v>
      </c>
      <c r="H58" s="18" t="s">
        <v>98</v>
      </c>
      <c r="I58" s="14" t="s">
        <v>28189</v>
      </c>
      <c r="J58" s="14">
        <v>1</v>
      </c>
      <c r="K58" s="14">
        <v>0</v>
      </c>
      <c r="L58" s="14" t="s">
        <v>26502</v>
      </c>
      <c r="M58" s="19" t="s">
        <v>101</v>
      </c>
      <c r="N58" s="14" t="s">
        <v>2411</v>
      </c>
      <c r="O58" s="14" t="s">
        <v>26503</v>
      </c>
      <c r="P58" s="14" t="str">
        <f>HYPERLINK("https://photon-sol.tinyastro.io/en/lp/HUvjDmYNXL45eaPqi8176ihpYTAMxknr2dUWKN8spump?handle=676050794bc1b1657a56b", "View")</f>
        <v>View</v>
      </c>
    </row>
    <row r="59" spans="1:16" x14ac:dyDescent="0.25">
      <c r="A59" s="16" t="s">
        <v>26504</v>
      </c>
      <c r="B59" s="17">
        <v>1238645</v>
      </c>
      <c r="C59" s="17">
        <v>0</v>
      </c>
      <c r="D59" s="17" t="s">
        <v>9662</v>
      </c>
      <c r="E59" s="17" t="s">
        <v>7749</v>
      </c>
      <c r="F59" s="17" t="s">
        <v>96</v>
      </c>
      <c r="G59" s="18" t="s">
        <v>18265</v>
      </c>
      <c r="H59" s="18" t="s">
        <v>98</v>
      </c>
      <c r="I59" s="17" t="s">
        <v>28190</v>
      </c>
      <c r="J59" s="17">
        <v>1</v>
      </c>
      <c r="K59" s="17">
        <v>0</v>
      </c>
      <c r="L59" s="17" t="s">
        <v>28191</v>
      </c>
      <c r="M59" s="19" t="s">
        <v>101</v>
      </c>
      <c r="N59" s="17" t="s">
        <v>4534</v>
      </c>
      <c r="O59" s="17" t="s">
        <v>26506</v>
      </c>
      <c r="P59" s="17" t="str">
        <f>HYPERLINK("https://photon-sol.tinyastro.io/en/lp/DCqFw7Pu4eMgWdEqNPDuvLRRaRgD2xbJ6pozMED6pump?handle=676050794bc1b1657a56b", "View")</f>
        <v>View</v>
      </c>
    </row>
    <row r="60" spans="1:16" x14ac:dyDescent="0.25">
      <c r="A60" s="13" t="s">
        <v>26512</v>
      </c>
      <c r="B60" s="14">
        <v>1549954</v>
      </c>
      <c r="C60" s="14">
        <v>0</v>
      </c>
      <c r="D60" s="14" t="s">
        <v>9662</v>
      </c>
      <c r="E60" s="14" t="s">
        <v>3563</v>
      </c>
      <c r="F60" s="14" t="s">
        <v>96</v>
      </c>
      <c r="G60" s="18" t="s">
        <v>1945</v>
      </c>
      <c r="H60" s="18" t="s">
        <v>98</v>
      </c>
      <c r="I60" s="14" t="s">
        <v>28192</v>
      </c>
      <c r="J60" s="14">
        <v>1</v>
      </c>
      <c r="K60" s="14">
        <v>0</v>
      </c>
      <c r="L60" s="14" t="s">
        <v>26515</v>
      </c>
      <c r="M60" s="19" t="s">
        <v>101</v>
      </c>
      <c r="N60" s="14" t="s">
        <v>1264</v>
      </c>
      <c r="O60" s="14" t="s">
        <v>26516</v>
      </c>
      <c r="P60" s="14" t="str">
        <f>HYPERLINK("https://photon-sol.tinyastro.io/en/lp/embRm6LVgkHiV4cSwHzuoYRMuW5ybk3GtimnPLrpump?handle=676050794bc1b1657a56b", "View")</f>
        <v>View</v>
      </c>
    </row>
    <row r="61" spans="1:16" x14ac:dyDescent="0.25">
      <c r="A61" s="16" t="s">
        <v>26507</v>
      </c>
      <c r="B61" s="17">
        <v>2433338</v>
      </c>
      <c r="C61" s="17">
        <v>0</v>
      </c>
      <c r="D61" s="17" t="s">
        <v>9662</v>
      </c>
      <c r="E61" s="17" t="s">
        <v>16962</v>
      </c>
      <c r="F61" s="17" t="s">
        <v>96</v>
      </c>
      <c r="G61" s="18" t="s">
        <v>2726</v>
      </c>
      <c r="H61" s="18" t="s">
        <v>98</v>
      </c>
      <c r="I61" s="17" t="s">
        <v>28193</v>
      </c>
      <c r="J61" s="17">
        <v>1</v>
      </c>
      <c r="K61" s="17">
        <v>0</v>
      </c>
      <c r="L61" s="17" t="s">
        <v>28194</v>
      </c>
      <c r="M61" s="19" t="s">
        <v>101</v>
      </c>
      <c r="N61" s="17" t="s">
        <v>1471</v>
      </c>
      <c r="O61" s="17" t="s">
        <v>26511</v>
      </c>
      <c r="P61" s="17" t="str">
        <f>HYPERLINK("https://photon-sol.tinyastro.io/en/lp/5oqmSZe3mYnvda4uuzvif2KGXzx77VzRm8ez4aswpump?handle=676050794bc1b1657a56b", "View")</f>
        <v>View</v>
      </c>
    </row>
    <row r="62" spans="1:16" x14ac:dyDescent="0.25">
      <c r="A62" s="13" t="s">
        <v>24948</v>
      </c>
      <c r="B62" s="14">
        <v>4013451</v>
      </c>
      <c r="C62" s="14">
        <v>0</v>
      </c>
      <c r="D62" s="14" t="s">
        <v>9662</v>
      </c>
      <c r="E62" s="14" t="s">
        <v>15334</v>
      </c>
      <c r="F62" s="14" t="s">
        <v>96</v>
      </c>
      <c r="G62" s="18" t="s">
        <v>3966</v>
      </c>
      <c r="H62" s="18" t="s">
        <v>98</v>
      </c>
      <c r="I62" s="14" t="s">
        <v>28195</v>
      </c>
      <c r="J62" s="14">
        <v>1</v>
      </c>
      <c r="K62" s="14">
        <v>0</v>
      </c>
      <c r="L62" s="14" t="s">
        <v>26518</v>
      </c>
      <c r="M62" s="19" t="s">
        <v>101</v>
      </c>
      <c r="N62" s="14" t="s">
        <v>1980</v>
      </c>
      <c r="O62" s="14" t="s">
        <v>26519</v>
      </c>
      <c r="P62" s="14" t="str">
        <f>HYPERLINK("https://photon-sol.tinyastro.io/en/lp/GqTt3nV6JnhVHSuDFr6DYuLU9zWmwgDc7myeihnQpump?handle=676050794bc1b1657a56b", "View")</f>
        <v>View</v>
      </c>
    </row>
    <row r="63" spans="1:16" x14ac:dyDescent="0.25">
      <c r="A63" s="16" t="s">
        <v>26520</v>
      </c>
      <c r="B63" s="17">
        <v>1287362</v>
      </c>
      <c r="C63" s="17">
        <v>0</v>
      </c>
      <c r="D63" s="17" t="s">
        <v>9662</v>
      </c>
      <c r="E63" s="17" t="s">
        <v>2890</v>
      </c>
      <c r="F63" s="17" t="s">
        <v>96</v>
      </c>
      <c r="G63" s="18" t="s">
        <v>11479</v>
      </c>
      <c r="H63" s="18" t="s">
        <v>98</v>
      </c>
      <c r="I63" s="17" t="s">
        <v>28196</v>
      </c>
      <c r="J63" s="17">
        <v>1</v>
      </c>
      <c r="K63" s="17">
        <v>0</v>
      </c>
      <c r="L63" s="17" t="s">
        <v>28197</v>
      </c>
      <c r="M63" s="19" t="s">
        <v>101</v>
      </c>
      <c r="N63" s="17" t="s">
        <v>4104</v>
      </c>
      <c r="O63" s="17" t="s">
        <v>26522</v>
      </c>
      <c r="P63" s="17" t="str">
        <f>HYPERLINK("https://dexscreener.com/solana/738jvbkArGJ5pr969bzTohhfCqqw4x6mnsxoyJY7pump", "View")</f>
        <v>View</v>
      </c>
    </row>
    <row r="64" spans="1:16" x14ac:dyDescent="0.25">
      <c r="A64" s="13" t="s">
        <v>482</v>
      </c>
      <c r="B64" s="14">
        <v>449013</v>
      </c>
      <c r="C64" s="14">
        <v>0</v>
      </c>
      <c r="D64" s="14" t="s">
        <v>9662</v>
      </c>
      <c r="E64" s="14" t="s">
        <v>2200</v>
      </c>
      <c r="F64" s="14" t="s">
        <v>96</v>
      </c>
      <c r="G64" s="18" t="s">
        <v>13011</v>
      </c>
      <c r="H64" s="18" t="s">
        <v>98</v>
      </c>
      <c r="I64" s="14" t="s">
        <v>28198</v>
      </c>
      <c r="J64" s="14">
        <v>1</v>
      </c>
      <c r="K64" s="14">
        <v>0</v>
      </c>
      <c r="L64" s="14" t="s">
        <v>26527</v>
      </c>
      <c r="M64" s="19" t="s">
        <v>101</v>
      </c>
      <c r="N64" s="14" t="s">
        <v>28199</v>
      </c>
      <c r="O64" s="14" t="s">
        <v>490</v>
      </c>
      <c r="P64" s="14" t="str">
        <f>HYPERLINK("https://dexscreener.com/solana/69G8CpUVZAxbPMiEBrfCCCH445NwFxH6PzVL693Xpump", "View")</f>
        <v>View</v>
      </c>
    </row>
    <row r="65" spans="1:16" x14ac:dyDescent="0.25">
      <c r="A65" s="16" t="s">
        <v>8933</v>
      </c>
      <c r="B65" s="17">
        <v>1256777</v>
      </c>
      <c r="C65" s="17">
        <v>1256777</v>
      </c>
      <c r="D65" s="17" t="s">
        <v>10536</v>
      </c>
      <c r="E65" s="17" t="s">
        <v>2823</v>
      </c>
      <c r="F65" s="17" t="s">
        <v>4020</v>
      </c>
      <c r="G65" s="15" t="s">
        <v>4174</v>
      </c>
      <c r="H65" s="15" t="s">
        <v>21017</v>
      </c>
      <c r="I65" s="17" t="s">
        <v>88</v>
      </c>
      <c r="J65" s="17">
        <v>1</v>
      </c>
      <c r="K65" s="17">
        <v>2</v>
      </c>
      <c r="L65" s="17" t="s">
        <v>28200</v>
      </c>
      <c r="M65" s="17" t="s">
        <v>1448</v>
      </c>
      <c r="N65" s="17" t="s">
        <v>28201</v>
      </c>
      <c r="O65" s="17" t="s">
        <v>8941</v>
      </c>
      <c r="P65" s="17" t="str">
        <f>HYPERLINK("https://photon-sol.tinyastro.io/en/lp/sjk6fNpHQEeWvk9sJrKEqTTLVZePbFqyeJSqB7kpump?handle=676050794bc1b1657a56b", "View")</f>
        <v>View</v>
      </c>
    </row>
    <row r="66" spans="1:16" x14ac:dyDescent="0.25">
      <c r="A66" s="13" t="s">
        <v>26539</v>
      </c>
      <c r="B66" s="14">
        <v>3180968</v>
      </c>
      <c r="C66" s="14">
        <v>0</v>
      </c>
      <c r="D66" s="14" t="s">
        <v>9662</v>
      </c>
      <c r="E66" s="14" t="s">
        <v>1671</v>
      </c>
      <c r="F66" s="14" t="s">
        <v>96</v>
      </c>
      <c r="G66" s="18" t="s">
        <v>3571</v>
      </c>
      <c r="H66" s="18" t="s">
        <v>98</v>
      </c>
      <c r="I66" s="14" t="s">
        <v>28202</v>
      </c>
      <c r="J66" s="14">
        <v>1</v>
      </c>
      <c r="K66" s="14">
        <v>0</v>
      </c>
      <c r="L66" s="14" t="s">
        <v>28203</v>
      </c>
      <c r="M66" s="19" t="s">
        <v>101</v>
      </c>
      <c r="N66" s="14" t="s">
        <v>3908</v>
      </c>
      <c r="O66" s="14" t="s">
        <v>26543</v>
      </c>
      <c r="P66" s="14" t="str">
        <f>HYPERLINK("https://photon-sol.tinyastro.io/en/lp/GQobcP4xokNpNK9oKghwDdeACtsw4AyP3Lpq7ghjpump?handle=676050794bc1b1657a56b", "View")</f>
        <v>View</v>
      </c>
    </row>
    <row r="67" spans="1:16" x14ac:dyDescent="0.25">
      <c r="A67" s="16" t="s">
        <v>21529</v>
      </c>
      <c r="B67" s="17">
        <v>532543</v>
      </c>
      <c r="C67" s="17">
        <v>532543</v>
      </c>
      <c r="D67" s="17" t="s">
        <v>10517</v>
      </c>
      <c r="E67" s="17" t="s">
        <v>2200</v>
      </c>
      <c r="F67" s="17" t="s">
        <v>16533</v>
      </c>
      <c r="G67" s="22" t="s">
        <v>21835</v>
      </c>
      <c r="H67" s="22" t="s">
        <v>28204</v>
      </c>
      <c r="I67" s="17" t="s">
        <v>88</v>
      </c>
      <c r="J67" s="17">
        <v>1</v>
      </c>
      <c r="K67" s="17">
        <v>1</v>
      </c>
      <c r="L67" s="17" t="s">
        <v>28205</v>
      </c>
      <c r="M67" s="17" t="s">
        <v>179</v>
      </c>
      <c r="N67" s="17" t="s">
        <v>28206</v>
      </c>
      <c r="O67" s="17" t="s">
        <v>21534</v>
      </c>
      <c r="P67" s="17" t="str">
        <f>HYPERLINK("https://dexscreener.com/solana/8q3PiifMQxnjs1NAETVXw8xMVN8q3Zfuoops9BSjpump", "View")</f>
        <v>View</v>
      </c>
    </row>
    <row r="68" spans="1:16" x14ac:dyDescent="0.25">
      <c r="A68" s="13" t="s">
        <v>367</v>
      </c>
      <c r="B68" s="14">
        <v>153179</v>
      </c>
      <c r="C68" s="14">
        <v>0</v>
      </c>
      <c r="D68" s="14" t="s">
        <v>9662</v>
      </c>
      <c r="E68" s="14" t="s">
        <v>2200</v>
      </c>
      <c r="F68" s="14" t="s">
        <v>96</v>
      </c>
      <c r="G68" s="18" t="s">
        <v>13011</v>
      </c>
      <c r="H68" s="18" t="s">
        <v>98</v>
      </c>
      <c r="I68" s="14" t="s">
        <v>28207</v>
      </c>
      <c r="J68" s="14">
        <v>1</v>
      </c>
      <c r="K68" s="14">
        <v>0</v>
      </c>
      <c r="L68" s="14" t="s">
        <v>28208</v>
      </c>
      <c r="M68" s="19" t="s">
        <v>101</v>
      </c>
      <c r="N68" s="14" t="s">
        <v>28209</v>
      </c>
      <c r="O68" s="14" t="s">
        <v>372</v>
      </c>
      <c r="P68" s="14" t="str">
        <f>HYPERLINK("https://dexscreener.com/solana/Z5qTBYTgbK9nezJPSLxuJEpEhDimcJKLq9xN6MF2sh1", "View")</f>
        <v>View</v>
      </c>
    </row>
    <row r="69" spans="1:16" x14ac:dyDescent="0.25">
      <c r="A69" s="16" t="s">
        <v>22731</v>
      </c>
      <c r="B69" s="17">
        <v>638262</v>
      </c>
      <c r="C69" s="17">
        <v>0</v>
      </c>
      <c r="D69" s="17" t="s">
        <v>9662</v>
      </c>
      <c r="E69" s="17" t="s">
        <v>3045</v>
      </c>
      <c r="F69" s="17" t="s">
        <v>96</v>
      </c>
      <c r="G69" s="18" t="s">
        <v>18437</v>
      </c>
      <c r="H69" s="18" t="s">
        <v>98</v>
      </c>
      <c r="I69" s="17" t="s">
        <v>28210</v>
      </c>
      <c r="J69" s="17">
        <v>1</v>
      </c>
      <c r="K69" s="17">
        <v>0</v>
      </c>
      <c r="L69" s="17" t="s">
        <v>26557</v>
      </c>
      <c r="M69" s="19" t="s">
        <v>101</v>
      </c>
      <c r="N69" s="17" t="s">
        <v>16488</v>
      </c>
      <c r="O69" s="17" t="s">
        <v>22734</v>
      </c>
      <c r="P69" s="17" t="str">
        <f>HYPERLINK("https://dexscreener.com/solana/DFwNZPHkZWix2LutzYKD5rzpyayKSLY5Uw88pRDypump", "View")</f>
        <v>View</v>
      </c>
    </row>
    <row r="70" spans="1:16" x14ac:dyDescent="0.25">
      <c r="A70" s="13" t="s">
        <v>22124</v>
      </c>
      <c r="B70" s="14">
        <v>697698</v>
      </c>
      <c r="C70" s="14">
        <v>697698</v>
      </c>
      <c r="D70" s="14" t="s">
        <v>10536</v>
      </c>
      <c r="E70" s="14" t="s">
        <v>3045</v>
      </c>
      <c r="F70" s="14" t="s">
        <v>5687</v>
      </c>
      <c r="G70" s="15" t="s">
        <v>13773</v>
      </c>
      <c r="H70" s="15" t="s">
        <v>28211</v>
      </c>
      <c r="I70" s="14" t="s">
        <v>88</v>
      </c>
      <c r="J70" s="14">
        <v>1</v>
      </c>
      <c r="K70" s="14">
        <v>2</v>
      </c>
      <c r="L70" s="14" t="s">
        <v>28212</v>
      </c>
      <c r="M70" s="14" t="s">
        <v>179</v>
      </c>
      <c r="N70" s="14" t="s">
        <v>26560</v>
      </c>
      <c r="O70" s="14" t="s">
        <v>22128</v>
      </c>
      <c r="P70" s="14" t="str">
        <f>HYPERLINK("https://dexscreener.com/solana/CVcAA5iKzvQg5yYrEFs3AoRWZZUgdpNKUEeyaUPpump", "View")</f>
        <v>View</v>
      </c>
    </row>
    <row r="71" spans="1:16" x14ac:dyDescent="0.25">
      <c r="A71" s="16" t="s">
        <v>26561</v>
      </c>
      <c r="B71" s="17">
        <v>1795073</v>
      </c>
      <c r="C71" s="17">
        <v>0</v>
      </c>
      <c r="D71" s="17" t="s">
        <v>9662</v>
      </c>
      <c r="E71" s="17" t="s">
        <v>4396</v>
      </c>
      <c r="F71" s="17" t="s">
        <v>96</v>
      </c>
      <c r="G71" s="18" t="s">
        <v>15868</v>
      </c>
      <c r="H71" s="18" t="s">
        <v>98</v>
      </c>
      <c r="I71" s="17" t="s">
        <v>28213</v>
      </c>
      <c r="J71" s="17">
        <v>1</v>
      </c>
      <c r="K71" s="17">
        <v>0</v>
      </c>
      <c r="L71" s="17" t="s">
        <v>28214</v>
      </c>
      <c r="M71" s="19" t="s">
        <v>101</v>
      </c>
      <c r="N71" s="17" t="s">
        <v>13053</v>
      </c>
      <c r="O71" s="17" t="s">
        <v>26564</v>
      </c>
      <c r="P71" s="17" t="str">
        <f>HYPERLINK("https://dexscreener.com/solana/8tASPZToUJYaB8LPK6YftH3TghCX9aQd8v9Tnqgtpump", "View")</f>
        <v>View</v>
      </c>
    </row>
    <row r="72" spans="1:16" x14ac:dyDescent="0.25">
      <c r="A72" s="13" t="s">
        <v>26565</v>
      </c>
      <c r="B72" s="14">
        <v>615336</v>
      </c>
      <c r="C72" s="14">
        <v>0</v>
      </c>
      <c r="D72" s="14" t="s">
        <v>9662</v>
      </c>
      <c r="E72" s="14" t="s">
        <v>11675</v>
      </c>
      <c r="F72" s="14" t="s">
        <v>96</v>
      </c>
      <c r="G72" s="18" t="s">
        <v>13631</v>
      </c>
      <c r="H72" s="18" t="s">
        <v>98</v>
      </c>
      <c r="I72" s="14" t="s">
        <v>28215</v>
      </c>
      <c r="J72" s="14">
        <v>1</v>
      </c>
      <c r="K72" s="14">
        <v>0</v>
      </c>
      <c r="L72" s="14" t="s">
        <v>28216</v>
      </c>
      <c r="M72" s="19" t="s">
        <v>101</v>
      </c>
      <c r="N72" s="14" t="s">
        <v>28217</v>
      </c>
      <c r="O72" s="14" t="s">
        <v>26569</v>
      </c>
      <c r="P72" s="14" t="str">
        <f>HYPERLINK("https://photon-sol.tinyastro.io/en/lp/9RiG5eXy9zExjCFuY9npNrSSzZestokgSP4mgpCiK9f8?handle=676050794bc1b1657a56b", "View")</f>
        <v>View</v>
      </c>
    </row>
    <row r="73" spans="1:16" x14ac:dyDescent="0.25">
      <c r="A73" s="16" t="s">
        <v>26570</v>
      </c>
      <c r="B73" s="17">
        <v>1014101</v>
      </c>
      <c r="C73" s="17">
        <v>0</v>
      </c>
      <c r="D73" s="17" t="s">
        <v>9662</v>
      </c>
      <c r="E73" s="17" t="s">
        <v>4700</v>
      </c>
      <c r="F73" s="17" t="s">
        <v>96</v>
      </c>
      <c r="G73" s="18" t="s">
        <v>22778</v>
      </c>
      <c r="H73" s="18" t="s">
        <v>98</v>
      </c>
      <c r="I73" s="17" t="s">
        <v>28218</v>
      </c>
      <c r="J73" s="17">
        <v>1</v>
      </c>
      <c r="K73" s="17">
        <v>0</v>
      </c>
      <c r="L73" s="17" t="s">
        <v>28219</v>
      </c>
      <c r="M73" s="19" t="s">
        <v>101</v>
      </c>
      <c r="N73" s="17" t="s">
        <v>1973</v>
      </c>
      <c r="O73" s="17" t="s">
        <v>26573</v>
      </c>
      <c r="P73" s="17" t="str">
        <f>HYPERLINK("https://photon-sol.tinyastro.io/en/lp/B2QYkRZURXV4DbWMGnJhmqij6QNp7sRWx4jHY4hkpump?handle=676050794bc1b1657a56b", "View")</f>
        <v>View</v>
      </c>
    </row>
    <row r="74" spans="1:16" x14ac:dyDescent="0.25">
      <c r="A74" s="13" t="s">
        <v>387</v>
      </c>
      <c r="B74" s="14">
        <v>352258</v>
      </c>
      <c r="C74" s="14">
        <v>0</v>
      </c>
      <c r="D74" s="14" t="s">
        <v>9662</v>
      </c>
      <c r="E74" s="14" t="s">
        <v>2200</v>
      </c>
      <c r="F74" s="14" t="s">
        <v>96</v>
      </c>
      <c r="G74" s="18" t="s">
        <v>13011</v>
      </c>
      <c r="H74" s="18" t="s">
        <v>98</v>
      </c>
      <c r="I74" s="14" t="s">
        <v>28220</v>
      </c>
      <c r="J74" s="14">
        <v>1</v>
      </c>
      <c r="K74" s="14">
        <v>0</v>
      </c>
      <c r="L74" s="14" t="s">
        <v>26577</v>
      </c>
      <c r="M74" s="19" t="s">
        <v>101</v>
      </c>
      <c r="N74" s="14" t="s">
        <v>26578</v>
      </c>
      <c r="O74" s="14" t="s">
        <v>391</v>
      </c>
      <c r="P74" s="14" t="str">
        <f>HYPERLINK("https://dexscreener.com/solana/78ao5qrL3WPJ1u6i6cjQMi4iCzq43YECPyNMT2cpump", "View")</f>
        <v>View</v>
      </c>
    </row>
    <row r="75" spans="1:16" x14ac:dyDescent="0.25">
      <c r="A75" s="16" t="s">
        <v>5651</v>
      </c>
      <c r="B75" s="17">
        <v>1440646</v>
      </c>
      <c r="C75" s="17">
        <v>1440646</v>
      </c>
      <c r="D75" s="17" t="s">
        <v>16283</v>
      </c>
      <c r="E75" s="17" t="s">
        <v>5860</v>
      </c>
      <c r="F75" s="17" t="s">
        <v>3309</v>
      </c>
      <c r="G75" s="15" t="s">
        <v>19145</v>
      </c>
      <c r="H75" s="15" t="s">
        <v>28221</v>
      </c>
      <c r="I75" s="17" t="s">
        <v>88</v>
      </c>
      <c r="J75" s="17">
        <v>1</v>
      </c>
      <c r="K75" s="17">
        <v>3</v>
      </c>
      <c r="L75" s="17" t="s">
        <v>28222</v>
      </c>
      <c r="M75" s="17" t="s">
        <v>6393</v>
      </c>
      <c r="N75" s="17" t="s">
        <v>14776</v>
      </c>
      <c r="O75" s="17" t="s">
        <v>26581</v>
      </c>
      <c r="P75" s="17" t="str">
        <f>HYPERLINK("https://photon-sol.tinyastro.io/en/lp/3aQGUbyruXP9cFvsjcoVSpmGJ33XLACPqfzgD89Xpump?handle=676050794bc1b1657a56b", "View")</f>
        <v>View</v>
      </c>
    </row>
    <row r="76" spans="1:16" x14ac:dyDescent="0.25">
      <c r="A76" s="13" t="s">
        <v>5126</v>
      </c>
      <c r="B76" s="14">
        <v>3031690</v>
      </c>
      <c r="C76" s="14">
        <v>0</v>
      </c>
      <c r="D76" s="14" t="s">
        <v>9662</v>
      </c>
      <c r="E76" s="14" t="s">
        <v>12743</v>
      </c>
      <c r="F76" s="14" t="s">
        <v>96</v>
      </c>
      <c r="G76" s="18" t="s">
        <v>3453</v>
      </c>
      <c r="H76" s="18" t="s">
        <v>98</v>
      </c>
      <c r="I76" s="14" t="s">
        <v>28223</v>
      </c>
      <c r="J76" s="14">
        <v>1</v>
      </c>
      <c r="K76" s="14">
        <v>0</v>
      </c>
      <c r="L76" s="14" t="s">
        <v>28224</v>
      </c>
      <c r="M76" s="19" t="s">
        <v>101</v>
      </c>
      <c r="N76" s="14" t="s">
        <v>13205</v>
      </c>
      <c r="O76" s="14" t="s">
        <v>5130</v>
      </c>
      <c r="P76" s="14" t="str">
        <f>HYPERLINK("https://dexscreener.com/solana/EEvAzgVykroPTytRm1NxR4pJrVdT4784CMXbMneMpump", "View")</f>
        <v>View</v>
      </c>
    </row>
    <row r="77" spans="1:16" x14ac:dyDescent="0.25">
      <c r="A77" s="16" t="s">
        <v>280</v>
      </c>
      <c r="B77" s="17">
        <v>222903</v>
      </c>
      <c r="C77" s="17">
        <v>155000</v>
      </c>
      <c r="D77" s="17" t="s">
        <v>17962</v>
      </c>
      <c r="E77" s="17" t="s">
        <v>3045</v>
      </c>
      <c r="F77" s="17" t="s">
        <v>28053</v>
      </c>
      <c r="G77" s="21" t="s">
        <v>10197</v>
      </c>
      <c r="H77" s="21" t="s">
        <v>28225</v>
      </c>
      <c r="I77" s="17" t="s">
        <v>88</v>
      </c>
      <c r="J77" s="17">
        <v>1</v>
      </c>
      <c r="K77" s="17">
        <v>3</v>
      </c>
      <c r="L77" s="17" t="s">
        <v>28226</v>
      </c>
      <c r="M77" s="17" t="s">
        <v>117</v>
      </c>
      <c r="N77" s="17" t="s">
        <v>28227</v>
      </c>
      <c r="O77" s="17" t="s">
        <v>289</v>
      </c>
      <c r="P77" s="17" t="str">
        <f>HYPERLINK("https://dexscreener.com/solana/7wUwkXo8Qjt3cYM8BaHHHeyfDY7ZSn7qvod92pNupump", "View")</f>
        <v>View</v>
      </c>
    </row>
    <row r="78" spans="1:16" x14ac:dyDescent="0.25">
      <c r="A78" s="13" t="s">
        <v>26582</v>
      </c>
      <c r="B78" s="14">
        <v>216643</v>
      </c>
      <c r="C78" s="14">
        <v>0</v>
      </c>
      <c r="D78" s="14" t="s">
        <v>9662</v>
      </c>
      <c r="E78" s="14" t="s">
        <v>2200</v>
      </c>
      <c r="F78" s="14" t="s">
        <v>96</v>
      </c>
      <c r="G78" s="18" t="s">
        <v>13011</v>
      </c>
      <c r="H78" s="18" t="s">
        <v>98</v>
      </c>
      <c r="I78" s="14" t="s">
        <v>28228</v>
      </c>
      <c r="J78" s="14">
        <v>1</v>
      </c>
      <c r="K78" s="14">
        <v>0</v>
      </c>
      <c r="L78" s="14" t="s">
        <v>26584</v>
      </c>
      <c r="M78" s="19" t="s">
        <v>101</v>
      </c>
      <c r="N78" s="14" t="s">
        <v>26585</v>
      </c>
      <c r="O78" s="14" t="s">
        <v>26586</v>
      </c>
      <c r="P78" s="14" t="str">
        <f>HYPERLINK("https://dexscreener.com/solana/14aD1cQRLTxDNJAtvkPx8iqqssjHqjRLXAL5wPaipump", "View")</f>
        <v>View</v>
      </c>
    </row>
    <row r="79" spans="1:16" x14ac:dyDescent="0.25">
      <c r="A79" s="16" t="s">
        <v>497</v>
      </c>
      <c r="B79" s="17">
        <v>188044</v>
      </c>
      <c r="C79" s="17">
        <v>0</v>
      </c>
      <c r="D79" s="17" t="s">
        <v>9662</v>
      </c>
      <c r="E79" s="17" t="s">
        <v>3045</v>
      </c>
      <c r="F79" s="17" t="s">
        <v>96</v>
      </c>
      <c r="G79" s="18" t="s">
        <v>18437</v>
      </c>
      <c r="H79" s="18" t="s">
        <v>98</v>
      </c>
      <c r="I79" s="17" t="s">
        <v>28229</v>
      </c>
      <c r="J79" s="17">
        <v>1</v>
      </c>
      <c r="K79" s="17">
        <v>0</v>
      </c>
      <c r="L79" s="17" t="s">
        <v>26588</v>
      </c>
      <c r="M79" s="19" t="s">
        <v>101</v>
      </c>
      <c r="N79" s="17" t="s">
        <v>28230</v>
      </c>
      <c r="O79" s="17" t="s">
        <v>501</v>
      </c>
      <c r="P79" s="17" t="str">
        <f>HYPERLINK("https://dexscreener.com/solana/7xn2T1x7xw5quHmzy2YvFWyFUNwp75fsw5bxiXGRpump", "View")</f>
        <v>View</v>
      </c>
    </row>
    <row r="80" spans="1:16" x14ac:dyDescent="0.25">
      <c r="A80" s="13" t="s">
        <v>26590</v>
      </c>
      <c r="B80" s="14">
        <v>287353</v>
      </c>
      <c r="C80" s="14">
        <v>0</v>
      </c>
      <c r="D80" s="14" t="s">
        <v>9662</v>
      </c>
      <c r="E80" s="14" t="s">
        <v>4665</v>
      </c>
      <c r="F80" s="14" t="s">
        <v>96</v>
      </c>
      <c r="G80" s="18" t="s">
        <v>2726</v>
      </c>
      <c r="H80" s="18" t="s">
        <v>98</v>
      </c>
      <c r="I80" s="14" t="s">
        <v>28231</v>
      </c>
      <c r="J80" s="14">
        <v>1</v>
      </c>
      <c r="K80" s="14">
        <v>0</v>
      </c>
      <c r="L80" s="14" t="s">
        <v>26592</v>
      </c>
      <c r="M80" s="19" t="s">
        <v>101</v>
      </c>
      <c r="N80" s="14" t="s">
        <v>28232</v>
      </c>
      <c r="O80" s="14" t="s">
        <v>26594</v>
      </c>
      <c r="P80" s="14" t="str">
        <f>HYPERLINK("https://dexscreener.com/solana/8QXM6vf7E1TUJ9MvFf8p6BDWCYwBLYd9T26MPiprsX3w", "View")</f>
        <v>View</v>
      </c>
    </row>
    <row r="81" spans="1:16" x14ac:dyDescent="0.25">
      <c r="A81" s="16" t="s">
        <v>4480</v>
      </c>
      <c r="B81" s="17">
        <v>1740805</v>
      </c>
      <c r="C81" s="17">
        <v>1580403</v>
      </c>
      <c r="D81" s="17" t="s">
        <v>9425</v>
      </c>
      <c r="E81" s="17" t="s">
        <v>8118</v>
      </c>
      <c r="F81" s="17" t="s">
        <v>28233</v>
      </c>
      <c r="G81" s="21" t="s">
        <v>28234</v>
      </c>
      <c r="H81" s="21" t="s">
        <v>28235</v>
      </c>
      <c r="I81" s="17" t="s">
        <v>88</v>
      </c>
      <c r="J81" s="17">
        <v>1</v>
      </c>
      <c r="K81" s="17">
        <v>5</v>
      </c>
      <c r="L81" s="17" t="s">
        <v>28236</v>
      </c>
      <c r="M81" s="17" t="s">
        <v>179</v>
      </c>
      <c r="N81" s="17" t="s">
        <v>26549</v>
      </c>
      <c r="O81" s="17" t="s">
        <v>4486</v>
      </c>
      <c r="P81" s="17" t="str">
        <f>HYPERLINK("https://photon-sol.tinyastro.io/en/lp/AwcCFuJgUYNYHXm6tHhr7DsXDY6FKvXUt2DFjmgHpump?handle=676050794bc1b1657a56b", "View")</f>
        <v>View</v>
      </c>
    </row>
    <row r="82" spans="1:16" x14ac:dyDescent="0.25">
      <c r="A82" s="13" t="s">
        <v>24683</v>
      </c>
      <c r="B82" s="14">
        <v>717362</v>
      </c>
      <c r="C82" s="14">
        <v>0</v>
      </c>
      <c r="D82" s="14" t="s">
        <v>9662</v>
      </c>
      <c r="E82" s="14" t="s">
        <v>17326</v>
      </c>
      <c r="F82" s="14" t="s">
        <v>96</v>
      </c>
      <c r="G82" s="18" t="s">
        <v>1945</v>
      </c>
      <c r="H82" s="18" t="s">
        <v>98</v>
      </c>
      <c r="I82" s="14" t="s">
        <v>28237</v>
      </c>
      <c r="J82" s="14">
        <v>1</v>
      </c>
      <c r="K82" s="14">
        <v>0</v>
      </c>
      <c r="L82" s="14" t="s">
        <v>26600</v>
      </c>
      <c r="M82" s="19" t="s">
        <v>101</v>
      </c>
      <c r="N82" s="14" t="s">
        <v>4742</v>
      </c>
      <c r="O82" s="14" t="s">
        <v>24687</v>
      </c>
      <c r="P82" s="14" t="str">
        <f>HYPERLINK("https://photon-sol.tinyastro.io/en/lp/F56SaheWy5U96xHnGaR8GAZiTpwp3kFrRZcBbHWtpump?handle=676050794bc1b1657a56b", "View")</f>
        <v>View</v>
      </c>
    </row>
    <row r="83" spans="1:16" x14ac:dyDescent="0.25">
      <c r="A83" s="16" t="s">
        <v>26601</v>
      </c>
      <c r="B83" s="17">
        <v>2274948</v>
      </c>
      <c r="C83" s="17">
        <v>0</v>
      </c>
      <c r="D83" s="17" t="s">
        <v>9662</v>
      </c>
      <c r="E83" s="17" t="s">
        <v>4093</v>
      </c>
      <c r="F83" s="17" t="s">
        <v>96</v>
      </c>
      <c r="G83" s="18" t="s">
        <v>4043</v>
      </c>
      <c r="H83" s="18" t="s">
        <v>98</v>
      </c>
      <c r="I83" s="17" t="s">
        <v>28238</v>
      </c>
      <c r="J83" s="17">
        <v>1</v>
      </c>
      <c r="K83" s="17">
        <v>0</v>
      </c>
      <c r="L83" s="17" t="s">
        <v>28239</v>
      </c>
      <c r="M83" s="19" t="s">
        <v>101</v>
      </c>
      <c r="N83" s="17" t="s">
        <v>1393</v>
      </c>
      <c r="O83" s="17" t="s">
        <v>26604</v>
      </c>
      <c r="P83" s="17" t="str">
        <f>HYPERLINK("https://photon-sol.tinyastro.io/en/lp/6Kt6fyL87dPcyjaehBsMNAQ3PKSCPTJyPM67ZgNGpump?handle=676050794bc1b1657a56b", "View")</f>
        <v>View</v>
      </c>
    </row>
    <row r="84" spans="1:16" x14ac:dyDescent="0.25">
      <c r="A84" s="13" t="s">
        <v>25387</v>
      </c>
      <c r="B84" s="14">
        <v>150373</v>
      </c>
      <c r="C84" s="14">
        <v>0</v>
      </c>
      <c r="D84" s="14" t="s">
        <v>9662</v>
      </c>
      <c r="E84" s="14" t="s">
        <v>4665</v>
      </c>
      <c r="F84" s="14" t="s">
        <v>96</v>
      </c>
      <c r="G84" s="18" t="s">
        <v>2726</v>
      </c>
      <c r="H84" s="18" t="s">
        <v>98</v>
      </c>
      <c r="I84" s="14" t="s">
        <v>28240</v>
      </c>
      <c r="J84" s="14">
        <v>1</v>
      </c>
      <c r="K84" s="14">
        <v>0</v>
      </c>
      <c r="L84" s="14" t="s">
        <v>26606</v>
      </c>
      <c r="M84" s="19" t="s">
        <v>101</v>
      </c>
      <c r="N84" s="14" t="s">
        <v>26607</v>
      </c>
      <c r="O84" s="14" t="s">
        <v>25390</v>
      </c>
      <c r="P84" s="14" t="str">
        <f>HYPERLINK("https://dexscreener.com/solana/Ay4Br5jCE3UqmhrSDysdAjo9c4F5vMjf7pHQh78Jpump", "View")</f>
        <v>View</v>
      </c>
    </row>
    <row r="85" spans="1:16" x14ac:dyDescent="0.25">
      <c r="A85" s="16" t="s">
        <v>26595</v>
      </c>
      <c r="B85" s="17">
        <v>109713</v>
      </c>
      <c r="C85" s="17">
        <v>0</v>
      </c>
      <c r="D85" s="17" t="s">
        <v>9662</v>
      </c>
      <c r="E85" s="17" t="s">
        <v>4665</v>
      </c>
      <c r="F85" s="17" t="s">
        <v>96</v>
      </c>
      <c r="G85" s="18" t="s">
        <v>2726</v>
      </c>
      <c r="H85" s="18" t="s">
        <v>98</v>
      </c>
      <c r="I85" s="17" t="s">
        <v>28241</v>
      </c>
      <c r="J85" s="17">
        <v>1</v>
      </c>
      <c r="K85" s="17">
        <v>0</v>
      </c>
      <c r="L85" s="17" t="s">
        <v>28242</v>
      </c>
      <c r="M85" s="19" t="s">
        <v>101</v>
      </c>
      <c r="N85" s="17" t="s">
        <v>28243</v>
      </c>
      <c r="O85" s="17" t="s">
        <v>26598</v>
      </c>
      <c r="P85" s="17" t="str">
        <f>HYPERLINK("https://dexscreener.com/solana/Cc4sinjiaruP69C7Eotftsu2AjFHAaKZyGtpaLbApump", "View")</f>
        <v>View</v>
      </c>
    </row>
    <row r="86" spans="1:16" x14ac:dyDescent="0.25">
      <c r="A86" s="13" t="s">
        <v>26608</v>
      </c>
      <c r="B86" s="14">
        <v>3243016</v>
      </c>
      <c r="C86" s="14">
        <v>0</v>
      </c>
      <c r="D86" s="14" t="s">
        <v>9662</v>
      </c>
      <c r="E86" s="14" t="s">
        <v>11265</v>
      </c>
      <c r="F86" s="14" t="s">
        <v>96</v>
      </c>
      <c r="G86" s="18" t="s">
        <v>21372</v>
      </c>
      <c r="H86" s="18" t="s">
        <v>98</v>
      </c>
      <c r="I86" s="14" t="s">
        <v>28244</v>
      </c>
      <c r="J86" s="14">
        <v>1</v>
      </c>
      <c r="K86" s="14">
        <v>0</v>
      </c>
      <c r="L86" s="14" t="s">
        <v>28245</v>
      </c>
      <c r="M86" s="19" t="s">
        <v>101</v>
      </c>
      <c r="N86" s="14" t="s">
        <v>3768</v>
      </c>
      <c r="O86" s="14" t="s">
        <v>26615</v>
      </c>
      <c r="P86" s="14" t="str">
        <f>HYPERLINK("https://photon-sol.tinyastro.io/en/lp/HjVucq5tfxXJYmssCT5mm3kUG18UtEVViAmiMmyUpump?handle=676050794bc1b1657a56b", "View")</f>
        <v>View</v>
      </c>
    </row>
    <row r="87" spans="1:16" x14ac:dyDescent="0.25">
      <c r="A87" s="16" t="s">
        <v>26608</v>
      </c>
      <c r="B87" s="17">
        <v>810159</v>
      </c>
      <c r="C87" s="17">
        <v>0</v>
      </c>
      <c r="D87" s="17" t="s">
        <v>9662</v>
      </c>
      <c r="E87" s="17" t="s">
        <v>10061</v>
      </c>
      <c r="F87" s="17" t="s">
        <v>96</v>
      </c>
      <c r="G87" s="18" t="s">
        <v>20159</v>
      </c>
      <c r="H87" s="18" t="s">
        <v>98</v>
      </c>
      <c r="I87" s="17" t="s">
        <v>28246</v>
      </c>
      <c r="J87" s="17">
        <v>1</v>
      </c>
      <c r="K87" s="17">
        <v>0</v>
      </c>
      <c r="L87" s="17" t="s">
        <v>28247</v>
      </c>
      <c r="M87" s="19" t="s">
        <v>101</v>
      </c>
      <c r="N87" s="17" t="s">
        <v>22916</v>
      </c>
      <c r="O87" s="17" t="s">
        <v>26612</v>
      </c>
      <c r="P87" s="17" t="str">
        <f>HYPERLINK("https://photon-sol.tinyastro.io/en/lp/31pyJGWmd9nxb3UN4cmhpZZeeMHXWcf6Nh8VU2vPpump?handle=676050794bc1b1657a56b", "View")</f>
        <v>View</v>
      </c>
    </row>
    <row r="88" spans="1:16" x14ac:dyDescent="0.25">
      <c r="A88" s="13" t="s">
        <v>10597</v>
      </c>
      <c r="B88" s="14">
        <v>5625437</v>
      </c>
      <c r="C88" s="14">
        <v>0</v>
      </c>
      <c r="D88" s="14" t="s">
        <v>9662</v>
      </c>
      <c r="E88" s="14" t="s">
        <v>10691</v>
      </c>
      <c r="F88" s="14" t="s">
        <v>96</v>
      </c>
      <c r="G88" s="18" t="s">
        <v>3571</v>
      </c>
      <c r="H88" s="18" t="s">
        <v>98</v>
      </c>
      <c r="I88" s="14" t="s">
        <v>28248</v>
      </c>
      <c r="J88" s="14">
        <v>1</v>
      </c>
      <c r="K88" s="14">
        <v>0</v>
      </c>
      <c r="L88" s="14" t="s">
        <v>28249</v>
      </c>
      <c r="M88" s="19" t="s">
        <v>101</v>
      </c>
      <c r="N88" s="14" t="s">
        <v>2308</v>
      </c>
      <c r="O88" s="14" t="s">
        <v>26525</v>
      </c>
      <c r="P88" s="14" t="str">
        <f>HYPERLINK("https://photon-sol.tinyastro.io/en/lp/4ktEhYgYhP7oYUPYwH4yQFQ8p3Vr3uQ8HMeccJdopump?handle=676050794bc1b1657a56b", "View")</f>
        <v>View</v>
      </c>
    </row>
    <row r="89" spans="1:16" x14ac:dyDescent="0.25">
      <c r="A89" s="16" t="s">
        <v>26616</v>
      </c>
      <c r="B89" s="17">
        <v>2246948</v>
      </c>
      <c r="C89" s="17">
        <v>0</v>
      </c>
      <c r="D89" s="17" t="s">
        <v>9662</v>
      </c>
      <c r="E89" s="17" t="s">
        <v>4665</v>
      </c>
      <c r="F89" s="17" t="s">
        <v>96</v>
      </c>
      <c r="G89" s="18" t="s">
        <v>2726</v>
      </c>
      <c r="H89" s="18" t="s">
        <v>98</v>
      </c>
      <c r="I89" s="17" t="s">
        <v>28250</v>
      </c>
      <c r="J89" s="17">
        <v>1</v>
      </c>
      <c r="K89" s="17">
        <v>0</v>
      </c>
      <c r="L89" s="17" t="s">
        <v>28251</v>
      </c>
      <c r="M89" s="19" t="s">
        <v>101</v>
      </c>
      <c r="N89" s="17" t="s">
        <v>4774</v>
      </c>
      <c r="O89" s="17" t="s">
        <v>26620</v>
      </c>
      <c r="P89" s="17" t="str">
        <f>HYPERLINK("https://dexscreener.com/solana/FQfeJYLmD7wf6YyV29E1bjzxX7JeGKavmwociXWipump", "View")</f>
        <v>View</v>
      </c>
    </row>
    <row r="90" spans="1:16" x14ac:dyDescent="0.25">
      <c r="A90" s="13" t="s">
        <v>26621</v>
      </c>
      <c r="B90" s="14">
        <v>1180820</v>
      </c>
      <c r="C90" s="14">
        <v>0</v>
      </c>
      <c r="D90" s="14" t="s">
        <v>9662</v>
      </c>
      <c r="E90" s="14" t="s">
        <v>2580</v>
      </c>
      <c r="F90" s="14" t="s">
        <v>96</v>
      </c>
      <c r="G90" s="18" t="s">
        <v>18265</v>
      </c>
      <c r="H90" s="18" t="s">
        <v>98</v>
      </c>
      <c r="I90" s="14" t="s">
        <v>28252</v>
      </c>
      <c r="J90" s="14">
        <v>1</v>
      </c>
      <c r="K90" s="14">
        <v>0</v>
      </c>
      <c r="L90" s="14" t="s">
        <v>26623</v>
      </c>
      <c r="M90" s="19" t="s">
        <v>101</v>
      </c>
      <c r="N90" s="14" t="s">
        <v>591</v>
      </c>
      <c r="O90" s="14" t="s">
        <v>26624</v>
      </c>
      <c r="P90" s="14" t="str">
        <f>HYPERLINK("https://photon-sol.tinyastro.io/en/lp/9Hh3Kxo4oarGr5kA4uciKPEaFm3spqqNFfvPJALrpump?handle=676050794bc1b1657a56b", "View")</f>
        <v>View</v>
      </c>
    </row>
    <row r="91" spans="1:16" x14ac:dyDescent="0.25">
      <c r="A91" s="16" t="s">
        <v>21376</v>
      </c>
      <c r="B91" s="17">
        <v>1613304</v>
      </c>
      <c r="C91" s="17">
        <v>0</v>
      </c>
      <c r="D91" s="17" t="s">
        <v>9662</v>
      </c>
      <c r="E91" s="17" t="s">
        <v>8245</v>
      </c>
      <c r="F91" s="17" t="s">
        <v>96</v>
      </c>
      <c r="G91" s="18" t="s">
        <v>22803</v>
      </c>
      <c r="H91" s="18" t="s">
        <v>98</v>
      </c>
      <c r="I91" s="17" t="s">
        <v>28253</v>
      </c>
      <c r="J91" s="17">
        <v>1</v>
      </c>
      <c r="K91" s="17">
        <v>0</v>
      </c>
      <c r="L91" s="17" t="s">
        <v>28254</v>
      </c>
      <c r="M91" s="19" t="s">
        <v>101</v>
      </c>
      <c r="N91" s="17" t="s">
        <v>1264</v>
      </c>
      <c r="O91" s="17" t="s">
        <v>21381</v>
      </c>
      <c r="P91" s="17" t="str">
        <f>HYPERLINK("https://photon-sol.tinyastro.io/en/lp/2DrfBeGy3iXWgmUfwxqPcA4QHkR3aPmDquu1dj5Zpump?handle=676050794bc1b1657a56b", "View")</f>
        <v>View</v>
      </c>
    </row>
    <row r="92" spans="1:16" x14ac:dyDescent="0.25">
      <c r="A92" s="13" t="s">
        <v>28255</v>
      </c>
      <c r="B92" s="14">
        <v>2442145</v>
      </c>
      <c r="C92" s="14">
        <v>0</v>
      </c>
      <c r="D92" s="14" t="s">
        <v>9662</v>
      </c>
      <c r="E92" s="14" t="s">
        <v>4396</v>
      </c>
      <c r="F92" s="14" t="s">
        <v>96</v>
      </c>
      <c r="G92" s="18" t="s">
        <v>15868</v>
      </c>
      <c r="H92" s="18" t="s">
        <v>98</v>
      </c>
      <c r="I92" s="14" t="s">
        <v>28256</v>
      </c>
      <c r="J92" s="14">
        <v>1</v>
      </c>
      <c r="K92" s="14">
        <v>0</v>
      </c>
      <c r="L92" s="14" t="s">
        <v>28257</v>
      </c>
      <c r="M92" s="19" t="s">
        <v>101</v>
      </c>
      <c r="N92" s="14" t="s">
        <v>1011</v>
      </c>
      <c r="O92" s="14" t="s">
        <v>28258</v>
      </c>
      <c r="P92" s="14" t="str">
        <f>HYPERLINK("https://dexscreener.com/solana/GG4V3Lh63NAkvpXqfdnjgsEMTbXP4BFZA2FC5HJpump", "View")</f>
        <v>View</v>
      </c>
    </row>
    <row r="93" spans="1:16" x14ac:dyDescent="0.25">
      <c r="A93" s="16" t="s">
        <v>28259</v>
      </c>
      <c r="B93" s="17">
        <v>2185849</v>
      </c>
      <c r="C93" s="17">
        <v>0</v>
      </c>
      <c r="D93" s="17" t="s">
        <v>9662</v>
      </c>
      <c r="E93" s="17" t="s">
        <v>4660</v>
      </c>
      <c r="F93" s="17" t="s">
        <v>96</v>
      </c>
      <c r="G93" s="18" t="s">
        <v>4755</v>
      </c>
      <c r="H93" s="18" t="s">
        <v>98</v>
      </c>
      <c r="I93" s="17" t="s">
        <v>28260</v>
      </c>
      <c r="J93" s="17">
        <v>1</v>
      </c>
      <c r="K93" s="17">
        <v>0</v>
      </c>
      <c r="L93" s="17" t="s">
        <v>28261</v>
      </c>
      <c r="M93" s="19" t="s">
        <v>101</v>
      </c>
      <c r="N93" s="17" t="s">
        <v>1980</v>
      </c>
      <c r="O93" s="17" t="s">
        <v>28262</v>
      </c>
      <c r="P93" s="17" t="str">
        <f>HYPERLINK("https://photon-sol.tinyastro.io/en/lp/7ruuEZv2UwSLUA8Kjyh5vUAnLFHN7GuG6T1wkfrpump?handle=676050794bc1b1657a56b", "View")</f>
        <v>View</v>
      </c>
    </row>
    <row r="94" spans="1:16" x14ac:dyDescent="0.25">
      <c r="A94" s="13" t="s">
        <v>21815</v>
      </c>
      <c r="B94" s="14">
        <v>207529</v>
      </c>
      <c r="C94" s="14">
        <v>207529</v>
      </c>
      <c r="D94" s="14" t="s">
        <v>8685</v>
      </c>
      <c r="E94" s="14" t="s">
        <v>2200</v>
      </c>
      <c r="F94" s="14" t="s">
        <v>5132</v>
      </c>
      <c r="G94" s="15" t="s">
        <v>28263</v>
      </c>
      <c r="H94" s="15" t="s">
        <v>28264</v>
      </c>
      <c r="I94" s="14" t="s">
        <v>88</v>
      </c>
      <c r="J94" s="14">
        <v>1</v>
      </c>
      <c r="K94" s="14">
        <v>1</v>
      </c>
      <c r="L94" s="14" t="s">
        <v>28265</v>
      </c>
      <c r="M94" s="14" t="s">
        <v>179</v>
      </c>
      <c r="N94" s="14" t="s">
        <v>28266</v>
      </c>
      <c r="O94" s="14" t="s">
        <v>21819</v>
      </c>
      <c r="P94" s="14" t="str">
        <f>HYPERLINK("https://dexscreener.com/solana/FeYQWQL1s9kYVvNTb8ZnwamoZV8hTWxcAVNNfWadpump", "View")</f>
        <v>View</v>
      </c>
    </row>
    <row r="95" spans="1:16" x14ac:dyDescent="0.25">
      <c r="A95" s="16" t="s">
        <v>675</v>
      </c>
      <c r="B95" s="17">
        <v>209599</v>
      </c>
      <c r="C95" s="17">
        <v>0</v>
      </c>
      <c r="D95" s="17" t="s">
        <v>9662</v>
      </c>
      <c r="E95" s="17" t="s">
        <v>2200</v>
      </c>
      <c r="F95" s="17" t="s">
        <v>96</v>
      </c>
      <c r="G95" s="18" t="s">
        <v>13011</v>
      </c>
      <c r="H95" s="18" t="s">
        <v>98</v>
      </c>
      <c r="I95" s="17" t="s">
        <v>28267</v>
      </c>
      <c r="J95" s="17">
        <v>1</v>
      </c>
      <c r="K95" s="17">
        <v>0</v>
      </c>
      <c r="L95" s="17" t="s">
        <v>28268</v>
      </c>
      <c r="M95" s="19" t="s">
        <v>101</v>
      </c>
      <c r="N95" s="17" t="s">
        <v>28269</v>
      </c>
      <c r="O95" s="17" t="s">
        <v>682</v>
      </c>
      <c r="P95" s="17" t="str">
        <f>HYPERLINK("https://dexscreener.com/solana/7HiSM2hkmqzhZMLuKtGMWkhvDi2LpMBepWRFYjXXpump", "View")</f>
        <v>View</v>
      </c>
    </row>
    <row r="96" spans="1:16" x14ac:dyDescent="0.25">
      <c r="A96" s="13" t="s">
        <v>28270</v>
      </c>
      <c r="B96" s="14">
        <v>501713</v>
      </c>
      <c r="C96" s="14">
        <v>0</v>
      </c>
      <c r="D96" s="14" t="s">
        <v>9662</v>
      </c>
      <c r="E96" s="14" t="s">
        <v>2200</v>
      </c>
      <c r="F96" s="14" t="s">
        <v>96</v>
      </c>
      <c r="G96" s="18" t="s">
        <v>13011</v>
      </c>
      <c r="H96" s="18" t="s">
        <v>98</v>
      </c>
      <c r="I96" s="14" t="s">
        <v>28271</v>
      </c>
      <c r="J96" s="14">
        <v>1</v>
      </c>
      <c r="K96" s="14">
        <v>0</v>
      </c>
      <c r="L96" s="14" t="s">
        <v>28272</v>
      </c>
      <c r="M96" s="19" t="s">
        <v>101</v>
      </c>
      <c r="N96" s="14" t="s">
        <v>28273</v>
      </c>
      <c r="O96" s="14" t="s">
        <v>28274</v>
      </c>
      <c r="P96" s="14" t="str">
        <f>HYPERLINK("https://dexscreener.com/solana/3GMWBYirJHVpQzKNMxXR36kHPA9nB9UD3Bxxv1Qjpump", "View")</f>
        <v>View</v>
      </c>
    </row>
    <row r="97" spans="1:16" x14ac:dyDescent="0.25">
      <c r="A97" s="16" t="s">
        <v>5256</v>
      </c>
      <c r="B97" s="17">
        <v>149567</v>
      </c>
      <c r="C97" s="17">
        <v>0</v>
      </c>
      <c r="D97" s="17" t="s">
        <v>9662</v>
      </c>
      <c r="E97" s="17" t="s">
        <v>4665</v>
      </c>
      <c r="F97" s="17" t="s">
        <v>96</v>
      </c>
      <c r="G97" s="18" t="s">
        <v>2726</v>
      </c>
      <c r="H97" s="18" t="s">
        <v>98</v>
      </c>
      <c r="I97" s="17" t="s">
        <v>28275</v>
      </c>
      <c r="J97" s="17">
        <v>1</v>
      </c>
      <c r="K97" s="17">
        <v>0</v>
      </c>
      <c r="L97" s="17" t="s">
        <v>28276</v>
      </c>
      <c r="M97" s="19" t="s">
        <v>101</v>
      </c>
      <c r="N97" s="17" t="s">
        <v>28277</v>
      </c>
      <c r="O97" s="17" t="s">
        <v>5261</v>
      </c>
      <c r="P97" s="17" t="str">
        <f>HYPERLINK("https://dexscreener.com/solana/hf8aYwMK2cYv7t4uUhUAqpdwTS3sja2z9RJMQZ2pump", "View")</f>
        <v>View</v>
      </c>
    </row>
    <row r="98" spans="1:16" x14ac:dyDescent="0.25">
      <c r="A98" s="13" t="s">
        <v>588</v>
      </c>
      <c r="B98" s="14">
        <v>816533</v>
      </c>
      <c r="C98" s="14">
        <v>0</v>
      </c>
      <c r="D98" s="14" t="s">
        <v>8685</v>
      </c>
      <c r="E98" s="14" t="s">
        <v>1007</v>
      </c>
      <c r="F98" s="14" t="s">
        <v>96</v>
      </c>
      <c r="G98" s="18" t="s">
        <v>9365</v>
      </c>
      <c r="H98" s="18" t="s">
        <v>98</v>
      </c>
      <c r="I98" s="14" t="s">
        <v>28278</v>
      </c>
      <c r="J98" s="14">
        <v>2</v>
      </c>
      <c r="K98" s="14">
        <v>0</v>
      </c>
      <c r="L98" s="14" t="s">
        <v>26648</v>
      </c>
      <c r="M98" s="19" t="s">
        <v>101</v>
      </c>
      <c r="N98" s="14" t="s">
        <v>28279</v>
      </c>
      <c r="O98" s="14" t="s">
        <v>592</v>
      </c>
      <c r="P98" s="14" t="str">
        <f>HYPERLINK("https://dexscreener.com/solana/34pGiw5uBRq98c3AB468ds1AHcpnWN7zoFy6actWpump", "View")</f>
        <v>View</v>
      </c>
    </row>
    <row r="99" spans="1:16" x14ac:dyDescent="0.25">
      <c r="A99" s="16" t="s">
        <v>26649</v>
      </c>
      <c r="B99" s="17">
        <v>4274201</v>
      </c>
      <c r="C99" s="17">
        <v>0</v>
      </c>
      <c r="D99" s="17" t="s">
        <v>8685</v>
      </c>
      <c r="E99" s="17" t="s">
        <v>20427</v>
      </c>
      <c r="F99" s="17" t="s">
        <v>96</v>
      </c>
      <c r="G99" s="18" t="s">
        <v>28280</v>
      </c>
      <c r="H99" s="18" t="s">
        <v>98</v>
      </c>
      <c r="I99" s="17" t="s">
        <v>28281</v>
      </c>
      <c r="J99" s="17">
        <v>2</v>
      </c>
      <c r="K99" s="17">
        <v>0</v>
      </c>
      <c r="L99" s="17" t="s">
        <v>6786</v>
      </c>
      <c r="M99" s="19" t="s">
        <v>101</v>
      </c>
      <c r="N99" s="17" t="s">
        <v>4916</v>
      </c>
      <c r="O99" s="17" t="s">
        <v>26651</v>
      </c>
      <c r="P99" s="17" t="str">
        <f>HYPERLINK("https://photon-sol.tinyastro.io/en/lp/BrPjSkpdWfgz5XXPoVbDfGxLSiKbzYz76NdvuTqJ8e7H?handle=676050794bc1b1657a56b", "View")</f>
        <v>View</v>
      </c>
    </row>
    <row r="100" spans="1:16" x14ac:dyDescent="0.25">
      <c r="A100" s="13" t="s">
        <v>26655</v>
      </c>
      <c r="B100" s="14">
        <v>645397</v>
      </c>
      <c r="C100" s="14">
        <v>0</v>
      </c>
      <c r="D100" s="14" t="s">
        <v>16283</v>
      </c>
      <c r="E100" s="14" t="s">
        <v>1457</v>
      </c>
      <c r="F100" s="14" t="s">
        <v>96</v>
      </c>
      <c r="G100" s="18" t="s">
        <v>28282</v>
      </c>
      <c r="H100" s="18" t="s">
        <v>98</v>
      </c>
      <c r="I100" s="14" t="s">
        <v>28283</v>
      </c>
      <c r="J100" s="14">
        <v>4</v>
      </c>
      <c r="K100" s="14">
        <v>0</v>
      </c>
      <c r="L100" s="14" t="s">
        <v>28284</v>
      </c>
      <c r="M100" s="14" t="s">
        <v>179</v>
      </c>
      <c r="N100" s="14" t="s">
        <v>28285</v>
      </c>
      <c r="O100" s="14" t="s">
        <v>26659</v>
      </c>
      <c r="P100" s="14" t="str">
        <f>HYPERLINK("https://dexscreener.com/solana/zGSm7WWkUgV6NqrU47nC1iLheZsWaRMyFnzVKTUpump", "View")</f>
        <v>View</v>
      </c>
    </row>
    <row r="101" spans="1:16" x14ac:dyDescent="0.25">
      <c r="A101" s="16" t="s">
        <v>4540</v>
      </c>
      <c r="B101" s="17">
        <v>414455</v>
      </c>
      <c r="C101" s="17">
        <v>0</v>
      </c>
      <c r="D101" s="17" t="s">
        <v>8685</v>
      </c>
      <c r="E101" s="17" t="s">
        <v>1007</v>
      </c>
      <c r="F101" s="17" t="s">
        <v>96</v>
      </c>
      <c r="G101" s="18" t="s">
        <v>9365</v>
      </c>
      <c r="H101" s="18" t="s">
        <v>98</v>
      </c>
      <c r="I101" s="17" t="s">
        <v>28286</v>
      </c>
      <c r="J101" s="17">
        <v>2</v>
      </c>
      <c r="K101" s="17">
        <v>0</v>
      </c>
      <c r="L101" s="17" t="s">
        <v>28287</v>
      </c>
      <c r="M101" s="19" t="s">
        <v>101</v>
      </c>
      <c r="N101" s="17" t="s">
        <v>28288</v>
      </c>
      <c r="O101" s="17" t="s">
        <v>4544</v>
      </c>
      <c r="P101" s="17" t="str">
        <f>HYPERLINK("https://dexscreener.com/solana/5AFpf9H8CPpmHe9gmwZYQPtup3MDZ887PUxvY1yapump", "View")</f>
        <v>View</v>
      </c>
    </row>
    <row r="102" spans="1:16" x14ac:dyDescent="0.25">
      <c r="A102" s="13" t="s">
        <v>26663</v>
      </c>
      <c r="B102" s="14">
        <v>1711739</v>
      </c>
      <c r="C102" s="14">
        <v>0</v>
      </c>
      <c r="D102" s="14" t="s">
        <v>8685</v>
      </c>
      <c r="E102" s="14" t="s">
        <v>1007</v>
      </c>
      <c r="F102" s="14" t="s">
        <v>96</v>
      </c>
      <c r="G102" s="18" t="s">
        <v>9365</v>
      </c>
      <c r="H102" s="18" t="s">
        <v>98</v>
      </c>
      <c r="I102" s="14" t="s">
        <v>28289</v>
      </c>
      <c r="J102" s="14">
        <v>2</v>
      </c>
      <c r="K102" s="14">
        <v>0</v>
      </c>
      <c r="L102" s="14" t="s">
        <v>26665</v>
      </c>
      <c r="M102" s="19" t="s">
        <v>101</v>
      </c>
      <c r="N102" s="14" t="s">
        <v>4911</v>
      </c>
      <c r="O102" s="14" t="s">
        <v>26666</v>
      </c>
      <c r="P102" s="14" t="str">
        <f>HYPERLINK("https://dexscreener.com/solana/HcpuhTEUBYoA4WeRMQE2zeRKNNFmWVcjRRzbYkFopump", "View")</f>
        <v>View</v>
      </c>
    </row>
    <row r="103" spans="1:16" x14ac:dyDescent="0.25">
      <c r="A103" s="16" t="s">
        <v>5344</v>
      </c>
      <c r="B103" s="17">
        <v>1691794</v>
      </c>
      <c r="C103" s="17">
        <v>0</v>
      </c>
      <c r="D103" s="17" t="s">
        <v>8685</v>
      </c>
      <c r="E103" s="17" t="s">
        <v>1007</v>
      </c>
      <c r="F103" s="17" t="s">
        <v>96</v>
      </c>
      <c r="G103" s="18" t="s">
        <v>9365</v>
      </c>
      <c r="H103" s="18" t="s">
        <v>98</v>
      </c>
      <c r="I103" s="17" t="s">
        <v>28290</v>
      </c>
      <c r="J103" s="17">
        <v>2</v>
      </c>
      <c r="K103" s="17">
        <v>0</v>
      </c>
      <c r="L103" s="17" t="s">
        <v>28291</v>
      </c>
      <c r="M103" s="19" t="s">
        <v>101</v>
      </c>
      <c r="N103" s="17" t="s">
        <v>28292</v>
      </c>
      <c r="O103" s="17" t="s">
        <v>5351</v>
      </c>
      <c r="P103" s="17" t="str">
        <f>HYPERLINK("https://dexscreener.com/solana/6BbsRCdCSN5ta2MaFmfuzsbu7FKrNHTvT656Bntzpump", "View")</f>
        <v>View</v>
      </c>
    </row>
    <row r="104" spans="1:16" x14ac:dyDescent="0.25">
      <c r="A104" s="13" t="s">
        <v>5344</v>
      </c>
      <c r="B104" s="14">
        <v>4442493</v>
      </c>
      <c r="C104" s="14">
        <v>0</v>
      </c>
      <c r="D104" s="14" t="s">
        <v>8685</v>
      </c>
      <c r="E104" s="14" t="s">
        <v>28293</v>
      </c>
      <c r="F104" s="14" t="s">
        <v>96</v>
      </c>
      <c r="G104" s="18" t="s">
        <v>15530</v>
      </c>
      <c r="H104" s="18" t="s">
        <v>98</v>
      </c>
      <c r="I104" s="14" t="s">
        <v>28294</v>
      </c>
      <c r="J104" s="14">
        <v>2</v>
      </c>
      <c r="K104" s="14">
        <v>0</v>
      </c>
      <c r="L104" s="14" t="s">
        <v>26671</v>
      </c>
      <c r="M104" s="19" t="s">
        <v>101</v>
      </c>
      <c r="N104" s="14" t="s">
        <v>4306</v>
      </c>
      <c r="O104" s="14" t="s">
        <v>26672</v>
      </c>
      <c r="P104" s="14" t="str">
        <f>HYPERLINK("https://photon-sol.tinyastro.io/en/lp/2Bm2xQRgSS5GLRm8eXj3Xe8WzFq9noEkx4MmGsHBpump?handle=676050794bc1b1657a56b", "View")</f>
        <v>View</v>
      </c>
    </row>
    <row r="105" spans="1:16" x14ac:dyDescent="0.25">
      <c r="A105" s="16" t="s">
        <v>12814</v>
      </c>
      <c r="B105" s="17">
        <v>951659</v>
      </c>
      <c r="C105" s="17">
        <v>0</v>
      </c>
      <c r="D105" s="17" t="s">
        <v>8685</v>
      </c>
      <c r="E105" s="17" t="s">
        <v>10388</v>
      </c>
      <c r="F105" s="17" t="s">
        <v>96</v>
      </c>
      <c r="G105" s="18" t="s">
        <v>28295</v>
      </c>
      <c r="H105" s="18" t="s">
        <v>98</v>
      </c>
      <c r="I105" s="17" t="s">
        <v>28296</v>
      </c>
      <c r="J105" s="17">
        <v>2</v>
      </c>
      <c r="K105" s="17">
        <v>0</v>
      </c>
      <c r="L105" s="17" t="s">
        <v>26674</v>
      </c>
      <c r="M105" s="19" t="s">
        <v>101</v>
      </c>
      <c r="N105" s="17" t="s">
        <v>26675</v>
      </c>
      <c r="O105" s="17" t="s">
        <v>12820</v>
      </c>
      <c r="P105" s="17" t="str">
        <f>HYPERLINK("https://dexscreener.com/solana/6MYhpb3FocZSdJS3V5krpbfMp45JxD5jXdtPfkwUpump", "View")</f>
        <v>View</v>
      </c>
    </row>
    <row r="106" spans="1:16" x14ac:dyDescent="0.25">
      <c r="A106" s="13" t="s">
        <v>641</v>
      </c>
      <c r="B106" s="14">
        <v>3117709</v>
      </c>
      <c r="C106" s="14">
        <v>0</v>
      </c>
      <c r="D106" s="14" t="s">
        <v>8685</v>
      </c>
      <c r="E106" s="14" t="s">
        <v>28297</v>
      </c>
      <c r="F106" s="14" t="s">
        <v>96</v>
      </c>
      <c r="G106" s="18" t="s">
        <v>28298</v>
      </c>
      <c r="H106" s="18" t="s">
        <v>98</v>
      </c>
      <c r="I106" s="14" t="s">
        <v>28299</v>
      </c>
      <c r="J106" s="14">
        <v>2</v>
      </c>
      <c r="K106" s="14">
        <v>0</v>
      </c>
      <c r="L106" s="14" t="s">
        <v>26677</v>
      </c>
      <c r="M106" s="19" t="s">
        <v>101</v>
      </c>
      <c r="N106" s="14" t="s">
        <v>28300</v>
      </c>
      <c r="O106" s="14" t="s">
        <v>645</v>
      </c>
      <c r="P106" s="14" t="str">
        <f>HYPERLINK("https://photon-sol.tinyastro.io/en/lp/8p1axiyVkUL5zTQREb8zGU2DqaiLUkG4TjDHayhVpump?handle=676050794bc1b1657a56b", "View")</f>
        <v>View</v>
      </c>
    </row>
    <row r="107" spans="1:16" x14ac:dyDescent="0.25">
      <c r="A107" s="16" t="s">
        <v>20592</v>
      </c>
      <c r="B107" s="17">
        <v>943038</v>
      </c>
      <c r="C107" s="17">
        <v>913038</v>
      </c>
      <c r="D107" s="17" t="s">
        <v>28301</v>
      </c>
      <c r="E107" s="17" t="s">
        <v>5459</v>
      </c>
      <c r="F107" s="17" t="s">
        <v>28302</v>
      </c>
      <c r="G107" s="21" t="s">
        <v>28303</v>
      </c>
      <c r="H107" s="21" t="s">
        <v>28304</v>
      </c>
      <c r="I107" s="17" t="s">
        <v>88</v>
      </c>
      <c r="J107" s="17">
        <v>2</v>
      </c>
      <c r="K107" s="17">
        <v>22</v>
      </c>
      <c r="L107" s="17" t="s">
        <v>28305</v>
      </c>
      <c r="M107" s="17" t="s">
        <v>356</v>
      </c>
      <c r="N107" s="17" t="s">
        <v>28306</v>
      </c>
      <c r="O107" s="17" t="s">
        <v>20597</v>
      </c>
      <c r="P107" s="17" t="str">
        <f>HYPERLINK("https://dexscreener.com/solana/EYrci5wDqErWHXjKPLxeWtbXq36JcFKzCC7JoMi1pump", "View")</f>
        <v>View</v>
      </c>
    </row>
    <row r="108" spans="1:16" x14ac:dyDescent="0.25">
      <c r="A108" s="13" t="s">
        <v>26679</v>
      </c>
      <c r="B108" s="14">
        <v>1909426</v>
      </c>
      <c r="C108" s="14">
        <v>0</v>
      </c>
      <c r="D108" s="14" t="s">
        <v>8685</v>
      </c>
      <c r="E108" s="14" t="s">
        <v>9376</v>
      </c>
      <c r="F108" s="14" t="s">
        <v>96</v>
      </c>
      <c r="G108" s="18" t="s">
        <v>28307</v>
      </c>
      <c r="H108" s="18" t="s">
        <v>98</v>
      </c>
      <c r="I108" s="14" t="s">
        <v>28308</v>
      </c>
      <c r="J108" s="14">
        <v>2</v>
      </c>
      <c r="K108" s="14">
        <v>0</v>
      </c>
      <c r="L108" s="14" t="s">
        <v>26681</v>
      </c>
      <c r="M108" s="19" t="s">
        <v>101</v>
      </c>
      <c r="N108" s="14" t="s">
        <v>26682</v>
      </c>
      <c r="O108" s="14" t="s">
        <v>26683</v>
      </c>
      <c r="P108" s="14" t="str">
        <f>HYPERLINK("https://dexscreener.com/solana/AKjkUfgVvbmc9LfvniaaaeVJfEpYbKFDonA76fuWpump", "View")</f>
        <v>View</v>
      </c>
    </row>
    <row r="109" spans="1:16" x14ac:dyDescent="0.25">
      <c r="A109" s="16" t="s">
        <v>25070</v>
      </c>
      <c r="B109" s="17">
        <v>286750</v>
      </c>
      <c r="C109" s="17">
        <v>0</v>
      </c>
      <c r="D109" s="17" t="s">
        <v>8685</v>
      </c>
      <c r="E109" s="17" t="s">
        <v>4180</v>
      </c>
      <c r="F109" s="17" t="s">
        <v>96</v>
      </c>
      <c r="G109" s="18" t="s">
        <v>17378</v>
      </c>
      <c r="H109" s="18" t="s">
        <v>98</v>
      </c>
      <c r="I109" s="17" t="s">
        <v>28309</v>
      </c>
      <c r="J109" s="17">
        <v>2</v>
      </c>
      <c r="K109" s="17">
        <v>0</v>
      </c>
      <c r="L109" s="17" t="s">
        <v>28310</v>
      </c>
      <c r="M109" s="19" t="s">
        <v>101</v>
      </c>
      <c r="N109" s="17" t="s">
        <v>28311</v>
      </c>
      <c r="O109" s="17" t="s">
        <v>25074</v>
      </c>
      <c r="P109" s="17" t="str">
        <f>HYPERLINK("https://dexscreener.com/solana/DFy12AkbxKnR2s2gaYz1AvxgxqGDrMEjjzK1GG3Ypump", "View")</f>
        <v>View</v>
      </c>
    </row>
    <row r="110" spans="1:16" x14ac:dyDescent="0.25">
      <c r="A110" s="13" t="s">
        <v>144</v>
      </c>
      <c r="B110" s="14">
        <v>676275</v>
      </c>
      <c r="C110" s="14">
        <v>676275</v>
      </c>
      <c r="D110" s="14" t="s">
        <v>16778</v>
      </c>
      <c r="E110" s="14" t="s">
        <v>4180</v>
      </c>
      <c r="F110" s="14" t="s">
        <v>28312</v>
      </c>
      <c r="G110" s="21" t="s">
        <v>28313</v>
      </c>
      <c r="H110" s="21" t="s">
        <v>28314</v>
      </c>
      <c r="I110" s="14" t="s">
        <v>88</v>
      </c>
      <c r="J110" s="14">
        <v>2</v>
      </c>
      <c r="K110" s="14">
        <v>4</v>
      </c>
      <c r="L110" s="14" t="s">
        <v>28315</v>
      </c>
      <c r="M110" s="14" t="s">
        <v>117</v>
      </c>
      <c r="N110" s="14" t="s">
        <v>28316</v>
      </c>
      <c r="O110" s="14" t="s">
        <v>152</v>
      </c>
      <c r="P110" s="14" t="str">
        <f>HYPERLINK("https://dexscreener.com/solana/66gsTs88mXJ5L4AtJnWqFW6H2L5YQDRy4W41y6zbpump", "View")</f>
        <v>View</v>
      </c>
    </row>
    <row r="111" spans="1:16" x14ac:dyDescent="0.25">
      <c r="A111" s="16" t="s">
        <v>11395</v>
      </c>
      <c r="B111" s="17">
        <v>192220</v>
      </c>
      <c r="C111" s="17">
        <v>0</v>
      </c>
      <c r="D111" s="17" t="s">
        <v>8685</v>
      </c>
      <c r="E111" s="17" t="s">
        <v>4180</v>
      </c>
      <c r="F111" s="17" t="s">
        <v>96</v>
      </c>
      <c r="G111" s="18" t="s">
        <v>17378</v>
      </c>
      <c r="H111" s="18" t="s">
        <v>98</v>
      </c>
      <c r="I111" s="17" t="s">
        <v>28317</v>
      </c>
      <c r="J111" s="17">
        <v>2</v>
      </c>
      <c r="K111" s="17">
        <v>0</v>
      </c>
      <c r="L111" s="17" t="s">
        <v>26688</v>
      </c>
      <c r="M111" s="19" t="s">
        <v>101</v>
      </c>
      <c r="N111" s="17" t="s">
        <v>26689</v>
      </c>
      <c r="O111" s="17" t="s">
        <v>11399</v>
      </c>
      <c r="P111" s="17" t="str">
        <f>HYPERLINK("https://dexscreener.com/solana/58JkF2Nj981v6yxM2aQMpoeL2MaA7dA3SGcGuRyepump", "View")</f>
        <v>View</v>
      </c>
    </row>
    <row r="112" spans="1:16" x14ac:dyDescent="0.25">
      <c r="A112" s="13" t="s">
        <v>26690</v>
      </c>
      <c r="B112" s="14">
        <v>593279</v>
      </c>
      <c r="C112" s="14">
        <v>0</v>
      </c>
      <c r="D112" s="14" t="s">
        <v>8685</v>
      </c>
      <c r="E112" s="14" t="s">
        <v>4180</v>
      </c>
      <c r="F112" s="14" t="s">
        <v>96</v>
      </c>
      <c r="G112" s="18" t="s">
        <v>17378</v>
      </c>
      <c r="H112" s="18" t="s">
        <v>98</v>
      </c>
      <c r="I112" s="14" t="s">
        <v>28318</v>
      </c>
      <c r="J112" s="14">
        <v>2</v>
      </c>
      <c r="K112" s="14">
        <v>0</v>
      </c>
      <c r="L112" s="14" t="s">
        <v>28319</v>
      </c>
      <c r="M112" s="19" t="s">
        <v>101</v>
      </c>
      <c r="N112" s="14" t="s">
        <v>28320</v>
      </c>
      <c r="O112" s="14" t="s">
        <v>26694</v>
      </c>
      <c r="P112" s="14" t="str">
        <f>HYPERLINK("https://dexscreener.com/solana/zatHUKJXCvgYBkbDMFn6Q8FukeLQkywroBw5Uv4pump", "View")</f>
        <v>View</v>
      </c>
    </row>
    <row r="113" spans="1:16" x14ac:dyDescent="0.25">
      <c r="A113" s="16" t="s">
        <v>16477</v>
      </c>
      <c r="B113" s="17">
        <v>610560</v>
      </c>
      <c r="C113" s="17">
        <v>0</v>
      </c>
      <c r="D113" s="17" t="s">
        <v>8685</v>
      </c>
      <c r="E113" s="17" t="s">
        <v>4180</v>
      </c>
      <c r="F113" s="17" t="s">
        <v>96</v>
      </c>
      <c r="G113" s="18" t="s">
        <v>17378</v>
      </c>
      <c r="H113" s="18" t="s">
        <v>98</v>
      </c>
      <c r="I113" s="17" t="s">
        <v>28321</v>
      </c>
      <c r="J113" s="17">
        <v>2</v>
      </c>
      <c r="K113" s="17">
        <v>0</v>
      </c>
      <c r="L113" s="17" t="s">
        <v>26696</v>
      </c>
      <c r="M113" s="19" t="s">
        <v>101</v>
      </c>
      <c r="N113" s="17" t="s">
        <v>26697</v>
      </c>
      <c r="O113" s="17" t="s">
        <v>16484</v>
      </c>
      <c r="P113" s="17" t="str">
        <f>HYPERLINK("https://dexscreener.com/solana/4Q7A2HQf544SnCVD16asPRb67xMVw94qaYQCWnvEpump", "View")</f>
        <v>View</v>
      </c>
    </row>
    <row r="114" spans="1:16" x14ac:dyDescent="0.25">
      <c r="A114" s="13" t="s">
        <v>28322</v>
      </c>
      <c r="B114" s="14">
        <v>659295</v>
      </c>
      <c r="C114" s="14">
        <v>0</v>
      </c>
      <c r="D114" s="14" t="s">
        <v>8685</v>
      </c>
      <c r="E114" s="14" t="s">
        <v>10664</v>
      </c>
      <c r="F114" s="14" t="s">
        <v>96</v>
      </c>
      <c r="G114" s="18" t="s">
        <v>4049</v>
      </c>
      <c r="H114" s="18" t="s">
        <v>98</v>
      </c>
      <c r="I114" s="14" t="s">
        <v>28323</v>
      </c>
      <c r="J114" s="14">
        <v>2</v>
      </c>
      <c r="K114" s="14">
        <v>0</v>
      </c>
      <c r="L114" s="14" t="s">
        <v>28324</v>
      </c>
      <c r="M114" s="19" t="s">
        <v>101</v>
      </c>
      <c r="N114" s="14" t="s">
        <v>507</v>
      </c>
      <c r="O114" s="14" t="s">
        <v>28325</v>
      </c>
      <c r="P114" s="14" t="str">
        <f>HYPERLINK("https://photon-sol.tinyastro.io/en/lp/DRgibxudczieNizFWtnnpWFDwYXnFChQ6nHFKMm2pump?handle=676050794bc1b1657a56b", "View")</f>
        <v>View</v>
      </c>
    </row>
    <row r="115" spans="1:16" x14ac:dyDescent="0.25">
      <c r="A115" s="16" t="s">
        <v>18930</v>
      </c>
      <c r="B115" s="17">
        <v>979940</v>
      </c>
      <c r="C115" s="17">
        <v>0</v>
      </c>
      <c r="D115" s="17" t="s">
        <v>8685</v>
      </c>
      <c r="E115" s="17" t="s">
        <v>11792</v>
      </c>
      <c r="F115" s="17" t="s">
        <v>96</v>
      </c>
      <c r="G115" s="18" t="s">
        <v>18257</v>
      </c>
      <c r="H115" s="18" t="s">
        <v>98</v>
      </c>
      <c r="I115" s="17" t="s">
        <v>28326</v>
      </c>
      <c r="J115" s="17">
        <v>2</v>
      </c>
      <c r="K115" s="17">
        <v>0</v>
      </c>
      <c r="L115" s="17" t="s">
        <v>28327</v>
      </c>
      <c r="M115" s="19" t="s">
        <v>101</v>
      </c>
      <c r="N115" s="17" t="s">
        <v>28328</v>
      </c>
      <c r="O115" s="17" t="s">
        <v>18934</v>
      </c>
      <c r="P115" s="17" t="str">
        <f>HYPERLINK("https://dexscreener.com/solana/4QmvAPffMFAvDPfHPJg4aepGqCqHKfASGRAUqicSpump", "View")</f>
        <v>View</v>
      </c>
    </row>
    <row r="116" spans="1:16" x14ac:dyDescent="0.25">
      <c r="A116" s="13" t="s">
        <v>26702</v>
      </c>
      <c r="B116" s="14">
        <v>1448116</v>
      </c>
      <c r="C116" s="14">
        <v>0</v>
      </c>
      <c r="D116" s="14" t="s">
        <v>8685</v>
      </c>
      <c r="E116" s="14" t="s">
        <v>5534</v>
      </c>
      <c r="F116" s="14" t="s">
        <v>96</v>
      </c>
      <c r="G116" s="18" t="s">
        <v>4739</v>
      </c>
      <c r="H116" s="18" t="s">
        <v>98</v>
      </c>
      <c r="I116" s="14" t="s">
        <v>28329</v>
      </c>
      <c r="J116" s="14">
        <v>2</v>
      </c>
      <c r="K116" s="14">
        <v>0</v>
      </c>
      <c r="L116" s="14" t="s">
        <v>28330</v>
      </c>
      <c r="M116" s="19" t="s">
        <v>101</v>
      </c>
      <c r="N116" s="14" t="s">
        <v>28331</v>
      </c>
      <c r="O116" s="14" t="s">
        <v>26705</v>
      </c>
      <c r="P116" s="14" t="str">
        <f>HYPERLINK("https://dexscreener.com/solana/5hZc1qQKpzTBLFm31VfhWPjo81rCJ2NspXjF9Uujpump", "View")</f>
        <v>View</v>
      </c>
    </row>
    <row r="117" spans="1:16" x14ac:dyDescent="0.25">
      <c r="A117" s="16" t="s">
        <v>11458</v>
      </c>
      <c r="B117" s="17">
        <v>136574</v>
      </c>
      <c r="C117" s="17">
        <v>0</v>
      </c>
      <c r="D117" s="17" t="s">
        <v>8685</v>
      </c>
      <c r="E117" s="17" t="s">
        <v>4180</v>
      </c>
      <c r="F117" s="17" t="s">
        <v>96</v>
      </c>
      <c r="G117" s="18" t="s">
        <v>17378</v>
      </c>
      <c r="H117" s="18" t="s">
        <v>98</v>
      </c>
      <c r="I117" s="17" t="s">
        <v>28332</v>
      </c>
      <c r="J117" s="17">
        <v>2</v>
      </c>
      <c r="K117" s="17">
        <v>0</v>
      </c>
      <c r="L117" s="17" t="s">
        <v>28333</v>
      </c>
      <c r="M117" s="19" t="s">
        <v>101</v>
      </c>
      <c r="N117" s="17" t="s">
        <v>28334</v>
      </c>
      <c r="O117" s="17" t="s">
        <v>11462</v>
      </c>
      <c r="P117" s="17" t="str">
        <f>HYPERLINK("https://dexscreener.com/solana/G7YVLUYbhiqBXFt4uhKF4Ejs1eC7yvbDhr2syFKWpump", "View")</f>
        <v>View</v>
      </c>
    </row>
    <row r="118" spans="1:16" x14ac:dyDescent="0.25">
      <c r="A118" s="13" t="s">
        <v>26698</v>
      </c>
      <c r="B118" s="14">
        <v>1287890</v>
      </c>
      <c r="C118" s="14">
        <v>0</v>
      </c>
      <c r="D118" s="14" t="s">
        <v>8685</v>
      </c>
      <c r="E118" s="14" t="s">
        <v>11792</v>
      </c>
      <c r="F118" s="14" t="s">
        <v>96</v>
      </c>
      <c r="G118" s="18" t="s">
        <v>18257</v>
      </c>
      <c r="H118" s="18" t="s">
        <v>98</v>
      </c>
      <c r="I118" s="14" t="s">
        <v>28335</v>
      </c>
      <c r="J118" s="14">
        <v>2</v>
      </c>
      <c r="K118" s="14">
        <v>0</v>
      </c>
      <c r="L118" s="14" t="s">
        <v>28336</v>
      </c>
      <c r="M118" s="19" t="s">
        <v>101</v>
      </c>
      <c r="N118" s="14" t="s">
        <v>432</v>
      </c>
      <c r="O118" s="14" t="s">
        <v>26701</v>
      </c>
      <c r="P118" s="14" t="str">
        <f>HYPERLINK("https://dexscreener.com/solana/8T7n6U2GSzpCqFNbNdt4JSoZHtdXp6kdb9BXHs8Ypump", "View")</f>
        <v>View</v>
      </c>
    </row>
    <row r="119" spans="1:16" x14ac:dyDescent="0.25">
      <c r="A119" s="16" t="s">
        <v>21521</v>
      </c>
      <c r="B119" s="17">
        <v>219083</v>
      </c>
      <c r="C119" s="17">
        <v>0</v>
      </c>
      <c r="D119" s="17" t="s">
        <v>8685</v>
      </c>
      <c r="E119" s="17" t="s">
        <v>18127</v>
      </c>
      <c r="F119" s="17" t="s">
        <v>96</v>
      </c>
      <c r="G119" s="18" t="s">
        <v>28337</v>
      </c>
      <c r="H119" s="18" t="s">
        <v>98</v>
      </c>
      <c r="I119" s="17" t="s">
        <v>28338</v>
      </c>
      <c r="J119" s="17">
        <v>2</v>
      </c>
      <c r="K119" s="17">
        <v>0</v>
      </c>
      <c r="L119" s="17" t="s">
        <v>28339</v>
      </c>
      <c r="M119" s="19" t="s">
        <v>101</v>
      </c>
      <c r="N119" s="17" t="s">
        <v>28340</v>
      </c>
      <c r="O119" s="17" t="s">
        <v>21528</v>
      </c>
      <c r="P119" s="17" t="str">
        <f>HYPERLINK("https://dexscreener.com/solana/6G9UoNmvtpgdwzwNQuqCrTD4Bz3j8VyKVJPsjKnrpump", "View")</f>
        <v>View</v>
      </c>
    </row>
    <row r="120" spans="1:16" x14ac:dyDescent="0.25">
      <c r="A120" s="13" t="s">
        <v>28341</v>
      </c>
      <c r="B120" s="14">
        <v>1014353</v>
      </c>
      <c r="C120" s="14">
        <v>1014353</v>
      </c>
      <c r="D120" s="14" t="s">
        <v>16778</v>
      </c>
      <c r="E120" s="14" t="s">
        <v>11792</v>
      </c>
      <c r="F120" s="14" t="s">
        <v>3243</v>
      </c>
      <c r="G120" s="22" t="s">
        <v>15974</v>
      </c>
      <c r="H120" s="22" t="s">
        <v>28342</v>
      </c>
      <c r="I120" s="14" t="s">
        <v>88</v>
      </c>
      <c r="J120" s="14">
        <v>2</v>
      </c>
      <c r="K120" s="14">
        <v>4</v>
      </c>
      <c r="L120" s="14" t="s">
        <v>28343</v>
      </c>
      <c r="M120" s="14" t="s">
        <v>1642</v>
      </c>
      <c r="N120" s="14" t="s">
        <v>28344</v>
      </c>
      <c r="O120" s="14" t="s">
        <v>28345</v>
      </c>
      <c r="P120" s="14" t="str">
        <f>HYPERLINK("https://dexscreener.com/solana/49BpEqdXm9uahssPR9x8uzBhjoaKbAzWqMS9oCb8pump", "View")</f>
        <v>View</v>
      </c>
    </row>
    <row r="121" spans="1:16" x14ac:dyDescent="0.25">
      <c r="A121" s="16" t="s">
        <v>28346</v>
      </c>
      <c r="B121" s="17">
        <v>1411842</v>
      </c>
      <c r="C121" s="17">
        <v>1411842</v>
      </c>
      <c r="D121" s="17" t="s">
        <v>16283</v>
      </c>
      <c r="E121" s="17" t="s">
        <v>4380</v>
      </c>
      <c r="F121" s="17" t="s">
        <v>6248</v>
      </c>
      <c r="G121" s="15" t="s">
        <v>12072</v>
      </c>
      <c r="H121" s="15" t="s">
        <v>28347</v>
      </c>
      <c r="I121" s="17" t="s">
        <v>88</v>
      </c>
      <c r="J121" s="17">
        <v>2</v>
      </c>
      <c r="K121" s="17">
        <v>2</v>
      </c>
      <c r="L121" s="17" t="s">
        <v>28348</v>
      </c>
      <c r="M121" s="17" t="s">
        <v>1448</v>
      </c>
      <c r="N121" s="17" t="s">
        <v>14878</v>
      </c>
      <c r="O121" s="17" t="s">
        <v>28349</v>
      </c>
      <c r="P121" s="17" t="str">
        <f>HYPERLINK("https://photon-sol.tinyastro.io/en/lp/HQXmwse6Uatgj175V2UJuv8CNunK4TptoFW56L2aCT3a?handle=676050794bc1b1657a56b", "View")</f>
        <v>View</v>
      </c>
    </row>
    <row r="122" spans="1:16" x14ac:dyDescent="0.25">
      <c r="A122" s="13" t="s">
        <v>22602</v>
      </c>
      <c r="B122" s="14">
        <v>887002</v>
      </c>
      <c r="C122" s="14">
        <v>887002</v>
      </c>
      <c r="D122" s="14" t="s">
        <v>16283</v>
      </c>
      <c r="E122" s="14" t="s">
        <v>4180</v>
      </c>
      <c r="F122" s="14" t="s">
        <v>4874</v>
      </c>
      <c r="G122" s="15" t="s">
        <v>18210</v>
      </c>
      <c r="H122" s="15" t="s">
        <v>28350</v>
      </c>
      <c r="I122" s="14" t="s">
        <v>88</v>
      </c>
      <c r="J122" s="14">
        <v>2</v>
      </c>
      <c r="K122" s="14">
        <v>2</v>
      </c>
      <c r="L122" s="14" t="s">
        <v>28351</v>
      </c>
      <c r="M122" s="14" t="s">
        <v>788</v>
      </c>
      <c r="N122" s="14" t="s">
        <v>28352</v>
      </c>
      <c r="O122" s="14" t="s">
        <v>28353</v>
      </c>
      <c r="P122" s="14" t="str">
        <f>HYPERLINK("https://dexscreener.com/solana/DyC9KmJpoSNtSfWrg1AVCsDi6UR1BRgCd7nmK5wRpump", "View")</f>
        <v>View</v>
      </c>
    </row>
    <row r="123" spans="1:16" x14ac:dyDescent="0.25">
      <c r="A123" s="16" t="s">
        <v>22602</v>
      </c>
      <c r="B123" s="17">
        <v>457552</v>
      </c>
      <c r="C123" s="17">
        <v>457552</v>
      </c>
      <c r="D123" s="17" t="s">
        <v>16283</v>
      </c>
      <c r="E123" s="17" t="s">
        <v>18127</v>
      </c>
      <c r="F123" s="17" t="s">
        <v>3659</v>
      </c>
      <c r="G123" s="15" t="s">
        <v>19421</v>
      </c>
      <c r="H123" s="15" t="s">
        <v>10686</v>
      </c>
      <c r="I123" s="17" t="s">
        <v>88</v>
      </c>
      <c r="J123" s="17">
        <v>2</v>
      </c>
      <c r="K123" s="17">
        <v>2</v>
      </c>
      <c r="L123" s="17" t="s">
        <v>28354</v>
      </c>
      <c r="M123" s="17" t="s">
        <v>3171</v>
      </c>
      <c r="N123" s="17" t="s">
        <v>28355</v>
      </c>
      <c r="O123" s="17" t="s">
        <v>22606</v>
      </c>
      <c r="P123" s="17" t="str">
        <f>HYPERLINK("https://dexscreener.com/solana/DuLuUb4QegcAEbDYgnuaz9BJhJFTfvDbJDdJ3q9Mpump", "View")</f>
        <v>View</v>
      </c>
    </row>
    <row r="124" spans="1:16" x14ac:dyDescent="0.25">
      <c r="A124" s="13" t="s">
        <v>965</v>
      </c>
      <c r="B124" s="14">
        <v>413459</v>
      </c>
      <c r="C124" s="14">
        <v>413459</v>
      </c>
      <c r="D124" s="14" t="s">
        <v>16283</v>
      </c>
      <c r="E124" s="14" t="s">
        <v>18127</v>
      </c>
      <c r="F124" s="14" t="s">
        <v>5551</v>
      </c>
      <c r="G124" s="15" t="s">
        <v>22644</v>
      </c>
      <c r="H124" s="15" t="s">
        <v>28356</v>
      </c>
      <c r="I124" s="14" t="s">
        <v>88</v>
      </c>
      <c r="J124" s="14">
        <v>2</v>
      </c>
      <c r="K124" s="14">
        <v>2</v>
      </c>
      <c r="L124" s="14" t="s">
        <v>28357</v>
      </c>
      <c r="M124" s="14" t="s">
        <v>1434</v>
      </c>
      <c r="N124" s="14" t="s">
        <v>28358</v>
      </c>
      <c r="O124" s="14" t="s">
        <v>969</v>
      </c>
      <c r="P124" s="14" t="str">
        <f>HYPERLINK("https://dexscreener.com/solana/G9iehSSjm4SVcT85s1DNmNiTyaAhHrenYiWSLfXopump", "View")</f>
        <v>View</v>
      </c>
    </row>
    <row r="125" spans="1:16" x14ac:dyDescent="0.25">
      <c r="A125" s="16" t="s">
        <v>28359</v>
      </c>
      <c r="B125" s="17">
        <v>2476910</v>
      </c>
      <c r="C125" s="17">
        <v>0</v>
      </c>
      <c r="D125" s="17" t="s">
        <v>8685</v>
      </c>
      <c r="E125" s="17" t="s">
        <v>28360</v>
      </c>
      <c r="F125" s="17" t="s">
        <v>96</v>
      </c>
      <c r="G125" s="18" t="s">
        <v>19015</v>
      </c>
      <c r="H125" s="18" t="s">
        <v>98</v>
      </c>
      <c r="I125" s="17" t="s">
        <v>28361</v>
      </c>
      <c r="J125" s="17">
        <v>2</v>
      </c>
      <c r="K125" s="17">
        <v>0</v>
      </c>
      <c r="L125" s="17" t="s">
        <v>28362</v>
      </c>
      <c r="M125" s="19" t="s">
        <v>101</v>
      </c>
      <c r="N125" s="17" t="s">
        <v>28363</v>
      </c>
      <c r="O125" s="17" t="s">
        <v>28364</v>
      </c>
      <c r="P125" s="17" t="str">
        <f>HYPERLINK("https://photon-sol.tinyastro.io/en/lp/KviFcA9aXLXeY9rKYjp8h2KXUrZUYyaKkqLm6v2pump?handle=676050794bc1b1657a56b", "View")</f>
        <v>View</v>
      </c>
    </row>
    <row r="126" spans="1:16" x14ac:dyDescent="0.25">
      <c r="A126" s="13" t="s">
        <v>28365</v>
      </c>
      <c r="B126" s="14">
        <v>334557</v>
      </c>
      <c r="C126" s="14">
        <v>334557</v>
      </c>
      <c r="D126" s="14" t="s">
        <v>16283</v>
      </c>
      <c r="E126" s="14" t="s">
        <v>5459</v>
      </c>
      <c r="F126" s="14" t="s">
        <v>10518</v>
      </c>
      <c r="G126" s="21" t="s">
        <v>3771</v>
      </c>
      <c r="H126" s="21" t="s">
        <v>28366</v>
      </c>
      <c r="I126" s="14" t="s">
        <v>88</v>
      </c>
      <c r="J126" s="14">
        <v>2</v>
      </c>
      <c r="K126" s="14">
        <v>2</v>
      </c>
      <c r="L126" s="14" t="s">
        <v>28367</v>
      </c>
      <c r="M126" s="14" t="s">
        <v>414</v>
      </c>
      <c r="N126" s="14" t="s">
        <v>28368</v>
      </c>
      <c r="O126" s="14" t="s">
        <v>28369</v>
      </c>
      <c r="P126" s="14" t="str">
        <f>HYPERLINK("https://dexscreener.com/solana/CUsLQwd3wvcXxin2UyxcstTTaSmXvWXSo3E18G3Fpump", "View")</f>
        <v>View</v>
      </c>
    </row>
    <row r="127" spans="1:16" x14ac:dyDescent="0.25">
      <c r="A127" s="16" t="s">
        <v>28370</v>
      </c>
      <c r="B127" s="17">
        <v>580036</v>
      </c>
      <c r="C127" s="17">
        <v>0</v>
      </c>
      <c r="D127" s="17" t="s">
        <v>8685</v>
      </c>
      <c r="E127" s="17" t="s">
        <v>18127</v>
      </c>
      <c r="F127" s="17" t="s">
        <v>96</v>
      </c>
      <c r="G127" s="18" t="s">
        <v>28337</v>
      </c>
      <c r="H127" s="18" t="s">
        <v>98</v>
      </c>
      <c r="I127" s="17" t="s">
        <v>28371</v>
      </c>
      <c r="J127" s="17">
        <v>2</v>
      </c>
      <c r="K127" s="17">
        <v>0</v>
      </c>
      <c r="L127" s="17" t="s">
        <v>28372</v>
      </c>
      <c r="M127" s="19" t="s">
        <v>101</v>
      </c>
      <c r="N127" s="17" t="s">
        <v>28373</v>
      </c>
      <c r="O127" s="17" t="s">
        <v>28374</v>
      </c>
      <c r="P127" s="17" t="str">
        <f>HYPERLINK("https://dexscreener.com/solana/we2uCiJ3PsjSLjcYPgdmTuJ7AfocnysF7U4sakwpump", "View")</f>
        <v>View</v>
      </c>
    </row>
    <row r="128" spans="1:16" x14ac:dyDescent="0.25">
      <c r="A128" s="13" t="s">
        <v>28375</v>
      </c>
      <c r="B128" s="14">
        <v>214445</v>
      </c>
      <c r="C128" s="14">
        <v>214445</v>
      </c>
      <c r="D128" s="14" t="s">
        <v>16283</v>
      </c>
      <c r="E128" s="14" t="s">
        <v>11792</v>
      </c>
      <c r="F128" s="14" t="s">
        <v>12202</v>
      </c>
      <c r="G128" s="15" t="s">
        <v>2912</v>
      </c>
      <c r="H128" s="15" t="s">
        <v>28376</v>
      </c>
      <c r="I128" s="14" t="s">
        <v>88</v>
      </c>
      <c r="J128" s="14">
        <v>2</v>
      </c>
      <c r="K128" s="14">
        <v>2</v>
      </c>
      <c r="L128" s="14" t="s">
        <v>28377</v>
      </c>
      <c r="M128" s="14" t="s">
        <v>823</v>
      </c>
      <c r="N128" s="14" t="s">
        <v>28378</v>
      </c>
      <c r="O128" s="14" t="s">
        <v>28379</v>
      </c>
      <c r="P128" s="14" t="str">
        <f>HYPERLINK("https://dexscreener.com/solana/6zY3btk8QZ6aikpkswnuqA3RQkVYGJBwrpb13HzDpump", "View")</f>
        <v>View</v>
      </c>
    </row>
    <row r="129" spans="1:16" x14ac:dyDescent="0.25">
      <c r="A129" s="16" t="s">
        <v>3878</v>
      </c>
      <c r="B129" s="17">
        <v>287293</v>
      </c>
      <c r="C129" s="17">
        <v>0</v>
      </c>
      <c r="D129" s="17" t="s">
        <v>8685</v>
      </c>
      <c r="E129" s="17" t="s">
        <v>5459</v>
      </c>
      <c r="F129" s="17" t="s">
        <v>96</v>
      </c>
      <c r="G129" s="18" t="s">
        <v>17066</v>
      </c>
      <c r="H129" s="18" t="s">
        <v>98</v>
      </c>
      <c r="I129" s="17" t="s">
        <v>28380</v>
      </c>
      <c r="J129" s="17">
        <v>2</v>
      </c>
      <c r="K129" s="17">
        <v>0</v>
      </c>
      <c r="L129" s="17" t="s">
        <v>28381</v>
      </c>
      <c r="M129" s="19" t="s">
        <v>101</v>
      </c>
      <c r="N129" s="17" t="s">
        <v>28382</v>
      </c>
      <c r="O129" s="17" t="s">
        <v>10125</v>
      </c>
      <c r="P129" s="17" t="str">
        <f>HYPERLINK("https://dexscreener.com/solana/FAVwsjCnEvSDTCJXmvyeSBX3RrYH8dTYSyFQH9SApump", "View")</f>
        <v>View</v>
      </c>
    </row>
    <row r="130" spans="1:16" x14ac:dyDescent="0.25">
      <c r="A130" s="13" t="s">
        <v>3878</v>
      </c>
      <c r="B130" s="14">
        <v>368652</v>
      </c>
      <c r="C130" s="14">
        <v>0</v>
      </c>
      <c r="D130" s="14" t="s">
        <v>8685</v>
      </c>
      <c r="E130" s="14" t="s">
        <v>5459</v>
      </c>
      <c r="F130" s="14" t="s">
        <v>96</v>
      </c>
      <c r="G130" s="18" t="s">
        <v>17066</v>
      </c>
      <c r="H130" s="18" t="s">
        <v>98</v>
      </c>
      <c r="I130" s="14" t="s">
        <v>28383</v>
      </c>
      <c r="J130" s="14">
        <v>2</v>
      </c>
      <c r="K130" s="14">
        <v>0</v>
      </c>
      <c r="L130" s="14" t="s">
        <v>28384</v>
      </c>
      <c r="M130" s="19" t="s">
        <v>101</v>
      </c>
      <c r="N130" s="14" t="s">
        <v>28385</v>
      </c>
      <c r="O130" s="14" t="s">
        <v>28386</v>
      </c>
      <c r="P130" s="14" t="str">
        <f>HYPERLINK("https://dexscreener.com/solana/DCh7xKpTMH9sNrEssMhPX9CPQeeXDyW6mvEmVy4Mpump", "View")</f>
        <v>View</v>
      </c>
    </row>
    <row r="131" spans="1:16" x14ac:dyDescent="0.25">
      <c r="A131" s="16" t="s">
        <v>7295</v>
      </c>
      <c r="B131" s="17">
        <v>933338</v>
      </c>
      <c r="C131" s="17">
        <v>233334</v>
      </c>
      <c r="D131" s="17" t="s">
        <v>16778</v>
      </c>
      <c r="E131" s="17" t="s">
        <v>1549</v>
      </c>
      <c r="F131" s="17" t="s">
        <v>28387</v>
      </c>
      <c r="G131" s="21" t="s">
        <v>10998</v>
      </c>
      <c r="H131" s="21" t="s">
        <v>28388</v>
      </c>
      <c r="I131" s="17" t="s">
        <v>88</v>
      </c>
      <c r="J131" s="17">
        <v>4</v>
      </c>
      <c r="K131" s="17">
        <v>2</v>
      </c>
      <c r="L131" s="17" t="s">
        <v>28389</v>
      </c>
      <c r="M131" s="17" t="s">
        <v>414</v>
      </c>
      <c r="N131" s="17" t="s">
        <v>28390</v>
      </c>
      <c r="O131" s="17" t="s">
        <v>7302</v>
      </c>
      <c r="P131" s="17" t="str">
        <f>HYPERLINK("https://dexscreener.com/solana/LBkz8mkiyhNeJspzs6rtFYrSc62j369kahEGuuNtYo5", "View")</f>
        <v>View</v>
      </c>
    </row>
    <row r="132" spans="1:16" x14ac:dyDescent="0.25">
      <c r="A132" s="13" t="s">
        <v>724</v>
      </c>
      <c r="B132" s="14">
        <v>251070</v>
      </c>
      <c r="C132" s="14">
        <v>219686</v>
      </c>
      <c r="D132" s="14" t="s">
        <v>16778</v>
      </c>
      <c r="E132" s="14" t="s">
        <v>5459</v>
      </c>
      <c r="F132" s="14" t="s">
        <v>2581</v>
      </c>
      <c r="G132" s="15" t="s">
        <v>21372</v>
      </c>
      <c r="H132" s="15" t="s">
        <v>28391</v>
      </c>
      <c r="I132" s="14" t="s">
        <v>88</v>
      </c>
      <c r="J132" s="14">
        <v>2</v>
      </c>
      <c r="K132" s="14">
        <v>4</v>
      </c>
      <c r="L132" s="14" t="s">
        <v>28392</v>
      </c>
      <c r="M132" s="14" t="s">
        <v>6257</v>
      </c>
      <c r="N132" s="14" t="s">
        <v>28393</v>
      </c>
      <c r="O132" s="14" t="s">
        <v>731</v>
      </c>
      <c r="P132" s="14" t="str">
        <f>HYPERLINK("https://dexscreener.com/solana/A9e6JzPQstmz94pMnzxgyV14QUqoULSXuf5FPsq8UiRa", "View")</f>
        <v>View</v>
      </c>
    </row>
    <row r="133" spans="1:16" x14ac:dyDescent="0.25">
      <c r="A133" s="16" t="s">
        <v>15961</v>
      </c>
      <c r="B133" s="17">
        <v>267754</v>
      </c>
      <c r="C133" s="17">
        <v>200816</v>
      </c>
      <c r="D133" s="17" t="s">
        <v>16283</v>
      </c>
      <c r="E133" s="17" t="s">
        <v>5459</v>
      </c>
      <c r="F133" s="17" t="s">
        <v>28394</v>
      </c>
      <c r="G133" s="21" t="s">
        <v>6501</v>
      </c>
      <c r="H133" s="21" t="s">
        <v>28395</v>
      </c>
      <c r="I133" s="17" t="s">
        <v>88</v>
      </c>
      <c r="J133" s="17">
        <v>2</v>
      </c>
      <c r="K133" s="17">
        <v>2</v>
      </c>
      <c r="L133" s="17" t="s">
        <v>28396</v>
      </c>
      <c r="M133" s="17" t="s">
        <v>680</v>
      </c>
      <c r="N133" s="17" t="s">
        <v>28397</v>
      </c>
      <c r="O133" s="17" t="s">
        <v>15966</v>
      </c>
      <c r="P133" s="17" t="str">
        <f>HYPERLINK("https://dexscreener.com/solana/9MnKTgwFyXJgnZumHGT9NdHuzm98ACjkNwpLniLhpump", "View")</f>
        <v>View</v>
      </c>
    </row>
    <row r="134" spans="1:16" x14ac:dyDescent="0.25">
      <c r="A134" s="13" t="s">
        <v>28398</v>
      </c>
      <c r="B134" s="14">
        <v>1736195</v>
      </c>
      <c r="C134" s="14">
        <v>0</v>
      </c>
      <c r="D134" s="14" t="s">
        <v>8685</v>
      </c>
      <c r="E134" s="14" t="s">
        <v>10121</v>
      </c>
      <c r="F134" s="14" t="s">
        <v>96</v>
      </c>
      <c r="G134" s="18" t="s">
        <v>4327</v>
      </c>
      <c r="H134" s="18" t="s">
        <v>98</v>
      </c>
      <c r="I134" s="14" t="s">
        <v>28399</v>
      </c>
      <c r="J134" s="14">
        <v>2</v>
      </c>
      <c r="K134" s="14">
        <v>0</v>
      </c>
      <c r="L134" s="14" t="s">
        <v>28400</v>
      </c>
      <c r="M134" s="19" t="s">
        <v>101</v>
      </c>
      <c r="N134" s="14" t="s">
        <v>2411</v>
      </c>
      <c r="O134" s="14" t="s">
        <v>28401</v>
      </c>
      <c r="P134" s="14" t="str">
        <f>HYPERLINK("https://dexscreener.com/solana/FiEJeVw6MJToGkN6KVktYzMvX1zQS9H6RtV15ARdpump", "View")</f>
        <v>View</v>
      </c>
    </row>
    <row r="135" spans="1:16" x14ac:dyDescent="0.25">
      <c r="A135" s="16" t="s">
        <v>28402</v>
      </c>
      <c r="B135" s="17">
        <v>477118</v>
      </c>
      <c r="C135" s="17">
        <v>0</v>
      </c>
      <c r="D135" s="17" t="s">
        <v>8685</v>
      </c>
      <c r="E135" s="17" t="s">
        <v>10121</v>
      </c>
      <c r="F135" s="17" t="s">
        <v>96</v>
      </c>
      <c r="G135" s="18" t="s">
        <v>4327</v>
      </c>
      <c r="H135" s="18" t="s">
        <v>98</v>
      </c>
      <c r="I135" s="17" t="s">
        <v>28403</v>
      </c>
      <c r="J135" s="17">
        <v>2</v>
      </c>
      <c r="K135" s="17">
        <v>0</v>
      </c>
      <c r="L135" s="17" t="s">
        <v>28404</v>
      </c>
      <c r="M135" s="19" t="s">
        <v>101</v>
      </c>
      <c r="N135" s="17" t="s">
        <v>28405</v>
      </c>
      <c r="O135" s="17" t="s">
        <v>28406</v>
      </c>
      <c r="P135" s="17" t="str">
        <f>HYPERLINK("https://dexscreener.com/solana/7q9koN6yzdiP3b5noPMN4V3LVVkh1msBAzHHiVCppump", "View")</f>
        <v>View</v>
      </c>
    </row>
    <row r="136" spans="1:16" x14ac:dyDescent="0.25">
      <c r="A136" s="13" t="s">
        <v>10224</v>
      </c>
      <c r="B136" s="14">
        <v>513932</v>
      </c>
      <c r="C136" s="14">
        <v>0</v>
      </c>
      <c r="D136" s="14" t="s">
        <v>8685</v>
      </c>
      <c r="E136" s="14" t="s">
        <v>11792</v>
      </c>
      <c r="F136" s="14" t="s">
        <v>96</v>
      </c>
      <c r="G136" s="18" t="s">
        <v>18257</v>
      </c>
      <c r="H136" s="18" t="s">
        <v>98</v>
      </c>
      <c r="I136" s="14" t="s">
        <v>28407</v>
      </c>
      <c r="J136" s="14">
        <v>2</v>
      </c>
      <c r="K136" s="14">
        <v>0</v>
      </c>
      <c r="L136" s="14" t="s">
        <v>28408</v>
      </c>
      <c r="M136" s="19" t="s">
        <v>101</v>
      </c>
      <c r="N136" s="14" t="s">
        <v>10462</v>
      </c>
      <c r="O136" s="14" t="s">
        <v>10228</v>
      </c>
      <c r="P136" s="14" t="str">
        <f>HYPERLINK("https://dexscreener.com/solana/wpxTGswisVp6q33Rfnt39A7q7R6NzV523pXRpA9pump", "View")</f>
        <v>View</v>
      </c>
    </row>
    <row r="137" spans="1:16" x14ac:dyDescent="0.25">
      <c r="A137" s="16" t="s">
        <v>1045</v>
      </c>
      <c r="B137" s="17">
        <v>2075077</v>
      </c>
      <c r="C137" s="17">
        <v>0</v>
      </c>
      <c r="D137" s="17" t="s">
        <v>8685</v>
      </c>
      <c r="E137" s="17" t="s">
        <v>10121</v>
      </c>
      <c r="F137" s="17" t="s">
        <v>96</v>
      </c>
      <c r="G137" s="18" t="s">
        <v>4327</v>
      </c>
      <c r="H137" s="18" t="s">
        <v>98</v>
      </c>
      <c r="I137" s="17" t="s">
        <v>28409</v>
      </c>
      <c r="J137" s="17">
        <v>2</v>
      </c>
      <c r="K137" s="17">
        <v>0</v>
      </c>
      <c r="L137" s="17" t="s">
        <v>28410</v>
      </c>
      <c r="M137" s="19" t="s">
        <v>101</v>
      </c>
      <c r="N137" s="17" t="s">
        <v>1393</v>
      </c>
      <c r="O137" s="17" t="s">
        <v>10260</v>
      </c>
      <c r="P137" s="17" t="str">
        <f>HYPERLINK("https://dexscreener.com/solana/8KapfTcDKMMCN1xujKvDFPA4QSbRci9nSkpyYxoMpump", "View")</f>
        <v>View</v>
      </c>
    </row>
    <row r="138" spans="1:16" x14ac:dyDescent="0.25">
      <c r="A138" s="13" t="s">
        <v>28411</v>
      </c>
      <c r="B138" s="14">
        <v>3507858</v>
      </c>
      <c r="C138" s="14">
        <v>0</v>
      </c>
      <c r="D138" s="14" t="s">
        <v>8685</v>
      </c>
      <c r="E138" s="14" t="s">
        <v>11792</v>
      </c>
      <c r="F138" s="14" t="s">
        <v>96</v>
      </c>
      <c r="G138" s="18" t="s">
        <v>18257</v>
      </c>
      <c r="H138" s="18" t="s">
        <v>98</v>
      </c>
      <c r="I138" s="14" t="s">
        <v>28412</v>
      </c>
      <c r="J138" s="14">
        <v>2</v>
      </c>
      <c r="K138" s="14">
        <v>0</v>
      </c>
      <c r="L138" s="14" t="s">
        <v>28413</v>
      </c>
      <c r="M138" s="19" t="s">
        <v>101</v>
      </c>
      <c r="N138" s="14" t="s">
        <v>2411</v>
      </c>
      <c r="O138" s="14" t="s">
        <v>28414</v>
      </c>
      <c r="P138" s="14" t="str">
        <f>HYPERLINK("https://dexscreener.com/solana/HTK8TMTEKuWVQTQXpk4cAzhz19bzwh57rBtMqv8upump", "View")</f>
        <v>View</v>
      </c>
    </row>
    <row r="139" spans="1:16" x14ac:dyDescent="0.25">
      <c r="A139" s="16" t="s">
        <v>28415</v>
      </c>
      <c r="B139" s="17">
        <v>987378</v>
      </c>
      <c r="C139" s="17">
        <v>0</v>
      </c>
      <c r="D139" s="17" t="s">
        <v>8685</v>
      </c>
      <c r="E139" s="17" t="s">
        <v>11792</v>
      </c>
      <c r="F139" s="17" t="s">
        <v>96</v>
      </c>
      <c r="G139" s="18" t="s">
        <v>18257</v>
      </c>
      <c r="H139" s="18" t="s">
        <v>98</v>
      </c>
      <c r="I139" s="17" t="s">
        <v>28416</v>
      </c>
      <c r="J139" s="17">
        <v>2</v>
      </c>
      <c r="K139" s="17">
        <v>0</v>
      </c>
      <c r="L139" s="17" t="s">
        <v>28417</v>
      </c>
      <c r="M139" s="19" t="s">
        <v>101</v>
      </c>
      <c r="N139" s="17" t="s">
        <v>28418</v>
      </c>
      <c r="O139" s="17" t="s">
        <v>28419</v>
      </c>
      <c r="P139" s="17" t="str">
        <f>HYPERLINK("https://dexscreener.com/solana/5Uzw4pxZuHfrcMsrZgkjMeyk7WGnj6gFwn1bGqitpump", "View")</f>
        <v>View</v>
      </c>
    </row>
    <row r="140" spans="1:16" x14ac:dyDescent="0.25">
      <c r="A140" s="13" t="s">
        <v>26639</v>
      </c>
      <c r="B140" s="14">
        <v>2408118</v>
      </c>
      <c r="C140" s="14">
        <v>0</v>
      </c>
      <c r="D140" s="14" t="s">
        <v>8685</v>
      </c>
      <c r="E140" s="14" t="s">
        <v>5534</v>
      </c>
      <c r="F140" s="14" t="s">
        <v>96</v>
      </c>
      <c r="G140" s="18" t="s">
        <v>4739</v>
      </c>
      <c r="H140" s="18" t="s">
        <v>98</v>
      </c>
      <c r="I140" s="14" t="s">
        <v>28420</v>
      </c>
      <c r="J140" s="14">
        <v>2</v>
      </c>
      <c r="K140" s="14">
        <v>0</v>
      </c>
      <c r="L140" s="14" t="s">
        <v>28421</v>
      </c>
      <c r="M140" s="19" t="s">
        <v>101</v>
      </c>
      <c r="N140" s="14" t="s">
        <v>1011</v>
      </c>
      <c r="O140" s="14" t="s">
        <v>26642</v>
      </c>
      <c r="P140" s="14" t="str">
        <f>HYPERLINK("https://dexscreener.com/solana/FApzaVYXjGqibTvzJKGhSNscQDFYH3JDnRpcpAfypump", "View")</f>
        <v>View</v>
      </c>
    </row>
    <row r="141" spans="1:16" x14ac:dyDescent="0.25">
      <c r="A141" s="16" t="s">
        <v>28422</v>
      </c>
      <c r="B141" s="17">
        <v>1879910</v>
      </c>
      <c r="C141" s="17">
        <v>0</v>
      </c>
      <c r="D141" s="17" t="s">
        <v>8685</v>
      </c>
      <c r="E141" s="17" t="s">
        <v>10121</v>
      </c>
      <c r="F141" s="17" t="s">
        <v>96</v>
      </c>
      <c r="G141" s="18" t="s">
        <v>4327</v>
      </c>
      <c r="H141" s="18" t="s">
        <v>98</v>
      </c>
      <c r="I141" s="17" t="s">
        <v>28423</v>
      </c>
      <c r="J141" s="17">
        <v>2</v>
      </c>
      <c r="K141" s="17">
        <v>0</v>
      </c>
      <c r="L141" s="17" t="s">
        <v>28424</v>
      </c>
      <c r="M141" s="19" t="s">
        <v>101</v>
      </c>
      <c r="N141" s="17" t="s">
        <v>28425</v>
      </c>
      <c r="O141" s="17" t="s">
        <v>28426</v>
      </c>
      <c r="P141" s="17" t="str">
        <f>HYPERLINK("https://dexscreener.com/solana/26LDHcthoC5jeQtYJFyRJ14yFVYqwsrMDznAUhWepump", "View")</f>
        <v>View</v>
      </c>
    </row>
    <row r="142" spans="1:16" x14ac:dyDescent="0.25">
      <c r="A142" s="13" t="s">
        <v>25192</v>
      </c>
      <c r="B142" s="14">
        <v>1542967</v>
      </c>
      <c r="C142" s="14">
        <v>1542967</v>
      </c>
      <c r="D142" s="14" t="s">
        <v>28427</v>
      </c>
      <c r="E142" s="14" t="s">
        <v>9376</v>
      </c>
      <c r="F142" s="14" t="s">
        <v>28428</v>
      </c>
      <c r="G142" s="22" t="s">
        <v>4660</v>
      </c>
      <c r="H142" s="22" t="s">
        <v>28429</v>
      </c>
      <c r="I142" s="14" t="s">
        <v>88</v>
      </c>
      <c r="J142" s="14">
        <v>4</v>
      </c>
      <c r="K142" s="14">
        <v>4</v>
      </c>
      <c r="L142" s="14" t="s">
        <v>28430</v>
      </c>
      <c r="M142" s="14" t="s">
        <v>1526</v>
      </c>
      <c r="N142" s="14" t="s">
        <v>28431</v>
      </c>
      <c r="O142" s="14" t="s">
        <v>25195</v>
      </c>
      <c r="P142" s="14" t="str">
        <f>HYPERLINK("https://dexscreener.com/solana/5qXSRVe9RG7U39DbAtKSM7Jq6zfaD9Me1mupfbGmpump", "View")</f>
        <v>View</v>
      </c>
    </row>
    <row r="143" spans="1:16" x14ac:dyDescent="0.25">
      <c r="A143" s="16" t="s">
        <v>5481</v>
      </c>
      <c r="B143" s="17">
        <v>3352867</v>
      </c>
      <c r="C143" s="17">
        <v>0</v>
      </c>
      <c r="D143" s="17" t="s">
        <v>8685</v>
      </c>
      <c r="E143" s="17" t="s">
        <v>11792</v>
      </c>
      <c r="F143" s="17" t="s">
        <v>96</v>
      </c>
      <c r="G143" s="18" t="s">
        <v>18257</v>
      </c>
      <c r="H143" s="18" t="s">
        <v>98</v>
      </c>
      <c r="I143" s="17" t="s">
        <v>28432</v>
      </c>
      <c r="J143" s="17">
        <v>2</v>
      </c>
      <c r="K143" s="17">
        <v>0</v>
      </c>
      <c r="L143" s="17" t="s">
        <v>28433</v>
      </c>
      <c r="M143" s="19" t="s">
        <v>101</v>
      </c>
      <c r="N143" s="17" t="s">
        <v>28434</v>
      </c>
      <c r="O143" s="17" t="s">
        <v>28435</v>
      </c>
      <c r="P143" s="17" t="str">
        <f>HYPERLINK("https://dexscreener.com/solana/FX7RsVm1y59Cr166Eb4VteRzAdTY9idPWtcN15j4pump", "View")</f>
        <v>View</v>
      </c>
    </row>
    <row r="144" spans="1:16" x14ac:dyDescent="0.25">
      <c r="A144" s="13" t="s">
        <v>28436</v>
      </c>
      <c r="B144" s="14">
        <v>1414010</v>
      </c>
      <c r="C144" s="14">
        <v>1414010</v>
      </c>
      <c r="D144" s="14" t="s">
        <v>16283</v>
      </c>
      <c r="E144" s="14" t="s">
        <v>5459</v>
      </c>
      <c r="F144" s="14" t="s">
        <v>14793</v>
      </c>
      <c r="G144" s="15" t="s">
        <v>3618</v>
      </c>
      <c r="H144" s="15" t="s">
        <v>28437</v>
      </c>
      <c r="I144" s="14" t="s">
        <v>88</v>
      </c>
      <c r="J144" s="14">
        <v>2</v>
      </c>
      <c r="K144" s="14">
        <v>2</v>
      </c>
      <c r="L144" s="14" t="s">
        <v>28438</v>
      </c>
      <c r="M144" s="14" t="s">
        <v>823</v>
      </c>
      <c r="N144" s="14" t="s">
        <v>28439</v>
      </c>
      <c r="O144" s="14" t="s">
        <v>28440</v>
      </c>
      <c r="P144" s="14" t="str">
        <f>HYPERLINK("https://dexscreener.com/solana/5VrJTBsjpmeGaQaf6EYewARFYVzF1ZCYmxoLf7RPpump", "View")</f>
        <v>View</v>
      </c>
    </row>
    <row r="145" spans="1:16" x14ac:dyDescent="0.25">
      <c r="A145" s="16" t="s">
        <v>28441</v>
      </c>
      <c r="B145" s="17">
        <v>960039</v>
      </c>
      <c r="C145" s="17">
        <v>960039</v>
      </c>
      <c r="D145" s="17" t="s">
        <v>16283</v>
      </c>
      <c r="E145" s="17" t="s">
        <v>8966</v>
      </c>
      <c r="F145" s="17" t="s">
        <v>3759</v>
      </c>
      <c r="G145" s="15" t="s">
        <v>3537</v>
      </c>
      <c r="H145" s="15" t="s">
        <v>28442</v>
      </c>
      <c r="I145" s="17" t="s">
        <v>88</v>
      </c>
      <c r="J145" s="17">
        <v>2</v>
      </c>
      <c r="K145" s="17">
        <v>2</v>
      </c>
      <c r="L145" s="17" t="s">
        <v>28443</v>
      </c>
      <c r="M145" s="17" t="s">
        <v>823</v>
      </c>
      <c r="N145" s="17" t="s">
        <v>28444</v>
      </c>
      <c r="O145" s="17" t="s">
        <v>28445</v>
      </c>
      <c r="P145" s="17" t="str">
        <f>HYPERLINK("https://photon-sol.tinyastro.io/en/lp/Jq27m8AfBJ5gyuzpZqtjfQAgDFUwD8CVAH9dS9hpump?handle=676050794bc1b1657a56b", "View")</f>
        <v>View</v>
      </c>
    </row>
    <row r="146" spans="1:16" x14ac:dyDescent="0.25">
      <c r="A146" s="13" t="s">
        <v>12767</v>
      </c>
      <c r="B146" s="14">
        <v>2207771</v>
      </c>
      <c r="C146" s="14">
        <v>2207771</v>
      </c>
      <c r="D146" s="14" t="s">
        <v>16283</v>
      </c>
      <c r="E146" s="14" t="s">
        <v>5534</v>
      </c>
      <c r="F146" s="14" t="s">
        <v>5359</v>
      </c>
      <c r="G146" s="20" t="s">
        <v>9389</v>
      </c>
      <c r="H146" s="20" t="s">
        <v>28446</v>
      </c>
      <c r="I146" s="14" t="s">
        <v>88</v>
      </c>
      <c r="J146" s="14">
        <v>2</v>
      </c>
      <c r="K146" s="14">
        <v>2</v>
      </c>
      <c r="L146" s="14" t="s">
        <v>28447</v>
      </c>
      <c r="M146" s="14" t="s">
        <v>5729</v>
      </c>
      <c r="N146" s="14" t="s">
        <v>4634</v>
      </c>
      <c r="O146" s="14" t="s">
        <v>28448</v>
      </c>
      <c r="P146" s="14" t="str">
        <f>HYPERLINK("https://dexscreener.com/solana/8joRyg6QjWq83ZtGY25A3bpcMAgtyEcKY4iNPusCpump", "View")</f>
        <v>View</v>
      </c>
    </row>
    <row r="147" spans="1:16" x14ac:dyDescent="0.25">
      <c r="A147" s="16" t="s">
        <v>7995</v>
      </c>
      <c r="B147" s="17">
        <v>1924687</v>
      </c>
      <c r="C147" s="17">
        <v>0</v>
      </c>
      <c r="D147" s="17" t="s">
        <v>8685</v>
      </c>
      <c r="E147" s="17" t="s">
        <v>5534</v>
      </c>
      <c r="F147" s="17" t="s">
        <v>96</v>
      </c>
      <c r="G147" s="18" t="s">
        <v>4739</v>
      </c>
      <c r="H147" s="18" t="s">
        <v>98</v>
      </c>
      <c r="I147" s="17" t="s">
        <v>28449</v>
      </c>
      <c r="J147" s="17">
        <v>2</v>
      </c>
      <c r="K147" s="17">
        <v>0</v>
      </c>
      <c r="L147" s="17" t="s">
        <v>28450</v>
      </c>
      <c r="M147" s="19" t="s">
        <v>101</v>
      </c>
      <c r="N147" s="17" t="s">
        <v>12453</v>
      </c>
      <c r="O147" s="17" t="s">
        <v>8002</v>
      </c>
      <c r="P147" s="17" t="str">
        <f>HYPERLINK("https://dexscreener.com/solana/BWaMsm4AaCEpMXV9iQsyZtwRemVBty5z4HS8oxbApump", "View")</f>
        <v>View</v>
      </c>
    </row>
    <row r="148" spans="1:16" x14ac:dyDescent="0.25">
      <c r="A148" s="13" t="s">
        <v>6516</v>
      </c>
      <c r="B148" s="14">
        <v>165007</v>
      </c>
      <c r="C148" s="14">
        <v>0</v>
      </c>
      <c r="D148" s="14" t="s">
        <v>8685</v>
      </c>
      <c r="E148" s="14" t="s">
        <v>5459</v>
      </c>
      <c r="F148" s="14" t="s">
        <v>96</v>
      </c>
      <c r="G148" s="18" t="s">
        <v>17066</v>
      </c>
      <c r="H148" s="18" t="s">
        <v>98</v>
      </c>
      <c r="I148" s="14" t="s">
        <v>28451</v>
      </c>
      <c r="J148" s="14">
        <v>2</v>
      </c>
      <c r="K148" s="14">
        <v>0</v>
      </c>
      <c r="L148" s="14" t="s">
        <v>28452</v>
      </c>
      <c r="M148" s="19" t="s">
        <v>101</v>
      </c>
      <c r="N148" s="14" t="s">
        <v>28453</v>
      </c>
      <c r="O148" s="14" t="s">
        <v>28454</v>
      </c>
      <c r="P148" s="14" t="str">
        <f>HYPERLINK("https://dexscreener.com/solana/A1VW4WZVQxBvwyxMXdaXp3vYez9ULfFBiTHCVLHapump", "View")</f>
        <v>View</v>
      </c>
    </row>
    <row r="149" spans="1:16" x14ac:dyDescent="0.25">
      <c r="A149" s="16" t="s">
        <v>11577</v>
      </c>
      <c r="B149" s="17">
        <v>14886</v>
      </c>
      <c r="C149" s="17">
        <v>9304</v>
      </c>
      <c r="D149" s="17" t="s">
        <v>16778</v>
      </c>
      <c r="E149" s="17" t="s">
        <v>4665</v>
      </c>
      <c r="F149" s="17" t="s">
        <v>28455</v>
      </c>
      <c r="G149" s="21" t="s">
        <v>28456</v>
      </c>
      <c r="H149" s="21" t="s">
        <v>28457</v>
      </c>
      <c r="I149" s="17" t="s">
        <v>88</v>
      </c>
      <c r="J149" s="17">
        <v>2</v>
      </c>
      <c r="K149" s="17">
        <v>4</v>
      </c>
      <c r="L149" s="17" t="s">
        <v>28458</v>
      </c>
      <c r="M149" s="17" t="s">
        <v>680</v>
      </c>
      <c r="N149" s="17" t="s">
        <v>28459</v>
      </c>
      <c r="O149" s="17" t="s">
        <v>11581</v>
      </c>
      <c r="P149" s="17" t="str">
        <f>HYPERLINK("https://dexscreener.com/solana/GJAFwWjJ3vnTsrQVabjBVK2TYB1YtRCQXRDfDgUnpump", "View")</f>
        <v>View</v>
      </c>
    </row>
    <row r="150" spans="1:16" x14ac:dyDescent="0.25">
      <c r="A150" s="13" t="s">
        <v>10480</v>
      </c>
      <c r="B150" s="14">
        <v>187041</v>
      </c>
      <c r="C150" s="14">
        <v>65394</v>
      </c>
      <c r="D150" s="14" t="s">
        <v>16778</v>
      </c>
      <c r="E150" s="14" t="s">
        <v>2200</v>
      </c>
      <c r="F150" s="14" t="s">
        <v>5219</v>
      </c>
      <c r="G150" s="15" t="s">
        <v>28460</v>
      </c>
      <c r="H150" s="15" t="s">
        <v>28461</v>
      </c>
      <c r="I150" s="14" t="s">
        <v>88</v>
      </c>
      <c r="J150" s="14">
        <v>4</v>
      </c>
      <c r="K150" s="14">
        <v>2</v>
      </c>
      <c r="L150" s="14" t="s">
        <v>28462</v>
      </c>
      <c r="M150" s="14" t="s">
        <v>2715</v>
      </c>
      <c r="N150" s="14" t="s">
        <v>28463</v>
      </c>
      <c r="O150" s="14" t="s">
        <v>10484</v>
      </c>
      <c r="P150" s="14" t="str">
        <f>HYPERLINK("https://dexscreener.com/solana/4ytpWfVCpJ2nSjahbioPkejnLVBsc7FGZi2hCojppump", "View")</f>
        <v>View</v>
      </c>
    </row>
    <row r="151" spans="1:16" x14ac:dyDescent="0.25">
      <c r="A151" s="16" t="s">
        <v>28464</v>
      </c>
      <c r="B151" s="17">
        <v>1619350</v>
      </c>
      <c r="C151" s="17">
        <v>0</v>
      </c>
      <c r="D151" s="17" t="s">
        <v>8685</v>
      </c>
      <c r="E151" s="17" t="s">
        <v>6107</v>
      </c>
      <c r="F151" s="17" t="s">
        <v>96</v>
      </c>
      <c r="G151" s="18" t="s">
        <v>18180</v>
      </c>
      <c r="H151" s="18" t="s">
        <v>98</v>
      </c>
      <c r="I151" s="17" t="s">
        <v>28465</v>
      </c>
      <c r="J151" s="17">
        <v>2</v>
      </c>
      <c r="K151" s="17">
        <v>0</v>
      </c>
      <c r="L151" s="17" t="s">
        <v>28466</v>
      </c>
      <c r="M151" s="19" t="s">
        <v>101</v>
      </c>
      <c r="N151" s="17" t="s">
        <v>21867</v>
      </c>
      <c r="O151" s="17" t="s">
        <v>28467</v>
      </c>
      <c r="P151" s="17" t="str">
        <f>HYPERLINK("https://dexscreener.com/solana/B6tbCTAMGzMVitT8Hjj9P6oirBEfAL5cZfELjAg3pump", "View")</f>
        <v>View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8BA-4369-4123-A261-BF00430DE47C}">
  <dimension ref="A1:P113"/>
  <sheetViews>
    <sheetView workbookViewId="0"/>
  </sheetViews>
  <sheetFormatPr defaultRowHeight="15" x14ac:dyDescent="0.25"/>
  <cols>
    <col min="1" max="1" width="45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HYPERLINK("https://gmgn.ai/sol/address/dikyzV9BxbNgLX3VYeyaXJceUE5S3fFFfxmB6nUQpRM", "GMGN")</f>
        <v>GMGN</v>
      </c>
    </row>
    <row r="2" spans="1:14" x14ac:dyDescent="0.25">
      <c r="A2" s="3" t="s">
        <v>28468</v>
      </c>
      <c r="B2" s="3" t="s">
        <v>28469</v>
      </c>
      <c r="C2" s="3" t="s">
        <v>15647</v>
      </c>
      <c r="D2" s="3" t="s">
        <v>12314</v>
      </c>
      <c r="E2" s="3" t="s">
        <v>28470</v>
      </c>
      <c r="F2" s="3" t="s">
        <v>28471</v>
      </c>
      <c r="G2" s="3" t="s">
        <v>18</v>
      </c>
      <c r="H2" s="3">
        <v>94</v>
      </c>
      <c r="I2" s="3">
        <v>14</v>
      </c>
      <c r="J2" s="3" t="s">
        <v>690</v>
      </c>
      <c r="K2" s="3" t="s">
        <v>20</v>
      </c>
      <c r="L2" s="3">
        <v>18</v>
      </c>
      <c r="M2" s="3">
        <v>29</v>
      </c>
      <c r="N2" s="3" t="str">
        <f>HYPERLINK("https://solscan.io/account/dikyzV9BxbNgLX3VYeyaXJceUE5S3fFFfxmB6nUQpRM",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HYPERLINK("https://birdeye.so/profile/dikyzV9BxbNgLX3VYeyaXJceUE5S3fFFfxmB6nUQpRM", "Birdeye")</f>
        <v>Birdeye</v>
      </c>
    </row>
    <row r="4" spans="1:14" x14ac:dyDescent="0.25">
      <c r="A4" s="1" t="s">
        <v>25</v>
      </c>
      <c r="B4" s="3" t="s">
        <v>8324</v>
      </c>
      <c r="C4" s="3"/>
      <c r="D4" s="3" t="s">
        <v>8323</v>
      </c>
      <c r="E4" s="3" t="s">
        <v>28472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4368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22699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5</v>
      </c>
      <c r="D10" s="1">
        <v>5</v>
      </c>
      <c r="E10" s="1">
        <v>7</v>
      </c>
      <c r="F10" s="1">
        <v>18</v>
      </c>
      <c r="G10" s="1">
        <v>59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8328</v>
      </c>
      <c r="D11" s="1" t="s">
        <v>8328</v>
      </c>
      <c r="E11" s="1" t="s">
        <v>28473</v>
      </c>
      <c r="F11" s="1" t="s">
        <v>28474</v>
      </c>
      <c r="G11" s="1" t="s">
        <v>28475</v>
      </c>
      <c r="H11" s="3"/>
      <c r="I11" s="3" t="s">
        <v>50</v>
      </c>
      <c r="J11" s="3" t="s">
        <v>2007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28476</v>
      </c>
      <c r="D12" s="1" t="s">
        <v>28477</v>
      </c>
      <c r="E12" s="1" t="s">
        <v>26715</v>
      </c>
      <c r="F12" s="1" t="s">
        <v>27788</v>
      </c>
      <c r="G12" s="1" t="s">
        <v>28478</v>
      </c>
      <c r="H12" s="3"/>
      <c r="I12" s="3" t="s">
        <v>59</v>
      </c>
      <c r="J12" s="3" t="s">
        <v>2023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19667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6322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28479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82</v>
      </c>
      <c r="B20" s="14">
        <v>21793</v>
      </c>
      <c r="C20" s="14">
        <v>0</v>
      </c>
      <c r="D20" s="14" t="s">
        <v>10098</v>
      </c>
      <c r="E20" s="14" t="s">
        <v>1007</v>
      </c>
      <c r="F20" s="14" t="s">
        <v>96</v>
      </c>
      <c r="G20" s="18" t="s">
        <v>9267</v>
      </c>
      <c r="H20" s="18" t="s">
        <v>98</v>
      </c>
      <c r="I20" s="14" t="s">
        <v>28480</v>
      </c>
      <c r="J20" s="14">
        <v>1</v>
      </c>
      <c r="K20" s="14">
        <v>0</v>
      </c>
      <c r="L20" s="14" t="s">
        <v>28481</v>
      </c>
      <c r="M20" s="19" t="s">
        <v>101</v>
      </c>
      <c r="N20" s="14" t="s">
        <v>25076</v>
      </c>
      <c r="O20" s="14" t="s">
        <v>92</v>
      </c>
      <c r="P20" s="14" t="str">
        <f>HYPERLINK("https://dexscreener.com/solana/Db7ZUaWTThwZy7bVhjn5Dda8D3fbbAhihcxPV4m9pump", "View")</f>
        <v>View</v>
      </c>
    </row>
    <row r="21" spans="1:16" x14ac:dyDescent="0.25">
      <c r="A21" s="16" t="s">
        <v>2148</v>
      </c>
      <c r="B21" s="17">
        <v>6307831</v>
      </c>
      <c r="C21" s="17">
        <v>3153916</v>
      </c>
      <c r="D21" s="17" t="s">
        <v>28482</v>
      </c>
      <c r="E21" s="17" t="s">
        <v>4079</v>
      </c>
      <c r="F21" s="17" t="s">
        <v>28483</v>
      </c>
      <c r="G21" s="20" t="s">
        <v>3885</v>
      </c>
      <c r="H21" s="20" t="s">
        <v>28484</v>
      </c>
      <c r="I21" s="17" t="s">
        <v>88</v>
      </c>
      <c r="J21" s="17">
        <v>1</v>
      </c>
      <c r="K21" s="17">
        <v>1</v>
      </c>
      <c r="L21" s="17" t="s">
        <v>28485</v>
      </c>
      <c r="M21" s="17" t="s">
        <v>937</v>
      </c>
      <c r="N21" s="17" t="s">
        <v>28486</v>
      </c>
      <c r="O21" s="17" t="s">
        <v>2154</v>
      </c>
      <c r="P21" s="17" t="str">
        <f>HYPERLINK("https://photon-sol.tinyastro.io/en/lp/6JocA9yXWP3nsVN7XYTXmf6gm69nMzUSj8Rbnt9rpump?handle=676050794bc1b1657a56b", "View")</f>
        <v>View</v>
      </c>
    </row>
    <row r="22" spans="1:16" x14ac:dyDescent="0.25">
      <c r="A22" s="13" t="s">
        <v>2642</v>
      </c>
      <c r="B22" s="14">
        <v>6174753</v>
      </c>
      <c r="C22" s="14">
        <v>5603303</v>
      </c>
      <c r="D22" s="14" t="s">
        <v>28487</v>
      </c>
      <c r="E22" s="14" t="s">
        <v>28488</v>
      </c>
      <c r="F22" s="14" t="s">
        <v>28489</v>
      </c>
      <c r="G22" s="20" t="s">
        <v>28490</v>
      </c>
      <c r="H22" s="20" t="s">
        <v>28491</v>
      </c>
      <c r="I22" s="14" t="s">
        <v>88</v>
      </c>
      <c r="J22" s="14">
        <v>15</v>
      </c>
      <c r="K22" s="14">
        <v>14</v>
      </c>
      <c r="L22" s="14" t="s">
        <v>28492</v>
      </c>
      <c r="M22" s="14" t="s">
        <v>132</v>
      </c>
      <c r="N22" s="14" t="s">
        <v>28493</v>
      </c>
      <c r="O22" s="14" t="s">
        <v>2650</v>
      </c>
      <c r="P22" s="14" t="str">
        <f>HYPERLINK("https://dexscreener.com/solana/9Z3LF3ymEVwCPLd9uBda9ieySYKVK7MzukPRGHDPpump", "View")</f>
        <v>View</v>
      </c>
    </row>
    <row r="23" spans="1:16" x14ac:dyDescent="0.25">
      <c r="A23" s="16" t="s">
        <v>14108</v>
      </c>
      <c r="B23" s="17">
        <v>1618967</v>
      </c>
      <c r="C23" s="17">
        <v>0</v>
      </c>
      <c r="D23" s="17" t="s">
        <v>25456</v>
      </c>
      <c r="E23" s="17" t="s">
        <v>569</v>
      </c>
      <c r="F23" s="17" t="s">
        <v>96</v>
      </c>
      <c r="G23" s="18" t="s">
        <v>28494</v>
      </c>
      <c r="H23" s="18" t="s">
        <v>98</v>
      </c>
      <c r="I23" s="17" t="s">
        <v>28495</v>
      </c>
      <c r="J23" s="17">
        <v>3</v>
      </c>
      <c r="K23" s="17">
        <v>0</v>
      </c>
      <c r="L23" s="17" t="s">
        <v>28496</v>
      </c>
      <c r="M23" s="17" t="s">
        <v>1448</v>
      </c>
      <c r="N23" s="17" t="s">
        <v>28497</v>
      </c>
      <c r="O23" s="17" t="s">
        <v>24255</v>
      </c>
      <c r="P23" s="17" t="str">
        <f>HYPERLINK("https://dexscreener.com/solana/2XNttS6pkEHjz2xUL6MpTgsBXTAEMaMhjqiwKEg7pump", "View")</f>
        <v>View</v>
      </c>
    </row>
    <row r="24" spans="1:16" x14ac:dyDescent="0.25">
      <c r="A24" s="13" t="s">
        <v>9789</v>
      </c>
      <c r="B24" s="14">
        <v>762626</v>
      </c>
      <c r="C24" s="14">
        <v>0</v>
      </c>
      <c r="D24" s="14" t="s">
        <v>10098</v>
      </c>
      <c r="E24" s="14" t="s">
        <v>1007</v>
      </c>
      <c r="F24" s="14" t="s">
        <v>96</v>
      </c>
      <c r="G24" s="18" t="s">
        <v>9267</v>
      </c>
      <c r="H24" s="18" t="s">
        <v>98</v>
      </c>
      <c r="I24" s="14" t="s">
        <v>28498</v>
      </c>
      <c r="J24" s="14">
        <v>1</v>
      </c>
      <c r="K24" s="14">
        <v>0</v>
      </c>
      <c r="L24" s="14" t="s">
        <v>28499</v>
      </c>
      <c r="M24" s="19" t="s">
        <v>101</v>
      </c>
      <c r="N24" s="14" t="s">
        <v>28500</v>
      </c>
      <c r="O24" s="14" t="s">
        <v>9793</v>
      </c>
      <c r="P24" s="14" t="str">
        <f>HYPERLINK("https://dexscreener.com/solana/BDF9vxbCbsRZS2DBCSgBQvb45uA2wjKmTHNXcfK7pump", "View")</f>
        <v>View</v>
      </c>
    </row>
    <row r="25" spans="1:16" x14ac:dyDescent="0.25">
      <c r="A25" s="16" t="s">
        <v>18056</v>
      </c>
      <c r="B25" s="17">
        <v>2175859</v>
      </c>
      <c r="C25" s="17">
        <v>1087930</v>
      </c>
      <c r="D25" s="17" t="s">
        <v>28501</v>
      </c>
      <c r="E25" s="17" t="s">
        <v>1007</v>
      </c>
      <c r="F25" s="17" t="s">
        <v>19689</v>
      </c>
      <c r="G25" s="22" t="s">
        <v>2547</v>
      </c>
      <c r="H25" s="22" t="s">
        <v>26418</v>
      </c>
      <c r="I25" s="17" t="s">
        <v>88</v>
      </c>
      <c r="J25" s="17">
        <v>1</v>
      </c>
      <c r="K25" s="17">
        <v>1</v>
      </c>
      <c r="L25" s="17" t="s">
        <v>28502</v>
      </c>
      <c r="M25" s="17" t="s">
        <v>277</v>
      </c>
      <c r="N25" s="17" t="s">
        <v>28503</v>
      </c>
      <c r="O25" s="17" t="s">
        <v>18287</v>
      </c>
      <c r="P25" s="17" t="str">
        <f>HYPERLINK("https://dexscreener.com/solana/59LjgLwuWGnvW2rBZqCyt1JZETj3U2Yajb2uqUbmpump", "View")</f>
        <v>View</v>
      </c>
    </row>
    <row r="26" spans="1:16" x14ac:dyDescent="0.25">
      <c r="A26" s="13" t="s">
        <v>21622</v>
      </c>
      <c r="B26" s="14">
        <v>239135</v>
      </c>
      <c r="C26" s="14">
        <v>119568</v>
      </c>
      <c r="D26" s="14" t="s">
        <v>28504</v>
      </c>
      <c r="E26" s="14" t="s">
        <v>569</v>
      </c>
      <c r="F26" s="14" t="s">
        <v>28505</v>
      </c>
      <c r="G26" s="20" t="s">
        <v>28506</v>
      </c>
      <c r="H26" s="20" t="s">
        <v>28507</v>
      </c>
      <c r="I26" s="14" t="s">
        <v>88</v>
      </c>
      <c r="J26" s="14">
        <v>1</v>
      </c>
      <c r="K26" s="14">
        <v>1</v>
      </c>
      <c r="L26" s="14" t="s">
        <v>28508</v>
      </c>
      <c r="M26" s="14" t="s">
        <v>132</v>
      </c>
      <c r="N26" s="14" t="s">
        <v>19164</v>
      </c>
      <c r="O26" s="14" t="s">
        <v>28509</v>
      </c>
      <c r="P26" s="14" t="str">
        <f>HYPERLINK("https://dexscreener.com/solana/5Wd2ALxQfnpgQKCyH4WL9giBiiuuLuJs84CJxfQccvmN", "View")</f>
        <v>View</v>
      </c>
    </row>
    <row r="27" spans="1:16" x14ac:dyDescent="0.25">
      <c r="A27" s="16" t="s">
        <v>6587</v>
      </c>
      <c r="B27" s="17">
        <v>913073</v>
      </c>
      <c r="C27" s="17">
        <v>684805</v>
      </c>
      <c r="D27" s="17" t="s">
        <v>28510</v>
      </c>
      <c r="E27" s="17" t="s">
        <v>1457</v>
      </c>
      <c r="F27" s="17" t="s">
        <v>6733</v>
      </c>
      <c r="G27" s="21" t="s">
        <v>13855</v>
      </c>
      <c r="H27" s="21" t="s">
        <v>28511</v>
      </c>
      <c r="I27" s="17" t="s">
        <v>88</v>
      </c>
      <c r="J27" s="17">
        <v>1</v>
      </c>
      <c r="K27" s="17">
        <v>2</v>
      </c>
      <c r="L27" s="17" t="s">
        <v>28512</v>
      </c>
      <c r="M27" s="17" t="s">
        <v>132</v>
      </c>
      <c r="N27" s="17" t="s">
        <v>28513</v>
      </c>
      <c r="O27" s="17" t="s">
        <v>6595</v>
      </c>
      <c r="P27" s="17" t="str">
        <f>HYPERLINK("https://dexscreener.com/solana/Fof1DyVSYiQGCnT3uTbmq8kQMPdwL35x1bD82NaTs9mM", "View")</f>
        <v>View</v>
      </c>
    </row>
    <row r="28" spans="1:16" x14ac:dyDescent="0.25">
      <c r="A28" s="13" t="s">
        <v>10464</v>
      </c>
      <c r="B28" s="14">
        <v>11259160</v>
      </c>
      <c r="C28" s="14">
        <v>0</v>
      </c>
      <c r="D28" s="14" t="s">
        <v>21556</v>
      </c>
      <c r="E28" s="14" t="s">
        <v>2200</v>
      </c>
      <c r="F28" s="14" t="s">
        <v>96</v>
      </c>
      <c r="G28" s="18" t="s">
        <v>28514</v>
      </c>
      <c r="H28" s="18" t="s">
        <v>98</v>
      </c>
      <c r="I28" s="14" t="s">
        <v>28515</v>
      </c>
      <c r="J28" s="14">
        <v>1</v>
      </c>
      <c r="K28" s="14">
        <v>0</v>
      </c>
      <c r="L28" s="14" t="s">
        <v>28516</v>
      </c>
      <c r="M28" s="19" t="s">
        <v>101</v>
      </c>
      <c r="N28" s="14" t="s">
        <v>21682</v>
      </c>
      <c r="O28" s="14" t="s">
        <v>28517</v>
      </c>
      <c r="P28" s="14" t="str">
        <f>HYPERLINK("https://dexscreener.com/solana/2pAGNKBTxSYt5rpGUpHZm4D3kAUNqo7WHg7GBpUMcFvW", "View")</f>
        <v>View</v>
      </c>
    </row>
    <row r="29" spans="1:16" x14ac:dyDescent="0.25">
      <c r="A29" s="16" t="s">
        <v>26313</v>
      </c>
      <c r="B29" s="17">
        <v>17773060</v>
      </c>
      <c r="C29" s="17">
        <v>12991504</v>
      </c>
      <c r="D29" s="17" t="s">
        <v>28518</v>
      </c>
      <c r="E29" s="17" t="s">
        <v>27458</v>
      </c>
      <c r="F29" s="17" t="s">
        <v>28519</v>
      </c>
      <c r="G29" s="21" t="s">
        <v>27547</v>
      </c>
      <c r="H29" s="21" t="s">
        <v>28520</v>
      </c>
      <c r="I29" s="17" t="s">
        <v>88</v>
      </c>
      <c r="J29" s="17">
        <v>1</v>
      </c>
      <c r="K29" s="17">
        <v>3</v>
      </c>
      <c r="L29" s="17" t="s">
        <v>28521</v>
      </c>
      <c r="M29" s="17" t="s">
        <v>1478</v>
      </c>
      <c r="N29" s="17" t="s">
        <v>28522</v>
      </c>
      <c r="O29" s="17" t="s">
        <v>26317</v>
      </c>
      <c r="P29" s="17" t="str">
        <f>HYPERLINK("https://photon-sol.tinyastro.io/en/lp/ABGuyFsRx6coPxDqXnFwUmFNG3hsg5i24XSsHV1Apump?handle=676050794bc1b1657a56b", "View")</f>
        <v>View</v>
      </c>
    </row>
    <row r="30" spans="1:16" x14ac:dyDescent="0.25">
      <c r="A30" s="13" t="s">
        <v>28523</v>
      </c>
      <c r="B30" s="14">
        <v>6891205</v>
      </c>
      <c r="C30" s="14">
        <v>0</v>
      </c>
      <c r="D30" s="14" t="s">
        <v>10098</v>
      </c>
      <c r="E30" s="14" t="s">
        <v>1007</v>
      </c>
      <c r="F30" s="14" t="s">
        <v>96</v>
      </c>
      <c r="G30" s="18" t="s">
        <v>9267</v>
      </c>
      <c r="H30" s="18" t="s">
        <v>98</v>
      </c>
      <c r="I30" s="14" t="s">
        <v>28524</v>
      </c>
      <c r="J30" s="14">
        <v>1</v>
      </c>
      <c r="K30" s="14">
        <v>0</v>
      </c>
      <c r="L30" s="14" t="s">
        <v>28525</v>
      </c>
      <c r="M30" s="19" t="s">
        <v>101</v>
      </c>
      <c r="N30" s="14" t="s">
        <v>223</v>
      </c>
      <c r="O30" s="14" t="s">
        <v>28526</v>
      </c>
      <c r="P30" s="14" t="str">
        <f>HYPERLINK("https://dexscreener.com/solana/3nB247drq79SpWvfFrCUDeLP5Su12aQAsnyoofNzpump", "View")</f>
        <v>View</v>
      </c>
    </row>
    <row r="31" spans="1:16" x14ac:dyDescent="0.25">
      <c r="A31" s="16" t="s">
        <v>19027</v>
      </c>
      <c r="B31" s="17">
        <v>17294125</v>
      </c>
      <c r="C31" s="17">
        <v>0</v>
      </c>
      <c r="D31" s="17" t="s">
        <v>28527</v>
      </c>
      <c r="E31" s="17" t="s">
        <v>1457</v>
      </c>
      <c r="F31" s="17" t="s">
        <v>96</v>
      </c>
      <c r="G31" s="18" t="s">
        <v>28528</v>
      </c>
      <c r="H31" s="18" t="s">
        <v>98</v>
      </c>
      <c r="I31" s="17" t="s">
        <v>28529</v>
      </c>
      <c r="J31" s="17">
        <v>1</v>
      </c>
      <c r="K31" s="17">
        <v>0</v>
      </c>
      <c r="L31" s="17" t="s">
        <v>28530</v>
      </c>
      <c r="M31" s="19" t="s">
        <v>101</v>
      </c>
      <c r="N31" s="17" t="s">
        <v>28531</v>
      </c>
      <c r="O31" s="17" t="s">
        <v>19033</v>
      </c>
      <c r="P31" s="17" t="str">
        <f>HYPERLINK("https://dexscreener.com/solana/ALKTKLRTyF3P83KMCAvGEtY4CsoMzvh1k38uixCgpump", "View")</f>
        <v>View</v>
      </c>
    </row>
    <row r="32" spans="1:16" x14ac:dyDescent="0.25">
      <c r="A32" s="13" t="s">
        <v>575</v>
      </c>
      <c r="B32" s="14">
        <v>3048877</v>
      </c>
      <c r="C32" s="14">
        <v>3002745</v>
      </c>
      <c r="D32" s="14" t="s">
        <v>28532</v>
      </c>
      <c r="E32" s="14" t="s">
        <v>28533</v>
      </c>
      <c r="F32" s="14" t="s">
        <v>28534</v>
      </c>
      <c r="G32" s="21" t="s">
        <v>28535</v>
      </c>
      <c r="H32" s="21" t="s">
        <v>28536</v>
      </c>
      <c r="I32" s="14" t="s">
        <v>88</v>
      </c>
      <c r="J32" s="14">
        <v>14</v>
      </c>
      <c r="K32" s="14">
        <v>20</v>
      </c>
      <c r="L32" s="14" t="s">
        <v>28537</v>
      </c>
      <c r="M32" s="14" t="s">
        <v>356</v>
      </c>
      <c r="N32" s="14" t="s">
        <v>28538</v>
      </c>
      <c r="O32" s="14" t="s">
        <v>583</v>
      </c>
      <c r="P32" s="14" t="str">
        <f>HYPERLINK("https://dexscreener.com/solana/9PR7nCP9DpcUotnDPVLUBUZKu5WAYkwrCUx9wDnSpump", "View")</f>
        <v>View</v>
      </c>
    </row>
    <row r="33" spans="1:16" x14ac:dyDescent="0.25">
      <c r="A33" s="16" t="s">
        <v>28539</v>
      </c>
      <c r="B33" s="17">
        <v>3417887</v>
      </c>
      <c r="C33" s="17">
        <v>0</v>
      </c>
      <c r="D33" s="17" t="s">
        <v>28540</v>
      </c>
      <c r="E33" s="17" t="s">
        <v>8925</v>
      </c>
      <c r="F33" s="17" t="s">
        <v>96</v>
      </c>
      <c r="G33" s="18" t="s">
        <v>15384</v>
      </c>
      <c r="H33" s="18" t="s">
        <v>98</v>
      </c>
      <c r="I33" s="17" t="s">
        <v>28541</v>
      </c>
      <c r="J33" s="17">
        <v>1</v>
      </c>
      <c r="K33" s="17">
        <v>0</v>
      </c>
      <c r="L33" s="17" t="s">
        <v>28542</v>
      </c>
      <c r="M33" s="19" t="s">
        <v>101</v>
      </c>
      <c r="N33" s="17" t="s">
        <v>432</v>
      </c>
      <c r="O33" s="17" t="s">
        <v>28543</v>
      </c>
      <c r="P33" s="17" t="str">
        <f>HYPERLINK("https://photon-sol.tinyastro.io/en/lp/97tJR4nXFb8oajs1AEFzUzjgpA84c6iHeQ1X5ehDpump?handle=676050794bc1b1657a56b", "View")</f>
        <v>View</v>
      </c>
    </row>
    <row r="34" spans="1:16" x14ac:dyDescent="0.25">
      <c r="A34" s="13" t="s">
        <v>297</v>
      </c>
      <c r="B34" s="14">
        <v>634870</v>
      </c>
      <c r="C34" s="14">
        <v>611913</v>
      </c>
      <c r="D34" s="14" t="s">
        <v>28544</v>
      </c>
      <c r="E34" s="14" t="s">
        <v>28545</v>
      </c>
      <c r="F34" s="14" t="s">
        <v>28546</v>
      </c>
      <c r="G34" s="20" t="s">
        <v>28547</v>
      </c>
      <c r="H34" s="20" t="s">
        <v>28548</v>
      </c>
      <c r="I34" s="14" t="s">
        <v>88</v>
      </c>
      <c r="J34" s="14">
        <v>6</v>
      </c>
      <c r="K34" s="14">
        <v>7</v>
      </c>
      <c r="L34" s="14" t="s">
        <v>28549</v>
      </c>
      <c r="M34" s="14" t="s">
        <v>287</v>
      </c>
      <c r="N34" s="14" t="s">
        <v>28550</v>
      </c>
      <c r="O34" s="14" t="s">
        <v>306</v>
      </c>
      <c r="P34" s="14" t="str">
        <f>HYPERLINK("https://dexscreener.com/solana/yG6bXPEFaUnGAEHHqH9H7t1VSfaK7YrggCqHy35pump", "View")</f>
        <v>View</v>
      </c>
    </row>
    <row r="35" spans="1:16" x14ac:dyDescent="0.25">
      <c r="A35" s="16" t="s">
        <v>18199</v>
      </c>
      <c r="B35" s="17">
        <v>3149455</v>
      </c>
      <c r="C35" s="17">
        <v>0</v>
      </c>
      <c r="D35" s="17" t="s">
        <v>16807</v>
      </c>
      <c r="E35" s="17" t="s">
        <v>1007</v>
      </c>
      <c r="F35" s="17" t="s">
        <v>96</v>
      </c>
      <c r="G35" s="18" t="s">
        <v>28551</v>
      </c>
      <c r="H35" s="18" t="s">
        <v>98</v>
      </c>
      <c r="I35" s="17" t="s">
        <v>28552</v>
      </c>
      <c r="J35" s="17">
        <v>1</v>
      </c>
      <c r="K35" s="17">
        <v>0</v>
      </c>
      <c r="L35" s="17" t="s">
        <v>28553</v>
      </c>
      <c r="M35" s="19" t="s">
        <v>101</v>
      </c>
      <c r="N35" s="17" t="s">
        <v>28554</v>
      </c>
      <c r="O35" s="17" t="s">
        <v>18204</v>
      </c>
      <c r="P35" s="17" t="str">
        <f>HYPERLINK("https://dexscreener.com/solana/6UmGJtWHW13YLJCrdk9jEAnHeSgARTJEfCVV1sX4pump", "View")</f>
        <v>View</v>
      </c>
    </row>
    <row r="36" spans="1:16" x14ac:dyDescent="0.25">
      <c r="A36" s="13" t="s">
        <v>18232</v>
      </c>
      <c r="B36" s="14">
        <v>5377824</v>
      </c>
      <c r="C36" s="14">
        <v>0</v>
      </c>
      <c r="D36" s="14" t="s">
        <v>16807</v>
      </c>
      <c r="E36" s="14" t="s">
        <v>1007</v>
      </c>
      <c r="F36" s="14" t="s">
        <v>96</v>
      </c>
      <c r="G36" s="18" t="s">
        <v>28551</v>
      </c>
      <c r="H36" s="18" t="s">
        <v>98</v>
      </c>
      <c r="I36" s="14" t="s">
        <v>28555</v>
      </c>
      <c r="J36" s="14">
        <v>1</v>
      </c>
      <c r="K36" s="14">
        <v>0</v>
      </c>
      <c r="L36" s="14" t="s">
        <v>28556</v>
      </c>
      <c r="M36" s="19" t="s">
        <v>101</v>
      </c>
      <c r="N36" s="14" t="s">
        <v>28557</v>
      </c>
      <c r="O36" s="14" t="s">
        <v>28558</v>
      </c>
      <c r="P36" s="14" t="str">
        <f>HYPERLINK("https://dexscreener.com/solana/GoxMPi7T3VgvgkWgnNsY9Lys8tT3dAPTEm8dsqJHZEVf", "View")</f>
        <v>View</v>
      </c>
    </row>
    <row r="37" spans="1:16" x14ac:dyDescent="0.25">
      <c r="A37" s="16" t="s">
        <v>18359</v>
      </c>
      <c r="B37" s="17">
        <v>6662211</v>
      </c>
      <c r="C37" s="17">
        <v>0</v>
      </c>
      <c r="D37" s="17" t="s">
        <v>28559</v>
      </c>
      <c r="E37" s="17" t="s">
        <v>1007</v>
      </c>
      <c r="F37" s="17" t="s">
        <v>96</v>
      </c>
      <c r="G37" s="18" t="s">
        <v>19314</v>
      </c>
      <c r="H37" s="18" t="s">
        <v>98</v>
      </c>
      <c r="I37" s="17" t="s">
        <v>28560</v>
      </c>
      <c r="J37" s="17">
        <v>1</v>
      </c>
      <c r="K37" s="17">
        <v>0</v>
      </c>
      <c r="L37" s="17" t="s">
        <v>28561</v>
      </c>
      <c r="M37" s="19" t="s">
        <v>101</v>
      </c>
      <c r="N37" s="17" t="s">
        <v>28562</v>
      </c>
      <c r="O37" s="17" t="s">
        <v>18363</v>
      </c>
      <c r="P37" s="17" t="str">
        <f>HYPERLINK("https://dexscreener.com/solana/GjXpowEmJecAxHaMgYrxrTsWfuPR7DyLxwe8z2v4YvKW", "View")</f>
        <v>View</v>
      </c>
    </row>
    <row r="38" spans="1:16" x14ac:dyDescent="0.25">
      <c r="A38" s="13" t="s">
        <v>28563</v>
      </c>
      <c r="B38" s="14">
        <v>8918644</v>
      </c>
      <c r="C38" s="14">
        <v>0</v>
      </c>
      <c r="D38" s="14" t="s">
        <v>298</v>
      </c>
      <c r="E38" s="14" t="s">
        <v>1007</v>
      </c>
      <c r="F38" s="14" t="s">
        <v>96</v>
      </c>
      <c r="G38" s="18" t="s">
        <v>28551</v>
      </c>
      <c r="H38" s="18" t="s">
        <v>98</v>
      </c>
      <c r="I38" s="14" t="s">
        <v>28564</v>
      </c>
      <c r="J38" s="14">
        <v>1</v>
      </c>
      <c r="K38" s="14">
        <v>0</v>
      </c>
      <c r="L38" s="14" t="s">
        <v>28565</v>
      </c>
      <c r="M38" s="19" t="s">
        <v>101</v>
      </c>
      <c r="N38" s="14" t="s">
        <v>1073</v>
      </c>
      <c r="O38" s="14" t="s">
        <v>28566</v>
      </c>
      <c r="P38" s="14" t="str">
        <f>HYPERLINK("https://dexscreener.com/solana/4AyViLduWHAiR6MhS8upSTx6A9C4dvMUa1F9Krzgpump", "View")</f>
        <v>View</v>
      </c>
    </row>
    <row r="39" spans="1:16" x14ac:dyDescent="0.25">
      <c r="A39" s="16" t="s">
        <v>125</v>
      </c>
      <c r="B39" s="17">
        <v>421979</v>
      </c>
      <c r="C39" s="17">
        <v>421979</v>
      </c>
      <c r="D39" s="17" t="s">
        <v>28567</v>
      </c>
      <c r="E39" s="17" t="s">
        <v>28568</v>
      </c>
      <c r="F39" s="17" t="s">
        <v>28569</v>
      </c>
      <c r="G39" s="21" t="s">
        <v>28570</v>
      </c>
      <c r="H39" s="21" t="s">
        <v>28571</v>
      </c>
      <c r="I39" s="17" t="s">
        <v>88</v>
      </c>
      <c r="J39" s="17">
        <v>3</v>
      </c>
      <c r="K39" s="17">
        <v>10</v>
      </c>
      <c r="L39" s="17" t="s">
        <v>28572</v>
      </c>
      <c r="M39" s="17" t="s">
        <v>132</v>
      </c>
      <c r="N39" s="17" t="s">
        <v>28573</v>
      </c>
      <c r="O39" s="17" t="s">
        <v>134</v>
      </c>
      <c r="P39" s="17" t="str">
        <f>HYPERLINK("https://dexscreener.com/solana/CBdCxKo9QavR9hfShgpEBG3zekorAeD7W1jfq2o3pump", "View")</f>
        <v>View</v>
      </c>
    </row>
    <row r="40" spans="1:16" x14ac:dyDescent="0.25">
      <c r="A40" s="13" t="s">
        <v>16659</v>
      </c>
      <c r="B40" s="14">
        <v>173263</v>
      </c>
      <c r="C40" s="14">
        <v>0</v>
      </c>
      <c r="D40" s="14" t="s">
        <v>28574</v>
      </c>
      <c r="E40" s="14" t="s">
        <v>569</v>
      </c>
      <c r="F40" s="14" t="s">
        <v>96</v>
      </c>
      <c r="G40" s="18" t="s">
        <v>28575</v>
      </c>
      <c r="H40" s="18" t="s">
        <v>98</v>
      </c>
      <c r="I40" s="14" t="s">
        <v>28576</v>
      </c>
      <c r="J40" s="14">
        <v>1</v>
      </c>
      <c r="K40" s="14">
        <v>0</v>
      </c>
      <c r="L40" s="14" t="s">
        <v>28577</v>
      </c>
      <c r="M40" s="19" t="s">
        <v>101</v>
      </c>
      <c r="N40" s="14" t="s">
        <v>16663</v>
      </c>
      <c r="O40" s="14" t="s">
        <v>16664</v>
      </c>
      <c r="P40" s="14" t="str">
        <f>HYPERLINK("https://dexscreener.com/solana/DqWbfzoFmZPrrQP7MdqYvwZbCkBNu2fSSaJqUrqEVYyX", "View")</f>
        <v>View</v>
      </c>
    </row>
    <row r="41" spans="1:16" x14ac:dyDescent="0.25">
      <c r="A41" s="16" t="s">
        <v>28578</v>
      </c>
      <c r="B41" s="17">
        <v>238359</v>
      </c>
      <c r="C41" s="17">
        <v>119179</v>
      </c>
      <c r="D41" s="17" t="s">
        <v>24312</v>
      </c>
      <c r="E41" s="17" t="s">
        <v>1457</v>
      </c>
      <c r="F41" s="17" t="s">
        <v>14539</v>
      </c>
      <c r="G41" s="22" t="s">
        <v>3890</v>
      </c>
      <c r="H41" s="22" t="s">
        <v>28579</v>
      </c>
      <c r="I41" s="17" t="s">
        <v>88</v>
      </c>
      <c r="J41" s="17">
        <v>1</v>
      </c>
      <c r="K41" s="17">
        <v>1</v>
      </c>
      <c r="L41" s="17" t="s">
        <v>28580</v>
      </c>
      <c r="M41" s="17" t="s">
        <v>4922</v>
      </c>
      <c r="N41" s="17" t="s">
        <v>28581</v>
      </c>
      <c r="O41" s="17" t="s">
        <v>28582</v>
      </c>
      <c r="P41" s="17" t="str">
        <f>HYPERLINK("https://dexscreener.com/solana/AYhFJk9ZyKN5aCRwrG78iTvuxnrrLp5q4fGfyBM7pump", "View")</f>
        <v>View</v>
      </c>
    </row>
    <row r="42" spans="1:16" x14ac:dyDescent="0.25">
      <c r="A42" s="13" t="s">
        <v>28583</v>
      </c>
      <c r="B42" s="14">
        <v>4160908</v>
      </c>
      <c r="C42" s="14">
        <v>4160908</v>
      </c>
      <c r="D42" s="14" t="s">
        <v>28482</v>
      </c>
      <c r="E42" s="14" t="s">
        <v>28584</v>
      </c>
      <c r="F42" s="14" t="s">
        <v>2448</v>
      </c>
      <c r="G42" s="20" t="s">
        <v>3023</v>
      </c>
      <c r="H42" s="20" t="s">
        <v>13908</v>
      </c>
      <c r="I42" s="14" t="s">
        <v>88</v>
      </c>
      <c r="J42" s="14">
        <v>1</v>
      </c>
      <c r="K42" s="14">
        <v>1</v>
      </c>
      <c r="L42" s="14" t="s">
        <v>28585</v>
      </c>
      <c r="M42" s="19" t="s">
        <v>3033</v>
      </c>
      <c r="N42" s="14" t="s">
        <v>507</v>
      </c>
      <c r="O42" s="14" t="s">
        <v>28586</v>
      </c>
      <c r="P42" s="14" t="str">
        <f>HYPERLINK("https://photon-sol.tinyastro.io/en/lp/GpGW2SJMwbD8JuKVVHsd8QPCJkBQ4txAorBRJk4Cpump?handle=676050794bc1b1657a56b", "View")</f>
        <v>View</v>
      </c>
    </row>
    <row r="43" spans="1:16" x14ac:dyDescent="0.25">
      <c r="A43" s="16" t="s">
        <v>28587</v>
      </c>
      <c r="B43" s="17">
        <v>25871753</v>
      </c>
      <c r="C43" s="17">
        <v>0</v>
      </c>
      <c r="D43" s="17" t="s">
        <v>13597</v>
      </c>
      <c r="E43" s="17" t="s">
        <v>28588</v>
      </c>
      <c r="F43" s="17" t="s">
        <v>96</v>
      </c>
      <c r="G43" s="18" t="s">
        <v>28589</v>
      </c>
      <c r="H43" s="18" t="s">
        <v>98</v>
      </c>
      <c r="I43" s="17" t="s">
        <v>28590</v>
      </c>
      <c r="J43" s="17">
        <v>1</v>
      </c>
      <c r="K43" s="17">
        <v>0</v>
      </c>
      <c r="L43" s="17" t="s">
        <v>28591</v>
      </c>
      <c r="M43" s="19" t="s">
        <v>101</v>
      </c>
      <c r="N43" s="17" t="s">
        <v>1011</v>
      </c>
      <c r="O43" s="17" t="s">
        <v>28592</v>
      </c>
      <c r="P43" s="17" t="str">
        <f>HYPERLINK("https://photon-sol.tinyastro.io/en/lp/HXrus7tU6KZS6qU63M4haRkaLfTL5r24daQEmbrrGzGZ?handle=676050794bc1b1657a56b", "View")</f>
        <v>View</v>
      </c>
    </row>
    <row r="44" spans="1:16" x14ac:dyDescent="0.25">
      <c r="A44" s="13" t="s">
        <v>28148</v>
      </c>
      <c r="B44" s="14">
        <v>19882891</v>
      </c>
      <c r="C44" s="14">
        <v>17378556</v>
      </c>
      <c r="D44" s="14" t="s">
        <v>28593</v>
      </c>
      <c r="E44" s="14" t="s">
        <v>28594</v>
      </c>
      <c r="F44" s="14" t="s">
        <v>28595</v>
      </c>
      <c r="G44" s="21" t="s">
        <v>28596</v>
      </c>
      <c r="H44" s="21" t="s">
        <v>28597</v>
      </c>
      <c r="I44" s="14" t="s">
        <v>88</v>
      </c>
      <c r="J44" s="14">
        <v>5</v>
      </c>
      <c r="K44" s="14">
        <v>7</v>
      </c>
      <c r="L44" s="14" t="s">
        <v>28598</v>
      </c>
      <c r="M44" s="14" t="s">
        <v>287</v>
      </c>
      <c r="N44" s="14" t="s">
        <v>28599</v>
      </c>
      <c r="O44" s="14" t="s">
        <v>28151</v>
      </c>
      <c r="P44" s="14" t="str">
        <f>HYPERLINK("https://photon-sol.tinyastro.io/en/lp/9jso3Fzdp8xuLXXbRuMAzZqpnp9U2Dn5s17Bxr11pump?handle=676050794bc1b1657a56b", "View")</f>
        <v>View</v>
      </c>
    </row>
    <row r="45" spans="1:16" x14ac:dyDescent="0.25">
      <c r="A45" s="16" t="s">
        <v>28600</v>
      </c>
      <c r="B45" s="17">
        <v>7313073</v>
      </c>
      <c r="C45" s="17">
        <v>0</v>
      </c>
      <c r="D45" s="17" t="s">
        <v>9662</v>
      </c>
      <c r="E45" s="17" t="s">
        <v>4079</v>
      </c>
      <c r="F45" s="17" t="s">
        <v>96</v>
      </c>
      <c r="G45" s="18" t="s">
        <v>4578</v>
      </c>
      <c r="H45" s="18" t="s">
        <v>98</v>
      </c>
      <c r="I45" s="17" t="s">
        <v>28601</v>
      </c>
      <c r="J45" s="17">
        <v>1</v>
      </c>
      <c r="K45" s="17">
        <v>0</v>
      </c>
      <c r="L45" s="17" t="s">
        <v>28602</v>
      </c>
      <c r="M45" s="19" t="s">
        <v>101</v>
      </c>
      <c r="N45" s="17" t="s">
        <v>16939</v>
      </c>
      <c r="O45" s="17" t="s">
        <v>28603</v>
      </c>
      <c r="P45" s="17" t="str">
        <f>HYPERLINK("https://photon-sol.tinyastro.io/en/lp/3i8MpsF8nPqhnGecmR4oiD2N4vDVdn8kcKvPqZkmpump?handle=676050794bc1b1657a56b", "View")</f>
        <v>View</v>
      </c>
    </row>
    <row r="46" spans="1:16" x14ac:dyDescent="0.25">
      <c r="A46" s="13" t="s">
        <v>4518</v>
      </c>
      <c r="B46" s="14">
        <v>99838</v>
      </c>
      <c r="C46" s="14">
        <v>0</v>
      </c>
      <c r="D46" s="14" t="s">
        <v>10098</v>
      </c>
      <c r="E46" s="14" t="s">
        <v>1457</v>
      </c>
      <c r="F46" s="14" t="s">
        <v>96</v>
      </c>
      <c r="G46" s="18" t="s">
        <v>28604</v>
      </c>
      <c r="H46" s="18" t="s">
        <v>98</v>
      </c>
      <c r="I46" s="14" t="s">
        <v>28605</v>
      </c>
      <c r="J46" s="14">
        <v>1</v>
      </c>
      <c r="K46" s="14">
        <v>0</v>
      </c>
      <c r="L46" s="14" t="s">
        <v>28606</v>
      </c>
      <c r="M46" s="19" t="s">
        <v>101</v>
      </c>
      <c r="N46" s="14" t="s">
        <v>28607</v>
      </c>
      <c r="O46" s="14" t="s">
        <v>4525</v>
      </c>
      <c r="P46" s="14" t="str">
        <f>HYPERLINK("https://dexscreener.com/solana/FqvtZ2UFR9we82Ni4LeacC1zyTiQ77usDo31DUokpump", "View")</f>
        <v>View</v>
      </c>
    </row>
    <row r="47" spans="1:16" x14ac:dyDescent="0.25">
      <c r="A47" s="16" t="s">
        <v>28608</v>
      </c>
      <c r="B47" s="17">
        <v>4790618</v>
      </c>
      <c r="C47" s="17">
        <v>0</v>
      </c>
      <c r="D47" s="17" t="s">
        <v>16404</v>
      </c>
      <c r="E47" s="17" t="s">
        <v>24555</v>
      </c>
      <c r="F47" s="17" t="s">
        <v>96</v>
      </c>
      <c r="G47" s="18" t="s">
        <v>24318</v>
      </c>
      <c r="H47" s="18" t="s">
        <v>98</v>
      </c>
      <c r="I47" s="17" t="s">
        <v>28609</v>
      </c>
      <c r="J47" s="17">
        <v>1</v>
      </c>
      <c r="K47" s="17">
        <v>0</v>
      </c>
      <c r="L47" s="17" t="s">
        <v>28610</v>
      </c>
      <c r="M47" s="19" t="s">
        <v>101</v>
      </c>
      <c r="N47" s="17" t="s">
        <v>591</v>
      </c>
      <c r="O47" s="17" t="s">
        <v>28611</v>
      </c>
      <c r="P47" s="17" t="str">
        <f>HYPERLINK("https://photon-sol.tinyastro.io/en/lp/8DZzow4ZmvUJGstj54EuKSyu5DtVCVxbphAxFoiYpump?handle=676050794bc1b1657a56b", "View")</f>
        <v>View</v>
      </c>
    </row>
    <row r="48" spans="1:16" x14ac:dyDescent="0.25">
      <c r="A48" s="13" t="s">
        <v>28612</v>
      </c>
      <c r="B48" s="14">
        <v>16348566</v>
      </c>
      <c r="C48" s="14">
        <v>0</v>
      </c>
      <c r="D48" s="14" t="s">
        <v>20588</v>
      </c>
      <c r="E48" s="14" t="s">
        <v>569</v>
      </c>
      <c r="F48" s="14" t="s">
        <v>96</v>
      </c>
      <c r="G48" s="18" t="s">
        <v>28613</v>
      </c>
      <c r="H48" s="18" t="s">
        <v>98</v>
      </c>
      <c r="I48" s="14" t="s">
        <v>28614</v>
      </c>
      <c r="J48" s="14">
        <v>2</v>
      </c>
      <c r="K48" s="14">
        <v>0</v>
      </c>
      <c r="L48" s="14" t="s">
        <v>28615</v>
      </c>
      <c r="M48" s="14" t="s">
        <v>4922</v>
      </c>
      <c r="N48" s="14" t="s">
        <v>28616</v>
      </c>
      <c r="O48" s="14" t="s">
        <v>28617</v>
      </c>
      <c r="P48" s="14" t="str">
        <f>HYPERLINK("https://dexscreener.com/solana/EvRzwCKxMg7689votYzPxQhA6Qx2JAuKcxj2tNUz52uK", "View")</f>
        <v>View</v>
      </c>
    </row>
    <row r="49" spans="1:16" x14ac:dyDescent="0.25">
      <c r="A49" s="16" t="s">
        <v>28618</v>
      </c>
      <c r="B49" s="17">
        <v>3417592</v>
      </c>
      <c r="C49" s="17">
        <v>0</v>
      </c>
      <c r="D49" s="17" t="s">
        <v>28619</v>
      </c>
      <c r="E49" s="17" t="s">
        <v>569</v>
      </c>
      <c r="F49" s="17" t="s">
        <v>96</v>
      </c>
      <c r="G49" s="18" t="s">
        <v>21530</v>
      </c>
      <c r="H49" s="18" t="s">
        <v>98</v>
      </c>
      <c r="I49" s="17" t="s">
        <v>28620</v>
      </c>
      <c r="J49" s="17">
        <v>1</v>
      </c>
      <c r="K49" s="17">
        <v>0</v>
      </c>
      <c r="L49" s="17" t="s">
        <v>28621</v>
      </c>
      <c r="M49" s="19" t="s">
        <v>101</v>
      </c>
      <c r="N49" s="17" t="s">
        <v>28622</v>
      </c>
      <c r="O49" s="17" t="s">
        <v>28623</v>
      </c>
      <c r="P49" s="17" t="str">
        <f>HYPERLINK("https://dexscreener.com/solana/BY1phzPpWavqEMC5zQsHpsVD2Tp11q4HpK2DfEpspump", "View")</f>
        <v>View</v>
      </c>
    </row>
    <row r="50" spans="1:16" x14ac:dyDescent="0.25">
      <c r="A50" s="13" t="s">
        <v>4894</v>
      </c>
      <c r="B50" s="14">
        <v>1858857</v>
      </c>
      <c r="C50" s="14">
        <v>0</v>
      </c>
      <c r="D50" s="14" t="s">
        <v>10098</v>
      </c>
      <c r="E50" s="14" t="s">
        <v>569</v>
      </c>
      <c r="F50" s="14" t="s">
        <v>96</v>
      </c>
      <c r="G50" s="18" t="s">
        <v>28624</v>
      </c>
      <c r="H50" s="18" t="s">
        <v>98</v>
      </c>
      <c r="I50" s="14" t="s">
        <v>28625</v>
      </c>
      <c r="J50" s="14">
        <v>1</v>
      </c>
      <c r="K50" s="14">
        <v>0</v>
      </c>
      <c r="L50" s="14" t="s">
        <v>28626</v>
      </c>
      <c r="M50" s="19" t="s">
        <v>101</v>
      </c>
      <c r="N50" s="14" t="s">
        <v>28627</v>
      </c>
      <c r="O50" s="14" t="s">
        <v>4898</v>
      </c>
      <c r="P50" s="14" t="str">
        <f>HYPERLINK("https://dexscreener.com/solana/6LhvoAHTJbHR5U8f72mt75rYWpfGNckSnogFuRCLpump", "View")</f>
        <v>View</v>
      </c>
    </row>
    <row r="51" spans="1:16" x14ac:dyDescent="0.25">
      <c r="A51" s="16" t="s">
        <v>4899</v>
      </c>
      <c r="B51" s="17">
        <v>8803537</v>
      </c>
      <c r="C51" s="17">
        <v>4401769</v>
      </c>
      <c r="D51" s="17" t="s">
        <v>8269</v>
      </c>
      <c r="E51" s="17" t="s">
        <v>1457</v>
      </c>
      <c r="F51" s="17" t="s">
        <v>28628</v>
      </c>
      <c r="G51" s="22" t="s">
        <v>2275</v>
      </c>
      <c r="H51" s="22" t="s">
        <v>3532</v>
      </c>
      <c r="I51" s="17" t="s">
        <v>88</v>
      </c>
      <c r="J51" s="17">
        <v>1</v>
      </c>
      <c r="K51" s="17">
        <v>1</v>
      </c>
      <c r="L51" s="17" t="s">
        <v>28629</v>
      </c>
      <c r="M51" s="17" t="s">
        <v>602</v>
      </c>
      <c r="N51" s="17" t="s">
        <v>28630</v>
      </c>
      <c r="O51" s="17" t="s">
        <v>4903</v>
      </c>
      <c r="P51" s="17" t="str">
        <f>HYPERLINK("https://dexscreener.com/solana/FaGU9cdfdRpy3LREbwMzES2pGCNJGKfMYMeDWx8Jpump", "View")</f>
        <v>View</v>
      </c>
    </row>
    <row r="52" spans="1:16" x14ac:dyDescent="0.25">
      <c r="A52" s="13" t="s">
        <v>28631</v>
      </c>
      <c r="B52" s="14">
        <v>567219</v>
      </c>
      <c r="C52" s="14">
        <v>452894</v>
      </c>
      <c r="D52" s="14" t="s">
        <v>28632</v>
      </c>
      <c r="E52" s="14" t="s">
        <v>28633</v>
      </c>
      <c r="F52" s="14" t="s">
        <v>28634</v>
      </c>
      <c r="G52" s="21" t="s">
        <v>28635</v>
      </c>
      <c r="H52" s="21" t="s">
        <v>28636</v>
      </c>
      <c r="I52" s="14" t="s">
        <v>88</v>
      </c>
      <c r="J52" s="14">
        <v>2</v>
      </c>
      <c r="K52" s="14">
        <v>3</v>
      </c>
      <c r="L52" s="14" t="s">
        <v>28637</v>
      </c>
      <c r="M52" s="14" t="s">
        <v>538</v>
      </c>
      <c r="N52" s="14" t="s">
        <v>28638</v>
      </c>
      <c r="O52" s="14" t="s">
        <v>28639</v>
      </c>
      <c r="P52" s="14" t="str">
        <f>HYPERLINK("https://dexscreener.com/solana/mkvXiNBpa8uiSApe5BrhWVJaT87pJFTZxRy7zFapump", "View")</f>
        <v>View</v>
      </c>
    </row>
    <row r="53" spans="1:16" x14ac:dyDescent="0.25">
      <c r="A53" s="16" t="s">
        <v>28640</v>
      </c>
      <c r="B53" s="17">
        <v>16786602</v>
      </c>
      <c r="C53" s="17">
        <v>16786602</v>
      </c>
      <c r="D53" s="17" t="s">
        <v>28641</v>
      </c>
      <c r="E53" s="17" t="s">
        <v>2178</v>
      </c>
      <c r="F53" s="17" t="s">
        <v>3812</v>
      </c>
      <c r="G53" s="20" t="s">
        <v>28642</v>
      </c>
      <c r="H53" s="20" t="s">
        <v>28643</v>
      </c>
      <c r="I53" s="17" t="s">
        <v>88</v>
      </c>
      <c r="J53" s="17">
        <v>1</v>
      </c>
      <c r="K53" s="17">
        <v>1</v>
      </c>
      <c r="L53" s="17" t="s">
        <v>28644</v>
      </c>
      <c r="M53" s="19" t="s">
        <v>2541</v>
      </c>
      <c r="N53" s="17" t="s">
        <v>2249</v>
      </c>
      <c r="O53" s="17" t="s">
        <v>28645</v>
      </c>
      <c r="P53" s="17" t="str">
        <f>HYPERLINK("https://photon-sol.tinyastro.io/en/lp/m7Fub7YiwFy4EJU7k1EDgKzLUPAkEvskY9tRunEpump?handle=676050794bc1b1657a56b", "View")</f>
        <v>View</v>
      </c>
    </row>
    <row r="54" spans="1:16" x14ac:dyDescent="0.25">
      <c r="A54" s="13" t="s">
        <v>20177</v>
      </c>
      <c r="B54" s="14">
        <v>992990</v>
      </c>
      <c r="C54" s="14">
        <v>0</v>
      </c>
      <c r="D54" s="14" t="s">
        <v>28646</v>
      </c>
      <c r="E54" s="14" t="s">
        <v>569</v>
      </c>
      <c r="F54" s="14" t="s">
        <v>96</v>
      </c>
      <c r="G54" s="18" t="s">
        <v>570</v>
      </c>
      <c r="H54" s="18" t="s">
        <v>98</v>
      </c>
      <c r="I54" s="14" t="s">
        <v>28647</v>
      </c>
      <c r="J54" s="14">
        <v>1</v>
      </c>
      <c r="K54" s="14">
        <v>0</v>
      </c>
      <c r="L54" s="14" t="s">
        <v>28648</v>
      </c>
      <c r="M54" s="19" t="s">
        <v>101</v>
      </c>
      <c r="N54" s="14" t="s">
        <v>28649</v>
      </c>
      <c r="O54" s="14" t="s">
        <v>20185</v>
      </c>
      <c r="P54" s="14" t="str">
        <f>HYPERLINK("https://dexscreener.com/solana/8SuMAjoZeLGaaekNHP235Dv4soXsrcseFXefT3A9pump", "View")</f>
        <v>View</v>
      </c>
    </row>
    <row r="55" spans="1:16" x14ac:dyDescent="0.25">
      <c r="A55" s="16" t="s">
        <v>28650</v>
      </c>
      <c r="B55" s="17">
        <v>2921437</v>
      </c>
      <c r="C55" s="17">
        <v>0</v>
      </c>
      <c r="D55" s="17" t="s">
        <v>28651</v>
      </c>
      <c r="E55" s="17" t="s">
        <v>9095</v>
      </c>
      <c r="F55" s="17" t="s">
        <v>96</v>
      </c>
      <c r="G55" s="18" t="s">
        <v>28652</v>
      </c>
      <c r="H55" s="18" t="s">
        <v>98</v>
      </c>
      <c r="I55" s="17" t="s">
        <v>28653</v>
      </c>
      <c r="J55" s="17">
        <v>1</v>
      </c>
      <c r="K55" s="17">
        <v>0</v>
      </c>
      <c r="L55" s="17" t="s">
        <v>28654</v>
      </c>
      <c r="M55" s="19" t="s">
        <v>101</v>
      </c>
      <c r="N55" s="17" t="s">
        <v>507</v>
      </c>
      <c r="O55" s="17" t="s">
        <v>28655</v>
      </c>
      <c r="P55" s="17" t="str">
        <f>HYPERLINK("https://photon-sol.tinyastro.io/en/lp/5HdP98Awxbf6fSt4VuKG3P2FHSeNCceiMZXUCs57LHfb?handle=676050794bc1b1657a56b", "View")</f>
        <v>View</v>
      </c>
    </row>
    <row r="56" spans="1:16" x14ac:dyDescent="0.25">
      <c r="A56" s="13" t="s">
        <v>5030</v>
      </c>
      <c r="B56" s="14">
        <v>288116</v>
      </c>
      <c r="C56" s="14">
        <v>145237</v>
      </c>
      <c r="D56" s="14" t="s">
        <v>28656</v>
      </c>
      <c r="E56" s="14" t="s">
        <v>219</v>
      </c>
      <c r="F56" s="14" t="s">
        <v>3394</v>
      </c>
      <c r="G56" s="15" t="s">
        <v>20544</v>
      </c>
      <c r="H56" s="15" t="s">
        <v>28657</v>
      </c>
      <c r="I56" s="14" t="s">
        <v>88</v>
      </c>
      <c r="J56" s="14">
        <v>2</v>
      </c>
      <c r="K56" s="14">
        <v>2</v>
      </c>
      <c r="L56" s="14" t="s">
        <v>28658</v>
      </c>
      <c r="M56" s="14" t="s">
        <v>179</v>
      </c>
      <c r="N56" s="14" t="s">
        <v>28659</v>
      </c>
      <c r="O56" s="14" t="s">
        <v>6498</v>
      </c>
      <c r="P56" s="14" t="str">
        <f>HYPERLINK("https://dexscreener.com/solana/4J5HoZWoKcbo2JQxEEVCKRBfUQtEroY1QdRrKtZFpump", "View")</f>
        <v>View</v>
      </c>
    </row>
    <row r="57" spans="1:16" x14ac:dyDescent="0.25">
      <c r="A57" s="16" t="s">
        <v>26359</v>
      </c>
      <c r="B57" s="17">
        <v>776282</v>
      </c>
      <c r="C57" s="17">
        <v>0</v>
      </c>
      <c r="D57" s="17" t="s">
        <v>10098</v>
      </c>
      <c r="E57" s="17" t="s">
        <v>1457</v>
      </c>
      <c r="F57" s="17" t="s">
        <v>96</v>
      </c>
      <c r="G57" s="18" t="s">
        <v>28604</v>
      </c>
      <c r="H57" s="18" t="s">
        <v>98</v>
      </c>
      <c r="I57" s="17" t="s">
        <v>28660</v>
      </c>
      <c r="J57" s="17">
        <v>1</v>
      </c>
      <c r="K57" s="17">
        <v>0</v>
      </c>
      <c r="L57" s="17" t="s">
        <v>28661</v>
      </c>
      <c r="M57" s="19" t="s">
        <v>101</v>
      </c>
      <c r="N57" s="17" t="s">
        <v>28662</v>
      </c>
      <c r="O57" s="17" t="s">
        <v>26363</v>
      </c>
      <c r="P57" s="17" t="str">
        <f>HYPERLINK("https://dexscreener.com/solana/2aVCSF8R74m5Nh18nXUSx1YDNS3Zxj2kQCa3mrdgpump", "View")</f>
        <v>View</v>
      </c>
    </row>
    <row r="58" spans="1:16" x14ac:dyDescent="0.25">
      <c r="A58" s="13" t="s">
        <v>6449</v>
      </c>
      <c r="B58" s="14">
        <v>7812512</v>
      </c>
      <c r="C58" s="14">
        <v>0</v>
      </c>
      <c r="D58" s="14" t="s">
        <v>28663</v>
      </c>
      <c r="E58" s="14" t="s">
        <v>569</v>
      </c>
      <c r="F58" s="14" t="s">
        <v>96</v>
      </c>
      <c r="G58" s="18" t="s">
        <v>1401</v>
      </c>
      <c r="H58" s="18" t="s">
        <v>98</v>
      </c>
      <c r="I58" s="14" t="s">
        <v>28664</v>
      </c>
      <c r="J58" s="14">
        <v>2</v>
      </c>
      <c r="K58" s="14">
        <v>0</v>
      </c>
      <c r="L58" s="14" t="s">
        <v>28665</v>
      </c>
      <c r="M58" s="14" t="s">
        <v>1986</v>
      </c>
      <c r="N58" s="14" t="s">
        <v>28666</v>
      </c>
      <c r="O58" s="14" t="s">
        <v>6457</v>
      </c>
      <c r="P58" s="14" t="str">
        <f>HYPERLINK("https://dexscreener.com/solana/6qocE7eQhug7pE7CggAvdNJJMtkHjKaVYRSND7Bwpump", "View")</f>
        <v>View</v>
      </c>
    </row>
    <row r="59" spans="1:16" x14ac:dyDescent="0.25">
      <c r="A59" s="16" t="s">
        <v>28667</v>
      </c>
      <c r="B59" s="17">
        <v>7741983</v>
      </c>
      <c r="C59" s="17">
        <v>5806487</v>
      </c>
      <c r="D59" s="17" t="s">
        <v>28668</v>
      </c>
      <c r="E59" s="17" t="s">
        <v>1457</v>
      </c>
      <c r="F59" s="17" t="s">
        <v>12862</v>
      </c>
      <c r="G59" s="22" t="s">
        <v>2521</v>
      </c>
      <c r="H59" s="22" t="s">
        <v>28669</v>
      </c>
      <c r="I59" s="17" t="s">
        <v>88</v>
      </c>
      <c r="J59" s="17">
        <v>1</v>
      </c>
      <c r="K59" s="17">
        <v>2</v>
      </c>
      <c r="L59" s="17" t="s">
        <v>28670</v>
      </c>
      <c r="M59" s="17" t="s">
        <v>1957</v>
      </c>
      <c r="N59" s="17" t="s">
        <v>28671</v>
      </c>
      <c r="O59" s="17" t="s">
        <v>28672</v>
      </c>
      <c r="P59" s="17" t="str">
        <f>HYPERLINK("https://dexscreener.com/solana/AKfPvDjZxmZjRZttfCF6wGMeK8LH3MZYd7r9Mxe3pump", "View")</f>
        <v>View</v>
      </c>
    </row>
    <row r="60" spans="1:16" x14ac:dyDescent="0.25">
      <c r="A60" s="13" t="s">
        <v>4553</v>
      </c>
      <c r="B60" s="14">
        <v>49186</v>
      </c>
      <c r="C60" s="14">
        <v>49186</v>
      </c>
      <c r="D60" s="14" t="s">
        <v>8004</v>
      </c>
      <c r="E60" s="14" t="s">
        <v>1457</v>
      </c>
      <c r="F60" s="14" t="s">
        <v>17963</v>
      </c>
      <c r="G60" s="20" t="s">
        <v>14118</v>
      </c>
      <c r="H60" s="20" t="s">
        <v>28673</v>
      </c>
      <c r="I60" s="14" t="s">
        <v>88</v>
      </c>
      <c r="J60" s="14">
        <v>1</v>
      </c>
      <c r="K60" s="14">
        <v>1</v>
      </c>
      <c r="L60" s="14" t="s">
        <v>28674</v>
      </c>
      <c r="M60" s="14" t="s">
        <v>132</v>
      </c>
      <c r="N60" s="14" t="s">
        <v>28675</v>
      </c>
      <c r="O60" s="14" t="s">
        <v>4560</v>
      </c>
      <c r="P60" s="14" t="str">
        <f>HYPERLINK("https://dexscreener.com/solana/3BeJ9zCgQhaqKMu2HgKJ79yQBChD1Pf3hPwRX44fpump", "View")</f>
        <v>View</v>
      </c>
    </row>
    <row r="61" spans="1:16" x14ac:dyDescent="0.25">
      <c r="A61" s="16" t="s">
        <v>312</v>
      </c>
      <c r="B61" s="17">
        <v>179174</v>
      </c>
      <c r="C61" s="17">
        <v>0</v>
      </c>
      <c r="D61" s="17" t="s">
        <v>10098</v>
      </c>
      <c r="E61" s="17" t="s">
        <v>1007</v>
      </c>
      <c r="F61" s="17" t="s">
        <v>96</v>
      </c>
      <c r="G61" s="18" t="s">
        <v>9267</v>
      </c>
      <c r="H61" s="18" t="s">
        <v>98</v>
      </c>
      <c r="I61" s="17" t="s">
        <v>28676</v>
      </c>
      <c r="J61" s="17">
        <v>1</v>
      </c>
      <c r="K61" s="17">
        <v>0</v>
      </c>
      <c r="L61" s="17" t="s">
        <v>28677</v>
      </c>
      <c r="M61" s="19" t="s">
        <v>101</v>
      </c>
      <c r="N61" s="17" t="s">
        <v>28678</v>
      </c>
      <c r="O61" s="17" t="s">
        <v>319</v>
      </c>
      <c r="P61" s="17" t="str">
        <f>HYPERLINK("https://dexscreener.com/solana/GPF3b1vrWJfpaNNAXqTDLLnSRHTMG6auWonK3LAWpump", "View")</f>
        <v>View</v>
      </c>
    </row>
    <row r="62" spans="1:16" x14ac:dyDescent="0.25">
      <c r="A62" s="13" t="s">
        <v>28679</v>
      </c>
      <c r="B62" s="14">
        <v>838660</v>
      </c>
      <c r="C62" s="14">
        <v>320196</v>
      </c>
      <c r="D62" s="14" t="s">
        <v>28680</v>
      </c>
      <c r="E62" s="14" t="s">
        <v>165</v>
      </c>
      <c r="F62" s="14" t="s">
        <v>28681</v>
      </c>
      <c r="G62" s="20" t="s">
        <v>28682</v>
      </c>
      <c r="H62" s="20" t="s">
        <v>2796</v>
      </c>
      <c r="I62" s="14" t="s">
        <v>88</v>
      </c>
      <c r="J62" s="14">
        <v>5</v>
      </c>
      <c r="K62" s="14">
        <v>2</v>
      </c>
      <c r="L62" s="14" t="s">
        <v>28683</v>
      </c>
      <c r="M62" s="14" t="s">
        <v>132</v>
      </c>
      <c r="N62" s="14" t="s">
        <v>28684</v>
      </c>
      <c r="O62" s="14" t="s">
        <v>28685</v>
      </c>
      <c r="P62" s="14" t="str">
        <f>HYPERLINK("https://dexscreener.com/solana/DqWf9DDK6H5c7KmEHkNJxnzNPSM6mzxonZJjK6yxpump", "View")</f>
        <v>View</v>
      </c>
    </row>
    <row r="63" spans="1:16" x14ac:dyDescent="0.25">
      <c r="A63" s="16" t="s">
        <v>28686</v>
      </c>
      <c r="B63" s="17">
        <v>16486248</v>
      </c>
      <c r="C63" s="17">
        <v>16486248</v>
      </c>
      <c r="D63" s="17" t="s">
        <v>281</v>
      </c>
      <c r="E63" s="17" t="s">
        <v>19080</v>
      </c>
      <c r="F63" s="17" t="s">
        <v>16828</v>
      </c>
      <c r="G63" s="15" t="s">
        <v>28687</v>
      </c>
      <c r="H63" s="15" t="s">
        <v>28688</v>
      </c>
      <c r="I63" s="17" t="s">
        <v>88</v>
      </c>
      <c r="J63" s="17">
        <v>1</v>
      </c>
      <c r="K63" s="17">
        <v>1</v>
      </c>
      <c r="L63" s="17" t="s">
        <v>28689</v>
      </c>
      <c r="M63" s="17" t="s">
        <v>823</v>
      </c>
      <c r="N63" s="17" t="s">
        <v>28690</v>
      </c>
      <c r="O63" s="17" t="s">
        <v>28691</v>
      </c>
      <c r="P63" s="17" t="str">
        <f>HYPERLINK("https://photon-sol.tinyastro.io/en/lp/DYXn283gvH6oBkZtzJQzq2CayL88pd1zEdZoPVuypump?handle=676050794bc1b1657a56b", "View")</f>
        <v>View</v>
      </c>
    </row>
    <row r="64" spans="1:16" x14ac:dyDescent="0.25">
      <c r="A64" s="13" t="s">
        <v>28692</v>
      </c>
      <c r="B64" s="14">
        <v>27405257</v>
      </c>
      <c r="C64" s="14">
        <v>27405257</v>
      </c>
      <c r="D64" s="14" t="s">
        <v>28693</v>
      </c>
      <c r="E64" s="14" t="s">
        <v>11513</v>
      </c>
      <c r="F64" s="14" t="s">
        <v>24595</v>
      </c>
      <c r="G64" s="20" t="s">
        <v>13816</v>
      </c>
      <c r="H64" s="20" t="s">
        <v>28694</v>
      </c>
      <c r="I64" s="14" t="s">
        <v>88</v>
      </c>
      <c r="J64" s="14">
        <v>1</v>
      </c>
      <c r="K64" s="14">
        <v>2</v>
      </c>
      <c r="L64" s="14" t="s">
        <v>28695</v>
      </c>
      <c r="M64" s="14" t="s">
        <v>3355</v>
      </c>
      <c r="N64" s="14" t="s">
        <v>28696</v>
      </c>
      <c r="O64" s="14" t="s">
        <v>28697</v>
      </c>
      <c r="P64" s="14" t="str">
        <f>HYPERLINK("https://photon-sol.tinyastro.io/en/lp/7dw4PrcowF4THewGsWfjELaBhwVdsitsktoQpPLgpump?handle=676050794bc1b1657a56b", "View")</f>
        <v>View</v>
      </c>
    </row>
    <row r="65" spans="1:16" x14ac:dyDescent="0.25">
      <c r="A65" s="16" t="s">
        <v>28698</v>
      </c>
      <c r="B65" s="17">
        <v>5439808</v>
      </c>
      <c r="C65" s="17">
        <v>5439808</v>
      </c>
      <c r="D65" s="17" t="s">
        <v>28699</v>
      </c>
      <c r="E65" s="17" t="s">
        <v>13566</v>
      </c>
      <c r="F65" s="17" t="s">
        <v>8978</v>
      </c>
      <c r="G65" s="15" t="s">
        <v>18165</v>
      </c>
      <c r="H65" s="15" t="s">
        <v>24999</v>
      </c>
      <c r="I65" s="17" t="s">
        <v>88</v>
      </c>
      <c r="J65" s="17">
        <v>1</v>
      </c>
      <c r="K65" s="17">
        <v>1</v>
      </c>
      <c r="L65" s="17" t="s">
        <v>28700</v>
      </c>
      <c r="M65" s="17" t="s">
        <v>1159</v>
      </c>
      <c r="N65" s="17" t="s">
        <v>28701</v>
      </c>
      <c r="O65" s="17" t="s">
        <v>28702</v>
      </c>
      <c r="P65" s="17" t="str">
        <f>HYPERLINK("https://photon-sol.tinyastro.io/en/lp/3dqvHuqqbtGNJanRC7bsHtHx6vGemhRbNEFbE6mnH4KE?handle=676050794bc1b1657a56b", "View")</f>
        <v>View</v>
      </c>
    </row>
    <row r="66" spans="1:16" x14ac:dyDescent="0.25">
      <c r="A66" s="13" t="s">
        <v>5056</v>
      </c>
      <c r="B66" s="14">
        <v>6150737</v>
      </c>
      <c r="C66" s="14">
        <v>6150737</v>
      </c>
      <c r="D66" s="14" t="s">
        <v>28703</v>
      </c>
      <c r="E66" s="14" t="s">
        <v>28704</v>
      </c>
      <c r="F66" s="14" t="s">
        <v>20405</v>
      </c>
      <c r="G66" s="22" t="s">
        <v>2745</v>
      </c>
      <c r="H66" s="22" t="s">
        <v>28705</v>
      </c>
      <c r="I66" s="14" t="s">
        <v>88</v>
      </c>
      <c r="J66" s="14">
        <v>4</v>
      </c>
      <c r="K66" s="14">
        <v>6</v>
      </c>
      <c r="L66" s="14" t="s">
        <v>28706</v>
      </c>
      <c r="M66" s="14" t="s">
        <v>980</v>
      </c>
      <c r="N66" s="14" t="s">
        <v>28707</v>
      </c>
      <c r="O66" s="14" t="s">
        <v>5063</v>
      </c>
      <c r="P66" s="14" t="str">
        <f>HYPERLINK("https://photon-sol.tinyastro.io/en/lp/6QaZjD1aRmfyCWS31r4GTMq5ULKNLHDkPudUd3oYpump?handle=676050794bc1b1657a56b", "View")</f>
        <v>View</v>
      </c>
    </row>
    <row r="67" spans="1:16" x14ac:dyDescent="0.25">
      <c r="A67" s="16" t="s">
        <v>15071</v>
      </c>
      <c r="B67" s="17">
        <v>67215</v>
      </c>
      <c r="C67" s="17">
        <v>0</v>
      </c>
      <c r="D67" s="17" t="s">
        <v>10098</v>
      </c>
      <c r="E67" s="17" t="s">
        <v>569</v>
      </c>
      <c r="F67" s="17" t="s">
        <v>96</v>
      </c>
      <c r="G67" s="18" t="s">
        <v>28624</v>
      </c>
      <c r="H67" s="18" t="s">
        <v>98</v>
      </c>
      <c r="I67" s="17" t="s">
        <v>28708</v>
      </c>
      <c r="J67" s="17">
        <v>1</v>
      </c>
      <c r="K67" s="17">
        <v>0</v>
      </c>
      <c r="L67" s="17" t="s">
        <v>28709</v>
      </c>
      <c r="M67" s="19" t="s">
        <v>101</v>
      </c>
      <c r="N67" s="17" t="s">
        <v>25076</v>
      </c>
      <c r="O67" s="17" t="s">
        <v>15079</v>
      </c>
      <c r="P67" s="17" t="str">
        <f>HYPERLINK("https://dexscreener.com/solana/HeJUFDxfJSzYFUuHLxkMqCgytU31G6mjP4wKviwqpump", "View")</f>
        <v>View</v>
      </c>
    </row>
    <row r="68" spans="1:16" x14ac:dyDescent="0.25">
      <c r="A68" s="13" t="s">
        <v>28710</v>
      </c>
      <c r="B68" s="14">
        <v>44086420</v>
      </c>
      <c r="C68" s="14">
        <v>37932047</v>
      </c>
      <c r="D68" s="14" t="s">
        <v>28711</v>
      </c>
      <c r="E68" s="14" t="s">
        <v>28712</v>
      </c>
      <c r="F68" s="14" t="s">
        <v>28713</v>
      </c>
      <c r="G68" s="21" t="s">
        <v>18551</v>
      </c>
      <c r="H68" s="21" t="s">
        <v>28714</v>
      </c>
      <c r="I68" s="14" t="s">
        <v>88</v>
      </c>
      <c r="J68" s="14">
        <v>4</v>
      </c>
      <c r="K68" s="14">
        <v>7</v>
      </c>
      <c r="L68" s="14" t="s">
        <v>28715</v>
      </c>
      <c r="M68" s="14" t="s">
        <v>132</v>
      </c>
      <c r="N68" s="14" t="s">
        <v>28716</v>
      </c>
      <c r="O68" s="14" t="s">
        <v>28717</v>
      </c>
      <c r="P68" s="14" t="str">
        <f>HYPERLINK("https://photon-sol.tinyastro.io/en/lp/2Aaj5DXGE5n6XPLeSrC6oNxCkjAuJVEumtJN3PA9pump?handle=676050794bc1b1657a56b", "View")</f>
        <v>View</v>
      </c>
    </row>
    <row r="69" spans="1:16" x14ac:dyDescent="0.25">
      <c r="A69" s="16" t="s">
        <v>9575</v>
      </c>
      <c r="B69" s="17">
        <v>44072</v>
      </c>
      <c r="C69" s="17">
        <v>44072</v>
      </c>
      <c r="D69" s="17" t="s">
        <v>28718</v>
      </c>
      <c r="E69" s="17" t="s">
        <v>569</v>
      </c>
      <c r="F69" s="17" t="s">
        <v>7128</v>
      </c>
      <c r="G69" s="20" t="s">
        <v>13902</v>
      </c>
      <c r="H69" s="20" t="s">
        <v>13823</v>
      </c>
      <c r="I69" s="17" t="s">
        <v>88</v>
      </c>
      <c r="J69" s="17">
        <v>1</v>
      </c>
      <c r="K69" s="17">
        <v>2</v>
      </c>
      <c r="L69" s="17" t="s">
        <v>28719</v>
      </c>
      <c r="M69" s="17" t="s">
        <v>5061</v>
      </c>
      <c r="N69" s="17" t="s">
        <v>28720</v>
      </c>
      <c r="O69" s="17" t="s">
        <v>9582</v>
      </c>
      <c r="P69" s="17" t="str">
        <f>HYPERLINK("https://dexscreener.com/solana/6MAWnfagDCzqmHQh88FVt9F1zzLqXpwGJpaL7zUTpump", "View")</f>
        <v>View</v>
      </c>
    </row>
    <row r="70" spans="1:16" x14ac:dyDescent="0.25">
      <c r="A70" s="13" t="s">
        <v>409</v>
      </c>
      <c r="B70" s="14">
        <v>374264</v>
      </c>
      <c r="C70" s="14">
        <v>374264</v>
      </c>
      <c r="D70" s="14" t="s">
        <v>28721</v>
      </c>
      <c r="E70" s="14" t="s">
        <v>1457</v>
      </c>
      <c r="F70" s="14" t="s">
        <v>6561</v>
      </c>
      <c r="G70" s="20" t="s">
        <v>3061</v>
      </c>
      <c r="H70" s="20" t="s">
        <v>28722</v>
      </c>
      <c r="I70" s="14" t="s">
        <v>88</v>
      </c>
      <c r="J70" s="14">
        <v>2</v>
      </c>
      <c r="K70" s="14">
        <v>1</v>
      </c>
      <c r="L70" s="14" t="s">
        <v>28723</v>
      </c>
      <c r="M70" s="14" t="s">
        <v>231</v>
      </c>
      <c r="N70" s="14" t="s">
        <v>28724</v>
      </c>
      <c r="O70" s="14" t="s">
        <v>416</v>
      </c>
      <c r="P70" s="14" t="str">
        <f>HYPERLINK("https://dexscreener.com/solana/9WXNvkvub2Fvg88n8mLD3iywpLmfhRZHZmdf8CGhpump", "View")</f>
        <v>View</v>
      </c>
    </row>
    <row r="71" spans="1:16" x14ac:dyDescent="0.25">
      <c r="A71" s="16" t="s">
        <v>809</v>
      </c>
      <c r="B71" s="17">
        <v>41635</v>
      </c>
      <c r="C71" s="17">
        <v>41635</v>
      </c>
      <c r="D71" s="17" t="s">
        <v>28632</v>
      </c>
      <c r="E71" s="17" t="s">
        <v>28725</v>
      </c>
      <c r="F71" s="17" t="s">
        <v>28726</v>
      </c>
      <c r="G71" s="20" t="s">
        <v>1846</v>
      </c>
      <c r="H71" s="20" t="s">
        <v>28727</v>
      </c>
      <c r="I71" s="17" t="s">
        <v>88</v>
      </c>
      <c r="J71" s="17">
        <v>1</v>
      </c>
      <c r="K71" s="17">
        <v>1</v>
      </c>
      <c r="L71" s="17" t="s">
        <v>28728</v>
      </c>
      <c r="M71" s="17" t="s">
        <v>356</v>
      </c>
      <c r="N71" s="17" t="s">
        <v>28729</v>
      </c>
      <c r="O71" s="17" t="s">
        <v>816</v>
      </c>
      <c r="P71" s="17" t="str">
        <f>HYPERLINK("https://dexscreener.com/solana/BoAQaykj3LtkM2Brevc7cQcRAzpqcsP47nJ2rkyopump", "View")</f>
        <v>View</v>
      </c>
    </row>
    <row r="72" spans="1:16" x14ac:dyDescent="0.25">
      <c r="A72" s="13" t="s">
        <v>373</v>
      </c>
      <c r="B72" s="14">
        <v>151185</v>
      </c>
      <c r="C72" s="14">
        <v>0</v>
      </c>
      <c r="D72" s="14" t="s">
        <v>10098</v>
      </c>
      <c r="E72" s="14" t="s">
        <v>1007</v>
      </c>
      <c r="F72" s="14" t="s">
        <v>96</v>
      </c>
      <c r="G72" s="18" t="s">
        <v>9267</v>
      </c>
      <c r="H72" s="18" t="s">
        <v>98</v>
      </c>
      <c r="I72" s="14" t="s">
        <v>28730</v>
      </c>
      <c r="J72" s="14">
        <v>1</v>
      </c>
      <c r="K72" s="14">
        <v>0</v>
      </c>
      <c r="L72" s="14" t="s">
        <v>28731</v>
      </c>
      <c r="M72" s="19" t="s">
        <v>101</v>
      </c>
      <c r="N72" s="14" t="s">
        <v>28732</v>
      </c>
      <c r="O72" s="14" t="s">
        <v>381</v>
      </c>
      <c r="P72" s="14" t="str">
        <f>HYPERLINK("https://dexscreener.com/solana/Em6JwNZN8U6ixHPAbrquXaMVSHHbYkfhcqVezoEGpump", "View")</f>
        <v>View</v>
      </c>
    </row>
    <row r="73" spans="1:16" x14ac:dyDescent="0.25">
      <c r="A73" s="16" t="s">
        <v>28733</v>
      </c>
      <c r="B73" s="17">
        <v>293923</v>
      </c>
      <c r="C73" s="17">
        <v>146961</v>
      </c>
      <c r="D73" s="17" t="s">
        <v>28734</v>
      </c>
      <c r="E73" s="17" t="s">
        <v>1007</v>
      </c>
      <c r="F73" s="17" t="s">
        <v>10388</v>
      </c>
      <c r="G73" s="20" t="s">
        <v>4032</v>
      </c>
      <c r="H73" s="20" t="s">
        <v>27370</v>
      </c>
      <c r="I73" s="17" t="s">
        <v>88</v>
      </c>
      <c r="J73" s="17">
        <v>1</v>
      </c>
      <c r="K73" s="17">
        <v>1</v>
      </c>
      <c r="L73" s="17" t="s">
        <v>3041</v>
      </c>
      <c r="M73" s="17" t="s">
        <v>680</v>
      </c>
      <c r="N73" s="17" t="s">
        <v>28735</v>
      </c>
      <c r="O73" s="17" t="s">
        <v>28736</v>
      </c>
      <c r="P73" s="17" t="str">
        <f>HYPERLINK("https://dexscreener.com/solana/7p4CMCdETxQgSBiPqKsefFLVQgd8yHd1VQqQKEAzpump", "View")</f>
        <v>View</v>
      </c>
    </row>
    <row r="74" spans="1:16" x14ac:dyDescent="0.25">
      <c r="A74" s="13" t="s">
        <v>6711</v>
      </c>
      <c r="B74" s="14">
        <v>171779</v>
      </c>
      <c r="C74" s="14">
        <v>0</v>
      </c>
      <c r="D74" s="14" t="s">
        <v>10098</v>
      </c>
      <c r="E74" s="14" t="s">
        <v>1457</v>
      </c>
      <c r="F74" s="14" t="s">
        <v>96</v>
      </c>
      <c r="G74" s="18" t="s">
        <v>28604</v>
      </c>
      <c r="H74" s="18" t="s">
        <v>98</v>
      </c>
      <c r="I74" s="14" t="s">
        <v>28737</v>
      </c>
      <c r="J74" s="14">
        <v>1</v>
      </c>
      <c r="K74" s="14">
        <v>0</v>
      </c>
      <c r="L74" s="14" t="s">
        <v>28738</v>
      </c>
      <c r="M74" s="19" t="s">
        <v>101</v>
      </c>
      <c r="N74" s="14" t="s">
        <v>28739</v>
      </c>
      <c r="O74" s="14" t="s">
        <v>6717</v>
      </c>
      <c r="P74" s="14" t="str">
        <f>HYPERLINK("https://dexscreener.com/solana/321tt4d8ZCGAdUB9PdB2cMtEL3uaJV4MaCzY2pTQpump", "View")</f>
        <v>View</v>
      </c>
    </row>
    <row r="75" spans="1:16" x14ac:dyDescent="0.25">
      <c r="A75" s="16" t="s">
        <v>702</v>
      </c>
      <c r="B75" s="17">
        <v>174368</v>
      </c>
      <c r="C75" s="17">
        <v>174368</v>
      </c>
      <c r="D75" s="17" t="s">
        <v>28740</v>
      </c>
      <c r="E75" s="17" t="s">
        <v>1007</v>
      </c>
      <c r="F75" s="17" t="s">
        <v>28741</v>
      </c>
      <c r="G75" s="20" t="s">
        <v>5535</v>
      </c>
      <c r="H75" s="20" t="s">
        <v>28742</v>
      </c>
      <c r="I75" s="17" t="s">
        <v>88</v>
      </c>
      <c r="J75" s="17">
        <v>1</v>
      </c>
      <c r="K75" s="17">
        <v>1</v>
      </c>
      <c r="L75" s="17" t="s">
        <v>28743</v>
      </c>
      <c r="M75" s="17" t="s">
        <v>160</v>
      </c>
      <c r="N75" s="17" t="s">
        <v>28744</v>
      </c>
      <c r="O75" s="17" t="s">
        <v>708</v>
      </c>
      <c r="P75" s="17" t="str">
        <f>HYPERLINK("https://dexscreener.com/solana/BoBj68cWnCvzMNUKzJyR7Jq7tLM3v76D1pYL1E8rpump", "View")</f>
        <v>View</v>
      </c>
    </row>
    <row r="76" spans="1:16" x14ac:dyDescent="0.25">
      <c r="A76" s="13" t="s">
        <v>12576</v>
      </c>
      <c r="B76" s="14">
        <v>188326</v>
      </c>
      <c r="C76" s="14">
        <v>141245</v>
      </c>
      <c r="D76" s="14" t="s">
        <v>28745</v>
      </c>
      <c r="E76" s="14" t="s">
        <v>569</v>
      </c>
      <c r="F76" s="14" t="s">
        <v>28746</v>
      </c>
      <c r="G76" s="21" t="s">
        <v>1438</v>
      </c>
      <c r="H76" s="21" t="s">
        <v>28747</v>
      </c>
      <c r="I76" s="14" t="s">
        <v>88</v>
      </c>
      <c r="J76" s="14">
        <v>1</v>
      </c>
      <c r="K76" s="14">
        <v>2</v>
      </c>
      <c r="L76" s="14" t="s">
        <v>28748</v>
      </c>
      <c r="M76" s="14" t="s">
        <v>356</v>
      </c>
      <c r="N76" s="14" t="s">
        <v>28749</v>
      </c>
      <c r="O76" s="14" t="s">
        <v>12583</v>
      </c>
      <c r="P76" s="14" t="str">
        <f>HYPERLINK("https://dexscreener.com/solana/9JhFqCA21MoAXs2PTaeqNQp2XngPn1PgYr2rsEVCpump", "View")</f>
        <v>View</v>
      </c>
    </row>
    <row r="77" spans="1:16" x14ac:dyDescent="0.25">
      <c r="A77" s="16" t="s">
        <v>732</v>
      </c>
      <c r="B77" s="17">
        <v>331486</v>
      </c>
      <c r="C77" s="17">
        <v>310768</v>
      </c>
      <c r="D77" s="17" t="s">
        <v>28750</v>
      </c>
      <c r="E77" s="17" t="s">
        <v>569</v>
      </c>
      <c r="F77" s="17" t="s">
        <v>28751</v>
      </c>
      <c r="G77" s="21" t="s">
        <v>28752</v>
      </c>
      <c r="H77" s="21" t="s">
        <v>28753</v>
      </c>
      <c r="I77" s="17" t="s">
        <v>88</v>
      </c>
      <c r="J77" s="17">
        <v>1</v>
      </c>
      <c r="K77" s="17">
        <v>4</v>
      </c>
      <c r="L77" s="17" t="s">
        <v>28754</v>
      </c>
      <c r="M77" s="17" t="s">
        <v>356</v>
      </c>
      <c r="N77" s="17" t="s">
        <v>28755</v>
      </c>
      <c r="O77" s="17" t="s">
        <v>739</v>
      </c>
      <c r="P77" s="17" t="str">
        <f>HYPERLINK("https://dexscreener.com/solana/39qibQxVzemuZTEvjSB7NePhw9WyyHdQCqP8xmBMpump", "View")</f>
        <v>View</v>
      </c>
    </row>
    <row r="78" spans="1:16" x14ac:dyDescent="0.25">
      <c r="A78" s="13" t="s">
        <v>6718</v>
      </c>
      <c r="B78" s="14">
        <v>2685972</v>
      </c>
      <c r="C78" s="14">
        <v>0</v>
      </c>
      <c r="D78" s="14" t="s">
        <v>10098</v>
      </c>
      <c r="E78" s="14" t="s">
        <v>569</v>
      </c>
      <c r="F78" s="14" t="s">
        <v>96</v>
      </c>
      <c r="G78" s="18" t="s">
        <v>28624</v>
      </c>
      <c r="H78" s="18" t="s">
        <v>98</v>
      </c>
      <c r="I78" s="14" t="s">
        <v>28756</v>
      </c>
      <c r="J78" s="14">
        <v>1</v>
      </c>
      <c r="K78" s="14">
        <v>0</v>
      </c>
      <c r="L78" s="14" t="s">
        <v>28757</v>
      </c>
      <c r="M78" s="19" t="s">
        <v>101</v>
      </c>
      <c r="N78" s="14" t="s">
        <v>28758</v>
      </c>
      <c r="O78" s="14" t="s">
        <v>6725</v>
      </c>
      <c r="P78" s="14" t="str">
        <f>HYPERLINK("https://dexscreener.com/solana/PLg1yQLLtEXWiffVmwMUmtzeFRpvTuXF1Rh5ERopump", "View")</f>
        <v>View</v>
      </c>
    </row>
    <row r="79" spans="1:16" x14ac:dyDescent="0.25">
      <c r="A79" s="16" t="s">
        <v>10868</v>
      </c>
      <c r="B79" s="17">
        <v>4046045</v>
      </c>
      <c r="C79" s="17">
        <v>2023022</v>
      </c>
      <c r="D79" s="17" t="s">
        <v>28759</v>
      </c>
      <c r="E79" s="17" t="s">
        <v>1007</v>
      </c>
      <c r="F79" s="17" t="s">
        <v>28297</v>
      </c>
      <c r="G79" s="22" t="s">
        <v>2809</v>
      </c>
      <c r="H79" s="22" t="s">
        <v>2780</v>
      </c>
      <c r="I79" s="17" t="s">
        <v>88</v>
      </c>
      <c r="J79" s="17">
        <v>1</v>
      </c>
      <c r="K79" s="17">
        <v>1</v>
      </c>
      <c r="L79" s="17" t="s">
        <v>28760</v>
      </c>
      <c r="M79" s="17" t="s">
        <v>3355</v>
      </c>
      <c r="N79" s="17" t="s">
        <v>28761</v>
      </c>
      <c r="O79" s="17" t="s">
        <v>10872</v>
      </c>
      <c r="P79" s="17" t="str">
        <f>HYPERLINK("https://dexscreener.com/solana/2T7TigEJc6pAzy4q7GkDZbhLoigmWUS3dJApg6Ropump", "View")</f>
        <v>View</v>
      </c>
    </row>
    <row r="80" spans="1:16" x14ac:dyDescent="0.25">
      <c r="A80" s="13" t="s">
        <v>28762</v>
      </c>
      <c r="B80" s="14">
        <v>3246786</v>
      </c>
      <c r="C80" s="14">
        <v>0</v>
      </c>
      <c r="D80" s="14" t="s">
        <v>10098</v>
      </c>
      <c r="E80" s="14" t="s">
        <v>569</v>
      </c>
      <c r="F80" s="14" t="s">
        <v>96</v>
      </c>
      <c r="G80" s="18" t="s">
        <v>28624</v>
      </c>
      <c r="H80" s="18" t="s">
        <v>98</v>
      </c>
      <c r="I80" s="14" t="s">
        <v>28763</v>
      </c>
      <c r="J80" s="14">
        <v>1</v>
      </c>
      <c r="K80" s="14">
        <v>0</v>
      </c>
      <c r="L80" s="14" t="s">
        <v>28764</v>
      </c>
      <c r="M80" s="19" t="s">
        <v>101</v>
      </c>
      <c r="N80" s="14" t="s">
        <v>28765</v>
      </c>
      <c r="O80" s="14" t="s">
        <v>28766</v>
      </c>
      <c r="P80" s="14" t="str">
        <f>HYPERLINK("https://dexscreener.com/solana/E3DEwMSsqdnQvZQwwrpL89s1HQUbres2Ce2rPy1Lpump", "View")</f>
        <v>View</v>
      </c>
    </row>
    <row r="81" spans="1:16" x14ac:dyDescent="0.25">
      <c r="A81" s="16" t="s">
        <v>21133</v>
      </c>
      <c r="B81" s="17">
        <v>480560</v>
      </c>
      <c r="C81" s="17">
        <v>0</v>
      </c>
      <c r="D81" s="17" t="s">
        <v>28767</v>
      </c>
      <c r="E81" s="17" t="s">
        <v>340</v>
      </c>
      <c r="F81" s="17" t="s">
        <v>96</v>
      </c>
      <c r="G81" s="18" t="s">
        <v>28768</v>
      </c>
      <c r="H81" s="18" t="s">
        <v>98</v>
      </c>
      <c r="I81" s="17" t="s">
        <v>28769</v>
      </c>
      <c r="J81" s="17">
        <v>4</v>
      </c>
      <c r="K81" s="17">
        <v>0</v>
      </c>
      <c r="L81" s="17" t="s">
        <v>28770</v>
      </c>
      <c r="M81" s="17" t="s">
        <v>2789</v>
      </c>
      <c r="N81" s="17" t="s">
        <v>28771</v>
      </c>
      <c r="O81" s="17" t="s">
        <v>28772</v>
      </c>
      <c r="P81" s="17" t="str">
        <f>HYPERLINK("https://dexscreener.com/solana/4ALtFjC3M3Cg8RiooUoqzDGXCpgwb9csDEHiRaT9pump", "View")</f>
        <v>View</v>
      </c>
    </row>
    <row r="82" spans="1:16" x14ac:dyDescent="0.25">
      <c r="A82" s="13" t="s">
        <v>28773</v>
      </c>
      <c r="B82" s="14">
        <v>7998684</v>
      </c>
      <c r="C82" s="14">
        <v>0</v>
      </c>
      <c r="D82" s="14" t="s">
        <v>13597</v>
      </c>
      <c r="E82" s="14" t="s">
        <v>13215</v>
      </c>
      <c r="F82" s="14" t="s">
        <v>96</v>
      </c>
      <c r="G82" s="18" t="s">
        <v>28774</v>
      </c>
      <c r="H82" s="18" t="s">
        <v>98</v>
      </c>
      <c r="I82" s="14" t="s">
        <v>28775</v>
      </c>
      <c r="J82" s="14">
        <v>1</v>
      </c>
      <c r="K82" s="14">
        <v>0</v>
      </c>
      <c r="L82" s="14" t="s">
        <v>28776</v>
      </c>
      <c r="M82" s="19" t="s">
        <v>101</v>
      </c>
      <c r="N82" s="14" t="s">
        <v>1973</v>
      </c>
      <c r="O82" s="14" t="s">
        <v>28777</v>
      </c>
      <c r="P82" s="14" t="str">
        <f>HYPERLINK("https://photon-sol.tinyastro.io/en/lp/4BwLvAreX6wM72qP56FZPoAUDPbbkQukaeccHHTLpump?handle=676050794bc1b1657a56b", "View")</f>
        <v>View</v>
      </c>
    </row>
    <row r="83" spans="1:16" x14ac:dyDescent="0.25">
      <c r="A83" s="16" t="s">
        <v>12957</v>
      </c>
      <c r="B83" s="17">
        <v>399956</v>
      </c>
      <c r="C83" s="17">
        <v>318567</v>
      </c>
      <c r="D83" s="17" t="s">
        <v>28778</v>
      </c>
      <c r="E83" s="17" t="s">
        <v>569</v>
      </c>
      <c r="F83" s="17" t="s">
        <v>28779</v>
      </c>
      <c r="G83" s="22" t="s">
        <v>2568</v>
      </c>
      <c r="H83" s="22" t="s">
        <v>28780</v>
      </c>
      <c r="I83" s="17" t="s">
        <v>88</v>
      </c>
      <c r="J83" s="17">
        <v>3</v>
      </c>
      <c r="K83" s="17">
        <v>4</v>
      </c>
      <c r="L83" s="17" t="s">
        <v>28781</v>
      </c>
      <c r="M83" s="17" t="s">
        <v>680</v>
      </c>
      <c r="N83" s="17" t="s">
        <v>28782</v>
      </c>
      <c r="O83" s="17" t="s">
        <v>12963</v>
      </c>
      <c r="P83" s="17" t="str">
        <f>HYPERLINK("https://dexscreener.com/solana/4994XJ88RjBS5SKv7qSe4fM3qtPRYzqYBQLe4NRDpump", "View")</f>
        <v>View</v>
      </c>
    </row>
    <row r="84" spans="1:16" x14ac:dyDescent="0.25">
      <c r="A84" s="13" t="s">
        <v>28783</v>
      </c>
      <c r="B84" s="14">
        <v>1016812</v>
      </c>
      <c r="C84" s="14">
        <v>0</v>
      </c>
      <c r="D84" s="14" t="s">
        <v>28784</v>
      </c>
      <c r="E84" s="14" t="s">
        <v>1007</v>
      </c>
      <c r="F84" s="14" t="s">
        <v>96</v>
      </c>
      <c r="G84" s="18" t="s">
        <v>2051</v>
      </c>
      <c r="H84" s="18" t="s">
        <v>98</v>
      </c>
      <c r="I84" s="14" t="s">
        <v>28785</v>
      </c>
      <c r="J84" s="14">
        <v>1</v>
      </c>
      <c r="K84" s="14">
        <v>0</v>
      </c>
      <c r="L84" s="14" t="s">
        <v>28786</v>
      </c>
      <c r="M84" s="19" t="s">
        <v>101</v>
      </c>
      <c r="N84" s="14" t="s">
        <v>28787</v>
      </c>
      <c r="O84" s="14" t="s">
        <v>28788</v>
      </c>
      <c r="P84" s="14" t="str">
        <f>HYPERLINK("https://dexscreener.com/solana/2STafwnVsP6f8QcQ5pe4xrRYYCvNSTieo6mznYnMpump", "View")</f>
        <v>View</v>
      </c>
    </row>
    <row r="85" spans="1:16" x14ac:dyDescent="0.25">
      <c r="A85" s="16" t="s">
        <v>28789</v>
      </c>
      <c r="B85" s="17">
        <v>2687147</v>
      </c>
      <c r="C85" s="17">
        <v>1343573</v>
      </c>
      <c r="D85" s="17" t="s">
        <v>20645</v>
      </c>
      <c r="E85" s="17" t="s">
        <v>1007</v>
      </c>
      <c r="F85" s="17" t="s">
        <v>2320</v>
      </c>
      <c r="G85" s="20" t="s">
        <v>3793</v>
      </c>
      <c r="H85" s="20" t="s">
        <v>28790</v>
      </c>
      <c r="I85" s="17" t="s">
        <v>88</v>
      </c>
      <c r="J85" s="17">
        <v>1</v>
      </c>
      <c r="K85" s="17">
        <v>1</v>
      </c>
      <c r="L85" s="17" t="s">
        <v>28791</v>
      </c>
      <c r="M85" s="17" t="s">
        <v>5644</v>
      </c>
      <c r="N85" s="17" t="s">
        <v>595</v>
      </c>
      <c r="O85" s="17" t="s">
        <v>28792</v>
      </c>
      <c r="P85" s="17" t="str">
        <f>HYPERLINK("https://dexscreener.com/solana/D7BkxwqDXJiuJ13n8zpcPVQCW5bp7UoGdesZ8XFvpump", "View")</f>
        <v>View</v>
      </c>
    </row>
    <row r="86" spans="1:16" x14ac:dyDescent="0.25">
      <c r="A86" s="13" t="s">
        <v>9626</v>
      </c>
      <c r="B86" s="14">
        <v>1907815</v>
      </c>
      <c r="C86" s="14">
        <v>0</v>
      </c>
      <c r="D86" s="14" t="s">
        <v>9662</v>
      </c>
      <c r="E86" s="14" t="s">
        <v>1007</v>
      </c>
      <c r="F86" s="14" t="s">
        <v>96</v>
      </c>
      <c r="G86" s="18" t="s">
        <v>9365</v>
      </c>
      <c r="H86" s="18" t="s">
        <v>98</v>
      </c>
      <c r="I86" s="14" t="s">
        <v>28793</v>
      </c>
      <c r="J86" s="14">
        <v>1</v>
      </c>
      <c r="K86" s="14">
        <v>0</v>
      </c>
      <c r="L86" s="14" t="s">
        <v>28794</v>
      </c>
      <c r="M86" s="19" t="s">
        <v>101</v>
      </c>
      <c r="N86" s="14" t="s">
        <v>28795</v>
      </c>
      <c r="O86" s="14" t="s">
        <v>9630</v>
      </c>
      <c r="P86" s="14" t="str">
        <f>HYPERLINK("https://dexscreener.com/solana/2jrLcdWgkfkGpYPMUs94b9ER8nYBbWECwiF2mBjmpump", "View")</f>
        <v>View</v>
      </c>
    </row>
    <row r="87" spans="1:16" x14ac:dyDescent="0.25">
      <c r="A87" s="16" t="s">
        <v>28796</v>
      </c>
      <c r="B87" s="17">
        <v>2182161</v>
      </c>
      <c r="C87" s="17">
        <v>0</v>
      </c>
      <c r="D87" s="17" t="s">
        <v>16571</v>
      </c>
      <c r="E87" s="17" t="s">
        <v>24137</v>
      </c>
      <c r="F87" s="17" t="s">
        <v>96</v>
      </c>
      <c r="G87" s="18" t="s">
        <v>28797</v>
      </c>
      <c r="H87" s="18" t="s">
        <v>98</v>
      </c>
      <c r="I87" s="17" t="s">
        <v>28798</v>
      </c>
      <c r="J87" s="17">
        <v>1</v>
      </c>
      <c r="K87" s="17">
        <v>0</v>
      </c>
      <c r="L87" s="17" t="s">
        <v>28799</v>
      </c>
      <c r="M87" s="19" t="s">
        <v>101</v>
      </c>
      <c r="N87" s="17" t="s">
        <v>28800</v>
      </c>
      <c r="O87" s="17" t="s">
        <v>28801</v>
      </c>
      <c r="P87" s="17" t="str">
        <f>HYPERLINK("https://dexscreener.com/solana/BdZ166jQNf7dzRKf7ZTbwKZVFi2unfedjcJs31Tipump", "View")</f>
        <v>View</v>
      </c>
    </row>
    <row r="88" spans="1:16" x14ac:dyDescent="0.25">
      <c r="A88" s="13" t="s">
        <v>20613</v>
      </c>
      <c r="B88" s="14">
        <v>243134</v>
      </c>
      <c r="C88" s="14">
        <v>121567</v>
      </c>
      <c r="D88" s="14" t="s">
        <v>28802</v>
      </c>
      <c r="E88" s="14" t="s">
        <v>1457</v>
      </c>
      <c r="F88" s="14" t="s">
        <v>6761</v>
      </c>
      <c r="G88" s="20" t="s">
        <v>28803</v>
      </c>
      <c r="H88" s="20" t="s">
        <v>28804</v>
      </c>
      <c r="I88" s="14" t="s">
        <v>88</v>
      </c>
      <c r="J88" s="14">
        <v>1</v>
      </c>
      <c r="K88" s="14">
        <v>1</v>
      </c>
      <c r="L88" s="14" t="s">
        <v>28805</v>
      </c>
      <c r="M88" s="14" t="s">
        <v>3695</v>
      </c>
      <c r="N88" s="14" t="s">
        <v>28806</v>
      </c>
      <c r="O88" s="14" t="s">
        <v>20617</v>
      </c>
      <c r="P88" s="14" t="str">
        <f>HYPERLINK("https://dexscreener.com/solana/6Rx89EvU1fNGv5htXGTUs3HPoQjcYSLh8KDd5RPwpump", "View")</f>
        <v>View</v>
      </c>
    </row>
    <row r="89" spans="1:16" x14ac:dyDescent="0.25">
      <c r="A89" s="16" t="s">
        <v>3307</v>
      </c>
      <c r="B89" s="17">
        <v>207835</v>
      </c>
      <c r="C89" s="17">
        <v>0</v>
      </c>
      <c r="D89" s="17" t="s">
        <v>28807</v>
      </c>
      <c r="E89" s="17" t="s">
        <v>1457</v>
      </c>
      <c r="F89" s="17" t="s">
        <v>96</v>
      </c>
      <c r="G89" s="18" t="s">
        <v>28282</v>
      </c>
      <c r="H89" s="18" t="s">
        <v>98</v>
      </c>
      <c r="I89" s="17" t="s">
        <v>28808</v>
      </c>
      <c r="J89" s="17">
        <v>1</v>
      </c>
      <c r="K89" s="17">
        <v>0</v>
      </c>
      <c r="L89" s="17" t="s">
        <v>28809</v>
      </c>
      <c r="M89" s="19" t="s">
        <v>101</v>
      </c>
      <c r="N89" s="17" t="s">
        <v>28810</v>
      </c>
      <c r="O89" s="17" t="s">
        <v>3313</v>
      </c>
      <c r="P89" s="17" t="str">
        <f>HYPERLINK("https://dexscreener.com/solana/5vrNnSXf2PeF4YMdG4vHi1WzU3hf42JKzV8i7jtBmRww", "View")</f>
        <v>View</v>
      </c>
    </row>
    <row r="90" spans="1:16" x14ac:dyDescent="0.25">
      <c r="A90" s="13" t="s">
        <v>1323</v>
      </c>
      <c r="B90" s="14">
        <v>11804535</v>
      </c>
      <c r="C90" s="14">
        <v>0</v>
      </c>
      <c r="D90" s="14" t="s">
        <v>16414</v>
      </c>
      <c r="E90" s="14" t="s">
        <v>1457</v>
      </c>
      <c r="F90" s="14" t="s">
        <v>96</v>
      </c>
      <c r="G90" s="18" t="s">
        <v>28528</v>
      </c>
      <c r="H90" s="18" t="s">
        <v>98</v>
      </c>
      <c r="I90" s="14" t="s">
        <v>28811</v>
      </c>
      <c r="J90" s="14">
        <v>1</v>
      </c>
      <c r="K90" s="14">
        <v>0</v>
      </c>
      <c r="L90" s="14" t="s">
        <v>28812</v>
      </c>
      <c r="M90" s="19" t="s">
        <v>101</v>
      </c>
      <c r="N90" s="14" t="s">
        <v>4313</v>
      </c>
      <c r="O90" s="14" t="s">
        <v>28813</v>
      </c>
      <c r="P90" s="14" t="str">
        <f>HYPERLINK("https://dexscreener.com/solana/HfEcammtZgViSBKkbqg4trpB2paohjVSjyizxSfkpump", "View")</f>
        <v>View</v>
      </c>
    </row>
    <row r="91" spans="1:16" x14ac:dyDescent="0.25">
      <c r="A91" s="16" t="s">
        <v>10030</v>
      </c>
      <c r="B91" s="17">
        <v>1707275</v>
      </c>
      <c r="C91" s="17">
        <v>0</v>
      </c>
      <c r="D91" s="17" t="s">
        <v>17949</v>
      </c>
      <c r="E91" s="17" t="s">
        <v>1007</v>
      </c>
      <c r="F91" s="17" t="s">
        <v>96</v>
      </c>
      <c r="G91" s="18" t="s">
        <v>9365</v>
      </c>
      <c r="H91" s="18" t="s">
        <v>98</v>
      </c>
      <c r="I91" s="17" t="s">
        <v>28814</v>
      </c>
      <c r="J91" s="17">
        <v>1</v>
      </c>
      <c r="K91" s="17">
        <v>0</v>
      </c>
      <c r="L91" s="17" t="s">
        <v>28815</v>
      </c>
      <c r="M91" s="19" t="s">
        <v>101</v>
      </c>
      <c r="N91" s="17" t="s">
        <v>28816</v>
      </c>
      <c r="O91" s="17" t="s">
        <v>10034</v>
      </c>
      <c r="P91" s="17" t="str">
        <f>HYPERLINK("https://dexscreener.com/solana/ASnD7A1mqpiBdqVVAKLsScAABR1nGbMBtocFbU5rpump", "View")</f>
        <v>View</v>
      </c>
    </row>
    <row r="92" spans="1:16" x14ac:dyDescent="0.25">
      <c r="A92" s="13" t="s">
        <v>10026</v>
      </c>
      <c r="B92" s="14">
        <v>1757993</v>
      </c>
      <c r="C92" s="14">
        <v>0</v>
      </c>
      <c r="D92" s="14" t="s">
        <v>17949</v>
      </c>
      <c r="E92" s="14" t="s">
        <v>1007</v>
      </c>
      <c r="F92" s="14" t="s">
        <v>96</v>
      </c>
      <c r="G92" s="18" t="s">
        <v>9365</v>
      </c>
      <c r="H92" s="18" t="s">
        <v>98</v>
      </c>
      <c r="I92" s="14" t="s">
        <v>28817</v>
      </c>
      <c r="J92" s="14">
        <v>1</v>
      </c>
      <c r="K92" s="14">
        <v>0</v>
      </c>
      <c r="L92" s="14" t="s">
        <v>28818</v>
      </c>
      <c r="M92" s="19" t="s">
        <v>101</v>
      </c>
      <c r="N92" s="14" t="s">
        <v>28819</v>
      </c>
      <c r="O92" s="14" t="s">
        <v>10029</v>
      </c>
      <c r="P92" s="14" t="str">
        <f>HYPERLINK("https://dexscreener.com/solana/2UByDNzBkDikkBM73dAxerTGkuLVRWzCN95JuAUApump", "View")</f>
        <v>View</v>
      </c>
    </row>
    <row r="93" spans="1:16" x14ac:dyDescent="0.25">
      <c r="A93" s="16" t="s">
        <v>12261</v>
      </c>
      <c r="B93" s="17">
        <v>4689271</v>
      </c>
      <c r="C93" s="17">
        <v>0</v>
      </c>
      <c r="D93" s="17" t="s">
        <v>28820</v>
      </c>
      <c r="E93" s="17" t="s">
        <v>569</v>
      </c>
      <c r="F93" s="17" t="s">
        <v>96</v>
      </c>
      <c r="G93" s="18" t="s">
        <v>570</v>
      </c>
      <c r="H93" s="18" t="s">
        <v>98</v>
      </c>
      <c r="I93" s="17" t="s">
        <v>28821</v>
      </c>
      <c r="J93" s="17">
        <v>1</v>
      </c>
      <c r="K93" s="17">
        <v>0</v>
      </c>
      <c r="L93" s="17" t="s">
        <v>28822</v>
      </c>
      <c r="M93" s="19" t="s">
        <v>101</v>
      </c>
      <c r="N93" s="17" t="s">
        <v>28823</v>
      </c>
      <c r="O93" s="17" t="s">
        <v>12265</v>
      </c>
      <c r="P93" s="17" t="str">
        <f>HYPERLINK("https://dexscreener.com/solana/4BBjpGwLgGmUxtT82YFK9xMhcvyy3zgf3HpxTRip1YoU", "View")</f>
        <v>View</v>
      </c>
    </row>
    <row r="94" spans="1:16" x14ac:dyDescent="0.25">
      <c r="A94" s="13" t="s">
        <v>15893</v>
      </c>
      <c r="B94" s="14">
        <v>6280830</v>
      </c>
      <c r="C94" s="14">
        <v>4383217</v>
      </c>
      <c r="D94" s="14" t="s">
        <v>16473</v>
      </c>
      <c r="E94" s="14" t="s">
        <v>569</v>
      </c>
      <c r="F94" s="14" t="s">
        <v>28824</v>
      </c>
      <c r="G94" s="21" t="s">
        <v>28825</v>
      </c>
      <c r="H94" s="21" t="s">
        <v>28826</v>
      </c>
      <c r="I94" s="14" t="s">
        <v>88</v>
      </c>
      <c r="J94" s="14">
        <v>1</v>
      </c>
      <c r="K94" s="14">
        <v>3</v>
      </c>
      <c r="L94" s="14" t="s">
        <v>28827</v>
      </c>
      <c r="M94" s="14" t="s">
        <v>6183</v>
      </c>
      <c r="N94" s="14" t="s">
        <v>28828</v>
      </c>
      <c r="O94" s="14" t="s">
        <v>15897</v>
      </c>
      <c r="P94" s="14" t="str">
        <f>HYPERLINK("https://dexscreener.com/solana/9rLGTvxXEhhdyZtJA34pFV21oZhsi3MRho9hv54vpump", "View")</f>
        <v>View</v>
      </c>
    </row>
    <row r="95" spans="1:16" x14ac:dyDescent="0.25">
      <c r="A95" s="16" t="s">
        <v>22481</v>
      </c>
      <c r="B95" s="17">
        <v>8017639</v>
      </c>
      <c r="C95" s="17">
        <v>0</v>
      </c>
      <c r="D95" s="17" t="s">
        <v>12736</v>
      </c>
      <c r="E95" s="17" t="s">
        <v>8801</v>
      </c>
      <c r="F95" s="17" t="s">
        <v>96</v>
      </c>
      <c r="G95" s="18" t="s">
        <v>28829</v>
      </c>
      <c r="H95" s="18" t="s">
        <v>98</v>
      </c>
      <c r="I95" s="17" t="s">
        <v>28830</v>
      </c>
      <c r="J95" s="17">
        <v>1</v>
      </c>
      <c r="K95" s="17">
        <v>0</v>
      </c>
      <c r="L95" s="17" t="s">
        <v>28831</v>
      </c>
      <c r="M95" s="19" t="s">
        <v>101</v>
      </c>
      <c r="N95" s="17" t="s">
        <v>22916</v>
      </c>
      <c r="O95" s="17" t="s">
        <v>22486</v>
      </c>
      <c r="P95" s="17" t="str">
        <f>HYPERLINK("https://photon-sol.tinyastro.io/en/lp/Hp3Z6DrKELNP67cndiZEPsBnKdQfLq5TwJHaehdApump?handle=676050794bc1b1657a56b", "View")</f>
        <v>View</v>
      </c>
    </row>
    <row r="96" spans="1:16" x14ac:dyDescent="0.25">
      <c r="A96" s="13" t="s">
        <v>558</v>
      </c>
      <c r="B96" s="14">
        <v>214360</v>
      </c>
      <c r="C96" s="14">
        <v>0</v>
      </c>
      <c r="D96" s="14" t="s">
        <v>25428</v>
      </c>
      <c r="E96" s="14" t="s">
        <v>569</v>
      </c>
      <c r="F96" s="14" t="s">
        <v>96</v>
      </c>
      <c r="G96" s="18" t="s">
        <v>877</v>
      </c>
      <c r="H96" s="18" t="s">
        <v>98</v>
      </c>
      <c r="I96" s="14" t="s">
        <v>28832</v>
      </c>
      <c r="J96" s="14">
        <v>1</v>
      </c>
      <c r="K96" s="14">
        <v>0</v>
      </c>
      <c r="L96" s="14" t="s">
        <v>28833</v>
      </c>
      <c r="M96" s="19" t="s">
        <v>101</v>
      </c>
      <c r="N96" s="14" t="s">
        <v>561</v>
      </c>
      <c r="O96" s="14" t="s">
        <v>562</v>
      </c>
      <c r="P96" s="14" t="str">
        <f>HYPERLINK("https://dexscreener.com/solana/2i2269HkF5ce2i8ExJfV8gw1MEmXkVYQNzRbtXZtpump", "View")</f>
        <v>View</v>
      </c>
    </row>
    <row r="97" spans="1:16" x14ac:dyDescent="0.25">
      <c r="A97" s="16" t="s">
        <v>5323</v>
      </c>
      <c r="B97" s="17">
        <v>936834</v>
      </c>
      <c r="C97" s="17">
        <v>0</v>
      </c>
      <c r="D97" s="17" t="s">
        <v>17060</v>
      </c>
      <c r="E97" s="17" t="s">
        <v>3404</v>
      </c>
      <c r="F97" s="17" t="s">
        <v>96</v>
      </c>
      <c r="G97" s="18" t="s">
        <v>16555</v>
      </c>
      <c r="H97" s="18" t="s">
        <v>98</v>
      </c>
      <c r="I97" s="17" t="s">
        <v>28834</v>
      </c>
      <c r="J97" s="17">
        <v>1</v>
      </c>
      <c r="K97" s="17">
        <v>0</v>
      </c>
      <c r="L97" s="17" t="s">
        <v>28835</v>
      </c>
      <c r="M97" s="19" t="s">
        <v>101</v>
      </c>
      <c r="N97" s="17" t="s">
        <v>28836</v>
      </c>
      <c r="O97" s="17" t="s">
        <v>5327</v>
      </c>
      <c r="P97" s="17" t="str">
        <f>HYPERLINK("https://dexscreener.com/solana/3kq81R8jQ2njDUB5sX46WPDmamgJbNUfZf2h1DsYpump", "View")</f>
        <v>View</v>
      </c>
    </row>
    <row r="98" spans="1:16" x14ac:dyDescent="0.25">
      <c r="A98" s="13" t="s">
        <v>23920</v>
      </c>
      <c r="B98" s="14">
        <v>427380</v>
      </c>
      <c r="C98" s="14">
        <v>0</v>
      </c>
      <c r="D98" s="14" t="s">
        <v>1890</v>
      </c>
      <c r="E98" s="14" t="s">
        <v>28837</v>
      </c>
      <c r="F98" s="14" t="s">
        <v>96</v>
      </c>
      <c r="G98" s="18" t="s">
        <v>28838</v>
      </c>
      <c r="H98" s="18" t="s">
        <v>98</v>
      </c>
      <c r="I98" s="14" t="s">
        <v>28839</v>
      </c>
      <c r="J98" s="14">
        <v>1</v>
      </c>
      <c r="K98" s="14">
        <v>0</v>
      </c>
      <c r="L98" s="14" t="s">
        <v>28840</v>
      </c>
      <c r="M98" s="19" t="s">
        <v>101</v>
      </c>
      <c r="N98" s="14" t="s">
        <v>28841</v>
      </c>
      <c r="O98" s="14" t="s">
        <v>23924</v>
      </c>
      <c r="P98" s="14" t="str">
        <f>HYPERLINK("https://dexscreener.com/solana/ASNoTS4cYopuUbmDMWM4AU9xdCQnb5zPe3gBWfTUsLTE", "View")</f>
        <v>View</v>
      </c>
    </row>
    <row r="99" spans="1:16" x14ac:dyDescent="0.25">
      <c r="A99" s="16" t="s">
        <v>28842</v>
      </c>
      <c r="B99" s="17">
        <v>1687221</v>
      </c>
      <c r="C99" s="17">
        <v>0</v>
      </c>
      <c r="D99" s="17" t="s">
        <v>28843</v>
      </c>
      <c r="E99" s="17" t="s">
        <v>1457</v>
      </c>
      <c r="F99" s="17" t="s">
        <v>96</v>
      </c>
      <c r="G99" s="18" t="s">
        <v>28282</v>
      </c>
      <c r="H99" s="18" t="s">
        <v>98</v>
      </c>
      <c r="I99" s="17" t="s">
        <v>28844</v>
      </c>
      <c r="J99" s="17">
        <v>1</v>
      </c>
      <c r="K99" s="17">
        <v>0</v>
      </c>
      <c r="L99" s="17" t="s">
        <v>28845</v>
      </c>
      <c r="M99" s="19" t="s">
        <v>101</v>
      </c>
      <c r="N99" s="17" t="s">
        <v>28846</v>
      </c>
      <c r="O99" s="17" t="s">
        <v>28847</v>
      </c>
      <c r="P99" s="17" t="str">
        <f>HYPERLINK("https://dexscreener.com/solana/CRQdQmb9TDmG9FFTPEL9gqDvfyF6HxGaHwiq5eybpump", "View")</f>
        <v>View</v>
      </c>
    </row>
    <row r="100" spans="1:16" x14ac:dyDescent="0.25">
      <c r="A100" s="13" t="s">
        <v>28848</v>
      </c>
      <c r="B100" s="14">
        <v>637460</v>
      </c>
      <c r="C100" s="14">
        <v>0</v>
      </c>
      <c r="D100" s="14" t="s">
        <v>10098</v>
      </c>
      <c r="E100" s="14" t="s">
        <v>1457</v>
      </c>
      <c r="F100" s="14" t="s">
        <v>96</v>
      </c>
      <c r="G100" s="18" t="s">
        <v>28604</v>
      </c>
      <c r="H100" s="18" t="s">
        <v>98</v>
      </c>
      <c r="I100" s="14" t="s">
        <v>28849</v>
      </c>
      <c r="J100" s="14">
        <v>1</v>
      </c>
      <c r="K100" s="14">
        <v>0</v>
      </c>
      <c r="L100" s="14" t="s">
        <v>28850</v>
      </c>
      <c r="M100" s="19" t="s">
        <v>101</v>
      </c>
      <c r="N100" s="14" t="s">
        <v>28851</v>
      </c>
      <c r="O100" s="14" t="s">
        <v>28852</v>
      </c>
      <c r="P100" s="14" t="str">
        <f>HYPERLINK("https://dexscreener.com/solana/4j2gUEmfbSAacvSSd6yXo8yEzXCAUVeoXrqLVV3apump", "View")</f>
        <v>View</v>
      </c>
    </row>
    <row r="101" spans="1:16" x14ac:dyDescent="0.25">
      <c r="A101" s="16" t="s">
        <v>28853</v>
      </c>
      <c r="B101" s="17">
        <v>242996919</v>
      </c>
      <c r="C101" s="17">
        <v>0</v>
      </c>
      <c r="D101" s="17" t="s">
        <v>13803</v>
      </c>
      <c r="E101" s="17" t="s">
        <v>1457</v>
      </c>
      <c r="F101" s="17" t="s">
        <v>96</v>
      </c>
      <c r="G101" s="18" t="s">
        <v>28528</v>
      </c>
      <c r="H101" s="18" t="s">
        <v>98</v>
      </c>
      <c r="I101" s="17" t="s">
        <v>28854</v>
      </c>
      <c r="J101" s="17">
        <v>1</v>
      </c>
      <c r="K101" s="17">
        <v>0</v>
      </c>
      <c r="L101" s="17" t="s">
        <v>28855</v>
      </c>
      <c r="M101" s="19" t="s">
        <v>101</v>
      </c>
      <c r="N101" s="17" t="s">
        <v>28856</v>
      </c>
      <c r="O101" s="17" t="s">
        <v>28857</v>
      </c>
      <c r="P101" s="17" t="str">
        <f>HYPERLINK("https://dexscreener.com/solana/rizo34MUwbCBqpSTSfnEktdWB4CTByqqYh8zBxL3WAR", "View")</f>
        <v>View</v>
      </c>
    </row>
    <row r="102" spans="1:16" x14ac:dyDescent="0.25">
      <c r="A102" s="13" t="s">
        <v>6807</v>
      </c>
      <c r="B102" s="14">
        <v>96934</v>
      </c>
      <c r="C102" s="14">
        <v>0</v>
      </c>
      <c r="D102" s="14" t="s">
        <v>10098</v>
      </c>
      <c r="E102" s="14" t="s">
        <v>1457</v>
      </c>
      <c r="F102" s="14" t="s">
        <v>96</v>
      </c>
      <c r="G102" s="18" t="s">
        <v>28604</v>
      </c>
      <c r="H102" s="18" t="s">
        <v>98</v>
      </c>
      <c r="I102" s="14" t="s">
        <v>28858</v>
      </c>
      <c r="J102" s="14">
        <v>1</v>
      </c>
      <c r="K102" s="14">
        <v>0</v>
      </c>
      <c r="L102" s="14" t="s">
        <v>28859</v>
      </c>
      <c r="M102" s="19" t="s">
        <v>101</v>
      </c>
      <c r="N102" s="14" t="s">
        <v>28860</v>
      </c>
      <c r="O102" s="14" t="s">
        <v>18414</v>
      </c>
      <c r="P102" s="14" t="str">
        <f>HYPERLINK("https://dexscreener.com/solana/2kaRSuDcz1V1kqq1sDmP23Wy98jutHQQgr5fGDWRpump", "View")</f>
        <v>View</v>
      </c>
    </row>
    <row r="103" spans="1:16" x14ac:dyDescent="0.25">
      <c r="A103" s="16" t="s">
        <v>28861</v>
      </c>
      <c r="B103" s="17">
        <v>280710</v>
      </c>
      <c r="C103" s="17">
        <v>0</v>
      </c>
      <c r="D103" s="17" t="s">
        <v>8439</v>
      </c>
      <c r="E103" s="17" t="s">
        <v>1457</v>
      </c>
      <c r="F103" s="17" t="s">
        <v>96</v>
      </c>
      <c r="G103" s="18" t="s">
        <v>16272</v>
      </c>
      <c r="H103" s="18" t="s">
        <v>98</v>
      </c>
      <c r="I103" s="17" t="s">
        <v>28862</v>
      </c>
      <c r="J103" s="17">
        <v>1</v>
      </c>
      <c r="K103" s="17">
        <v>0</v>
      </c>
      <c r="L103" s="17" t="s">
        <v>28863</v>
      </c>
      <c r="M103" s="19" t="s">
        <v>101</v>
      </c>
      <c r="N103" s="17" t="s">
        <v>11541</v>
      </c>
      <c r="O103" s="17" t="s">
        <v>28864</v>
      </c>
      <c r="P103" s="17" t="str">
        <f>HYPERLINK("https://dexscreener.com/solana/FsHk9DeVV3yL45KVdSay87qLRU9Y2zr6HZRfqhhspump", "View")</f>
        <v>View</v>
      </c>
    </row>
    <row r="104" spans="1:16" x14ac:dyDescent="0.25">
      <c r="A104" s="13" t="s">
        <v>23749</v>
      </c>
      <c r="B104" s="14">
        <v>122489</v>
      </c>
      <c r="C104" s="14">
        <v>61245</v>
      </c>
      <c r="D104" s="14" t="s">
        <v>28865</v>
      </c>
      <c r="E104" s="14" t="s">
        <v>1457</v>
      </c>
      <c r="F104" s="14" t="s">
        <v>18087</v>
      </c>
      <c r="G104" s="20" t="s">
        <v>3966</v>
      </c>
      <c r="H104" s="20" t="s">
        <v>28866</v>
      </c>
      <c r="I104" s="14" t="s">
        <v>88</v>
      </c>
      <c r="J104" s="14">
        <v>1</v>
      </c>
      <c r="K104" s="14">
        <v>1</v>
      </c>
      <c r="L104" s="14" t="s">
        <v>28867</v>
      </c>
      <c r="M104" s="14" t="s">
        <v>117</v>
      </c>
      <c r="N104" s="14" t="s">
        <v>28868</v>
      </c>
      <c r="O104" s="14" t="s">
        <v>23753</v>
      </c>
      <c r="P104" s="14" t="str">
        <f>HYPERLINK("https://dexscreener.com/solana/CXfErCqD2ufoZZ7791sRetSiMkeFSH6oKAjW7ERdpump", "View")</f>
        <v>View</v>
      </c>
    </row>
    <row r="105" spans="1:16" x14ac:dyDescent="0.25">
      <c r="A105" s="16" t="s">
        <v>17393</v>
      </c>
      <c r="B105" s="17">
        <v>1058602</v>
      </c>
      <c r="C105" s="17">
        <v>0</v>
      </c>
      <c r="D105" s="17" t="s">
        <v>28869</v>
      </c>
      <c r="E105" s="17" t="s">
        <v>569</v>
      </c>
      <c r="F105" s="17" t="s">
        <v>96</v>
      </c>
      <c r="G105" s="18" t="s">
        <v>28870</v>
      </c>
      <c r="H105" s="18" t="s">
        <v>98</v>
      </c>
      <c r="I105" s="17" t="s">
        <v>28871</v>
      </c>
      <c r="J105" s="17">
        <v>1</v>
      </c>
      <c r="K105" s="17">
        <v>0</v>
      </c>
      <c r="L105" s="17" t="s">
        <v>28872</v>
      </c>
      <c r="M105" s="19" t="s">
        <v>101</v>
      </c>
      <c r="N105" s="17" t="s">
        <v>28873</v>
      </c>
      <c r="O105" s="17" t="s">
        <v>17397</v>
      </c>
      <c r="P105" s="17" t="str">
        <f>HYPERLINK("https://dexscreener.com/solana/JBSVUpKgYNHt4GLtNebQxTJmZgftTMWENQrziHtGpump", "View")</f>
        <v>View</v>
      </c>
    </row>
    <row r="106" spans="1:16" x14ac:dyDescent="0.25">
      <c r="A106" s="13" t="s">
        <v>28874</v>
      </c>
      <c r="B106" s="14">
        <v>6367317</v>
      </c>
      <c r="C106" s="14">
        <v>0</v>
      </c>
      <c r="D106" s="14" t="s">
        <v>16609</v>
      </c>
      <c r="E106" s="14" t="s">
        <v>1007</v>
      </c>
      <c r="F106" s="14" t="s">
        <v>96</v>
      </c>
      <c r="G106" s="18" t="s">
        <v>9365</v>
      </c>
      <c r="H106" s="18" t="s">
        <v>98</v>
      </c>
      <c r="I106" s="14" t="s">
        <v>28875</v>
      </c>
      <c r="J106" s="14">
        <v>1</v>
      </c>
      <c r="K106" s="14">
        <v>0</v>
      </c>
      <c r="L106" s="14" t="s">
        <v>28876</v>
      </c>
      <c r="M106" s="19" t="s">
        <v>101</v>
      </c>
      <c r="N106" s="14" t="s">
        <v>28877</v>
      </c>
      <c r="O106" s="14" t="s">
        <v>28878</v>
      </c>
      <c r="P106" s="14" t="str">
        <f>HYPERLINK("https://dexscreener.com/solana/3F4pGvzvwSJGDYUX8YqSoqD9mMSH82StzhUoxJyvpump", "View")</f>
        <v>View</v>
      </c>
    </row>
    <row r="107" spans="1:16" x14ac:dyDescent="0.25">
      <c r="A107" s="16" t="s">
        <v>28879</v>
      </c>
      <c r="B107" s="17">
        <v>7823991</v>
      </c>
      <c r="C107" s="17">
        <v>0</v>
      </c>
      <c r="D107" s="17" t="s">
        <v>28880</v>
      </c>
      <c r="E107" s="17" t="s">
        <v>7004</v>
      </c>
      <c r="F107" s="17" t="s">
        <v>96</v>
      </c>
      <c r="G107" s="18" t="s">
        <v>28881</v>
      </c>
      <c r="H107" s="18" t="s">
        <v>98</v>
      </c>
      <c r="I107" s="17" t="s">
        <v>28882</v>
      </c>
      <c r="J107" s="17">
        <v>1</v>
      </c>
      <c r="K107" s="17">
        <v>0</v>
      </c>
      <c r="L107" s="17" t="s">
        <v>28883</v>
      </c>
      <c r="M107" s="19" t="s">
        <v>101</v>
      </c>
      <c r="N107" s="17" t="s">
        <v>775</v>
      </c>
      <c r="O107" s="17" t="s">
        <v>28884</v>
      </c>
      <c r="P107" s="17" t="str">
        <f>HYPERLINK("https://photon-sol.tinyastro.io/en/lp/DRRkvzEyN41WL6CNCLamipGjs7jK6vD6AYPsiqAYpump?handle=676050794bc1b1657a56b", "View")</f>
        <v>View</v>
      </c>
    </row>
    <row r="108" spans="1:16" x14ac:dyDescent="0.25">
      <c r="A108" s="13" t="s">
        <v>11387</v>
      </c>
      <c r="B108" s="14">
        <v>185838</v>
      </c>
      <c r="C108" s="14">
        <v>0</v>
      </c>
      <c r="D108" s="14" t="s">
        <v>28885</v>
      </c>
      <c r="E108" s="14" t="s">
        <v>22338</v>
      </c>
      <c r="F108" s="14" t="s">
        <v>96</v>
      </c>
      <c r="G108" s="18" t="s">
        <v>28886</v>
      </c>
      <c r="H108" s="18" t="s">
        <v>98</v>
      </c>
      <c r="I108" s="14" t="s">
        <v>28887</v>
      </c>
      <c r="J108" s="14">
        <v>1</v>
      </c>
      <c r="K108" s="14">
        <v>0</v>
      </c>
      <c r="L108" s="14" t="s">
        <v>28888</v>
      </c>
      <c r="M108" s="19" t="s">
        <v>101</v>
      </c>
      <c r="N108" s="14" t="s">
        <v>28889</v>
      </c>
      <c r="O108" s="14" t="s">
        <v>11391</v>
      </c>
      <c r="P108" s="14" t="str">
        <f>HYPERLINK("https://dexscreener.com/solana/4B3NXEKgsT9hsadpCKNEwSXj6aDqwR7iqe5GzvgKpump", "View")</f>
        <v>View</v>
      </c>
    </row>
    <row r="109" spans="1:16" x14ac:dyDescent="0.25">
      <c r="A109" s="16" t="s">
        <v>6980</v>
      </c>
      <c r="B109" s="17">
        <v>74960</v>
      </c>
      <c r="C109" s="17">
        <v>0</v>
      </c>
      <c r="D109" s="17" t="s">
        <v>28869</v>
      </c>
      <c r="E109" s="17" t="s">
        <v>21152</v>
      </c>
      <c r="F109" s="17" t="s">
        <v>96</v>
      </c>
      <c r="G109" s="18" t="s">
        <v>28890</v>
      </c>
      <c r="H109" s="18" t="s">
        <v>98</v>
      </c>
      <c r="I109" s="17" t="s">
        <v>28891</v>
      </c>
      <c r="J109" s="17">
        <v>1</v>
      </c>
      <c r="K109" s="17">
        <v>0</v>
      </c>
      <c r="L109" s="17" t="s">
        <v>28892</v>
      </c>
      <c r="M109" s="19" t="s">
        <v>101</v>
      </c>
      <c r="N109" s="17" t="s">
        <v>28893</v>
      </c>
      <c r="O109" s="17" t="s">
        <v>6987</v>
      </c>
      <c r="P109" s="17" t="str">
        <f>HYPERLINK("https://dexscreener.com/solana/7PLFUMueEkMDc9dNoCnL5kG3aoLixML1iG5nA9ojpump", "View")</f>
        <v>View</v>
      </c>
    </row>
    <row r="110" spans="1:16" x14ac:dyDescent="0.25">
      <c r="A110" s="13" t="s">
        <v>234</v>
      </c>
      <c r="B110" s="14">
        <v>44741</v>
      </c>
      <c r="C110" s="14">
        <v>0</v>
      </c>
      <c r="D110" s="14" t="s">
        <v>10098</v>
      </c>
      <c r="E110" s="14" t="s">
        <v>28894</v>
      </c>
      <c r="F110" s="14" t="s">
        <v>96</v>
      </c>
      <c r="G110" s="18" t="s">
        <v>28895</v>
      </c>
      <c r="H110" s="18" t="s">
        <v>98</v>
      </c>
      <c r="I110" s="14" t="s">
        <v>28896</v>
      </c>
      <c r="J110" s="14">
        <v>1</v>
      </c>
      <c r="K110" s="14">
        <v>0</v>
      </c>
      <c r="L110" s="14" t="s">
        <v>28897</v>
      </c>
      <c r="M110" s="19" t="s">
        <v>101</v>
      </c>
      <c r="N110" s="14" t="s">
        <v>28898</v>
      </c>
      <c r="O110" s="14" t="s">
        <v>242</v>
      </c>
      <c r="P110" s="14" t="str">
        <f>HYPERLINK("https://dexscreener.com/solana/GVwpWU5PtJFHS1mH35sHmsRN1XWUwRV3Qo94h5Lepump", "View")</f>
        <v>View</v>
      </c>
    </row>
    <row r="111" spans="1:16" x14ac:dyDescent="0.25">
      <c r="A111" s="16" t="s">
        <v>17731</v>
      </c>
      <c r="B111" s="17">
        <v>135984</v>
      </c>
      <c r="C111" s="17">
        <v>0</v>
      </c>
      <c r="D111" s="17" t="s">
        <v>28899</v>
      </c>
      <c r="E111" s="17" t="s">
        <v>4309</v>
      </c>
      <c r="F111" s="17" t="s">
        <v>96</v>
      </c>
      <c r="G111" s="18" t="s">
        <v>28900</v>
      </c>
      <c r="H111" s="18" t="s">
        <v>98</v>
      </c>
      <c r="I111" s="17" t="s">
        <v>28901</v>
      </c>
      <c r="J111" s="17">
        <v>1</v>
      </c>
      <c r="K111" s="17">
        <v>0</v>
      </c>
      <c r="L111" s="17" t="s">
        <v>28902</v>
      </c>
      <c r="M111" s="19" t="s">
        <v>101</v>
      </c>
      <c r="N111" s="17" t="s">
        <v>28903</v>
      </c>
      <c r="O111" s="17" t="s">
        <v>28904</v>
      </c>
      <c r="P111" s="17" t="str">
        <f>HYPERLINK("https://dexscreener.com/solana/2FKMWYwr17j7AHexcgcQbn5gwZTsYR86qBPrU1BHpump", "View")</f>
        <v>View</v>
      </c>
    </row>
    <row r="112" spans="1:16" x14ac:dyDescent="0.25">
      <c r="A112" s="13" t="s">
        <v>17107</v>
      </c>
      <c r="B112" s="14">
        <v>78688</v>
      </c>
      <c r="C112" s="14">
        <v>39344</v>
      </c>
      <c r="D112" s="14" t="s">
        <v>28905</v>
      </c>
      <c r="E112" s="14" t="s">
        <v>569</v>
      </c>
      <c r="F112" s="14" t="s">
        <v>28906</v>
      </c>
      <c r="G112" s="20" t="s">
        <v>8279</v>
      </c>
      <c r="H112" s="20" t="s">
        <v>28907</v>
      </c>
      <c r="I112" s="14" t="s">
        <v>88</v>
      </c>
      <c r="J112" s="14">
        <v>1</v>
      </c>
      <c r="K112" s="14">
        <v>1</v>
      </c>
      <c r="L112" s="14" t="s">
        <v>28908</v>
      </c>
      <c r="M112" s="14" t="s">
        <v>745</v>
      </c>
      <c r="N112" s="14" t="s">
        <v>28909</v>
      </c>
      <c r="O112" s="14" t="s">
        <v>17112</v>
      </c>
      <c r="P112" s="14" t="str">
        <f>HYPERLINK("https://dexscreener.com/solana/A17gzfib2UaxteKXzMK37G4AtVqYKRqRLT54aDjYpump", "View")</f>
        <v>View</v>
      </c>
    </row>
    <row r="113" spans="1:16" x14ac:dyDescent="0.25">
      <c r="A113" s="16" t="s">
        <v>5578</v>
      </c>
      <c r="B113" s="17">
        <v>841230</v>
      </c>
      <c r="C113" s="17">
        <v>0</v>
      </c>
      <c r="D113" s="17" t="s">
        <v>8639</v>
      </c>
      <c r="E113" s="17" t="s">
        <v>569</v>
      </c>
      <c r="F113" s="17" t="s">
        <v>96</v>
      </c>
      <c r="G113" s="18" t="s">
        <v>570</v>
      </c>
      <c r="H113" s="18" t="s">
        <v>98</v>
      </c>
      <c r="I113" s="17" t="s">
        <v>28910</v>
      </c>
      <c r="J113" s="17">
        <v>1</v>
      </c>
      <c r="K113" s="17">
        <v>0</v>
      </c>
      <c r="L113" s="17" t="s">
        <v>28911</v>
      </c>
      <c r="M113" s="19" t="s">
        <v>101</v>
      </c>
      <c r="N113" s="17" t="s">
        <v>28912</v>
      </c>
      <c r="O113" s="17" t="s">
        <v>28913</v>
      </c>
      <c r="P113" s="17" t="str">
        <f>HYPERLINK("https://dexscreener.com/solana/9gm4FUx84rch5s96hV27NfuXXfRyUeWCt6wFbjLDpump", "View")</f>
        <v>View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CC0D-8657-4CE6-A208-EB9105DAF428}">
  <dimension ref="A1:P9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HYPERLINK("https://gmgn.ai/sol/address/D9hsi4iAu2fzrsiJ5VpdHgfAUnnkwzwLQo5jMrXQF1wt", "GMGN")</f>
        <v>GMGN</v>
      </c>
    </row>
    <row r="2" spans="1:14" x14ac:dyDescent="0.25">
      <c r="A2" s="3" t="s">
        <v>28914</v>
      </c>
      <c r="B2" s="3" t="s">
        <v>28915</v>
      </c>
      <c r="C2" s="3" t="s">
        <v>4714</v>
      </c>
      <c r="D2" s="3" t="s">
        <v>28916</v>
      </c>
      <c r="E2" s="3" t="s">
        <v>28917</v>
      </c>
      <c r="F2" s="3" t="s">
        <v>18</v>
      </c>
      <c r="G2" s="3" t="s">
        <v>28918</v>
      </c>
      <c r="H2" s="3">
        <v>77</v>
      </c>
      <c r="I2" s="3">
        <v>9</v>
      </c>
      <c r="J2" s="3" t="s">
        <v>4420</v>
      </c>
      <c r="K2" s="3" t="s">
        <v>20</v>
      </c>
      <c r="L2" s="3">
        <v>29</v>
      </c>
      <c r="M2" s="3">
        <v>104</v>
      </c>
      <c r="N2" s="3" t="str">
        <f>HYPERLINK("https://solscan.io/account/D9hsi4iAu2fzrsiJ5VpdHgfAUnnkwzwLQo5jMrXQF1wt", "Solscan")</f>
        <v>Solscan</v>
      </c>
    </row>
    <row r="3" spans="1:14" x14ac:dyDescent="0.25">
      <c r="A3" s="1" t="s">
        <v>21</v>
      </c>
      <c r="B3" s="4" t="s">
        <v>28919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HYPERLINK("https://birdeye.so/profile/D9hsi4iAu2fzrsiJ5VpdHgfAUnnkwzwLQo5jMrXQF1wt", "Birdeye")</f>
        <v>Birdeye</v>
      </c>
    </row>
    <row r="4" spans="1:14" x14ac:dyDescent="0.25">
      <c r="A4" s="1" t="s">
        <v>25</v>
      </c>
      <c r="B4" s="3" t="s">
        <v>20030</v>
      </c>
      <c r="C4" s="3"/>
      <c r="D4" s="3" t="s">
        <v>1775</v>
      </c>
      <c r="E4" s="3" t="s">
        <v>28920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28921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9</v>
      </c>
      <c r="C10" s="1">
        <v>7</v>
      </c>
      <c r="D10" s="1">
        <v>0</v>
      </c>
      <c r="E10" s="1">
        <v>5</v>
      </c>
      <c r="F10" s="1">
        <v>13</v>
      </c>
      <c r="G10" s="1">
        <v>43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15655</v>
      </c>
      <c r="C11" s="1" t="s">
        <v>9489</v>
      </c>
      <c r="D11" s="1" t="s">
        <v>1779</v>
      </c>
      <c r="E11" s="1" t="s">
        <v>16079</v>
      </c>
      <c r="F11" s="1" t="s">
        <v>28922</v>
      </c>
      <c r="G11" s="1" t="s">
        <v>28923</v>
      </c>
      <c r="H11" s="3"/>
      <c r="I11" s="3" t="s">
        <v>50</v>
      </c>
      <c r="J11" s="3" t="s">
        <v>15564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23177</v>
      </c>
      <c r="C12" s="1" t="s">
        <v>28924</v>
      </c>
      <c r="D12" s="1" t="s">
        <v>1786</v>
      </c>
      <c r="E12" s="1" t="s">
        <v>4129</v>
      </c>
      <c r="F12" s="1" t="s">
        <v>28925</v>
      </c>
      <c r="G12" s="1" t="s">
        <v>28926</v>
      </c>
      <c r="H12" s="3"/>
      <c r="I12" s="3" t="s">
        <v>59</v>
      </c>
      <c r="J12" s="3" t="s">
        <v>1785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4368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11197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28927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82</v>
      </c>
      <c r="B20" s="14">
        <v>75762</v>
      </c>
      <c r="C20" s="14">
        <v>0</v>
      </c>
      <c r="D20" s="14" t="s">
        <v>15708</v>
      </c>
      <c r="E20" s="14" t="s">
        <v>10326</v>
      </c>
      <c r="F20" s="14" t="s">
        <v>96</v>
      </c>
      <c r="G20" s="18" t="s">
        <v>28928</v>
      </c>
      <c r="H20" s="18" t="s">
        <v>98</v>
      </c>
      <c r="I20" s="14" t="s">
        <v>28929</v>
      </c>
      <c r="J20" s="14">
        <v>1</v>
      </c>
      <c r="K20" s="14">
        <v>0</v>
      </c>
      <c r="L20" s="14" t="s">
        <v>28930</v>
      </c>
      <c r="M20" s="19" t="s">
        <v>101</v>
      </c>
      <c r="N20" s="14" t="s">
        <v>25895</v>
      </c>
      <c r="O20" s="14" t="s">
        <v>92</v>
      </c>
      <c r="P20" s="14" t="str">
        <f>HYPERLINK("https://dexscreener.com/solana/Db7ZUaWTThwZy7bVhjn5Dda8D3fbbAhihcxPV4m9pump", "View")</f>
        <v>View</v>
      </c>
    </row>
    <row r="21" spans="1:16" x14ac:dyDescent="0.25">
      <c r="A21" s="16" t="s">
        <v>19817</v>
      </c>
      <c r="B21" s="17">
        <v>45854217</v>
      </c>
      <c r="C21" s="17">
        <v>45850000</v>
      </c>
      <c r="D21" s="17" t="s">
        <v>8478</v>
      </c>
      <c r="E21" s="17" t="s">
        <v>6248</v>
      </c>
      <c r="F21" s="17" t="s">
        <v>5919</v>
      </c>
      <c r="G21" s="22" t="s">
        <v>5248</v>
      </c>
      <c r="H21" s="22" t="s">
        <v>28931</v>
      </c>
      <c r="I21" s="17" t="s">
        <v>88</v>
      </c>
      <c r="J21" s="17">
        <v>1</v>
      </c>
      <c r="K21" s="17">
        <v>4</v>
      </c>
      <c r="L21" s="17" t="s">
        <v>28932</v>
      </c>
      <c r="M21" s="17" t="s">
        <v>5445</v>
      </c>
      <c r="N21" s="17" t="s">
        <v>17870</v>
      </c>
      <c r="O21" s="17" t="s">
        <v>28933</v>
      </c>
      <c r="P21" s="17" t="str">
        <f>HYPERLINK("https://photon-sol.tinyastro.io/en/lp/3wbfVFv2xAEdNi3yR7AqkznfHw3d1cmL4uc2wRSXbiPH?handle=676050794bc1b1657a56b", "View")</f>
        <v>View</v>
      </c>
    </row>
    <row r="22" spans="1:16" x14ac:dyDescent="0.25">
      <c r="A22" s="13" t="s">
        <v>27646</v>
      </c>
      <c r="B22" s="14">
        <v>2629912</v>
      </c>
      <c r="C22" s="14">
        <v>0</v>
      </c>
      <c r="D22" s="14" t="s">
        <v>4347</v>
      </c>
      <c r="E22" s="14" t="s">
        <v>8485</v>
      </c>
      <c r="F22" s="14" t="s">
        <v>96</v>
      </c>
      <c r="G22" s="18" t="s">
        <v>16427</v>
      </c>
      <c r="H22" s="18" t="s">
        <v>98</v>
      </c>
      <c r="I22" s="14" t="s">
        <v>28934</v>
      </c>
      <c r="J22" s="14">
        <v>1</v>
      </c>
      <c r="K22" s="14">
        <v>0</v>
      </c>
      <c r="L22" s="14" t="s">
        <v>28935</v>
      </c>
      <c r="M22" s="19" t="s">
        <v>101</v>
      </c>
      <c r="N22" s="14" t="s">
        <v>28936</v>
      </c>
      <c r="O22" s="14" t="s">
        <v>27652</v>
      </c>
      <c r="P22" s="14" t="str">
        <f>HYPERLINK("https://photon-sol.tinyastro.io/en/lp/AiCw26DPkAVmFNecgBzCM7sejz3CHidytKuAcaGrpump?handle=676050794bc1b1657a56b", "View")</f>
        <v>View</v>
      </c>
    </row>
    <row r="23" spans="1:16" x14ac:dyDescent="0.25">
      <c r="A23" s="16" t="s">
        <v>28937</v>
      </c>
      <c r="B23" s="17">
        <v>7769509</v>
      </c>
      <c r="C23" s="17">
        <v>7769509</v>
      </c>
      <c r="D23" s="17" t="s">
        <v>17978</v>
      </c>
      <c r="E23" s="17" t="s">
        <v>8485</v>
      </c>
      <c r="F23" s="17" t="s">
        <v>18490</v>
      </c>
      <c r="G23" s="15" t="s">
        <v>28938</v>
      </c>
      <c r="H23" s="15" t="s">
        <v>28939</v>
      </c>
      <c r="I23" s="17" t="s">
        <v>88</v>
      </c>
      <c r="J23" s="17">
        <v>1</v>
      </c>
      <c r="K23" s="17">
        <v>1</v>
      </c>
      <c r="L23" s="17" t="s">
        <v>28940</v>
      </c>
      <c r="M23" s="17" t="s">
        <v>937</v>
      </c>
      <c r="N23" s="17" t="s">
        <v>2069</v>
      </c>
      <c r="O23" s="17" t="s">
        <v>28941</v>
      </c>
      <c r="P23" s="17" t="str">
        <f>HYPERLINK("https://photon-sol.tinyastro.io/en/lp/DRWrn9Np2FRWfBqedqVXDT3YhYv3D2TxagjYkRPspump?handle=676050794bc1b1657a56b", "View")</f>
        <v>View</v>
      </c>
    </row>
    <row r="24" spans="1:16" x14ac:dyDescent="0.25">
      <c r="A24" s="13" t="s">
        <v>24579</v>
      </c>
      <c r="B24" s="14">
        <v>15834847</v>
      </c>
      <c r="C24" s="14">
        <v>0</v>
      </c>
      <c r="D24" s="14" t="s">
        <v>883</v>
      </c>
      <c r="E24" s="14" t="s">
        <v>8485</v>
      </c>
      <c r="F24" s="14" t="s">
        <v>96</v>
      </c>
      <c r="G24" s="18" t="s">
        <v>13816</v>
      </c>
      <c r="H24" s="18" t="s">
        <v>98</v>
      </c>
      <c r="I24" s="14" t="s">
        <v>28942</v>
      </c>
      <c r="J24" s="14">
        <v>1</v>
      </c>
      <c r="K24" s="14">
        <v>0</v>
      </c>
      <c r="L24" s="14" t="s">
        <v>28943</v>
      </c>
      <c r="M24" s="19" t="s">
        <v>101</v>
      </c>
      <c r="N24" s="14" t="s">
        <v>507</v>
      </c>
      <c r="O24" s="14" t="s">
        <v>28944</v>
      </c>
      <c r="P24" s="14" t="str">
        <f>HYPERLINK("https://photon-sol.tinyastro.io/en/lp/Ca5Xr3db7j6rsBVNPGvdGzG5A6K7Ar8TLWgjcEG3ZMPS?handle=676050794bc1b1657a56b", "View")</f>
        <v>View</v>
      </c>
    </row>
    <row r="25" spans="1:16" x14ac:dyDescent="0.25">
      <c r="A25" s="16" t="s">
        <v>12145</v>
      </c>
      <c r="B25" s="17">
        <v>733809</v>
      </c>
      <c r="C25" s="17">
        <v>0</v>
      </c>
      <c r="D25" s="17" t="s">
        <v>15855</v>
      </c>
      <c r="E25" s="17" t="s">
        <v>2200</v>
      </c>
      <c r="F25" s="17" t="s">
        <v>96</v>
      </c>
      <c r="G25" s="18" t="s">
        <v>16753</v>
      </c>
      <c r="H25" s="18" t="s">
        <v>98</v>
      </c>
      <c r="I25" s="17" t="s">
        <v>28945</v>
      </c>
      <c r="J25" s="17">
        <v>1</v>
      </c>
      <c r="K25" s="17">
        <v>0</v>
      </c>
      <c r="L25" s="17" t="s">
        <v>28946</v>
      </c>
      <c r="M25" s="19" t="s">
        <v>101</v>
      </c>
      <c r="N25" s="17" t="s">
        <v>28947</v>
      </c>
      <c r="O25" s="17" t="s">
        <v>28948</v>
      </c>
      <c r="P25" s="17" t="str">
        <f>HYPERLINK("https://dexscreener.com/solana/DBNLn6C32cMmbh8ABcioWgv3ninciwUyfjgL1wyCpSxG", "View")</f>
        <v>View</v>
      </c>
    </row>
    <row r="26" spans="1:16" x14ac:dyDescent="0.25">
      <c r="A26" s="13" t="s">
        <v>16447</v>
      </c>
      <c r="B26" s="14">
        <v>7338888</v>
      </c>
      <c r="C26" s="14">
        <v>7338888</v>
      </c>
      <c r="D26" s="14" t="s">
        <v>16196</v>
      </c>
      <c r="E26" s="14" t="s">
        <v>4325</v>
      </c>
      <c r="F26" s="14" t="s">
        <v>28949</v>
      </c>
      <c r="G26" s="21" t="s">
        <v>28950</v>
      </c>
      <c r="H26" s="21" t="s">
        <v>28951</v>
      </c>
      <c r="I26" s="14" t="s">
        <v>88</v>
      </c>
      <c r="J26" s="14">
        <v>1</v>
      </c>
      <c r="K26" s="14">
        <v>3</v>
      </c>
      <c r="L26" s="14" t="s">
        <v>28952</v>
      </c>
      <c r="M26" s="14" t="s">
        <v>538</v>
      </c>
      <c r="N26" s="14" t="s">
        <v>28953</v>
      </c>
      <c r="O26" s="14" t="s">
        <v>28954</v>
      </c>
      <c r="P26" s="14" t="str">
        <f>HYPERLINK("https://photon-sol.tinyastro.io/en/lp/65f1VwPxncLCWBUSwvB1PM4CFaYRj4wvPWjH2uuipump?handle=676050794bc1b1657a56b", "View")</f>
        <v>View</v>
      </c>
    </row>
    <row r="27" spans="1:16" x14ac:dyDescent="0.25">
      <c r="A27" s="16" t="s">
        <v>15136</v>
      </c>
      <c r="B27" s="17">
        <v>2727925</v>
      </c>
      <c r="C27" s="17">
        <v>2727925</v>
      </c>
      <c r="D27" s="17" t="s">
        <v>4324</v>
      </c>
      <c r="E27" s="17" t="s">
        <v>13155</v>
      </c>
      <c r="F27" s="17" t="s">
        <v>4459</v>
      </c>
      <c r="G27" s="15" t="s">
        <v>13342</v>
      </c>
      <c r="H27" s="15" t="s">
        <v>28955</v>
      </c>
      <c r="I27" s="17" t="s">
        <v>88</v>
      </c>
      <c r="J27" s="17">
        <v>1</v>
      </c>
      <c r="K27" s="17">
        <v>1</v>
      </c>
      <c r="L27" s="17" t="s">
        <v>28956</v>
      </c>
      <c r="M27" s="17" t="s">
        <v>5604</v>
      </c>
      <c r="N27" s="17" t="s">
        <v>507</v>
      </c>
      <c r="O27" s="17" t="s">
        <v>28957</v>
      </c>
      <c r="P27" s="17" t="str">
        <f>HYPERLINK("https://photon-sol.tinyastro.io/en/lp/2RU3yGJoB1P14n7fSXzmw16AH4ffLk81KsUkvZj4pump?handle=676050794bc1b1657a56b", "View")</f>
        <v>View</v>
      </c>
    </row>
    <row r="28" spans="1:16" x14ac:dyDescent="0.25">
      <c r="A28" s="13" t="s">
        <v>28958</v>
      </c>
      <c r="B28" s="14">
        <v>5070480</v>
      </c>
      <c r="C28" s="14">
        <v>7818299</v>
      </c>
      <c r="D28" s="14" t="s">
        <v>21976</v>
      </c>
      <c r="E28" s="14" t="s">
        <v>2546</v>
      </c>
      <c r="F28" s="14" t="s">
        <v>11675</v>
      </c>
      <c r="G28" s="15" t="s">
        <v>28959</v>
      </c>
      <c r="H28" s="15" t="s">
        <v>28960</v>
      </c>
      <c r="I28" s="14" t="s">
        <v>88</v>
      </c>
      <c r="J28" s="14">
        <v>1</v>
      </c>
      <c r="K28" s="14">
        <v>1</v>
      </c>
      <c r="L28" s="14" t="s">
        <v>28961</v>
      </c>
      <c r="M28" s="14" t="s">
        <v>699</v>
      </c>
      <c r="N28" s="14" t="s">
        <v>4534</v>
      </c>
      <c r="O28" s="14" t="s">
        <v>28962</v>
      </c>
      <c r="P28" s="14" t="str">
        <f>HYPERLINK("https://dexscreener.com/solana/BMPo3jjLgAvXNeq1eVcXfnpBKstEPF4HLqqCuN71pump", "View")</f>
        <v>View</v>
      </c>
    </row>
    <row r="29" spans="1:16" x14ac:dyDescent="0.25">
      <c r="A29" s="16" t="s">
        <v>28963</v>
      </c>
      <c r="B29" s="17">
        <v>4940637</v>
      </c>
      <c r="C29" s="17">
        <v>4940637</v>
      </c>
      <c r="D29" s="17" t="s">
        <v>23094</v>
      </c>
      <c r="E29" s="17" t="s">
        <v>4325</v>
      </c>
      <c r="F29" s="17" t="s">
        <v>1868</v>
      </c>
      <c r="G29" s="20" t="s">
        <v>3611</v>
      </c>
      <c r="H29" s="20" t="s">
        <v>28964</v>
      </c>
      <c r="I29" s="17" t="s">
        <v>88</v>
      </c>
      <c r="J29" s="17">
        <v>1</v>
      </c>
      <c r="K29" s="17">
        <v>2</v>
      </c>
      <c r="L29" s="17" t="s">
        <v>28965</v>
      </c>
      <c r="M29" s="17" t="s">
        <v>4413</v>
      </c>
      <c r="N29" s="17" t="s">
        <v>28966</v>
      </c>
      <c r="O29" s="17" t="s">
        <v>28967</v>
      </c>
      <c r="P29" s="17" t="str">
        <f>HYPERLINK("https://photon-sol.tinyastro.io/en/lp/EvK8cwoFzwYxM1u86uK8rRfScZAcKBkdhK36pQiGgBfe?handle=676050794bc1b1657a56b", "View")</f>
        <v>View</v>
      </c>
    </row>
    <row r="30" spans="1:16" x14ac:dyDescent="0.25">
      <c r="A30" s="13" t="s">
        <v>28968</v>
      </c>
      <c r="B30" s="14">
        <v>15284349</v>
      </c>
      <c r="C30" s="14">
        <v>15284349</v>
      </c>
      <c r="D30" s="14" t="s">
        <v>4301</v>
      </c>
      <c r="E30" s="14" t="s">
        <v>4667</v>
      </c>
      <c r="F30" s="14" t="s">
        <v>2220</v>
      </c>
      <c r="G30" s="21" t="s">
        <v>27014</v>
      </c>
      <c r="H30" s="21" t="s">
        <v>28969</v>
      </c>
      <c r="I30" s="14" t="s">
        <v>88</v>
      </c>
      <c r="J30" s="14">
        <v>1</v>
      </c>
      <c r="K30" s="14">
        <v>1</v>
      </c>
      <c r="L30" s="14" t="s">
        <v>28970</v>
      </c>
      <c r="M30" s="14" t="s">
        <v>356</v>
      </c>
      <c r="N30" s="14" t="s">
        <v>17870</v>
      </c>
      <c r="O30" s="14" t="s">
        <v>28971</v>
      </c>
      <c r="P30" s="14" t="str">
        <f>HYPERLINK("https://photon-sol.tinyastro.io/en/lp/3KwJhAzhy4GhXpJH8X5CgdXsBZE2uXtsCtzX3kcjpump?handle=676050794bc1b1657a56b", "View")</f>
        <v>View</v>
      </c>
    </row>
    <row r="31" spans="1:16" x14ac:dyDescent="0.25">
      <c r="A31" s="16" t="s">
        <v>28972</v>
      </c>
      <c r="B31" s="17">
        <v>13318565</v>
      </c>
      <c r="C31" s="17">
        <v>13318565</v>
      </c>
      <c r="D31" s="17" t="s">
        <v>28973</v>
      </c>
      <c r="E31" s="17" t="s">
        <v>4667</v>
      </c>
      <c r="F31" s="17" t="s">
        <v>3985</v>
      </c>
      <c r="G31" s="21" t="s">
        <v>8485</v>
      </c>
      <c r="H31" s="21" t="s">
        <v>28974</v>
      </c>
      <c r="I31" s="17" t="s">
        <v>88</v>
      </c>
      <c r="J31" s="17">
        <v>1</v>
      </c>
      <c r="K31" s="17">
        <v>1</v>
      </c>
      <c r="L31" s="17" t="s">
        <v>28975</v>
      </c>
      <c r="M31" s="17" t="s">
        <v>356</v>
      </c>
      <c r="N31" s="17" t="s">
        <v>507</v>
      </c>
      <c r="O31" s="17" t="s">
        <v>28976</v>
      </c>
      <c r="P31" s="17" t="str">
        <f>HYPERLINK("https://photon-sol.tinyastro.io/en/lp/FiuGcgwYWrsCgX77uUNs5GhGRtzX5g81Bf5CXgDtpump?handle=676050794bc1b1657a56b", "View")</f>
        <v>View</v>
      </c>
    </row>
    <row r="32" spans="1:16" x14ac:dyDescent="0.25">
      <c r="A32" s="13" t="s">
        <v>28977</v>
      </c>
      <c r="B32" s="14">
        <v>28201852</v>
      </c>
      <c r="C32" s="14">
        <v>28201852</v>
      </c>
      <c r="D32" s="14" t="s">
        <v>4324</v>
      </c>
      <c r="E32" s="14" t="s">
        <v>4667</v>
      </c>
      <c r="F32" s="14" t="s">
        <v>18685</v>
      </c>
      <c r="G32" s="21" t="s">
        <v>22352</v>
      </c>
      <c r="H32" s="21" t="s">
        <v>28978</v>
      </c>
      <c r="I32" s="14" t="s">
        <v>88</v>
      </c>
      <c r="J32" s="14">
        <v>1</v>
      </c>
      <c r="K32" s="14">
        <v>1</v>
      </c>
      <c r="L32" s="14" t="s">
        <v>28979</v>
      </c>
      <c r="M32" s="14" t="s">
        <v>699</v>
      </c>
      <c r="N32" s="14" t="s">
        <v>17870</v>
      </c>
      <c r="O32" s="14" t="s">
        <v>28980</v>
      </c>
      <c r="P32" s="14" t="str">
        <f>HYPERLINK("https://photon-sol.tinyastro.io/en/lp/A3nKqbp48QYbMcaTUiNZw5vWLB8jK8WWnMZCDMm6pump?handle=676050794bc1b1657a56b", "View")</f>
        <v>View</v>
      </c>
    </row>
    <row r="33" spans="1:16" x14ac:dyDescent="0.25">
      <c r="A33" s="16" t="s">
        <v>28981</v>
      </c>
      <c r="B33" s="17">
        <v>9644039</v>
      </c>
      <c r="C33" s="17">
        <v>9644038</v>
      </c>
      <c r="D33" s="17" t="s">
        <v>21976</v>
      </c>
      <c r="E33" s="17" t="s">
        <v>4667</v>
      </c>
      <c r="F33" s="17" t="s">
        <v>6991</v>
      </c>
      <c r="G33" s="21" t="s">
        <v>26835</v>
      </c>
      <c r="H33" s="21" t="s">
        <v>28982</v>
      </c>
      <c r="I33" s="17" t="s">
        <v>88</v>
      </c>
      <c r="J33" s="17">
        <v>1</v>
      </c>
      <c r="K33" s="17">
        <v>1</v>
      </c>
      <c r="L33" s="17" t="s">
        <v>28983</v>
      </c>
      <c r="M33" s="17" t="s">
        <v>9948</v>
      </c>
      <c r="N33" s="17" t="s">
        <v>28984</v>
      </c>
      <c r="O33" s="17" t="s">
        <v>28985</v>
      </c>
      <c r="P33" s="17" t="str">
        <f>HYPERLINK("https://photon-sol.tinyastro.io/en/lp/6TvpcaTfD4KdSuT2hTQGdoeznq5rq77dNKXieWYapump?handle=676050794bc1b1657a56b", "View")</f>
        <v>View</v>
      </c>
    </row>
    <row r="34" spans="1:16" x14ac:dyDescent="0.25">
      <c r="A34" s="13" t="s">
        <v>28986</v>
      </c>
      <c r="B34" s="14">
        <v>38644215</v>
      </c>
      <c r="C34" s="14">
        <v>38644214</v>
      </c>
      <c r="D34" s="14" t="s">
        <v>28987</v>
      </c>
      <c r="E34" s="14" t="s">
        <v>12202</v>
      </c>
      <c r="F34" s="14" t="s">
        <v>8564</v>
      </c>
      <c r="G34" s="21" t="s">
        <v>2920</v>
      </c>
      <c r="H34" s="21" t="s">
        <v>28988</v>
      </c>
      <c r="I34" s="14" t="s">
        <v>88</v>
      </c>
      <c r="J34" s="14">
        <v>3</v>
      </c>
      <c r="K34" s="14">
        <v>1</v>
      </c>
      <c r="L34" s="14" t="s">
        <v>28989</v>
      </c>
      <c r="M34" s="14" t="s">
        <v>4413</v>
      </c>
      <c r="N34" s="14" t="s">
        <v>17870</v>
      </c>
      <c r="O34" s="14" t="s">
        <v>28990</v>
      </c>
      <c r="P34" s="14" t="str">
        <f>HYPERLINK("https://photon-sol.tinyastro.io/en/lp/BUxoSWur5z99qYGMZxGKdgysyZqUBiru8SBiWQAJpump?handle=676050794bc1b1657a56b", "View")</f>
        <v>View</v>
      </c>
    </row>
    <row r="35" spans="1:16" x14ac:dyDescent="0.25">
      <c r="A35" s="16" t="s">
        <v>28991</v>
      </c>
      <c r="B35" s="17">
        <v>47572696</v>
      </c>
      <c r="C35" s="17">
        <v>47572695</v>
      </c>
      <c r="D35" s="17" t="s">
        <v>4301</v>
      </c>
      <c r="E35" s="17" t="s">
        <v>12237</v>
      </c>
      <c r="F35" s="17" t="s">
        <v>28992</v>
      </c>
      <c r="G35" s="21" t="s">
        <v>28993</v>
      </c>
      <c r="H35" s="21" t="s">
        <v>28994</v>
      </c>
      <c r="I35" s="17" t="s">
        <v>88</v>
      </c>
      <c r="J35" s="17">
        <v>1</v>
      </c>
      <c r="K35" s="17">
        <v>1</v>
      </c>
      <c r="L35" s="17" t="s">
        <v>28995</v>
      </c>
      <c r="M35" s="17" t="s">
        <v>356</v>
      </c>
      <c r="N35" s="17" t="s">
        <v>17870</v>
      </c>
      <c r="O35" s="17" t="s">
        <v>28996</v>
      </c>
      <c r="P35" s="17" t="str">
        <f>HYPERLINK("https://photon-sol.tinyastro.io/en/lp/HM37ZXZw5GNxXa6tHfbWfXsoqo41Gg5iBdfefP68pump?handle=676050794bc1b1657a56b", "View")</f>
        <v>View</v>
      </c>
    </row>
    <row r="36" spans="1:16" x14ac:dyDescent="0.25">
      <c r="A36" s="13" t="s">
        <v>28997</v>
      </c>
      <c r="B36" s="14">
        <v>7637095</v>
      </c>
      <c r="C36" s="14">
        <v>7637094</v>
      </c>
      <c r="D36" s="14" t="s">
        <v>17949</v>
      </c>
      <c r="E36" s="14" t="s">
        <v>3350</v>
      </c>
      <c r="F36" s="14" t="s">
        <v>3965</v>
      </c>
      <c r="G36" s="20" t="s">
        <v>1945</v>
      </c>
      <c r="H36" s="20" t="s">
        <v>28998</v>
      </c>
      <c r="I36" s="14" t="s">
        <v>88</v>
      </c>
      <c r="J36" s="14">
        <v>1</v>
      </c>
      <c r="K36" s="14">
        <v>1</v>
      </c>
      <c r="L36" s="14" t="s">
        <v>28999</v>
      </c>
      <c r="M36" s="14" t="s">
        <v>602</v>
      </c>
      <c r="N36" s="14" t="s">
        <v>3115</v>
      </c>
      <c r="O36" s="14" t="s">
        <v>29000</v>
      </c>
      <c r="P36" s="14" t="str">
        <f>HYPERLINK("https://photon-sol.tinyastro.io/en/lp/ByExbdoXfo2tTVrp4oqwkutKoy9A2g6BNGhJYMU7pump?handle=676050794bc1b1657a56b", "View")</f>
        <v>View</v>
      </c>
    </row>
    <row r="37" spans="1:16" x14ac:dyDescent="0.25">
      <c r="A37" s="16" t="s">
        <v>23224</v>
      </c>
      <c r="B37" s="17">
        <v>15026522</v>
      </c>
      <c r="C37" s="17">
        <v>15026521</v>
      </c>
      <c r="D37" s="17" t="s">
        <v>20684</v>
      </c>
      <c r="E37" s="17" t="s">
        <v>4325</v>
      </c>
      <c r="F37" s="17" t="s">
        <v>5983</v>
      </c>
      <c r="G37" s="20" t="s">
        <v>24494</v>
      </c>
      <c r="H37" s="20" t="s">
        <v>29001</v>
      </c>
      <c r="I37" s="17" t="s">
        <v>88</v>
      </c>
      <c r="J37" s="17">
        <v>1</v>
      </c>
      <c r="K37" s="17">
        <v>2</v>
      </c>
      <c r="L37" s="17" t="s">
        <v>29002</v>
      </c>
      <c r="M37" s="17" t="s">
        <v>680</v>
      </c>
      <c r="N37" s="17" t="s">
        <v>29003</v>
      </c>
      <c r="O37" s="17" t="s">
        <v>29004</v>
      </c>
      <c r="P37" s="17" t="str">
        <f>HYPERLINK("https://photon-sol.tinyastro.io/en/lp/FqaUMHcmuSAEp6uR5Ny89HvmiWmF4fMBYFeqBP8Cpump?handle=676050794bc1b1657a56b", "View")</f>
        <v>View</v>
      </c>
    </row>
    <row r="38" spans="1:16" x14ac:dyDescent="0.25">
      <c r="A38" s="13" t="s">
        <v>29005</v>
      </c>
      <c r="B38" s="14">
        <v>1948325</v>
      </c>
      <c r="C38" s="14">
        <v>650000</v>
      </c>
      <c r="D38" s="14" t="s">
        <v>16571</v>
      </c>
      <c r="E38" s="14" t="s">
        <v>29006</v>
      </c>
      <c r="F38" s="14" t="s">
        <v>3360</v>
      </c>
      <c r="G38" s="15" t="s">
        <v>29007</v>
      </c>
      <c r="H38" s="15" t="s">
        <v>29008</v>
      </c>
      <c r="I38" s="14" t="s">
        <v>88</v>
      </c>
      <c r="J38" s="14">
        <v>1</v>
      </c>
      <c r="K38" s="14">
        <v>1</v>
      </c>
      <c r="L38" s="14" t="s">
        <v>29009</v>
      </c>
      <c r="M38" s="14" t="s">
        <v>5027</v>
      </c>
      <c r="N38" s="14" t="s">
        <v>29010</v>
      </c>
      <c r="O38" s="14" t="s">
        <v>29011</v>
      </c>
      <c r="P38" s="14" t="str">
        <f>HYPERLINK("https://dexscreener.com/solana/61qXWH3UdH8CZFi24tU44DNukv4rvTBosVydVkWVpump", "View")</f>
        <v>View</v>
      </c>
    </row>
    <row r="39" spans="1:16" x14ac:dyDescent="0.25">
      <c r="A39" s="16" t="s">
        <v>29012</v>
      </c>
      <c r="B39" s="17">
        <v>14523761</v>
      </c>
      <c r="C39" s="17">
        <v>14523760</v>
      </c>
      <c r="D39" s="17" t="s">
        <v>17949</v>
      </c>
      <c r="E39" s="17" t="s">
        <v>15132</v>
      </c>
      <c r="F39" s="17" t="s">
        <v>2871</v>
      </c>
      <c r="G39" s="20" t="s">
        <v>5614</v>
      </c>
      <c r="H39" s="20" t="s">
        <v>29013</v>
      </c>
      <c r="I39" s="17" t="s">
        <v>88</v>
      </c>
      <c r="J39" s="17">
        <v>1</v>
      </c>
      <c r="K39" s="17">
        <v>1</v>
      </c>
      <c r="L39" s="17" t="s">
        <v>29014</v>
      </c>
      <c r="M39" s="17" t="s">
        <v>179</v>
      </c>
      <c r="N39" s="17" t="s">
        <v>1011</v>
      </c>
      <c r="O39" s="17" t="s">
        <v>29015</v>
      </c>
      <c r="P39" s="17" t="str">
        <f>HYPERLINK("https://photon-sol.tinyastro.io/en/lp/ASBTRhEykJ775NXZUx5tW8dREvYhkBiaYh5XfvC5pump?handle=676050794bc1b1657a56b", "View")</f>
        <v>View</v>
      </c>
    </row>
    <row r="40" spans="1:16" x14ac:dyDescent="0.25">
      <c r="A40" s="13" t="s">
        <v>18015</v>
      </c>
      <c r="B40" s="14">
        <v>2105694</v>
      </c>
      <c r="C40" s="14">
        <v>2105694</v>
      </c>
      <c r="D40" s="14" t="s">
        <v>29016</v>
      </c>
      <c r="E40" s="14" t="s">
        <v>3931</v>
      </c>
      <c r="F40" s="14" t="s">
        <v>19912</v>
      </c>
      <c r="G40" s="20" t="s">
        <v>15259</v>
      </c>
      <c r="H40" s="20" t="s">
        <v>29017</v>
      </c>
      <c r="I40" s="14" t="s">
        <v>88</v>
      </c>
      <c r="J40" s="14">
        <v>1</v>
      </c>
      <c r="K40" s="14">
        <v>1</v>
      </c>
      <c r="L40" s="14" t="s">
        <v>29018</v>
      </c>
      <c r="M40" s="14" t="s">
        <v>179</v>
      </c>
      <c r="N40" s="14" t="s">
        <v>27629</v>
      </c>
      <c r="O40" s="14" t="s">
        <v>18017</v>
      </c>
      <c r="P40" s="14" t="str">
        <f>HYPERLINK("https://photon-sol.tinyastro.io/en/lp/CenjrcM7xBVGR66EZQVs5puKGgZokKe9feoNqNdepump?handle=676050794bc1b1657a56b", "View")</f>
        <v>View</v>
      </c>
    </row>
    <row r="41" spans="1:16" x14ac:dyDescent="0.25">
      <c r="A41" s="16" t="s">
        <v>248</v>
      </c>
      <c r="B41" s="17">
        <v>1201904</v>
      </c>
      <c r="C41" s="17">
        <v>0</v>
      </c>
      <c r="D41" s="17" t="s">
        <v>16571</v>
      </c>
      <c r="E41" s="17" t="s">
        <v>17907</v>
      </c>
      <c r="F41" s="17" t="s">
        <v>96</v>
      </c>
      <c r="G41" s="18" t="s">
        <v>18442</v>
      </c>
      <c r="H41" s="18" t="s">
        <v>98</v>
      </c>
      <c r="I41" s="17" t="s">
        <v>29019</v>
      </c>
      <c r="J41" s="17">
        <v>2</v>
      </c>
      <c r="K41" s="17">
        <v>0</v>
      </c>
      <c r="L41" s="17" t="s">
        <v>29020</v>
      </c>
      <c r="M41" s="17" t="s">
        <v>1714</v>
      </c>
      <c r="N41" s="17" t="s">
        <v>29021</v>
      </c>
      <c r="O41" s="17" t="s">
        <v>255</v>
      </c>
      <c r="P41" s="17" t="str">
        <f>HYPERLINK("https://dexscreener.com/solana/9HjsPutyGGPpxnRn4ibH1hTfPvitAY5EPvtAwGFkpump", "View")</f>
        <v>View</v>
      </c>
    </row>
    <row r="42" spans="1:16" x14ac:dyDescent="0.25">
      <c r="A42" s="13" t="s">
        <v>29022</v>
      </c>
      <c r="B42" s="14">
        <v>4070722</v>
      </c>
      <c r="C42" s="14">
        <v>4070721</v>
      </c>
      <c r="D42" s="14" t="s">
        <v>29023</v>
      </c>
      <c r="E42" s="14" t="s">
        <v>12965</v>
      </c>
      <c r="F42" s="14" t="s">
        <v>16737</v>
      </c>
      <c r="G42" s="20" t="s">
        <v>2739</v>
      </c>
      <c r="H42" s="20" t="s">
        <v>29024</v>
      </c>
      <c r="I42" s="14" t="s">
        <v>88</v>
      </c>
      <c r="J42" s="14">
        <v>1</v>
      </c>
      <c r="K42" s="14">
        <v>2</v>
      </c>
      <c r="L42" s="14" t="s">
        <v>29025</v>
      </c>
      <c r="M42" s="14" t="s">
        <v>788</v>
      </c>
      <c r="N42" s="14" t="s">
        <v>11522</v>
      </c>
      <c r="O42" s="14" t="s">
        <v>29026</v>
      </c>
      <c r="P42" s="14" t="str">
        <f>HYPERLINK("https://photon-sol.tinyastro.io/en/lp/D5vAj3Lct9Zmk3H9aMg9NwmELeG91rpEqxpExMFpump?handle=676050794bc1b1657a56b", "View")</f>
        <v>View</v>
      </c>
    </row>
    <row r="43" spans="1:16" x14ac:dyDescent="0.25">
      <c r="A43" s="16" t="s">
        <v>29027</v>
      </c>
      <c r="B43" s="17">
        <v>8053528</v>
      </c>
      <c r="C43" s="17">
        <v>8053528</v>
      </c>
      <c r="D43" s="17" t="s">
        <v>17978</v>
      </c>
      <c r="E43" s="17" t="s">
        <v>11761</v>
      </c>
      <c r="F43" s="17" t="s">
        <v>22070</v>
      </c>
      <c r="G43" s="20" t="s">
        <v>7875</v>
      </c>
      <c r="H43" s="20" t="s">
        <v>10248</v>
      </c>
      <c r="I43" s="17" t="s">
        <v>88</v>
      </c>
      <c r="J43" s="17">
        <v>1</v>
      </c>
      <c r="K43" s="17">
        <v>1</v>
      </c>
      <c r="L43" s="17" t="s">
        <v>29028</v>
      </c>
      <c r="M43" s="17" t="s">
        <v>602</v>
      </c>
      <c r="N43" s="17" t="s">
        <v>3908</v>
      </c>
      <c r="O43" s="17" t="s">
        <v>29029</v>
      </c>
      <c r="P43" s="17" t="str">
        <f>HYPERLINK("https://photon-sol.tinyastro.io/en/lp/Az4eZG892XfT2KpCyFPFQqMQg9CL4FRnb5KoGhzqpump?handle=676050794bc1b1657a56b", "View")</f>
        <v>View</v>
      </c>
    </row>
    <row r="44" spans="1:16" x14ac:dyDescent="0.25">
      <c r="A44" s="13" t="s">
        <v>7610</v>
      </c>
      <c r="B44" s="14">
        <v>32808835</v>
      </c>
      <c r="C44" s="14">
        <v>32808834</v>
      </c>
      <c r="D44" s="14" t="s">
        <v>4324</v>
      </c>
      <c r="E44" s="14" t="s">
        <v>24265</v>
      </c>
      <c r="F44" s="14" t="s">
        <v>12415</v>
      </c>
      <c r="G44" s="20" t="s">
        <v>4134</v>
      </c>
      <c r="H44" s="20" t="s">
        <v>29030</v>
      </c>
      <c r="I44" s="14" t="s">
        <v>88</v>
      </c>
      <c r="J44" s="14">
        <v>1</v>
      </c>
      <c r="K44" s="14">
        <v>1</v>
      </c>
      <c r="L44" s="14" t="s">
        <v>29031</v>
      </c>
      <c r="M44" s="14" t="s">
        <v>231</v>
      </c>
      <c r="N44" s="14" t="s">
        <v>2308</v>
      </c>
      <c r="O44" s="14" t="s">
        <v>29032</v>
      </c>
      <c r="P44" s="14" t="str">
        <f>HYPERLINK("https://photon-sol.tinyastro.io/en/lp/WANGuqYzU6tT3R7wwMxjMwcD9xzLVx6QZYwRjdJWWVb?handle=676050794bc1b1657a56b", "View")</f>
        <v>View</v>
      </c>
    </row>
    <row r="45" spans="1:16" x14ac:dyDescent="0.25">
      <c r="A45" s="16" t="s">
        <v>29033</v>
      </c>
      <c r="B45" s="17">
        <v>4802105</v>
      </c>
      <c r="C45" s="17">
        <v>0</v>
      </c>
      <c r="D45" s="17" t="s">
        <v>15708</v>
      </c>
      <c r="E45" s="17" t="s">
        <v>4667</v>
      </c>
      <c r="F45" s="17" t="s">
        <v>96</v>
      </c>
      <c r="G45" s="18" t="s">
        <v>5133</v>
      </c>
      <c r="H45" s="18" t="s">
        <v>98</v>
      </c>
      <c r="I45" s="17" t="s">
        <v>29034</v>
      </c>
      <c r="J45" s="17">
        <v>1</v>
      </c>
      <c r="K45" s="17">
        <v>0</v>
      </c>
      <c r="L45" s="17" t="s">
        <v>29035</v>
      </c>
      <c r="M45" s="19" t="s">
        <v>101</v>
      </c>
      <c r="N45" s="17" t="s">
        <v>29036</v>
      </c>
      <c r="O45" s="17" t="s">
        <v>29037</v>
      </c>
      <c r="P45" s="17" t="str">
        <f>HYPERLINK("https://photon-sol.tinyastro.io/en/lp/CNTizh4wY2c63iezuyXQaiTsFxF8ZyysjvFnKGmRpump?handle=676050794bc1b1657a56b", "View")</f>
        <v>View</v>
      </c>
    </row>
    <row r="46" spans="1:16" x14ac:dyDescent="0.25">
      <c r="A46" s="13" t="s">
        <v>29038</v>
      </c>
      <c r="B46" s="14">
        <v>5954882</v>
      </c>
      <c r="C46" s="14">
        <v>5950000</v>
      </c>
      <c r="D46" s="14" t="s">
        <v>10737</v>
      </c>
      <c r="E46" s="14" t="s">
        <v>15974</v>
      </c>
      <c r="F46" s="14" t="s">
        <v>29039</v>
      </c>
      <c r="G46" s="21" t="s">
        <v>20454</v>
      </c>
      <c r="H46" s="21" t="s">
        <v>29040</v>
      </c>
      <c r="I46" s="14" t="s">
        <v>88</v>
      </c>
      <c r="J46" s="14">
        <v>1</v>
      </c>
      <c r="K46" s="14">
        <v>2</v>
      </c>
      <c r="L46" s="14" t="s">
        <v>29041</v>
      </c>
      <c r="M46" s="14" t="s">
        <v>745</v>
      </c>
      <c r="N46" s="14" t="s">
        <v>29042</v>
      </c>
      <c r="O46" s="14" t="s">
        <v>29043</v>
      </c>
      <c r="P46" s="14" t="str">
        <f>HYPERLINK("https://photon-sol.tinyastro.io/en/lp/ABdn3Zp7rK1TowqabiaqjHAxS2GKtWJVhNpDX1qHpump?handle=676050794bc1b1657a56b", "View")</f>
        <v>View</v>
      </c>
    </row>
    <row r="47" spans="1:16" x14ac:dyDescent="0.25">
      <c r="A47" s="16" t="s">
        <v>29044</v>
      </c>
      <c r="B47" s="17">
        <v>25767671</v>
      </c>
      <c r="C47" s="17">
        <v>25767671</v>
      </c>
      <c r="D47" s="17" t="s">
        <v>9292</v>
      </c>
      <c r="E47" s="17" t="s">
        <v>19801</v>
      </c>
      <c r="F47" s="17" t="s">
        <v>29045</v>
      </c>
      <c r="G47" s="21" t="s">
        <v>2779</v>
      </c>
      <c r="H47" s="21" t="s">
        <v>29046</v>
      </c>
      <c r="I47" s="17" t="s">
        <v>88</v>
      </c>
      <c r="J47" s="17">
        <v>2</v>
      </c>
      <c r="K47" s="17">
        <v>4</v>
      </c>
      <c r="L47" s="17" t="s">
        <v>29047</v>
      </c>
      <c r="M47" s="17" t="s">
        <v>179</v>
      </c>
      <c r="N47" s="17" t="s">
        <v>24217</v>
      </c>
      <c r="O47" s="17" t="s">
        <v>29048</v>
      </c>
      <c r="P47" s="17" t="str">
        <f>HYPERLINK("https://photon-sol.tinyastro.io/en/lp/6A1nnKKE8Pd6GFcB5tZ8tRTYpqufyr1uSWMdzVdBpump?handle=676050794bc1b1657a56b", "View")</f>
        <v>View</v>
      </c>
    </row>
    <row r="48" spans="1:16" x14ac:dyDescent="0.25">
      <c r="A48" s="13" t="s">
        <v>2875</v>
      </c>
      <c r="B48" s="14">
        <v>383797</v>
      </c>
      <c r="C48" s="14">
        <v>383796</v>
      </c>
      <c r="D48" s="14" t="s">
        <v>10987</v>
      </c>
      <c r="E48" s="14" t="s">
        <v>1007</v>
      </c>
      <c r="F48" s="14" t="s">
        <v>11564</v>
      </c>
      <c r="G48" s="20" t="s">
        <v>4168</v>
      </c>
      <c r="H48" s="20" t="s">
        <v>29049</v>
      </c>
      <c r="I48" s="14" t="s">
        <v>88</v>
      </c>
      <c r="J48" s="14">
        <v>1</v>
      </c>
      <c r="K48" s="14">
        <v>2</v>
      </c>
      <c r="L48" s="14" t="s">
        <v>29050</v>
      </c>
      <c r="M48" s="14" t="s">
        <v>6257</v>
      </c>
      <c r="N48" s="14" t="s">
        <v>29051</v>
      </c>
      <c r="O48" s="14" t="s">
        <v>29052</v>
      </c>
      <c r="P48" s="14" t="str">
        <f>HYPERLINK("https://dexscreener.com/solana/8aZuUoqr9rBLjikz7kvpajm1JRqhoWiLMnrNtnRNpump", "View")</f>
        <v>View</v>
      </c>
    </row>
    <row r="49" spans="1:16" x14ac:dyDescent="0.25">
      <c r="A49" s="16" t="s">
        <v>29053</v>
      </c>
      <c r="B49" s="17">
        <v>1801991</v>
      </c>
      <c r="C49" s="17">
        <v>1800000</v>
      </c>
      <c r="D49" s="17" t="s">
        <v>29054</v>
      </c>
      <c r="E49" s="17" t="s">
        <v>569</v>
      </c>
      <c r="F49" s="17" t="s">
        <v>18031</v>
      </c>
      <c r="G49" s="15" t="s">
        <v>29055</v>
      </c>
      <c r="H49" s="15" t="s">
        <v>29056</v>
      </c>
      <c r="I49" s="17" t="s">
        <v>88</v>
      </c>
      <c r="J49" s="17">
        <v>1</v>
      </c>
      <c r="K49" s="17">
        <v>1</v>
      </c>
      <c r="L49" s="17" t="s">
        <v>29057</v>
      </c>
      <c r="M49" s="17" t="s">
        <v>179</v>
      </c>
      <c r="N49" s="17" t="s">
        <v>29058</v>
      </c>
      <c r="O49" s="17" t="s">
        <v>29059</v>
      </c>
      <c r="P49" s="17" t="str">
        <f>HYPERLINK("https://dexscreener.com/solana/5T3kPqWujSu2v6Y4YoZcQ4A2UtTRQFAwE82MoRm9pump", "View")</f>
        <v>View</v>
      </c>
    </row>
    <row r="50" spans="1:16" x14ac:dyDescent="0.25">
      <c r="A50" s="13" t="s">
        <v>6322</v>
      </c>
      <c r="B50" s="14">
        <v>345500</v>
      </c>
      <c r="C50" s="14">
        <v>345500</v>
      </c>
      <c r="D50" s="14" t="s">
        <v>19046</v>
      </c>
      <c r="E50" s="14" t="s">
        <v>23560</v>
      </c>
      <c r="F50" s="14" t="s">
        <v>29060</v>
      </c>
      <c r="G50" s="21" t="s">
        <v>29061</v>
      </c>
      <c r="H50" s="21" t="s">
        <v>29062</v>
      </c>
      <c r="I50" s="14" t="s">
        <v>88</v>
      </c>
      <c r="J50" s="14">
        <v>2</v>
      </c>
      <c r="K50" s="14">
        <v>6</v>
      </c>
      <c r="L50" s="14" t="s">
        <v>29063</v>
      </c>
      <c r="M50" s="14" t="s">
        <v>356</v>
      </c>
      <c r="N50" s="14" t="s">
        <v>29064</v>
      </c>
      <c r="O50" s="14" t="s">
        <v>16812</v>
      </c>
      <c r="P50" s="14" t="str">
        <f>HYPERLINK("https://dexscreener.com/solana/HdHqKPz3n52e6FCJREKY3MS56TagyvRxsxVYG7E4rF99", "View")</f>
        <v>View</v>
      </c>
    </row>
    <row r="51" spans="1:16" x14ac:dyDescent="0.25">
      <c r="A51" s="16" t="s">
        <v>29065</v>
      </c>
      <c r="B51" s="17">
        <v>12874612</v>
      </c>
      <c r="C51" s="17">
        <v>12870000</v>
      </c>
      <c r="D51" s="17" t="s">
        <v>10987</v>
      </c>
      <c r="E51" s="17" t="s">
        <v>6161</v>
      </c>
      <c r="F51" s="17" t="s">
        <v>29066</v>
      </c>
      <c r="G51" s="21" t="s">
        <v>29067</v>
      </c>
      <c r="H51" s="21" t="s">
        <v>29068</v>
      </c>
      <c r="I51" s="17" t="s">
        <v>88</v>
      </c>
      <c r="J51" s="17">
        <v>2</v>
      </c>
      <c r="K51" s="17">
        <v>2</v>
      </c>
      <c r="L51" s="17" t="s">
        <v>29069</v>
      </c>
      <c r="M51" s="17" t="s">
        <v>179</v>
      </c>
      <c r="N51" s="17" t="s">
        <v>29070</v>
      </c>
      <c r="O51" s="17" t="s">
        <v>29071</v>
      </c>
      <c r="P51" s="17" t="str">
        <f>HYPERLINK("https://photon-sol.tinyastro.io/en/lp/6EJaKs5y7aPPMYaQgcWk5HKtC4rTLchiioFzXY2L1QrU?handle=676050794bc1b1657a56b", "View")</f>
        <v>View</v>
      </c>
    </row>
    <row r="52" spans="1:16" x14ac:dyDescent="0.25">
      <c r="A52" s="13" t="s">
        <v>25725</v>
      </c>
      <c r="B52" s="14">
        <v>612694</v>
      </c>
      <c r="C52" s="14">
        <v>112693</v>
      </c>
      <c r="D52" s="14" t="s">
        <v>16571</v>
      </c>
      <c r="E52" s="14" t="s">
        <v>10326</v>
      </c>
      <c r="F52" s="14" t="s">
        <v>12415</v>
      </c>
      <c r="G52" s="15" t="s">
        <v>29072</v>
      </c>
      <c r="H52" s="15" t="s">
        <v>29073</v>
      </c>
      <c r="I52" s="14" t="s">
        <v>88</v>
      </c>
      <c r="J52" s="14">
        <v>1</v>
      </c>
      <c r="K52" s="14">
        <v>1</v>
      </c>
      <c r="L52" s="14" t="s">
        <v>29074</v>
      </c>
      <c r="M52" s="14" t="s">
        <v>1478</v>
      </c>
      <c r="N52" s="14" t="s">
        <v>29075</v>
      </c>
      <c r="O52" s="14" t="s">
        <v>25729</v>
      </c>
      <c r="P52" s="14" t="str">
        <f>HYPERLINK("https://dexscreener.com/solana/zGh48JtNHVBb5evgoZLXwgPD2Qu4MhkWdJLGDAupump", "View")</f>
        <v>View</v>
      </c>
    </row>
    <row r="53" spans="1:16" x14ac:dyDescent="0.25">
      <c r="A53" s="16" t="s">
        <v>29076</v>
      </c>
      <c r="B53" s="17">
        <v>10590723</v>
      </c>
      <c r="C53" s="17">
        <v>10590723</v>
      </c>
      <c r="D53" s="17" t="s">
        <v>17949</v>
      </c>
      <c r="E53" s="17" t="s">
        <v>4325</v>
      </c>
      <c r="F53" s="17" t="s">
        <v>17061</v>
      </c>
      <c r="G53" s="15" t="s">
        <v>29077</v>
      </c>
      <c r="H53" s="15" t="s">
        <v>29078</v>
      </c>
      <c r="I53" s="17" t="s">
        <v>88</v>
      </c>
      <c r="J53" s="17">
        <v>1</v>
      </c>
      <c r="K53" s="17">
        <v>1</v>
      </c>
      <c r="L53" s="17" t="s">
        <v>29079</v>
      </c>
      <c r="M53" s="17" t="s">
        <v>132</v>
      </c>
      <c r="N53" s="17" t="s">
        <v>507</v>
      </c>
      <c r="O53" s="17" t="s">
        <v>29080</v>
      </c>
      <c r="P53" s="17" t="str">
        <f>HYPERLINK("https://photon-sol.tinyastro.io/en/lp/Emvu58KVTKMCViCJc3Ji5MVqATdBNr5YSkeGZS2g2gLe?handle=676050794bc1b1657a56b", "View")</f>
        <v>View</v>
      </c>
    </row>
    <row r="54" spans="1:16" x14ac:dyDescent="0.25">
      <c r="A54" s="13" t="s">
        <v>5726</v>
      </c>
      <c r="B54" s="14">
        <v>6976017</v>
      </c>
      <c r="C54" s="14">
        <v>7442252</v>
      </c>
      <c r="D54" s="14" t="s">
        <v>20619</v>
      </c>
      <c r="E54" s="14" t="s">
        <v>29081</v>
      </c>
      <c r="F54" s="14" t="s">
        <v>29082</v>
      </c>
      <c r="G54" s="21" t="s">
        <v>29083</v>
      </c>
      <c r="H54" s="21" t="s">
        <v>29084</v>
      </c>
      <c r="I54" s="14" t="s">
        <v>88</v>
      </c>
      <c r="J54" s="14">
        <v>4</v>
      </c>
      <c r="K54" s="14">
        <v>15</v>
      </c>
      <c r="L54" s="14" t="s">
        <v>18378</v>
      </c>
      <c r="M54" s="14" t="s">
        <v>2145</v>
      </c>
      <c r="N54" s="14" t="s">
        <v>29085</v>
      </c>
      <c r="O54" s="14" t="s">
        <v>5731</v>
      </c>
      <c r="P54" s="14" t="str">
        <f>HYPERLINK("https://photon-sol.tinyastro.io/en/lp/9pWPUXoZKWNPWyaegPQeR3Kn8aFz9nrGtm5jeAFzpump?handle=676050794bc1b1657a56b", "View")</f>
        <v>View</v>
      </c>
    </row>
    <row r="55" spans="1:16" x14ac:dyDescent="0.25">
      <c r="A55" s="16" t="s">
        <v>29086</v>
      </c>
      <c r="B55" s="17">
        <v>2544771</v>
      </c>
      <c r="C55" s="17">
        <v>2544771</v>
      </c>
      <c r="D55" s="17" t="s">
        <v>16571</v>
      </c>
      <c r="E55" s="17" t="s">
        <v>29087</v>
      </c>
      <c r="F55" s="17" t="s">
        <v>20672</v>
      </c>
      <c r="G55" s="15" t="s">
        <v>29088</v>
      </c>
      <c r="H55" s="15" t="s">
        <v>29089</v>
      </c>
      <c r="I55" s="17" t="s">
        <v>88</v>
      </c>
      <c r="J55" s="17">
        <v>1</v>
      </c>
      <c r="K55" s="17">
        <v>1</v>
      </c>
      <c r="L55" s="17" t="s">
        <v>29090</v>
      </c>
      <c r="M55" s="17" t="s">
        <v>179</v>
      </c>
      <c r="N55" s="17" t="s">
        <v>29091</v>
      </c>
      <c r="O55" s="17" t="s">
        <v>29092</v>
      </c>
      <c r="P55" s="17" t="str">
        <f>HYPERLINK("https://dexscreener.com/solana/8sqkgSRcpgQvEPcZ5jeh5sSPw1W9sAYHGX9JTT5fpump", "View")</f>
        <v>View</v>
      </c>
    </row>
    <row r="56" spans="1:16" x14ac:dyDescent="0.25">
      <c r="A56" s="13" t="s">
        <v>16741</v>
      </c>
      <c r="B56" s="14">
        <v>2035352</v>
      </c>
      <c r="C56" s="14">
        <v>0</v>
      </c>
      <c r="D56" s="14" t="s">
        <v>15708</v>
      </c>
      <c r="E56" s="14" t="s">
        <v>2546</v>
      </c>
      <c r="F56" s="14" t="s">
        <v>96</v>
      </c>
      <c r="G56" s="18" t="s">
        <v>10648</v>
      </c>
      <c r="H56" s="18" t="s">
        <v>98</v>
      </c>
      <c r="I56" s="14" t="s">
        <v>29093</v>
      </c>
      <c r="J56" s="14">
        <v>1</v>
      </c>
      <c r="K56" s="14">
        <v>0</v>
      </c>
      <c r="L56" s="14" t="s">
        <v>29094</v>
      </c>
      <c r="M56" s="19" t="s">
        <v>101</v>
      </c>
      <c r="N56" s="14" t="s">
        <v>29095</v>
      </c>
      <c r="O56" s="14" t="s">
        <v>16746</v>
      </c>
      <c r="P56" s="14" t="str">
        <f>HYPERLINK("https://dexscreener.com/solana/9d9nFy1S4YRijRT2LH8GvV6KYk52ktbFcXtmsyc3pump", "View")</f>
        <v>View</v>
      </c>
    </row>
    <row r="57" spans="1:16" x14ac:dyDescent="0.25">
      <c r="A57" s="16" t="s">
        <v>20393</v>
      </c>
      <c r="B57" s="17">
        <v>380432</v>
      </c>
      <c r="C57" s="17">
        <v>380432</v>
      </c>
      <c r="D57" s="17" t="s">
        <v>16571</v>
      </c>
      <c r="E57" s="17" t="s">
        <v>10326</v>
      </c>
      <c r="F57" s="17" t="s">
        <v>18380</v>
      </c>
      <c r="G57" s="20" t="s">
        <v>29096</v>
      </c>
      <c r="H57" s="20" t="s">
        <v>29097</v>
      </c>
      <c r="I57" s="17" t="s">
        <v>88</v>
      </c>
      <c r="J57" s="17">
        <v>1</v>
      </c>
      <c r="K57" s="17">
        <v>1</v>
      </c>
      <c r="L57" s="17" t="s">
        <v>29098</v>
      </c>
      <c r="M57" s="17" t="s">
        <v>1705</v>
      </c>
      <c r="N57" s="17" t="s">
        <v>29099</v>
      </c>
      <c r="O57" s="17" t="s">
        <v>20399</v>
      </c>
      <c r="P57" s="17" t="str">
        <f>HYPERLINK("https://dexscreener.com/solana/DtWz93pDUZe5cYqBFmZjXq1wzZqZPygCeox5d3ajpump", "View")</f>
        <v>View</v>
      </c>
    </row>
    <row r="58" spans="1:16" x14ac:dyDescent="0.25">
      <c r="A58" s="13" t="s">
        <v>17163</v>
      </c>
      <c r="B58" s="14">
        <v>396786</v>
      </c>
      <c r="C58" s="14">
        <v>96786</v>
      </c>
      <c r="D58" s="14" t="s">
        <v>16571</v>
      </c>
      <c r="E58" s="14" t="s">
        <v>14929</v>
      </c>
      <c r="F58" s="14" t="s">
        <v>4107</v>
      </c>
      <c r="G58" s="15" t="s">
        <v>16395</v>
      </c>
      <c r="H58" s="15" t="s">
        <v>28919</v>
      </c>
      <c r="I58" s="14" t="s">
        <v>88</v>
      </c>
      <c r="J58" s="14">
        <v>1</v>
      </c>
      <c r="K58" s="14">
        <v>1</v>
      </c>
      <c r="L58" s="14" t="s">
        <v>29100</v>
      </c>
      <c r="M58" s="14" t="s">
        <v>656</v>
      </c>
      <c r="N58" s="14" t="s">
        <v>29101</v>
      </c>
      <c r="O58" s="14" t="s">
        <v>25403</v>
      </c>
      <c r="P58" s="14" t="str">
        <f>HYPERLINK("https://dexscreener.com/solana/DEGRZALfkV1KAPbV82Xb5hjsZYvwS6VAmGG1KSbc3KAv", "View")</f>
        <v>View</v>
      </c>
    </row>
    <row r="59" spans="1:16" x14ac:dyDescent="0.25">
      <c r="A59" s="16" t="s">
        <v>29102</v>
      </c>
      <c r="B59" s="17">
        <v>2837173</v>
      </c>
      <c r="C59" s="17">
        <v>2837000</v>
      </c>
      <c r="D59" s="17" t="s">
        <v>29103</v>
      </c>
      <c r="E59" s="17" t="s">
        <v>1361</v>
      </c>
      <c r="F59" s="17" t="s">
        <v>29104</v>
      </c>
      <c r="G59" s="22" t="s">
        <v>3750</v>
      </c>
      <c r="H59" s="22" t="s">
        <v>29105</v>
      </c>
      <c r="I59" s="17" t="s">
        <v>88</v>
      </c>
      <c r="J59" s="17">
        <v>1</v>
      </c>
      <c r="K59" s="17">
        <v>4</v>
      </c>
      <c r="L59" s="17" t="s">
        <v>29106</v>
      </c>
      <c r="M59" s="17" t="s">
        <v>3462</v>
      </c>
      <c r="N59" s="17" t="s">
        <v>9761</v>
      </c>
      <c r="O59" s="17" t="s">
        <v>29107</v>
      </c>
      <c r="P59" s="17" t="str">
        <f>HYPERLINK("https://photon-sol.tinyastro.io/en/lp/38H5toaBTxfFn3kJEiZGCszc2jcYpNsQRoGSkReEAUAE?handle=676050794bc1b1657a56b", "View")</f>
        <v>View</v>
      </c>
    </row>
    <row r="60" spans="1:16" x14ac:dyDescent="0.25">
      <c r="A60" s="13" t="s">
        <v>12165</v>
      </c>
      <c r="B60" s="14">
        <v>1981532</v>
      </c>
      <c r="C60" s="14">
        <v>4966663</v>
      </c>
      <c r="D60" s="14" t="s">
        <v>16054</v>
      </c>
      <c r="E60" s="14" t="s">
        <v>29108</v>
      </c>
      <c r="F60" s="14" t="s">
        <v>29109</v>
      </c>
      <c r="G60" s="21" t="s">
        <v>29110</v>
      </c>
      <c r="H60" s="21" t="s">
        <v>29111</v>
      </c>
      <c r="I60" s="14" t="s">
        <v>88</v>
      </c>
      <c r="J60" s="14">
        <v>3</v>
      </c>
      <c r="K60" s="14">
        <v>6</v>
      </c>
      <c r="L60" s="14" t="s">
        <v>29112</v>
      </c>
      <c r="M60" s="14" t="s">
        <v>5604</v>
      </c>
      <c r="N60" s="14" t="s">
        <v>29113</v>
      </c>
      <c r="O60" s="14" t="s">
        <v>29114</v>
      </c>
      <c r="P60" s="14" t="str">
        <f>HYPERLINK("https://dexscreener.com/solana/2GMEDWxPhdBicySMjUky49UHgXutxQ8SJjWyrcKPpump", "View")</f>
        <v>View</v>
      </c>
    </row>
    <row r="61" spans="1:16" x14ac:dyDescent="0.25">
      <c r="A61" s="16" t="s">
        <v>9991</v>
      </c>
      <c r="B61" s="17">
        <v>5502303</v>
      </c>
      <c r="C61" s="17">
        <v>9670000</v>
      </c>
      <c r="D61" s="17" t="s">
        <v>8478</v>
      </c>
      <c r="E61" s="17" t="s">
        <v>29115</v>
      </c>
      <c r="F61" s="17" t="s">
        <v>29116</v>
      </c>
      <c r="G61" s="15" t="s">
        <v>29117</v>
      </c>
      <c r="H61" s="15" t="s">
        <v>29118</v>
      </c>
      <c r="I61" s="17" t="s">
        <v>88</v>
      </c>
      <c r="J61" s="17">
        <v>2</v>
      </c>
      <c r="K61" s="17">
        <v>3</v>
      </c>
      <c r="L61" s="17" t="s">
        <v>29119</v>
      </c>
      <c r="M61" s="17" t="s">
        <v>179</v>
      </c>
      <c r="N61" s="17" t="s">
        <v>29120</v>
      </c>
      <c r="O61" s="17" t="s">
        <v>29121</v>
      </c>
      <c r="P61" s="17" t="str">
        <f>HYPERLINK("https://dexscreener.com/solana/3xckQouCi1rTmdqY8AsMymhFfkY4KEryxRDK6iaopump", "View")</f>
        <v>View</v>
      </c>
    </row>
    <row r="62" spans="1:16" x14ac:dyDescent="0.25">
      <c r="A62" s="13" t="s">
        <v>409</v>
      </c>
      <c r="B62" s="14">
        <v>770534</v>
      </c>
      <c r="C62" s="14">
        <v>470534</v>
      </c>
      <c r="D62" s="14" t="s">
        <v>10987</v>
      </c>
      <c r="E62" s="14" t="s">
        <v>2546</v>
      </c>
      <c r="F62" s="14" t="s">
        <v>29122</v>
      </c>
      <c r="G62" s="21" t="s">
        <v>19754</v>
      </c>
      <c r="H62" s="21" t="s">
        <v>22848</v>
      </c>
      <c r="I62" s="14" t="s">
        <v>88</v>
      </c>
      <c r="J62" s="14">
        <v>1</v>
      </c>
      <c r="K62" s="14">
        <v>3</v>
      </c>
      <c r="L62" s="14" t="s">
        <v>29123</v>
      </c>
      <c r="M62" s="14" t="s">
        <v>132</v>
      </c>
      <c r="N62" s="14" t="s">
        <v>29124</v>
      </c>
      <c r="O62" s="14" t="s">
        <v>416</v>
      </c>
      <c r="P62" s="14" t="str">
        <f>HYPERLINK("https://dexscreener.com/solana/9WXNvkvub2Fvg88n8mLD3iywpLmfhRZHZmdf8CGhpump", "View")</f>
        <v>View</v>
      </c>
    </row>
    <row r="63" spans="1:16" x14ac:dyDescent="0.25">
      <c r="A63" s="16" t="s">
        <v>17382</v>
      </c>
      <c r="B63" s="17">
        <v>102220</v>
      </c>
      <c r="C63" s="17">
        <v>0</v>
      </c>
      <c r="D63" s="17" t="s">
        <v>15708</v>
      </c>
      <c r="E63" s="17" t="s">
        <v>29125</v>
      </c>
      <c r="F63" s="17" t="s">
        <v>96</v>
      </c>
      <c r="G63" s="18" t="s">
        <v>29126</v>
      </c>
      <c r="H63" s="18" t="s">
        <v>98</v>
      </c>
      <c r="I63" s="17" t="s">
        <v>29127</v>
      </c>
      <c r="J63" s="17">
        <v>1</v>
      </c>
      <c r="K63" s="17">
        <v>0</v>
      </c>
      <c r="L63" s="17" t="s">
        <v>29128</v>
      </c>
      <c r="M63" s="19" t="s">
        <v>101</v>
      </c>
      <c r="N63" s="17" t="s">
        <v>18928</v>
      </c>
      <c r="O63" s="17" t="s">
        <v>17386</v>
      </c>
      <c r="P63" s="17" t="str">
        <f>HYPERLINK("https://dexscreener.com/solana/BvSyXBvy76mUgzLSbvvT4NQw5rSM4P5zAsdnvqUJpump", "View")</f>
        <v>View</v>
      </c>
    </row>
    <row r="64" spans="1:16" x14ac:dyDescent="0.25">
      <c r="A64" s="13" t="s">
        <v>23749</v>
      </c>
      <c r="B64" s="14">
        <v>603335</v>
      </c>
      <c r="C64" s="14">
        <v>353334</v>
      </c>
      <c r="D64" s="14" t="s">
        <v>29129</v>
      </c>
      <c r="E64" s="14" t="s">
        <v>19014</v>
      </c>
      <c r="F64" s="14" t="s">
        <v>29130</v>
      </c>
      <c r="G64" s="21" t="s">
        <v>29131</v>
      </c>
      <c r="H64" s="21" t="s">
        <v>29132</v>
      </c>
      <c r="I64" s="14" t="s">
        <v>88</v>
      </c>
      <c r="J64" s="14">
        <v>1</v>
      </c>
      <c r="K64" s="14">
        <v>5</v>
      </c>
      <c r="L64" s="14" t="s">
        <v>29133</v>
      </c>
      <c r="M64" s="14" t="s">
        <v>672</v>
      </c>
      <c r="N64" s="14" t="s">
        <v>29134</v>
      </c>
      <c r="O64" s="14" t="s">
        <v>23753</v>
      </c>
      <c r="P64" s="14" t="str">
        <f>HYPERLINK("https://dexscreener.com/solana/CXfErCqD2ufoZZ7791sRetSiMkeFSH6oKAjW7ERdpump", "View")</f>
        <v>View</v>
      </c>
    </row>
    <row r="65" spans="1:16" x14ac:dyDescent="0.25">
      <c r="A65" s="16" t="s">
        <v>29135</v>
      </c>
      <c r="B65" s="17">
        <v>278846</v>
      </c>
      <c r="C65" s="17">
        <v>0</v>
      </c>
      <c r="D65" s="17" t="s">
        <v>15708</v>
      </c>
      <c r="E65" s="17" t="s">
        <v>2546</v>
      </c>
      <c r="F65" s="17" t="s">
        <v>96</v>
      </c>
      <c r="G65" s="18" t="s">
        <v>10648</v>
      </c>
      <c r="H65" s="18" t="s">
        <v>98</v>
      </c>
      <c r="I65" s="17" t="s">
        <v>29136</v>
      </c>
      <c r="J65" s="17">
        <v>1</v>
      </c>
      <c r="K65" s="17">
        <v>0</v>
      </c>
      <c r="L65" s="17" t="s">
        <v>29137</v>
      </c>
      <c r="M65" s="19" t="s">
        <v>101</v>
      </c>
      <c r="N65" s="17" t="s">
        <v>29138</v>
      </c>
      <c r="O65" s="17" t="s">
        <v>29139</v>
      </c>
      <c r="P65" s="17" t="str">
        <f>HYPERLINK("https://dexscreener.com/solana/98PeX1sFL7RoJprMxrvAapzZu4v6YBCEVozdge4snQpF", "View")</f>
        <v>View</v>
      </c>
    </row>
    <row r="66" spans="1:16" x14ac:dyDescent="0.25">
      <c r="A66" s="13" t="s">
        <v>29140</v>
      </c>
      <c r="B66" s="14">
        <v>6203162</v>
      </c>
      <c r="C66" s="14">
        <v>0</v>
      </c>
      <c r="D66" s="14" t="s">
        <v>16571</v>
      </c>
      <c r="E66" s="14" t="s">
        <v>17907</v>
      </c>
      <c r="F66" s="14" t="s">
        <v>96</v>
      </c>
      <c r="G66" s="18" t="s">
        <v>18442</v>
      </c>
      <c r="H66" s="18" t="s">
        <v>98</v>
      </c>
      <c r="I66" s="14" t="s">
        <v>29141</v>
      </c>
      <c r="J66" s="14">
        <v>2</v>
      </c>
      <c r="K66" s="14">
        <v>0</v>
      </c>
      <c r="L66" s="14" t="s">
        <v>29142</v>
      </c>
      <c r="M66" s="14" t="s">
        <v>602</v>
      </c>
      <c r="N66" s="14" t="s">
        <v>29143</v>
      </c>
      <c r="O66" s="14" t="s">
        <v>29144</v>
      </c>
      <c r="P66" s="14" t="str">
        <f>HYPERLINK("https://dexscreener.com/solana/21gK1z4pc6LGYRHU2QkytVePhZayBkAMH2rEw7eHpump", "View")</f>
        <v>View</v>
      </c>
    </row>
    <row r="67" spans="1:16" x14ac:dyDescent="0.25">
      <c r="A67" s="16" t="s">
        <v>29145</v>
      </c>
      <c r="B67" s="17">
        <v>125947</v>
      </c>
      <c r="C67" s="17">
        <v>0</v>
      </c>
      <c r="D67" s="17" t="s">
        <v>15708</v>
      </c>
      <c r="E67" s="17" t="s">
        <v>10326</v>
      </c>
      <c r="F67" s="17" t="s">
        <v>96</v>
      </c>
      <c r="G67" s="18" t="s">
        <v>28928</v>
      </c>
      <c r="H67" s="18" t="s">
        <v>98</v>
      </c>
      <c r="I67" s="17" t="s">
        <v>29146</v>
      </c>
      <c r="J67" s="17">
        <v>1</v>
      </c>
      <c r="K67" s="17">
        <v>0</v>
      </c>
      <c r="L67" s="17" t="s">
        <v>29147</v>
      </c>
      <c r="M67" s="19" t="s">
        <v>101</v>
      </c>
      <c r="N67" s="17" t="s">
        <v>28607</v>
      </c>
      <c r="O67" s="17" t="s">
        <v>29148</v>
      </c>
      <c r="P67" s="17" t="str">
        <f>HYPERLINK("https://dexscreener.com/solana/2zrH2jE542mzB4HABgBjdWMQPtNC5H12pwo1iLpfpump", "View")</f>
        <v>View</v>
      </c>
    </row>
    <row r="68" spans="1:16" x14ac:dyDescent="0.25">
      <c r="A68" s="13" t="s">
        <v>12576</v>
      </c>
      <c r="B68" s="14">
        <v>85668</v>
      </c>
      <c r="C68" s="14">
        <v>45667</v>
      </c>
      <c r="D68" s="14" t="s">
        <v>10737</v>
      </c>
      <c r="E68" s="14" t="s">
        <v>17907</v>
      </c>
      <c r="F68" s="14" t="s">
        <v>11513</v>
      </c>
      <c r="G68" s="22" t="s">
        <v>11534</v>
      </c>
      <c r="H68" s="22" t="s">
        <v>2370</v>
      </c>
      <c r="I68" s="14" t="s">
        <v>88</v>
      </c>
      <c r="J68" s="14">
        <v>1</v>
      </c>
      <c r="K68" s="14">
        <v>2</v>
      </c>
      <c r="L68" s="14" t="s">
        <v>29149</v>
      </c>
      <c r="M68" s="14" t="s">
        <v>414</v>
      </c>
      <c r="N68" s="14" t="s">
        <v>29150</v>
      </c>
      <c r="O68" s="14" t="s">
        <v>12583</v>
      </c>
      <c r="P68" s="14" t="str">
        <f>HYPERLINK("https://dexscreener.com/solana/9JhFqCA21MoAXs2PTaeqNQp2XngPn1PgYr2rsEVCpump", "View")</f>
        <v>View</v>
      </c>
    </row>
    <row r="69" spans="1:16" x14ac:dyDescent="0.25">
      <c r="A69" s="16" t="s">
        <v>29151</v>
      </c>
      <c r="B69" s="17">
        <v>40907676</v>
      </c>
      <c r="C69" s="17">
        <v>40900000</v>
      </c>
      <c r="D69" s="17" t="s">
        <v>10987</v>
      </c>
      <c r="E69" s="17" t="s">
        <v>15974</v>
      </c>
      <c r="F69" s="17" t="s">
        <v>29152</v>
      </c>
      <c r="G69" s="21" t="s">
        <v>29153</v>
      </c>
      <c r="H69" s="21" t="s">
        <v>29154</v>
      </c>
      <c r="I69" s="17" t="s">
        <v>88</v>
      </c>
      <c r="J69" s="17">
        <v>1</v>
      </c>
      <c r="K69" s="17">
        <v>3</v>
      </c>
      <c r="L69" s="17" t="s">
        <v>29155</v>
      </c>
      <c r="M69" s="17" t="s">
        <v>745</v>
      </c>
      <c r="N69" s="17" t="s">
        <v>17901</v>
      </c>
      <c r="O69" s="17" t="s">
        <v>29156</v>
      </c>
      <c r="P69" s="17" t="str">
        <f>HYPERLINK("https://photon-sol.tinyastro.io/en/lp/CbMP7j1vCybSrVoBZGCWXMtjFdq6dHf6Y1Ave58jpump?handle=676050794bc1b1657a56b", "View")</f>
        <v>View</v>
      </c>
    </row>
    <row r="70" spans="1:16" x14ac:dyDescent="0.25">
      <c r="A70" s="13" t="s">
        <v>20410</v>
      </c>
      <c r="B70" s="14">
        <v>306592</v>
      </c>
      <c r="C70" s="14">
        <v>106590</v>
      </c>
      <c r="D70" s="14" t="s">
        <v>16571</v>
      </c>
      <c r="E70" s="14" t="s">
        <v>17907</v>
      </c>
      <c r="F70" s="14" t="s">
        <v>29157</v>
      </c>
      <c r="G70" s="20" t="s">
        <v>29158</v>
      </c>
      <c r="H70" s="20" t="s">
        <v>29159</v>
      </c>
      <c r="I70" s="14" t="s">
        <v>88</v>
      </c>
      <c r="J70" s="14">
        <v>1</v>
      </c>
      <c r="K70" s="14">
        <v>1</v>
      </c>
      <c r="L70" s="14" t="s">
        <v>29160</v>
      </c>
      <c r="M70" s="14" t="s">
        <v>680</v>
      </c>
      <c r="N70" s="14" t="s">
        <v>29161</v>
      </c>
      <c r="O70" s="14" t="s">
        <v>20417</v>
      </c>
      <c r="P70" s="14" t="str">
        <f>HYPERLINK("https://dexscreener.com/solana/BhbfgSh5P742DE5eMx24iZXNZeD2vNRFBZe3EP9Mpump", "View")</f>
        <v>View</v>
      </c>
    </row>
    <row r="71" spans="1:16" x14ac:dyDescent="0.25">
      <c r="A71" s="16" t="s">
        <v>6980</v>
      </c>
      <c r="B71" s="17">
        <v>71914</v>
      </c>
      <c r="C71" s="17">
        <v>0</v>
      </c>
      <c r="D71" s="17" t="s">
        <v>15708</v>
      </c>
      <c r="E71" s="17" t="s">
        <v>10326</v>
      </c>
      <c r="F71" s="17" t="s">
        <v>96</v>
      </c>
      <c r="G71" s="18" t="s">
        <v>28928</v>
      </c>
      <c r="H71" s="18" t="s">
        <v>98</v>
      </c>
      <c r="I71" s="17" t="s">
        <v>29162</v>
      </c>
      <c r="J71" s="17">
        <v>1</v>
      </c>
      <c r="K71" s="17">
        <v>0</v>
      </c>
      <c r="L71" s="17" t="s">
        <v>29163</v>
      </c>
      <c r="M71" s="19" t="s">
        <v>101</v>
      </c>
      <c r="N71" s="17" t="s">
        <v>28893</v>
      </c>
      <c r="O71" s="17" t="s">
        <v>6987</v>
      </c>
      <c r="P71" s="17" t="str">
        <f>HYPERLINK("https://dexscreener.com/solana/7PLFUMueEkMDc9dNoCnL5kG3aoLixML1iG5nA9ojpump", "View")</f>
        <v>View</v>
      </c>
    </row>
    <row r="72" spans="1:16" x14ac:dyDescent="0.25">
      <c r="A72" s="13" t="s">
        <v>29164</v>
      </c>
      <c r="B72" s="14">
        <v>168897</v>
      </c>
      <c r="C72" s="14">
        <v>0</v>
      </c>
      <c r="D72" s="14" t="s">
        <v>15708</v>
      </c>
      <c r="E72" s="14" t="s">
        <v>17907</v>
      </c>
      <c r="F72" s="14" t="s">
        <v>96</v>
      </c>
      <c r="G72" s="18" t="s">
        <v>17908</v>
      </c>
      <c r="H72" s="18" t="s">
        <v>98</v>
      </c>
      <c r="I72" s="14" t="s">
        <v>29165</v>
      </c>
      <c r="J72" s="14">
        <v>1</v>
      </c>
      <c r="K72" s="14">
        <v>0</v>
      </c>
      <c r="L72" s="14" t="s">
        <v>29166</v>
      </c>
      <c r="M72" s="19" t="s">
        <v>101</v>
      </c>
      <c r="N72" s="14" t="s">
        <v>29167</v>
      </c>
      <c r="O72" s="14" t="s">
        <v>29168</v>
      </c>
      <c r="P72" s="14" t="str">
        <f>HYPERLINK("https://dexscreener.com/solana/8AS9yeGsAwvTs9gCDKMmB2MgX8NiSvv4uppH61yqpump", "View")</f>
        <v>View</v>
      </c>
    </row>
    <row r="73" spans="1:16" x14ac:dyDescent="0.25">
      <c r="A73" s="16" t="s">
        <v>25611</v>
      </c>
      <c r="B73" s="17">
        <v>276186</v>
      </c>
      <c r="C73" s="17">
        <v>0</v>
      </c>
      <c r="D73" s="17" t="s">
        <v>15708</v>
      </c>
      <c r="E73" s="17" t="s">
        <v>23560</v>
      </c>
      <c r="F73" s="17" t="s">
        <v>96</v>
      </c>
      <c r="G73" s="18" t="s">
        <v>7101</v>
      </c>
      <c r="H73" s="18" t="s">
        <v>98</v>
      </c>
      <c r="I73" s="17" t="s">
        <v>29169</v>
      </c>
      <c r="J73" s="17">
        <v>1</v>
      </c>
      <c r="K73" s="17">
        <v>0</v>
      </c>
      <c r="L73" s="17" t="s">
        <v>29170</v>
      </c>
      <c r="M73" s="19" t="s">
        <v>101</v>
      </c>
      <c r="N73" s="17" t="s">
        <v>15084</v>
      </c>
      <c r="O73" s="17" t="s">
        <v>25615</v>
      </c>
      <c r="P73" s="17" t="str">
        <f>HYPERLINK("https://dexscreener.com/solana/7RrLheV7dSecVka3MfjYb4Wa6Z6uegNyzhpFeERsfFZP", "View")</f>
        <v>View</v>
      </c>
    </row>
    <row r="74" spans="1:16" x14ac:dyDescent="0.25">
      <c r="A74" s="13" t="s">
        <v>29171</v>
      </c>
      <c r="B74" s="14">
        <v>393524</v>
      </c>
      <c r="C74" s="14">
        <v>0</v>
      </c>
      <c r="D74" s="14" t="s">
        <v>15708</v>
      </c>
      <c r="E74" s="14" t="s">
        <v>13804</v>
      </c>
      <c r="F74" s="14" t="s">
        <v>96</v>
      </c>
      <c r="G74" s="18" t="s">
        <v>4344</v>
      </c>
      <c r="H74" s="18" t="s">
        <v>98</v>
      </c>
      <c r="I74" s="14" t="s">
        <v>29172</v>
      </c>
      <c r="J74" s="14">
        <v>1</v>
      </c>
      <c r="K74" s="14">
        <v>0</v>
      </c>
      <c r="L74" s="14" t="s">
        <v>29173</v>
      </c>
      <c r="M74" s="19" t="s">
        <v>101</v>
      </c>
      <c r="N74" s="14" t="s">
        <v>29161</v>
      </c>
      <c r="O74" s="14" t="s">
        <v>29174</v>
      </c>
      <c r="P74" s="14" t="str">
        <f>HYPERLINK("https://dexscreener.com/solana/E8cxtZH4ivfrZTHXKtVmcEqkyKX5EKKFWW9X8jy8pump", "View")</f>
        <v>View</v>
      </c>
    </row>
    <row r="75" spans="1:16" x14ac:dyDescent="0.25">
      <c r="A75" s="16" t="s">
        <v>957</v>
      </c>
      <c r="B75" s="17">
        <v>204996</v>
      </c>
      <c r="C75" s="17">
        <v>0</v>
      </c>
      <c r="D75" s="17" t="s">
        <v>15708</v>
      </c>
      <c r="E75" s="17" t="s">
        <v>10326</v>
      </c>
      <c r="F75" s="17" t="s">
        <v>96</v>
      </c>
      <c r="G75" s="18" t="s">
        <v>28928</v>
      </c>
      <c r="H75" s="18" t="s">
        <v>98</v>
      </c>
      <c r="I75" s="17" t="s">
        <v>29175</v>
      </c>
      <c r="J75" s="17">
        <v>1</v>
      </c>
      <c r="K75" s="17">
        <v>0</v>
      </c>
      <c r="L75" s="17" t="s">
        <v>29176</v>
      </c>
      <c r="M75" s="19" t="s">
        <v>101</v>
      </c>
      <c r="N75" s="17" t="s">
        <v>29177</v>
      </c>
      <c r="O75" s="17" t="s">
        <v>964</v>
      </c>
      <c r="P75" s="17" t="str">
        <f>HYPERLINK("https://dexscreener.com/solana/6bbATbj5XDYBoS8LFzQmDSRoGwfZZvNaAUA5WKuapump", "View")</f>
        <v>View</v>
      </c>
    </row>
    <row r="76" spans="1:16" x14ac:dyDescent="0.25">
      <c r="A76" s="13" t="s">
        <v>29178</v>
      </c>
      <c r="B76" s="14">
        <v>4514280</v>
      </c>
      <c r="C76" s="14">
        <v>2500000</v>
      </c>
      <c r="D76" s="14" t="s">
        <v>16571</v>
      </c>
      <c r="E76" s="14" t="s">
        <v>14044</v>
      </c>
      <c r="F76" s="14" t="s">
        <v>19320</v>
      </c>
      <c r="G76" s="22" t="s">
        <v>6248</v>
      </c>
      <c r="H76" s="22" t="s">
        <v>29179</v>
      </c>
      <c r="I76" s="14" t="s">
        <v>88</v>
      </c>
      <c r="J76" s="14">
        <v>1</v>
      </c>
      <c r="K76" s="14">
        <v>1</v>
      </c>
      <c r="L76" s="14" t="s">
        <v>29180</v>
      </c>
      <c r="M76" s="14" t="s">
        <v>4985</v>
      </c>
      <c r="N76" s="14" t="s">
        <v>29181</v>
      </c>
      <c r="O76" s="14" t="s">
        <v>29182</v>
      </c>
      <c r="P76" s="14" t="str">
        <f>HYPERLINK("https://dexscreener.com/solana/HS7Q3wFt22uaWA1S2SQNd6ft1kQcxDvPuBMmPYqANGps", "View")</f>
        <v>View</v>
      </c>
    </row>
    <row r="77" spans="1:16" x14ac:dyDescent="0.25">
      <c r="A77" s="16" t="s">
        <v>11524</v>
      </c>
      <c r="B77" s="17">
        <v>1002853</v>
      </c>
      <c r="C77" s="17">
        <v>0</v>
      </c>
      <c r="D77" s="17" t="s">
        <v>15708</v>
      </c>
      <c r="E77" s="17" t="s">
        <v>2546</v>
      </c>
      <c r="F77" s="17" t="s">
        <v>96</v>
      </c>
      <c r="G77" s="18" t="s">
        <v>10648</v>
      </c>
      <c r="H77" s="18" t="s">
        <v>98</v>
      </c>
      <c r="I77" s="17" t="s">
        <v>29183</v>
      </c>
      <c r="J77" s="17">
        <v>1</v>
      </c>
      <c r="K77" s="17">
        <v>0</v>
      </c>
      <c r="L77" s="17" t="s">
        <v>29184</v>
      </c>
      <c r="M77" s="19" t="s">
        <v>101</v>
      </c>
      <c r="N77" s="17" t="s">
        <v>29185</v>
      </c>
      <c r="O77" s="17" t="s">
        <v>11528</v>
      </c>
      <c r="P77" s="17" t="str">
        <f>HYPERLINK("https://dexscreener.com/solana/B1LaQNzBvUV5Yog8qozfX8AzZjZVuTt8Gy2JALoqpump", "View")</f>
        <v>View</v>
      </c>
    </row>
    <row r="78" spans="1:16" x14ac:dyDescent="0.25">
      <c r="A78" s="13" t="s">
        <v>5899</v>
      </c>
      <c r="B78" s="14">
        <v>1031128</v>
      </c>
      <c r="C78" s="14">
        <v>0</v>
      </c>
      <c r="D78" s="14" t="s">
        <v>15708</v>
      </c>
      <c r="E78" s="14" t="s">
        <v>2546</v>
      </c>
      <c r="F78" s="14" t="s">
        <v>96</v>
      </c>
      <c r="G78" s="18" t="s">
        <v>10648</v>
      </c>
      <c r="H78" s="18" t="s">
        <v>98</v>
      </c>
      <c r="I78" s="14" t="s">
        <v>29186</v>
      </c>
      <c r="J78" s="14">
        <v>1</v>
      </c>
      <c r="K78" s="14">
        <v>0</v>
      </c>
      <c r="L78" s="14" t="s">
        <v>29187</v>
      </c>
      <c r="M78" s="19" t="s">
        <v>101</v>
      </c>
      <c r="N78" s="14" t="s">
        <v>29188</v>
      </c>
      <c r="O78" s="14" t="s">
        <v>19287</v>
      </c>
      <c r="P78" s="14" t="str">
        <f>HYPERLINK("https://dexscreener.com/solana/GLz7XZbAuqakNKqpheYFZfkj7gcY3K3RxFLQPqFpump", "View")</f>
        <v>View</v>
      </c>
    </row>
    <row r="79" spans="1:16" x14ac:dyDescent="0.25">
      <c r="A79" s="16" t="s">
        <v>28415</v>
      </c>
      <c r="B79" s="17">
        <v>862996</v>
      </c>
      <c r="C79" s="17">
        <v>499099</v>
      </c>
      <c r="D79" s="17" t="s">
        <v>10987</v>
      </c>
      <c r="E79" s="17" t="s">
        <v>17907</v>
      </c>
      <c r="F79" s="17" t="s">
        <v>29189</v>
      </c>
      <c r="G79" s="20" t="s">
        <v>13583</v>
      </c>
      <c r="H79" s="20" t="s">
        <v>29190</v>
      </c>
      <c r="I79" s="17" t="s">
        <v>88</v>
      </c>
      <c r="J79" s="17">
        <v>2</v>
      </c>
      <c r="K79" s="17">
        <v>2</v>
      </c>
      <c r="L79" s="17" t="s">
        <v>29191</v>
      </c>
      <c r="M79" s="17" t="s">
        <v>2617</v>
      </c>
      <c r="N79" s="17" t="s">
        <v>29192</v>
      </c>
      <c r="O79" s="17" t="s">
        <v>28419</v>
      </c>
      <c r="P79" s="17" t="str">
        <f>HYPERLINK("https://dexscreener.com/solana/5Uzw4pxZuHfrcMsrZgkjMeyk7WGnj6gFwn1bGqitpump", "View")</f>
        <v>View</v>
      </c>
    </row>
    <row r="80" spans="1:16" x14ac:dyDescent="0.25">
      <c r="A80" s="13" t="s">
        <v>29193</v>
      </c>
      <c r="B80" s="14">
        <v>1306134</v>
      </c>
      <c r="C80" s="14">
        <v>0</v>
      </c>
      <c r="D80" s="14" t="s">
        <v>15708</v>
      </c>
      <c r="E80" s="14" t="s">
        <v>2546</v>
      </c>
      <c r="F80" s="14" t="s">
        <v>96</v>
      </c>
      <c r="G80" s="18" t="s">
        <v>10648</v>
      </c>
      <c r="H80" s="18" t="s">
        <v>98</v>
      </c>
      <c r="I80" s="14" t="s">
        <v>29194</v>
      </c>
      <c r="J80" s="14">
        <v>1</v>
      </c>
      <c r="K80" s="14">
        <v>0</v>
      </c>
      <c r="L80" s="14" t="s">
        <v>29195</v>
      </c>
      <c r="M80" s="19" t="s">
        <v>101</v>
      </c>
      <c r="N80" s="14" t="s">
        <v>29196</v>
      </c>
      <c r="O80" s="14" t="s">
        <v>29197</v>
      </c>
      <c r="P80" s="14" t="str">
        <f>HYPERLINK("https://dexscreener.com/solana/6JQfi4zU2P6pBXJvRoatTngwnc4VLF1HKiR6K2gkpump", "View")</f>
        <v>View</v>
      </c>
    </row>
    <row r="81" spans="1:16" x14ac:dyDescent="0.25">
      <c r="A81" s="16" t="s">
        <v>29198</v>
      </c>
      <c r="B81" s="17">
        <v>41069</v>
      </c>
      <c r="C81" s="17">
        <v>0</v>
      </c>
      <c r="D81" s="17" t="s">
        <v>15708</v>
      </c>
      <c r="E81" s="17" t="s">
        <v>17907</v>
      </c>
      <c r="F81" s="17" t="s">
        <v>96</v>
      </c>
      <c r="G81" s="18" t="s">
        <v>17908</v>
      </c>
      <c r="H81" s="18" t="s">
        <v>98</v>
      </c>
      <c r="I81" s="17" t="s">
        <v>29199</v>
      </c>
      <c r="J81" s="17">
        <v>1</v>
      </c>
      <c r="K81" s="17">
        <v>0</v>
      </c>
      <c r="L81" s="17" t="s">
        <v>29200</v>
      </c>
      <c r="M81" s="19" t="s">
        <v>101</v>
      </c>
      <c r="N81" s="17" t="s">
        <v>507</v>
      </c>
      <c r="O81" s="17" t="s">
        <v>29201</v>
      </c>
      <c r="P81" s="17" t="str">
        <f>HYPERLINK("https://dexscreener.com/solana/q8BbQ4bFssfpCra5krgAp9bFELTy1ZGZawLrsT9pump", "View")</f>
        <v>View</v>
      </c>
    </row>
    <row r="82" spans="1:16" x14ac:dyDescent="0.25">
      <c r="A82" s="13" t="s">
        <v>25490</v>
      </c>
      <c r="B82" s="14">
        <v>14534</v>
      </c>
      <c r="C82" s="14">
        <v>0</v>
      </c>
      <c r="D82" s="14" t="s">
        <v>4754</v>
      </c>
      <c r="E82" s="14" t="s">
        <v>2546</v>
      </c>
      <c r="F82" s="14" t="s">
        <v>96</v>
      </c>
      <c r="G82" s="18" t="s">
        <v>10648</v>
      </c>
      <c r="H82" s="18" t="s">
        <v>98</v>
      </c>
      <c r="I82" s="14" t="s">
        <v>29202</v>
      </c>
      <c r="J82" s="14">
        <v>1</v>
      </c>
      <c r="K82" s="14">
        <v>0</v>
      </c>
      <c r="L82" s="14" t="s">
        <v>29203</v>
      </c>
      <c r="M82" s="19" t="s">
        <v>101</v>
      </c>
      <c r="N82" s="14" t="s">
        <v>29204</v>
      </c>
      <c r="O82" s="14" t="s">
        <v>25494</v>
      </c>
      <c r="P82" s="14" t="str">
        <f>HYPERLINK("https://dexscreener.com/solana/BkVeSP2GsXV3AYoRJBSZTpFE8sXmcuGnRQcFgoWspump", "View")</f>
        <v>View</v>
      </c>
    </row>
    <row r="83" spans="1:16" x14ac:dyDescent="0.25">
      <c r="A83" s="16" t="s">
        <v>25880</v>
      </c>
      <c r="B83" s="17">
        <v>147261</v>
      </c>
      <c r="C83" s="17">
        <v>0</v>
      </c>
      <c r="D83" s="17" t="s">
        <v>18981</v>
      </c>
      <c r="E83" s="17" t="s">
        <v>2546</v>
      </c>
      <c r="F83" s="17" t="s">
        <v>96</v>
      </c>
      <c r="G83" s="18" t="s">
        <v>10648</v>
      </c>
      <c r="H83" s="18" t="s">
        <v>98</v>
      </c>
      <c r="I83" s="17" t="s">
        <v>29205</v>
      </c>
      <c r="J83" s="17">
        <v>1</v>
      </c>
      <c r="K83" s="17">
        <v>0</v>
      </c>
      <c r="L83" s="17" t="s">
        <v>29206</v>
      </c>
      <c r="M83" s="19" t="s">
        <v>101</v>
      </c>
      <c r="N83" s="17" t="s">
        <v>19765</v>
      </c>
      <c r="O83" s="17" t="s">
        <v>25884</v>
      </c>
      <c r="P83" s="17" t="str">
        <f>HYPERLINK("https://dexscreener.com/solana/CB48KiK1oi1tWtjmPWxVR2NPeEr9ewzmZQ8ERk79Ue4b", "View")</f>
        <v>View</v>
      </c>
    </row>
    <row r="84" spans="1:16" x14ac:dyDescent="0.25">
      <c r="A84" s="13" t="s">
        <v>19586</v>
      </c>
      <c r="B84" s="14">
        <v>50648</v>
      </c>
      <c r="C84" s="14">
        <v>0</v>
      </c>
      <c r="D84" s="14" t="s">
        <v>4754</v>
      </c>
      <c r="E84" s="14" t="s">
        <v>2546</v>
      </c>
      <c r="F84" s="14" t="s">
        <v>96</v>
      </c>
      <c r="G84" s="18" t="s">
        <v>10648</v>
      </c>
      <c r="H84" s="18" t="s">
        <v>98</v>
      </c>
      <c r="I84" s="14" t="s">
        <v>29207</v>
      </c>
      <c r="J84" s="14">
        <v>1</v>
      </c>
      <c r="K84" s="14">
        <v>0</v>
      </c>
      <c r="L84" s="14" t="s">
        <v>29208</v>
      </c>
      <c r="M84" s="19" t="s">
        <v>101</v>
      </c>
      <c r="N84" s="14" t="s">
        <v>18928</v>
      </c>
      <c r="O84" s="14" t="s">
        <v>19592</v>
      </c>
      <c r="P84" s="14" t="str">
        <f>HYPERLINK("https://dexscreener.com/solana/Dogg6xWSgkF8KbsHkTWD3Et4J9a8VBLZjrASURXGiLe1", "View")</f>
        <v>View</v>
      </c>
    </row>
    <row r="85" spans="1:16" x14ac:dyDescent="0.25">
      <c r="A85" s="16" t="s">
        <v>25841</v>
      </c>
      <c r="B85" s="17">
        <v>2438263</v>
      </c>
      <c r="C85" s="17">
        <v>938000</v>
      </c>
      <c r="D85" s="17" t="s">
        <v>29209</v>
      </c>
      <c r="E85" s="17" t="s">
        <v>2546</v>
      </c>
      <c r="F85" s="17" t="s">
        <v>29210</v>
      </c>
      <c r="G85" s="22" t="s">
        <v>4694</v>
      </c>
      <c r="H85" s="22" t="s">
        <v>29211</v>
      </c>
      <c r="I85" s="17" t="s">
        <v>88</v>
      </c>
      <c r="J85" s="17">
        <v>1</v>
      </c>
      <c r="K85" s="17">
        <v>2</v>
      </c>
      <c r="L85" s="17" t="s">
        <v>29212</v>
      </c>
      <c r="M85" s="17" t="s">
        <v>5644</v>
      </c>
      <c r="N85" s="17" t="s">
        <v>29213</v>
      </c>
      <c r="O85" s="17" t="s">
        <v>25845</v>
      </c>
      <c r="P85" s="17" t="str">
        <f>HYPERLINK("https://dexscreener.com/solana/D7L1XbVQqmnKFHhNABnNwGiqKxoDbpVw12V2bciKpump", "View")</f>
        <v>View</v>
      </c>
    </row>
    <row r="86" spans="1:16" x14ac:dyDescent="0.25">
      <c r="A86" s="13" t="s">
        <v>29214</v>
      </c>
      <c r="B86" s="14">
        <v>559416</v>
      </c>
      <c r="C86" s="14">
        <v>441305</v>
      </c>
      <c r="D86" s="14" t="s">
        <v>22315</v>
      </c>
      <c r="E86" s="14" t="s">
        <v>2793</v>
      </c>
      <c r="F86" s="14" t="s">
        <v>29215</v>
      </c>
      <c r="G86" s="15" t="s">
        <v>29216</v>
      </c>
      <c r="H86" s="15" t="s">
        <v>29217</v>
      </c>
      <c r="I86" s="14" t="s">
        <v>88</v>
      </c>
      <c r="J86" s="14">
        <v>1</v>
      </c>
      <c r="K86" s="14">
        <v>1</v>
      </c>
      <c r="L86" s="14" t="s">
        <v>29218</v>
      </c>
      <c r="M86" s="14" t="s">
        <v>132</v>
      </c>
      <c r="N86" s="14" t="s">
        <v>29219</v>
      </c>
      <c r="O86" s="14" t="s">
        <v>29220</v>
      </c>
      <c r="P86" s="14" t="str">
        <f>HYPERLINK("https://dexscreener.com/solana/8QP6tVPFBWGqYY4wDX4rMhzKAbm3E7awRAiTWC1UXqLc", "View")</f>
        <v>View</v>
      </c>
    </row>
    <row r="87" spans="1:16" x14ac:dyDescent="0.25">
      <c r="A87" s="16" t="s">
        <v>25831</v>
      </c>
      <c r="B87" s="17">
        <v>26180</v>
      </c>
      <c r="C87" s="17">
        <v>0</v>
      </c>
      <c r="D87" s="17" t="s">
        <v>4754</v>
      </c>
      <c r="E87" s="17" t="s">
        <v>2546</v>
      </c>
      <c r="F87" s="17" t="s">
        <v>96</v>
      </c>
      <c r="G87" s="18" t="s">
        <v>10648</v>
      </c>
      <c r="H87" s="18" t="s">
        <v>98</v>
      </c>
      <c r="I87" s="17" t="s">
        <v>29221</v>
      </c>
      <c r="J87" s="17">
        <v>1</v>
      </c>
      <c r="K87" s="17">
        <v>0</v>
      </c>
      <c r="L87" s="17" t="s">
        <v>29222</v>
      </c>
      <c r="M87" s="19" t="s">
        <v>101</v>
      </c>
      <c r="N87" s="17" t="s">
        <v>29223</v>
      </c>
      <c r="O87" s="17" t="s">
        <v>25835</v>
      </c>
      <c r="P87" s="17" t="str">
        <f>HYPERLINK("https://dexscreener.com/solana/2eCVVZ4tomqn4eyuA9Gh5PSKrjNXGwgMhPALGtAkpump", "View")</f>
        <v>View</v>
      </c>
    </row>
    <row r="88" spans="1:16" x14ac:dyDescent="0.25">
      <c r="A88" s="13" t="s">
        <v>15136</v>
      </c>
      <c r="B88" s="14">
        <v>564454</v>
      </c>
      <c r="C88" s="14">
        <v>0</v>
      </c>
      <c r="D88" s="14" t="s">
        <v>4754</v>
      </c>
      <c r="E88" s="14" t="s">
        <v>19456</v>
      </c>
      <c r="F88" s="14" t="s">
        <v>96</v>
      </c>
      <c r="G88" s="18" t="s">
        <v>29224</v>
      </c>
      <c r="H88" s="18" t="s">
        <v>98</v>
      </c>
      <c r="I88" s="14" t="s">
        <v>29225</v>
      </c>
      <c r="J88" s="14">
        <v>1</v>
      </c>
      <c r="K88" s="14">
        <v>0</v>
      </c>
      <c r="L88" s="14" t="s">
        <v>29226</v>
      </c>
      <c r="M88" s="19" t="s">
        <v>101</v>
      </c>
      <c r="N88" s="14" t="s">
        <v>507</v>
      </c>
      <c r="O88" s="14" t="s">
        <v>29227</v>
      </c>
      <c r="P88" s="14" t="str">
        <f>HYPERLINK("https://dexscreener.com/solana/9o81cWB4kAWZ1hxxpakTsCTorJAwehPtxDKxMA564poi", "View")</f>
        <v>View</v>
      </c>
    </row>
    <row r="89" spans="1:16" x14ac:dyDescent="0.25">
      <c r="A89" s="16" t="s">
        <v>29228</v>
      </c>
      <c r="B89" s="17">
        <v>1253618</v>
      </c>
      <c r="C89" s="17">
        <v>1250000</v>
      </c>
      <c r="D89" s="17" t="s">
        <v>29209</v>
      </c>
      <c r="E89" s="17" t="s">
        <v>19523</v>
      </c>
      <c r="F89" s="17" t="s">
        <v>20083</v>
      </c>
      <c r="G89" s="15" t="s">
        <v>15199</v>
      </c>
      <c r="H89" s="15" t="s">
        <v>29229</v>
      </c>
      <c r="I89" s="17" t="s">
        <v>88</v>
      </c>
      <c r="J89" s="17">
        <v>2</v>
      </c>
      <c r="K89" s="17">
        <v>1</v>
      </c>
      <c r="L89" s="17" t="s">
        <v>29230</v>
      </c>
      <c r="M89" s="17" t="s">
        <v>680</v>
      </c>
      <c r="N89" s="17" t="s">
        <v>29231</v>
      </c>
      <c r="O89" s="17" t="s">
        <v>29232</v>
      </c>
      <c r="P89" s="17" t="str">
        <f>HYPERLINK("https://dexscreener.com/solana/A6EjZ7vd8iaoWQ6Sixm3o1txbShbBrPFqqerh7AYpump", "View")</f>
        <v>View</v>
      </c>
    </row>
    <row r="90" spans="1:16" x14ac:dyDescent="0.25">
      <c r="A90" s="13" t="s">
        <v>29233</v>
      </c>
      <c r="B90" s="14">
        <v>2861442</v>
      </c>
      <c r="C90" s="14">
        <v>0</v>
      </c>
      <c r="D90" s="14" t="s">
        <v>4754</v>
      </c>
      <c r="E90" s="14" t="s">
        <v>20672</v>
      </c>
      <c r="F90" s="14" t="s">
        <v>96</v>
      </c>
      <c r="G90" s="18" t="s">
        <v>21136</v>
      </c>
      <c r="H90" s="18" t="s">
        <v>98</v>
      </c>
      <c r="I90" s="14" t="s">
        <v>29234</v>
      </c>
      <c r="J90" s="14">
        <v>1</v>
      </c>
      <c r="K90" s="14">
        <v>0</v>
      </c>
      <c r="L90" s="14" t="s">
        <v>29235</v>
      </c>
      <c r="M90" s="19" t="s">
        <v>101</v>
      </c>
      <c r="N90" s="14" t="s">
        <v>29236</v>
      </c>
      <c r="O90" s="14" t="s">
        <v>29237</v>
      </c>
      <c r="P90" s="14" t="str">
        <f>HYPERLINK("https://dexscreener.com/solana/DXFQZR1DaGHxEKDRDT2Na7EU4CnNDYJBAhL1rddKpump", "View")</f>
        <v>View</v>
      </c>
    </row>
    <row r="91" spans="1:16" x14ac:dyDescent="0.25">
      <c r="A91" s="16" t="s">
        <v>29238</v>
      </c>
      <c r="B91" s="17">
        <v>501560</v>
      </c>
      <c r="C91" s="17">
        <v>0</v>
      </c>
      <c r="D91" s="17" t="s">
        <v>4754</v>
      </c>
      <c r="E91" s="17" t="s">
        <v>15009</v>
      </c>
      <c r="F91" s="17" t="s">
        <v>96</v>
      </c>
      <c r="G91" s="18" t="s">
        <v>29239</v>
      </c>
      <c r="H91" s="18" t="s">
        <v>98</v>
      </c>
      <c r="I91" s="17" t="s">
        <v>29240</v>
      </c>
      <c r="J91" s="17">
        <v>1</v>
      </c>
      <c r="K91" s="17">
        <v>0</v>
      </c>
      <c r="L91" s="17" t="s">
        <v>29241</v>
      </c>
      <c r="M91" s="19" t="s">
        <v>101</v>
      </c>
      <c r="N91" s="17" t="s">
        <v>507</v>
      </c>
      <c r="O91" s="17" t="s">
        <v>29242</v>
      </c>
      <c r="P91" s="17" t="str">
        <f>HYPERLINK("https://dexscreener.com/solana/2fsJzjj5WmPuwbkK172js9J5pDU6RmycsaW4GyFYyaz6", "View")</f>
        <v>View</v>
      </c>
    </row>
    <row r="92" spans="1:16" x14ac:dyDescent="0.25">
      <c r="A92" s="13" t="s">
        <v>18915</v>
      </c>
      <c r="B92" s="14">
        <v>3768333</v>
      </c>
      <c r="C92" s="14">
        <v>3768332</v>
      </c>
      <c r="D92" s="14" t="s">
        <v>832</v>
      </c>
      <c r="E92" s="14" t="s">
        <v>29243</v>
      </c>
      <c r="F92" s="14" t="s">
        <v>2304</v>
      </c>
      <c r="G92" s="20" t="s">
        <v>29244</v>
      </c>
      <c r="H92" s="20" t="s">
        <v>13607</v>
      </c>
      <c r="I92" s="14" t="s">
        <v>88</v>
      </c>
      <c r="J92" s="14">
        <v>2</v>
      </c>
      <c r="K92" s="14">
        <v>3</v>
      </c>
      <c r="L92" s="14" t="s">
        <v>29245</v>
      </c>
      <c r="M92" s="14" t="s">
        <v>656</v>
      </c>
      <c r="N92" s="14" t="s">
        <v>29246</v>
      </c>
      <c r="O92" s="14" t="s">
        <v>18919</v>
      </c>
      <c r="P92" s="14" t="str">
        <f>HYPERLINK("https://dexscreener.com/solana/FJLehYsTWsdXP42tgixCvNzMN5PiWkHKNKfFPcCmpump", "View")</f>
        <v>View</v>
      </c>
    </row>
    <row r="93" spans="1:16" x14ac:dyDescent="0.25">
      <c r="A93" s="16" t="s">
        <v>29247</v>
      </c>
      <c r="B93" s="17">
        <v>7494</v>
      </c>
      <c r="C93" s="17">
        <v>0</v>
      </c>
      <c r="D93" s="17" t="s">
        <v>4754</v>
      </c>
      <c r="E93" s="17" t="s">
        <v>29243</v>
      </c>
      <c r="F93" s="17" t="s">
        <v>96</v>
      </c>
      <c r="G93" s="18" t="s">
        <v>29248</v>
      </c>
      <c r="H93" s="18" t="s">
        <v>98</v>
      </c>
      <c r="I93" s="17" t="s">
        <v>29249</v>
      </c>
      <c r="J93" s="17">
        <v>1</v>
      </c>
      <c r="K93" s="17">
        <v>0</v>
      </c>
      <c r="L93" s="17" t="s">
        <v>29250</v>
      </c>
      <c r="M93" s="19" t="s">
        <v>101</v>
      </c>
      <c r="N93" s="17" t="s">
        <v>29251</v>
      </c>
      <c r="O93" s="17" t="s">
        <v>29252</v>
      </c>
      <c r="P93" s="17" t="str">
        <f>HYPERLINK("https://dexscreener.com/solana/2JcXacFwt9mVAwBQ5nZkYwCyXQkRcdsYrDXn6hj22SbP", "View")</f>
        <v>View</v>
      </c>
    </row>
    <row r="94" spans="1:16" x14ac:dyDescent="0.25">
      <c r="A94" s="13" t="s">
        <v>8679</v>
      </c>
      <c r="B94" s="14">
        <v>77349</v>
      </c>
      <c r="C94" s="14">
        <v>0</v>
      </c>
      <c r="D94" s="14" t="s">
        <v>4754</v>
      </c>
      <c r="E94" s="14" t="s">
        <v>29253</v>
      </c>
      <c r="F94" s="14" t="s">
        <v>96</v>
      </c>
      <c r="G94" s="18" t="s">
        <v>29254</v>
      </c>
      <c r="H94" s="18" t="s">
        <v>98</v>
      </c>
      <c r="I94" s="14" t="s">
        <v>29255</v>
      </c>
      <c r="J94" s="14">
        <v>1</v>
      </c>
      <c r="K94" s="14">
        <v>0</v>
      </c>
      <c r="L94" s="14" t="s">
        <v>29256</v>
      </c>
      <c r="M94" s="19" t="s">
        <v>101</v>
      </c>
      <c r="N94" s="14" t="s">
        <v>29204</v>
      </c>
      <c r="O94" s="14" t="s">
        <v>29257</v>
      </c>
      <c r="P94" s="14" t="str">
        <f>HYPERLINK("https://dexscreener.com/solana/EATGZHJViJsk7nEKkrdJicwNbfpkJfAtmrEmrjXR8NBj", "View")</f>
        <v>View</v>
      </c>
    </row>
    <row r="95" spans="1:16" x14ac:dyDescent="0.25">
      <c r="A95" s="16" t="s">
        <v>11117</v>
      </c>
      <c r="B95" s="17">
        <v>105540</v>
      </c>
      <c r="C95" s="17">
        <v>0</v>
      </c>
      <c r="D95" s="17" t="s">
        <v>4754</v>
      </c>
      <c r="E95" s="17" t="s">
        <v>2546</v>
      </c>
      <c r="F95" s="17" t="s">
        <v>96</v>
      </c>
      <c r="G95" s="18" t="s">
        <v>10648</v>
      </c>
      <c r="H95" s="18" t="s">
        <v>98</v>
      </c>
      <c r="I95" s="17" t="s">
        <v>29258</v>
      </c>
      <c r="J95" s="17">
        <v>1</v>
      </c>
      <c r="K95" s="17">
        <v>0</v>
      </c>
      <c r="L95" s="17" t="s">
        <v>29259</v>
      </c>
      <c r="M95" s="19" t="s">
        <v>101</v>
      </c>
      <c r="N95" s="17" t="s">
        <v>29260</v>
      </c>
      <c r="O95" s="17" t="s">
        <v>25437</v>
      </c>
      <c r="P95" s="17" t="str">
        <f>HYPERLINK("https://dexscreener.com/solana/RodhH2Xivnpt9AjK1ZniRap6TTcK1yx9CJmZ5zqPipo", "View")</f>
        <v>View</v>
      </c>
    </row>
    <row r="96" spans="1:16" x14ac:dyDescent="0.25">
      <c r="A96" s="13" t="s">
        <v>29261</v>
      </c>
      <c r="B96" s="14">
        <v>3556143</v>
      </c>
      <c r="C96" s="14">
        <v>0</v>
      </c>
      <c r="D96" s="14" t="s">
        <v>28091</v>
      </c>
      <c r="E96" s="14" t="s">
        <v>1007</v>
      </c>
      <c r="F96" s="14" t="s">
        <v>96</v>
      </c>
      <c r="G96" s="18" t="s">
        <v>1008</v>
      </c>
      <c r="H96" s="18" t="s">
        <v>98</v>
      </c>
      <c r="I96" s="14" t="s">
        <v>29262</v>
      </c>
      <c r="J96" s="14">
        <v>1</v>
      </c>
      <c r="K96" s="14">
        <v>0</v>
      </c>
      <c r="L96" s="14" t="s">
        <v>29263</v>
      </c>
      <c r="M96" s="19" t="s">
        <v>101</v>
      </c>
      <c r="N96" s="14" t="s">
        <v>29264</v>
      </c>
      <c r="O96" s="14" t="s">
        <v>29265</v>
      </c>
      <c r="P96" s="14" t="str">
        <f>HYPERLINK("https://dexscreener.com/solana/BqsE4AhFY1AoakyQXYWGRW8W8om94cBQ81wyKsZGkZEx", "View")</f>
        <v>View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44E-21D1-4BE5-8A17-7533981CEC48}">
  <dimension ref="A1:P43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HYPERLINK("https://gmgn.ai/sol/address/5FA9hUrwhpyKD9KipvtvpUTR6TqQ6mgHWNMS8EPqRQEj", "GMGN")</f>
        <v>GMGN</v>
      </c>
    </row>
    <row r="2" spans="1:14" x14ac:dyDescent="0.25">
      <c r="A2" s="3" t="s">
        <v>29266</v>
      </c>
      <c r="B2" s="3" t="s">
        <v>29267</v>
      </c>
      <c r="C2" s="3" t="s">
        <v>9638</v>
      </c>
      <c r="D2" s="3" t="s">
        <v>29268</v>
      </c>
      <c r="E2" s="3" t="s">
        <v>29269</v>
      </c>
      <c r="F2" s="3" t="s">
        <v>17988</v>
      </c>
      <c r="G2" s="3" t="s">
        <v>18</v>
      </c>
      <c r="H2" s="3">
        <v>24</v>
      </c>
      <c r="I2" s="3">
        <v>0</v>
      </c>
      <c r="J2" s="3" t="s">
        <v>479</v>
      </c>
      <c r="K2" s="3" t="s">
        <v>788</v>
      </c>
      <c r="L2" s="3">
        <v>16</v>
      </c>
      <c r="M2" s="3">
        <v>17</v>
      </c>
      <c r="N2" s="3" t="str">
        <f>HYPERLINK("https://solscan.io/account/5FA9hUrwhpyKD9KipvtvpUTR6TqQ6mgHWNMS8EPqRQEj", "Solscan")</f>
        <v>Solscan</v>
      </c>
    </row>
    <row r="3" spans="1:14" x14ac:dyDescent="0.25">
      <c r="A3" s="1" t="s">
        <v>21</v>
      </c>
      <c r="B3" s="4" t="s">
        <v>29270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HYPERLINK("https://birdeye.so/profile/5FA9hUrwhpyKD9KipvtvpUTR6TqQ6mgHWNMS8EPqRQEj", "Birdeye")</f>
        <v>Birdeye</v>
      </c>
    </row>
    <row r="4" spans="1:14" x14ac:dyDescent="0.25">
      <c r="A4" s="1" t="s">
        <v>25</v>
      </c>
      <c r="B4" s="3" t="s">
        <v>16590</v>
      </c>
      <c r="C4" s="3"/>
      <c r="D4" s="3" t="s">
        <v>8457</v>
      </c>
      <c r="E4" s="3" t="s">
        <v>26712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9497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3</v>
      </c>
      <c r="D10" s="1">
        <v>1</v>
      </c>
      <c r="E10" s="1">
        <v>5</v>
      </c>
      <c r="F10" s="1">
        <v>5</v>
      </c>
      <c r="G10" s="1">
        <v>7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17854</v>
      </c>
      <c r="C11" s="1" t="s">
        <v>17854</v>
      </c>
      <c r="D11" s="1" t="s">
        <v>17853</v>
      </c>
      <c r="E11" s="1" t="s">
        <v>17855</v>
      </c>
      <c r="F11" s="1" t="s">
        <v>17855</v>
      </c>
      <c r="G11" s="1" t="s">
        <v>29271</v>
      </c>
      <c r="H11" s="3"/>
      <c r="I11" s="3" t="s">
        <v>50</v>
      </c>
      <c r="J11" s="3" t="s">
        <v>19667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29272</v>
      </c>
      <c r="C12" s="1" t="s">
        <v>9494</v>
      </c>
      <c r="D12" s="1" t="s">
        <v>22699</v>
      </c>
      <c r="E12" s="1" t="s">
        <v>19663</v>
      </c>
      <c r="F12" s="1" t="s">
        <v>13990</v>
      </c>
      <c r="G12" s="1" t="s">
        <v>8607</v>
      </c>
      <c r="H12" s="3"/>
      <c r="I12" s="3" t="s">
        <v>59</v>
      </c>
      <c r="J12" s="3" t="s">
        <v>1777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1583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29273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20387</v>
      </c>
      <c r="B20" s="14">
        <v>2638629</v>
      </c>
      <c r="C20" s="14">
        <v>2638629</v>
      </c>
      <c r="D20" s="14" t="s">
        <v>28651</v>
      </c>
      <c r="E20" s="14" t="s">
        <v>1457</v>
      </c>
      <c r="F20" s="14" t="s">
        <v>29274</v>
      </c>
      <c r="G20" s="21" t="s">
        <v>29275</v>
      </c>
      <c r="H20" s="21" t="s">
        <v>29276</v>
      </c>
      <c r="I20" s="14" t="s">
        <v>88</v>
      </c>
      <c r="J20" s="14">
        <v>1</v>
      </c>
      <c r="K20" s="14">
        <v>1</v>
      </c>
      <c r="L20" s="14" t="s">
        <v>29277</v>
      </c>
      <c r="M20" s="14" t="s">
        <v>179</v>
      </c>
      <c r="N20" s="14" t="s">
        <v>29278</v>
      </c>
      <c r="O20" s="14" t="s">
        <v>20392</v>
      </c>
      <c r="P20" s="14" t="str">
        <f>HYPERLINK("https://dexscreener.com/solana/Fy4DC1btDJnDtqs7zaEoxTyeZWsGBNPcmnFANFgmpump", "View")</f>
        <v>View</v>
      </c>
    </row>
    <row r="21" spans="1:16" x14ac:dyDescent="0.25">
      <c r="A21" s="16" t="s">
        <v>2842</v>
      </c>
      <c r="B21" s="17">
        <v>748595</v>
      </c>
      <c r="C21" s="17">
        <v>0</v>
      </c>
      <c r="D21" s="17" t="s">
        <v>1762</v>
      </c>
      <c r="E21" s="17" t="s">
        <v>1457</v>
      </c>
      <c r="F21" s="17" t="s">
        <v>96</v>
      </c>
      <c r="G21" s="18" t="s">
        <v>29279</v>
      </c>
      <c r="H21" s="18" t="s">
        <v>98</v>
      </c>
      <c r="I21" s="17" t="s">
        <v>29280</v>
      </c>
      <c r="J21" s="17">
        <v>1</v>
      </c>
      <c r="K21" s="17">
        <v>0</v>
      </c>
      <c r="L21" s="17" t="s">
        <v>29281</v>
      </c>
      <c r="M21" s="19" t="s">
        <v>101</v>
      </c>
      <c r="N21" s="17" t="s">
        <v>29282</v>
      </c>
      <c r="O21" s="17" t="s">
        <v>29283</v>
      </c>
      <c r="P21" s="17" t="str">
        <f>HYPERLINK("https://dexscreener.com/solana/CATSo3iPhKCJX8xxshgSMH2hhijnc22VJWNcqKNHwRMk", "View")</f>
        <v>View</v>
      </c>
    </row>
    <row r="22" spans="1:16" x14ac:dyDescent="0.25">
      <c r="A22" s="13" t="s">
        <v>2206</v>
      </c>
      <c r="B22" s="14">
        <v>12568522</v>
      </c>
      <c r="C22" s="14">
        <v>12568522</v>
      </c>
      <c r="D22" s="14" t="s">
        <v>1595</v>
      </c>
      <c r="E22" s="14" t="s">
        <v>2895</v>
      </c>
      <c r="F22" s="14" t="s">
        <v>24353</v>
      </c>
      <c r="G22" s="20" t="s">
        <v>18138</v>
      </c>
      <c r="H22" s="20" t="s">
        <v>29284</v>
      </c>
      <c r="I22" s="14" t="s">
        <v>88</v>
      </c>
      <c r="J22" s="14">
        <v>1</v>
      </c>
      <c r="K22" s="14">
        <v>1</v>
      </c>
      <c r="L22" s="14" t="s">
        <v>29285</v>
      </c>
      <c r="M22" s="14" t="s">
        <v>2047</v>
      </c>
      <c r="N22" s="14" t="s">
        <v>29286</v>
      </c>
      <c r="O22" s="14" t="s">
        <v>2212</v>
      </c>
      <c r="P22" s="14" t="str">
        <f>HYPERLINK("https://photon-sol.tinyastro.io/en/lp/PN9VFZeyu77UKuyXZHvR3x69dYZxcjwstKFmzmepump?handle=676050794bc1b1657a56b", "View")</f>
        <v>View</v>
      </c>
    </row>
    <row r="23" spans="1:16" x14ac:dyDescent="0.25">
      <c r="A23" s="16" t="s">
        <v>29287</v>
      </c>
      <c r="B23" s="17">
        <v>4292764</v>
      </c>
      <c r="C23" s="17">
        <v>4292764</v>
      </c>
      <c r="D23" s="17" t="s">
        <v>1595</v>
      </c>
      <c r="E23" s="17" t="s">
        <v>19697</v>
      </c>
      <c r="F23" s="17" t="s">
        <v>5752</v>
      </c>
      <c r="G23" s="15" t="s">
        <v>29288</v>
      </c>
      <c r="H23" s="15" t="s">
        <v>29289</v>
      </c>
      <c r="I23" s="17" t="s">
        <v>88</v>
      </c>
      <c r="J23" s="17">
        <v>1</v>
      </c>
      <c r="K23" s="17">
        <v>1</v>
      </c>
      <c r="L23" s="17" t="s">
        <v>29290</v>
      </c>
      <c r="M23" s="17" t="s">
        <v>1957</v>
      </c>
      <c r="N23" s="17" t="s">
        <v>29291</v>
      </c>
      <c r="O23" s="17" t="s">
        <v>29292</v>
      </c>
      <c r="P23" s="17" t="str">
        <f>HYPERLINK("https://photon-sol.tinyastro.io/en/lp/FgNJRhSsLa9RMvajHgdbv2oZYykGSUJ4bhfrKZaApump?handle=676050794bc1b1657a56b", "View")</f>
        <v>View</v>
      </c>
    </row>
    <row r="24" spans="1:16" x14ac:dyDescent="0.25">
      <c r="A24" s="13" t="s">
        <v>28650</v>
      </c>
      <c r="B24" s="14">
        <v>31854950</v>
      </c>
      <c r="C24" s="14">
        <v>31854950</v>
      </c>
      <c r="D24" s="14" t="s">
        <v>28651</v>
      </c>
      <c r="E24" s="14" t="s">
        <v>3488</v>
      </c>
      <c r="F24" s="14" t="s">
        <v>2530</v>
      </c>
      <c r="G24" s="20" t="s">
        <v>3061</v>
      </c>
      <c r="H24" s="20" t="s">
        <v>29293</v>
      </c>
      <c r="I24" s="14" t="s">
        <v>88</v>
      </c>
      <c r="J24" s="14">
        <v>1</v>
      </c>
      <c r="K24" s="14">
        <v>1</v>
      </c>
      <c r="L24" s="14" t="s">
        <v>29294</v>
      </c>
      <c r="M24" s="14" t="s">
        <v>1434</v>
      </c>
      <c r="N24" s="14" t="s">
        <v>2308</v>
      </c>
      <c r="O24" s="14" t="s">
        <v>29295</v>
      </c>
      <c r="P24" s="14" t="str">
        <f>HYPERLINK("https://photon-sol.tinyastro.io/en/lp/Ec3SpK5v9HVTutaKk3LuLShkGUBpZTNGN39q7eJ8PvBz?handle=676050794bc1b1657a56b", "View")</f>
        <v>View</v>
      </c>
    </row>
    <row r="25" spans="1:16" x14ac:dyDescent="0.25">
      <c r="A25" s="16" t="s">
        <v>8428</v>
      </c>
      <c r="B25" s="17">
        <v>23286809</v>
      </c>
      <c r="C25" s="17">
        <v>23286809</v>
      </c>
      <c r="D25" s="17" t="s">
        <v>1595</v>
      </c>
      <c r="E25" s="17" t="s">
        <v>8925</v>
      </c>
      <c r="F25" s="17" t="s">
        <v>29296</v>
      </c>
      <c r="G25" s="21" t="s">
        <v>17913</v>
      </c>
      <c r="H25" s="21" t="s">
        <v>29297</v>
      </c>
      <c r="I25" s="17" t="s">
        <v>88</v>
      </c>
      <c r="J25" s="17">
        <v>1</v>
      </c>
      <c r="K25" s="17">
        <v>1</v>
      </c>
      <c r="L25" s="17" t="s">
        <v>29298</v>
      </c>
      <c r="M25" s="17" t="s">
        <v>1705</v>
      </c>
      <c r="N25" s="17" t="s">
        <v>29299</v>
      </c>
      <c r="O25" s="17" t="s">
        <v>8433</v>
      </c>
      <c r="P25" s="17" t="str">
        <f>HYPERLINK("https://photon-sol.tinyastro.io/en/lp/C8Y2WqCM4XKQETd2WaFR63gK2T58YSBRAnGZtghUpump?handle=676050794bc1b1657a56b", "View")</f>
        <v>View</v>
      </c>
    </row>
    <row r="26" spans="1:16" x14ac:dyDescent="0.25">
      <c r="A26" s="13" t="s">
        <v>29300</v>
      </c>
      <c r="B26" s="14">
        <v>7388381</v>
      </c>
      <c r="C26" s="14">
        <v>7388381</v>
      </c>
      <c r="D26" s="14" t="s">
        <v>1595</v>
      </c>
      <c r="E26" s="14" t="s">
        <v>21714</v>
      </c>
      <c r="F26" s="14" t="s">
        <v>9683</v>
      </c>
      <c r="G26" s="15" t="s">
        <v>29301</v>
      </c>
      <c r="H26" s="15" t="s">
        <v>29302</v>
      </c>
      <c r="I26" s="14" t="s">
        <v>88</v>
      </c>
      <c r="J26" s="14">
        <v>1</v>
      </c>
      <c r="K26" s="14">
        <v>1</v>
      </c>
      <c r="L26" s="14" t="s">
        <v>29303</v>
      </c>
      <c r="M26" s="19" t="s">
        <v>1688</v>
      </c>
      <c r="N26" s="14" t="s">
        <v>2673</v>
      </c>
      <c r="O26" s="14" t="s">
        <v>29304</v>
      </c>
      <c r="P26" s="14" t="str">
        <f>HYPERLINK("https://photon-sol.tinyastro.io/en/lp/wSqBecHDZYSUBgCeHhKBqUR73TYm4CZBoLN1pWspump?handle=676050794bc1b1657a56b", "View")</f>
        <v>View</v>
      </c>
    </row>
    <row r="27" spans="1:16" x14ac:dyDescent="0.25">
      <c r="A27" s="16" t="s">
        <v>29305</v>
      </c>
      <c r="B27" s="17">
        <v>34377658</v>
      </c>
      <c r="C27" s="17">
        <v>34377658</v>
      </c>
      <c r="D27" s="17" t="s">
        <v>1595</v>
      </c>
      <c r="E27" s="17" t="s">
        <v>2108</v>
      </c>
      <c r="F27" s="17" t="s">
        <v>14377</v>
      </c>
      <c r="G27" s="22" t="s">
        <v>5058</v>
      </c>
      <c r="H27" s="22" t="s">
        <v>29306</v>
      </c>
      <c r="I27" s="17" t="s">
        <v>88</v>
      </c>
      <c r="J27" s="17">
        <v>1</v>
      </c>
      <c r="K27" s="17">
        <v>1</v>
      </c>
      <c r="L27" s="17" t="s">
        <v>29307</v>
      </c>
      <c r="M27" s="17" t="s">
        <v>602</v>
      </c>
      <c r="N27" s="17" t="s">
        <v>2308</v>
      </c>
      <c r="O27" s="17" t="s">
        <v>29308</v>
      </c>
      <c r="P27" s="17" t="str">
        <f>HYPERLINK("https://photon-sol.tinyastro.io/en/lp/F2JYLbA1gjHnyfX1oYQJ1y5Tjv318k3Gm1pYWbuzpump?handle=676050794bc1b1657a56b", "View")</f>
        <v>View</v>
      </c>
    </row>
    <row r="28" spans="1:16" x14ac:dyDescent="0.25">
      <c r="A28" s="13" t="s">
        <v>29309</v>
      </c>
      <c r="B28" s="14">
        <v>21297054</v>
      </c>
      <c r="C28" s="14">
        <v>21297054</v>
      </c>
      <c r="D28" s="14" t="s">
        <v>1595</v>
      </c>
      <c r="E28" s="14" t="s">
        <v>29310</v>
      </c>
      <c r="F28" s="14" t="s">
        <v>1831</v>
      </c>
      <c r="G28" s="22" t="s">
        <v>7291</v>
      </c>
      <c r="H28" s="22" t="s">
        <v>23218</v>
      </c>
      <c r="I28" s="14" t="s">
        <v>88</v>
      </c>
      <c r="J28" s="14">
        <v>1</v>
      </c>
      <c r="K28" s="14">
        <v>1</v>
      </c>
      <c r="L28" s="14" t="s">
        <v>29311</v>
      </c>
      <c r="M28" s="14" t="s">
        <v>1434</v>
      </c>
      <c r="N28" s="14" t="s">
        <v>1980</v>
      </c>
      <c r="O28" s="14" t="s">
        <v>29312</v>
      </c>
      <c r="P28" s="14" t="str">
        <f>HYPERLINK("https://photon-sol.tinyastro.io/en/lp/ECgJJmoPb9Zqf6kiXKopZGo7GcCuTSh4G6TkbSsVpump?handle=676050794bc1b1657a56b", "View")</f>
        <v>View</v>
      </c>
    </row>
    <row r="29" spans="1:16" x14ac:dyDescent="0.25">
      <c r="A29" s="16" t="s">
        <v>29313</v>
      </c>
      <c r="B29" s="17">
        <v>5171073</v>
      </c>
      <c r="C29" s="17">
        <v>5171073</v>
      </c>
      <c r="D29" s="17" t="s">
        <v>1595</v>
      </c>
      <c r="E29" s="17" t="s">
        <v>1457</v>
      </c>
      <c r="F29" s="17" t="s">
        <v>29314</v>
      </c>
      <c r="G29" s="22" t="s">
        <v>9553</v>
      </c>
      <c r="H29" s="22" t="s">
        <v>29315</v>
      </c>
      <c r="I29" s="17" t="s">
        <v>88</v>
      </c>
      <c r="J29" s="17">
        <v>1</v>
      </c>
      <c r="K29" s="17">
        <v>1</v>
      </c>
      <c r="L29" s="17" t="s">
        <v>29316</v>
      </c>
      <c r="M29" s="17" t="s">
        <v>1434</v>
      </c>
      <c r="N29" s="17" t="s">
        <v>12038</v>
      </c>
      <c r="O29" s="17" t="s">
        <v>29317</v>
      </c>
      <c r="P29" s="17" t="str">
        <f>HYPERLINK("https://dexscreener.com/solana/6WNDE2xboFPp3TkYXtLBr535oRNpoVAGrpcVffLipump", "View")</f>
        <v>View</v>
      </c>
    </row>
    <row r="30" spans="1:16" x14ac:dyDescent="0.25">
      <c r="A30" s="13" t="s">
        <v>20393</v>
      </c>
      <c r="B30" s="14">
        <v>11770304</v>
      </c>
      <c r="C30" s="14">
        <v>11770304</v>
      </c>
      <c r="D30" s="14" t="s">
        <v>29318</v>
      </c>
      <c r="E30" s="14" t="s">
        <v>2281</v>
      </c>
      <c r="F30" s="14" t="s">
        <v>29319</v>
      </c>
      <c r="G30" s="21" t="s">
        <v>9002</v>
      </c>
      <c r="H30" s="21" t="s">
        <v>29320</v>
      </c>
      <c r="I30" s="14" t="s">
        <v>88</v>
      </c>
      <c r="J30" s="14">
        <v>2</v>
      </c>
      <c r="K30" s="14">
        <v>2</v>
      </c>
      <c r="L30" s="14" t="s">
        <v>29321</v>
      </c>
      <c r="M30" s="14" t="s">
        <v>656</v>
      </c>
      <c r="N30" s="14" t="s">
        <v>29322</v>
      </c>
      <c r="O30" s="14" t="s">
        <v>20399</v>
      </c>
      <c r="P30" s="14" t="str">
        <f>HYPERLINK("https://photon-sol.tinyastro.io/en/lp/DtWz93pDUZe5cYqBFmZjXq1wzZqZPygCeox5d3ajpump?handle=676050794bc1b1657a56b", "View")</f>
        <v>View</v>
      </c>
    </row>
    <row r="31" spans="1:16" x14ac:dyDescent="0.25">
      <c r="A31" s="16" t="s">
        <v>3020</v>
      </c>
      <c r="B31" s="17">
        <v>22542568</v>
      </c>
      <c r="C31" s="17">
        <v>22542568</v>
      </c>
      <c r="D31" s="17" t="s">
        <v>1595</v>
      </c>
      <c r="E31" s="17" t="s">
        <v>27856</v>
      </c>
      <c r="F31" s="17" t="s">
        <v>29323</v>
      </c>
      <c r="G31" s="21" t="s">
        <v>29324</v>
      </c>
      <c r="H31" s="21" t="s">
        <v>29325</v>
      </c>
      <c r="I31" s="17" t="s">
        <v>88</v>
      </c>
      <c r="J31" s="17">
        <v>1</v>
      </c>
      <c r="K31" s="17">
        <v>1</v>
      </c>
      <c r="L31" s="17" t="s">
        <v>29326</v>
      </c>
      <c r="M31" s="17" t="s">
        <v>602</v>
      </c>
      <c r="N31" s="17" t="s">
        <v>29327</v>
      </c>
      <c r="O31" s="17" t="s">
        <v>3027</v>
      </c>
      <c r="P31" s="17" t="str">
        <f>HYPERLINK("https://photon-sol.tinyastro.io/en/lp/Bht6wzQdkTVisYx7Ja8THsLDn4wbHSNqhx8ZsEkupump?handle=676050794bc1b1657a56b", "View")</f>
        <v>View</v>
      </c>
    </row>
    <row r="32" spans="1:16" x14ac:dyDescent="0.25">
      <c r="A32" s="13" t="s">
        <v>20393</v>
      </c>
      <c r="B32" s="14">
        <v>1140816</v>
      </c>
      <c r="C32" s="14">
        <v>1140816</v>
      </c>
      <c r="D32" s="14" t="s">
        <v>1595</v>
      </c>
      <c r="E32" s="14" t="s">
        <v>1457</v>
      </c>
      <c r="F32" s="14" t="s">
        <v>20083</v>
      </c>
      <c r="G32" s="15" t="s">
        <v>29328</v>
      </c>
      <c r="H32" s="15" t="s">
        <v>29329</v>
      </c>
      <c r="I32" s="14" t="s">
        <v>88</v>
      </c>
      <c r="J32" s="14">
        <v>1</v>
      </c>
      <c r="K32" s="14">
        <v>1</v>
      </c>
      <c r="L32" s="14" t="s">
        <v>29330</v>
      </c>
      <c r="M32" s="14" t="s">
        <v>2695</v>
      </c>
      <c r="N32" s="14" t="s">
        <v>29331</v>
      </c>
      <c r="O32" s="14" t="s">
        <v>20404</v>
      </c>
      <c r="P32" s="14" t="str">
        <f>HYPERLINK("https://dexscreener.com/solana/BZasDyB47q8t4TsBDz1QzMEtji5NKcgGD7mWBRjMpump", "View")</f>
        <v>View</v>
      </c>
    </row>
    <row r="33" spans="1:16" x14ac:dyDescent="0.25">
      <c r="A33" s="16" t="s">
        <v>20608</v>
      </c>
      <c r="B33" s="17">
        <v>12865102</v>
      </c>
      <c r="C33" s="17">
        <v>12865102</v>
      </c>
      <c r="D33" s="17" t="s">
        <v>1604</v>
      </c>
      <c r="E33" s="17" t="s">
        <v>22607</v>
      </c>
      <c r="F33" s="17" t="s">
        <v>29332</v>
      </c>
      <c r="G33" s="21" t="s">
        <v>29333</v>
      </c>
      <c r="H33" s="21" t="s">
        <v>29334</v>
      </c>
      <c r="I33" s="17" t="s">
        <v>88</v>
      </c>
      <c r="J33" s="17">
        <v>1</v>
      </c>
      <c r="K33" s="17">
        <v>6</v>
      </c>
      <c r="L33" s="17" t="s">
        <v>29335</v>
      </c>
      <c r="M33" s="17" t="s">
        <v>788</v>
      </c>
      <c r="N33" s="17" t="s">
        <v>29336</v>
      </c>
      <c r="O33" s="17" t="s">
        <v>20612</v>
      </c>
      <c r="P33" s="17" t="str">
        <f>HYPERLINK("https://photon-sol.tinyastro.io/en/lp/6FbHd9DjMQK9ZUFEUaQchNqhfczzVfqqZozNnbqXpump?handle=676050794bc1b1657a56b", "View")</f>
        <v>View</v>
      </c>
    </row>
    <row r="34" spans="1:16" x14ac:dyDescent="0.25">
      <c r="A34" s="13" t="s">
        <v>3130</v>
      </c>
      <c r="B34" s="14">
        <v>12235616</v>
      </c>
      <c r="C34" s="14">
        <v>12235616</v>
      </c>
      <c r="D34" s="14" t="s">
        <v>1595</v>
      </c>
      <c r="E34" s="14" t="s">
        <v>6575</v>
      </c>
      <c r="F34" s="14" t="s">
        <v>29337</v>
      </c>
      <c r="G34" s="21" t="s">
        <v>22452</v>
      </c>
      <c r="H34" s="21" t="s">
        <v>29338</v>
      </c>
      <c r="I34" s="14" t="s">
        <v>88</v>
      </c>
      <c r="J34" s="14">
        <v>1</v>
      </c>
      <c r="K34" s="14">
        <v>1</v>
      </c>
      <c r="L34" s="14" t="s">
        <v>29339</v>
      </c>
      <c r="M34" s="14" t="s">
        <v>1566</v>
      </c>
      <c r="N34" s="14" t="s">
        <v>29340</v>
      </c>
      <c r="O34" s="14" t="s">
        <v>3138</v>
      </c>
      <c r="P34" s="14" t="str">
        <f>HYPERLINK("https://photon-sol.tinyastro.io/en/lp/66b8mPygotxasiWXba7eFSaMXd77g8HaB2yk4F7spump?handle=676050794bc1b1657a56b", "View")</f>
        <v>View</v>
      </c>
    </row>
    <row r="35" spans="1:16" x14ac:dyDescent="0.25">
      <c r="A35" s="16" t="s">
        <v>3160</v>
      </c>
      <c r="B35" s="17">
        <v>22741775</v>
      </c>
      <c r="C35" s="17">
        <v>22741775</v>
      </c>
      <c r="D35" s="17" t="s">
        <v>1646</v>
      </c>
      <c r="E35" s="17" t="s">
        <v>7909</v>
      </c>
      <c r="F35" s="17" t="s">
        <v>29341</v>
      </c>
      <c r="G35" s="20" t="s">
        <v>5747</v>
      </c>
      <c r="H35" s="20" t="s">
        <v>3447</v>
      </c>
      <c r="I35" s="17" t="s">
        <v>88</v>
      </c>
      <c r="J35" s="17">
        <v>2</v>
      </c>
      <c r="K35" s="17">
        <v>1</v>
      </c>
      <c r="L35" s="17" t="s">
        <v>29342</v>
      </c>
      <c r="M35" s="17" t="s">
        <v>2695</v>
      </c>
      <c r="N35" s="17" t="s">
        <v>8940</v>
      </c>
      <c r="O35" s="17" t="s">
        <v>3165</v>
      </c>
      <c r="P35" s="17" t="str">
        <f>HYPERLINK("https://photon-sol.tinyastro.io/en/lp/EgVm5kaF7hn6U8g2gdWrg3hz74LdytvkEHdHwg8fpump?handle=676050794bc1b1657a56b", "View")</f>
        <v>View</v>
      </c>
    </row>
    <row r="36" spans="1:16" x14ac:dyDescent="0.25">
      <c r="A36" s="13" t="s">
        <v>5280</v>
      </c>
      <c r="B36" s="14">
        <v>9158297</v>
      </c>
      <c r="C36" s="14">
        <v>0</v>
      </c>
      <c r="D36" s="14" t="s">
        <v>1762</v>
      </c>
      <c r="E36" s="14" t="s">
        <v>29343</v>
      </c>
      <c r="F36" s="14" t="s">
        <v>96</v>
      </c>
      <c r="G36" s="18" t="s">
        <v>29344</v>
      </c>
      <c r="H36" s="18" t="s">
        <v>98</v>
      </c>
      <c r="I36" s="14" t="s">
        <v>29345</v>
      </c>
      <c r="J36" s="14">
        <v>1</v>
      </c>
      <c r="K36" s="14">
        <v>0</v>
      </c>
      <c r="L36" s="14" t="s">
        <v>29346</v>
      </c>
      <c r="M36" s="19" t="s">
        <v>101</v>
      </c>
      <c r="N36" s="14" t="s">
        <v>29347</v>
      </c>
      <c r="O36" s="14" t="s">
        <v>29348</v>
      </c>
      <c r="P36" s="14" t="str">
        <f>HYPERLINK("https://photon-sol.tinyastro.io/en/lp/Bj4gfziJdoMZv9wWzEiArdFTiMiGwQ1ha3jGwbEmpump?handle=676050794bc1b1657a56b", "View")</f>
        <v>View</v>
      </c>
    </row>
    <row r="37" spans="1:16" x14ac:dyDescent="0.25">
      <c r="A37" s="16" t="s">
        <v>21219</v>
      </c>
      <c r="B37" s="17">
        <v>3382826</v>
      </c>
      <c r="C37" s="17">
        <v>3382826</v>
      </c>
      <c r="D37" s="17" t="s">
        <v>1595</v>
      </c>
      <c r="E37" s="17" t="s">
        <v>29349</v>
      </c>
      <c r="F37" s="17" t="s">
        <v>3439</v>
      </c>
      <c r="G37" s="15" t="s">
        <v>14109</v>
      </c>
      <c r="H37" s="15" t="s">
        <v>29350</v>
      </c>
      <c r="I37" s="17" t="s">
        <v>88</v>
      </c>
      <c r="J37" s="17">
        <v>1</v>
      </c>
      <c r="K37" s="17">
        <v>1</v>
      </c>
      <c r="L37" s="17" t="s">
        <v>29351</v>
      </c>
      <c r="M37" s="17" t="s">
        <v>2047</v>
      </c>
      <c r="N37" s="17" t="s">
        <v>1941</v>
      </c>
      <c r="O37" s="17" t="s">
        <v>29352</v>
      </c>
      <c r="P37" s="17" t="str">
        <f>HYPERLINK("https://photon-sol.tinyastro.io/en/lp/3NtuvZhSMYvX7UMo956JHEQ3jUZUYbSVopeYQphPMGQP?handle=676050794bc1b1657a56b", "View")</f>
        <v>View</v>
      </c>
    </row>
    <row r="38" spans="1:16" x14ac:dyDescent="0.25">
      <c r="A38" s="13" t="s">
        <v>21219</v>
      </c>
      <c r="B38" s="14">
        <v>1145546</v>
      </c>
      <c r="C38" s="14">
        <v>1145546</v>
      </c>
      <c r="D38" s="14" t="s">
        <v>1646</v>
      </c>
      <c r="E38" s="14" t="s">
        <v>1457</v>
      </c>
      <c r="F38" s="14" t="s">
        <v>6156</v>
      </c>
      <c r="G38" s="15" t="s">
        <v>29353</v>
      </c>
      <c r="H38" s="15" t="s">
        <v>29354</v>
      </c>
      <c r="I38" s="14" t="s">
        <v>88</v>
      </c>
      <c r="J38" s="14">
        <v>2</v>
      </c>
      <c r="K38" s="14">
        <v>1</v>
      </c>
      <c r="L38" s="14" t="s">
        <v>29355</v>
      </c>
      <c r="M38" s="14" t="s">
        <v>3180</v>
      </c>
      <c r="N38" s="14" t="s">
        <v>29356</v>
      </c>
      <c r="O38" s="14" t="s">
        <v>21224</v>
      </c>
      <c r="P38" s="14" t="str">
        <f>HYPERLINK("https://dexscreener.com/solana/6Z8FyduQMGYtM25QhX3BB3FTLK7WuJzcF2QmKV7mpump", "View")</f>
        <v>View</v>
      </c>
    </row>
    <row r="39" spans="1:16" x14ac:dyDescent="0.25">
      <c r="A39" s="16" t="s">
        <v>3529</v>
      </c>
      <c r="B39" s="17">
        <v>23870229</v>
      </c>
      <c r="C39" s="17">
        <v>23870229</v>
      </c>
      <c r="D39" s="17" t="s">
        <v>1595</v>
      </c>
      <c r="E39" s="17" t="s">
        <v>2108</v>
      </c>
      <c r="F39" s="17" t="s">
        <v>2536</v>
      </c>
      <c r="G39" s="22" t="s">
        <v>6151</v>
      </c>
      <c r="H39" s="22" t="s">
        <v>14469</v>
      </c>
      <c r="I39" s="17" t="s">
        <v>88</v>
      </c>
      <c r="J39" s="17">
        <v>1</v>
      </c>
      <c r="K39" s="17">
        <v>1</v>
      </c>
      <c r="L39" s="17" t="s">
        <v>29357</v>
      </c>
      <c r="M39" s="17" t="s">
        <v>2047</v>
      </c>
      <c r="N39" s="17" t="s">
        <v>2316</v>
      </c>
      <c r="O39" s="17" t="s">
        <v>3534</v>
      </c>
      <c r="P39" s="17" t="str">
        <f>HYPERLINK("https://photon-sol.tinyastro.io/en/lp/9UhD4uq2Yx4UC7B622xw1obguSvMnvcQoPSMWd1Npump?handle=676050794bc1b1657a56b", "View")</f>
        <v>View</v>
      </c>
    </row>
    <row r="40" spans="1:16" x14ac:dyDescent="0.25">
      <c r="A40" s="13" t="s">
        <v>20410</v>
      </c>
      <c r="B40" s="14">
        <v>2775333</v>
      </c>
      <c r="C40" s="14">
        <v>2775333</v>
      </c>
      <c r="D40" s="14" t="s">
        <v>28651</v>
      </c>
      <c r="E40" s="14" t="s">
        <v>1007</v>
      </c>
      <c r="F40" s="14" t="s">
        <v>29358</v>
      </c>
      <c r="G40" s="21" t="s">
        <v>22630</v>
      </c>
      <c r="H40" s="21" t="s">
        <v>29359</v>
      </c>
      <c r="I40" s="14" t="s">
        <v>88</v>
      </c>
      <c r="J40" s="14">
        <v>1</v>
      </c>
      <c r="K40" s="14">
        <v>1</v>
      </c>
      <c r="L40" s="14" t="s">
        <v>29360</v>
      </c>
      <c r="M40" s="14" t="s">
        <v>3355</v>
      </c>
      <c r="N40" s="14" t="s">
        <v>29361</v>
      </c>
      <c r="O40" s="14" t="s">
        <v>20417</v>
      </c>
      <c r="P40" s="14" t="str">
        <f>HYPERLINK("https://dexscreener.com/solana/BhbfgSh5P742DE5eMx24iZXNZeD2vNRFBZe3EP9Mpump", "View")</f>
        <v>View</v>
      </c>
    </row>
    <row r="41" spans="1:16" x14ac:dyDescent="0.25">
      <c r="A41" s="16" t="s">
        <v>13587</v>
      </c>
      <c r="B41" s="17">
        <v>2594737</v>
      </c>
      <c r="C41" s="17">
        <v>2594737</v>
      </c>
      <c r="D41" s="17" t="s">
        <v>1595</v>
      </c>
      <c r="E41" s="17" t="s">
        <v>1007</v>
      </c>
      <c r="F41" s="17" t="s">
        <v>3523</v>
      </c>
      <c r="G41" s="20" t="s">
        <v>3073</v>
      </c>
      <c r="H41" s="20" t="s">
        <v>29362</v>
      </c>
      <c r="I41" s="17" t="s">
        <v>88</v>
      </c>
      <c r="J41" s="17">
        <v>1</v>
      </c>
      <c r="K41" s="17">
        <v>1</v>
      </c>
      <c r="L41" s="17" t="s">
        <v>29363</v>
      </c>
      <c r="M41" s="17" t="s">
        <v>117</v>
      </c>
      <c r="N41" s="17" t="s">
        <v>29364</v>
      </c>
      <c r="O41" s="17" t="s">
        <v>29365</v>
      </c>
      <c r="P41" s="17" t="str">
        <f>HYPERLINK("https://dexscreener.com/solana/FuvGoDo84SNL2fKpwuGfQD3tc1wihUDLxr2qXxXkpump", "View")</f>
        <v>View</v>
      </c>
    </row>
    <row r="42" spans="1:16" x14ac:dyDescent="0.25">
      <c r="A42" s="13" t="s">
        <v>29366</v>
      </c>
      <c r="B42" s="14">
        <v>2769584</v>
      </c>
      <c r="C42" s="14">
        <v>2769584</v>
      </c>
      <c r="D42" s="14" t="s">
        <v>1595</v>
      </c>
      <c r="E42" s="14" t="s">
        <v>11112</v>
      </c>
      <c r="F42" s="14" t="s">
        <v>3658</v>
      </c>
      <c r="G42" s="20" t="s">
        <v>22608</v>
      </c>
      <c r="H42" s="20" t="s">
        <v>29367</v>
      </c>
      <c r="I42" s="14" t="s">
        <v>88</v>
      </c>
      <c r="J42" s="14">
        <v>1</v>
      </c>
      <c r="K42" s="14">
        <v>1</v>
      </c>
      <c r="L42" s="14" t="s">
        <v>29368</v>
      </c>
      <c r="M42" s="14" t="s">
        <v>1434</v>
      </c>
      <c r="N42" s="14" t="s">
        <v>29369</v>
      </c>
      <c r="O42" s="14" t="s">
        <v>29370</v>
      </c>
      <c r="P42" s="14" t="str">
        <f>HYPERLINK("https://photon-sol.tinyastro.io/en/lp/5dRVkRqL4P8jv1E9NfkmfVBxV75MYLstc6UtyNTgpump?handle=676050794bc1b1657a56b", "View")</f>
        <v>View</v>
      </c>
    </row>
    <row r="43" spans="1:16" x14ac:dyDescent="0.25">
      <c r="A43" s="16" t="s">
        <v>29371</v>
      </c>
      <c r="B43" s="17">
        <v>13107629</v>
      </c>
      <c r="C43" s="17">
        <v>13107629</v>
      </c>
      <c r="D43" s="17" t="s">
        <v>1595</v>
      </c>
      <c r="E43" s="17" t="s">
        <v>569</v>
      </c>
      <c r="F43" s="17" t="s">
        <v>29372</v>
      </c>
      <c r="G43" s="22" t="s">
        <v>17881</v>
      </c>
      <c r="H43" s="22" t="s">
        <v>24519</v>
      </c>
      <c r="I43" s="17" t="s">
        <v>88</v>
      </c>
      <c r="J43" s="17">
        <v>1</v>
      </c>
      <c r="K43" s="17">
        <v>1</v>
      </c>
      <c r="L43" s="17" t="s">
        <v>29373</v>
      </c>
      <c r="M43" s="17" t="s">
        <v>602</v>
      </c>
      <c r="N43" s="17" t="s">
        <v>29374</v>
      </c>
      <c r="O43" s="17" t="s">
        <v>29375</v>
      </c>
      <c r="P43" s="17" t="str">
        <f>HYPERLINK("https://dexscreener.com/solana/DeYoi2NxeRPwo4R72KJezZKBUtHzmtuEeekwW82Epump", "View")</f>
        <v>View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59DD-84DA-48C3-B849-C0656BA36502}">
  <dimension ref="A1:P30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HYPERLINK("https://gmgn.ai/sol/address/BbS7e412soMUG4HBrJuhmXRcYxiaj5ereVwKayHCNCnU", "GMGN")</f>
        <v>GMGN</v>
      </c>
    </row>
    <row r="2" spans="1:14" x14ac:dyDescent="0.25">
      <c r="A2" s="3" t="s">
        <v>29376</v>
      </c>
      <c r="B2" s="3" t="s">
        <v>29377</v>
      </c>
      <c r="C2" s="3" t="s">
        <v>24896</v>
      </c>
      <c r="D2" s="3" t="s">
        <v>27955</v>
      </c>
      <c r="E2" s="3" t="s">
        <v>29378</v>
      </c>
      <c r="F2" s="3" t="s">
        <v>29379</v>
      </c>
      <c r="G2" s="3" t="s">
        <v>18</v>
      </c>
      <c r="H2" s="3">
        <v>11</v>
      </c>
      <c r="I2" s="3">
        <v>0</v>
      </c>
      <c r="J2" s="3" t="s">
        <v>699</v>
      </c>
      <c r="K2" s="3" t="s">
        <v>1957</v>
      </c>
      <c r="L2" s="3">
        <v>10</v>
      </c>
      <c r="M2" s="3">
        <v>14</v>
      </c>
      <c r="N2" s="3" t="str">
        <f>HYPERLINK("https://solscan.io/account/BbS7e412soMUG4HBrJuhmXRcYxiaj5ereVwKayHCNCnU", "Solscan")</f>
        <v>Solscan</v>
      </c>
    </row>
    <row r="3" spans="1:14" x14ac:dyDescent="0.25">
      <c r="A3" s="1" t="s">
        <v>21</v>
      </c>
      <c r="B3" s="23" t="s">
        <v>29380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HYPERLINK("https://birdeye.so/profile/BbS7e412soMUG4HBrJuhmXRcYxiaj5ereVwKayHCNCnU", "Birdeye")</f>
        <v>Birdeye</v>
      </c>
    </row>
    <row r="4" spans="1:14" x14ac:dyDescent="0.25">
      <c r="A4" s="1" t="s">
        <v>25</v>
      </c>
      <c r="B4" s="23" t="s">
        <v>20565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2</v>
      </c>
      <c r="C10" s="1">
        <v>2</v>
      </c>
      <c r="D10" s="1">
        <v>2</v>
      </c>
      <c r="E10" s="1">
        <v>2</v>
      </c>
      <c r="F10" s="1">
        <v>1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29381</v>
      </c>
      <c r="C11" s="1" t="s">
        <v>29381</v>
      </c>
      <c r="D11" s="1" t="s">
        <v>29381</v>
      </c>
      <c r="E11" s="1" t="s">
        <v>29381</v>
      </c>
      <c r="F11" s="1" t="s">
        <v>9489</v>
      </c>
      <c r="G11" s="1" t="s">
        <v>29381</v>
      </c>
      <c r="H11" s="3"/>
      <c r="I11" s="3" t="s">
        <v>50</v>
      </c>
      <c r="J11" s="3" t="s">
        <v>15564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22389</v>
      </c>
      <c r="C12" s="1" t="s">
        <v>4729</v>
      </c>
      <c r="D12" s="1" t="s">
        <v>27587</v>
      </c>
      <c r="E12" s="1" t="s">
        <v>25337</v>
      </c>
      <c r="F12" s="1" t="s">
        <v>9645</v>
      </c>
      <c r="G12" s="1" t="s">
        <v>13990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21281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27497</v>
      </c>
      <c r="B20" s="14">
        <v>9847334</v>
      </c>
      <c r="C20" s="14">
        <v>9847334</v>
      </c>
      <c r="D20" s="14" t="s">
        <v>27519</v>
      </c>
      <c r="E20" s="14" t="s">
        <v>8272</v>
      </c>
      <c r="F20" s="14" t="s">
        <v>29382</v>
      </c>
      <c r="G20" s="21" t="s">
        <v>21692</v>
      </c>
      <c r="H20" s="21" t="s">
        <v>29383</v>
      </c>
      <c r="I20" s="14" t="s">
        <v>88</v>
      </c>
      <c r="J20" s="14">
        <v>1</v>
      </c>
      <c r="K20" s="14">
        <v>2</v>
      </c>
      <c r="L20" s="14" t="s">
        <v>29384</v>
      </c>
      <c r="M20" s="14" t="s">
        <v>1566</v>
      </c>
      <c r="N20" s="14" t="s">
        <v>507</v>
      </c>
      <c r="O20" s="14" t="s">
        <v>27501</v>
      </c>
      <c r="P20" s="14" t="str">
        <f>HYPERLINK("https://photon-sol.tinyastro.io/en/lp/4KdmmBF845nJknS1DpWWdL8CsjKExFoUmiEnzHrtpump?handle=676050794bc1b1657a56b", "View")</f>
        <v>View</v>
      </c>
    </row>
    <row r="21" spans="1:16" x14ac:dyDescent="0.25">
      <c r="A21" s="16" t="s">
        <v>27502</v>
      </c>
      <c r="B21" s="17">
        <v>8038025</v>
      </c>
      <c r="C21" s="17">
        <v>8038025</v>
      </c>
      <c r="D21" s="17" t="s">
        <v>27498</v>
      </c>
      <c r="E21" s="17" t="s">
        <v>3699</v>
      </c>
      <c r="F21" s="17" t="s">
        <v>1976</v>
      </c>
      <c r="G21" s="22" t="s">
        <v>2456</v>
      </c>
      <c r="H21" s="22" t="s">
        <v>29385</v>
      </c>
      <c r="I21" s="17" t="s">
        <v>88</v>
      </c>
      <c r="J21" s="17">
        <v>1</v>
      </c>
      <c r="K21" s="17">
        <v>1</v>
      </c>
      <c r="L21" s="17" t="s">
        <v>29386</v>
      </c>
      <c r="M21" s="19" t="s">
        <v>2350</v>
      </c>
      <c r="N21" s="17" t="s">
        <v>20344</v>
      </c>
      <c r="O21" s="17" t="s">
        <v>27505</v>
      </c>
      <c r="P21" s="17" t="str">
        <f>HYPERLINK("https://photon-sol.tinyastro.io/en/lp/ChhFGDYQ5n6UkCcsX3NDXHfdgoFbjBMn1msye5HDpump?handle=676050794bc1b1657a56b", "View")</f>
        <v>View</v>
      </c>
    </row>
    <row r="22" spans="1:16" x14ac:dyDescent="0.25">
      <c r="A22" s="13" t="s">
        <v>19027</v>
      </c>
      <c r="B22" s="14">
        <v>5770298</v>
      </c>
      <c r="C22" s="14">
        <v>5770298</v>
      </c>
      <c r="D22" s="14" t="s">
        <v>27498</v>
      </c>
      <c r="E22" s="14" t="s">
        <v>5982</v>
      </c>
      <c r="F22" s="14" t="s">
        <v>29387</v>
      </c>
      <c r="G22" s="15" t="s">
        <v>29388</v>
      </c>
      <c r="H22" s="15" t="s">
        <v>29389</v>
      </c>
      <c r="I22" s="14" t="s">
        <v>88</v>
      </c>
      <c r="J22" s="14">
        <v>1</v>
      </c>
      <c r="K22" s="14">
        <v>1</v>
      </c>
      <c r="L22" s="14" t="s">
        <v>27476</v>
      </c>
      <c r="M22" s="14" t="s">
        <v>1957</v>
      </c>
      <c r="N22" s="14" t="s">
        <v>5034</v>
      </c>
      <c r="O22" s="14" t="s">
        <v>27039</v>
      </c>
      <c r="P22" s="14" t="str">
        <f>HYPERLINK("https://photon-sol.tinyastro.io/en/lp/HxdzGHd2jLF12UHjgFKCb6zMzgfqGnwRvwKweXmXpump?handle=676050794bc1b1657a56b", "View")</f>
        <v>View</v>
      </c>
    </row>
    <row r="23" spans="1:16" x14ac:dyDescent="0.25">
      <c r="A23" s="16" t="s">
        <v>4867</v>
      </c>
      <c r="B23" s="17">
        <v>6485448</v>
      </c>
      <c r="C23" s="17">
        <v>6485448</v>
      </c>
      <c r="D23" s="17" t="s">
        <v>27498</v>
      </c>
      <c r="E23" s="17" t="s">
        <v>2759</v>
      </c>
      <c r="F23" s="17" t="s">
        <v>14376</v>
      </c>
      <c r="G23" s="20" t="s">
        <v>4032</v>
      </c>
      <c r="H23" s="20" t="s">
        <v>24723</v>
      </c>
      <c r="I23" s="17" t="s">
        <v>88</v>
      </c>
      <c r="J23" s="17">
        <v>1</v>
      </c>
      <c r="K23" s="17">
        <v>1</v>
      </c>
      <c r="L23" s="17" t="s">
        <v>27015</v>
      </c>
      <c r="M23" s="17" t="s">
        <v>937</v>
      </c>
      <c r="N23" s="17" t="s">
        <v>29390</v>
      </c>
      <c r="O23" s="17" t="s">
        <v>27016</v>
      </c>
      <c r="P23" s="17" t="str">
        <f>HYPERLINK("https://photon-sol.tinyastro.io/en/lp/BPFXTGBjoARa89gbSvbp7Dy6cQwgGc7efW1jE8nTpump?handle=676050794bc1b1657a56b", "View")</f>
        <v>View</v>
      </c>
    </row>
    <row r="24" spans="1:16" x14ac:dyDescent="0.25">
      <c r="A24" s="13" t="s">
        <v>4867</v>
      </c>
      <c r="B24" s="14">
        <v>10056459</v>
      </c>
      <c r="C24" s="14">
        <v>10056459</v>
      </c>
      <c r="D24" s="14" t="s">
        <v>27529</v>
      </c>
      <c r="E24" s="14" t="s">
        <v>2513</v>
      </c>
      <c r="F24" s="14" t="s">
        <v>29391</v>
      </c>
      <c r="G24" s="21" t="s">
        <v>20215</v>
      </c>
      <c r="H24" s="21" t="s">
        <v>29392</v>
      </c>
      <c r="I24" s="14" t="s">
        <v>88</v>
      </c>
      <c r="J24" s="14">
        <v>1</v>
      </c>
      <c r="K24" s="14">
        <v>3</v>
      </c>
      <c r="L24" s="14" t="s">
        <v>29393</v>
      </c>
      <c r="M24" s="14" t="s">
        <v>1705</v>
      </c>
      <c r="N24" s="14" t="s">
        <v>29394</v>
      </c>
      <c r="O24" s="14" t="s">
        <v>4872</v>
      </c>
      <c r="P24" s="14" t="str">
        <f>HYPERLINK("https://photon-sol.tinyastro.io/en/lp/FAS87Vmmejcf5RBtpfGZ8vPAjR2VuUZJ6Sojf8Jgpump?handle=676050794bc1b1657a56b", "View")</f>
        <v>View</v>
      </c>
    </row>
    <row r="25" spans="1:16" x14ac:dyDescent="0.25">
      <c r="A25" s="16" t="s">
        <v>27524</v>
      </c>
      <c r="B25" s="17">
        <v>11589762</v>
      </c>
      <c r="C25" s="17">
        <v>11589762</v>
      </c>
      <c r="D25" s="17" t="s">
        <v>27519</v>
      </c>
      <c r="E25" s="17" t="s">
        <v>29395</v>
      </c>
      <c r="F25" s="17" t="s">
        <v>29396</v>
      </c>
      <c r="G25" s="21" t="s">
        <v>6576</v>
      </c>
      <c r="H25" s="21" t="s">
        <v>29380</v>
      </c>
      <c r="I25" s="17" t="s">
        <v>88</v>
      </c>
      <c r="J25" s="17">
        <v>1</v>
      </c>
      <c r="K25" s="17">
        <v>2</v>
      </c>
      <c r="L25" s="17" t="s">
        <v>29397</v>
      </c>
      <c r="M25" s="17" t="s">
        <v>1566</v>
      </c>
      <c r="N25" s="17" t="s">
        <v>29398</v>
      </c>
      <c r="O25" s="17" t="s">
        <v>27528</v>
      </c>
      <c r="P25" s="17" t="str">
        <f>HYPERLINK("https://photon-sol.tinyastro.io/en/lp/GeHMGsBk1SfZSmRccWiUxoGd9ZpYHhTYYqMn95Hapump?handle=676050794bc1b1657a56b", "View")</f>
        <v>View</v>
      </c>
    </row>
    <row r="26" spans="1:16" x14ac:dyDescent="0.25">
      <c r="A26" s="13" t="s">
        <v>17919</v>
      </c>
      <c r="B26" s="14">
        <v>7591064</v>
      </c>
      <c r="C26" s="14">
        <v>7591064</v>
      </c>
      <c r="D26" s="14" t="s">
        <v>27529</v>
      </c>
      <c r="E26" s="14" t="s">
        <v>29399</v>
      </c>
      <c r="F26" s="14" t="s">
        <v>29400</v>
      </c>
      <c r="G26" s="21" t="s">
        <v>29401</v>
      </c>
      <c r="H26" s="21" t="s">
        <v>29402</v>
      </c>
      <c r="I26" s="14" t="s">
        <v>88</v>
      </c>
      <c r="J26" s="14">
        <v>1</v>
      </c>
      <c r="K26" s="14">
        <v>3</v>
      </c>
      <c r="L26" s="14" t="s">
        <v>29403</v>
      </c>
      <c r="M26" s="14" t="s">
        <v>1957</v>
      </c>
      <c r="N26" s="14" t="s">
        <v>29404</v>
      </c>
      <c r="O26" s="14" t="s">
        <v>17925</v>
      </c>
      <c r="P26" s="14" t="str">
        <f>HYPERLINK("https://photon-sol.tinyastro.io/en/lp/BxaRiJpUwPkiUfwUe7bXqMZV5EG8Xx5BZaY6QM3Jpump?handle=676050794bc1b1657a56b", "View")</f>
        <v>View</v>
      </c>
    </row>
    <row r="27" spans="1:16" x14ac:dyDescent="0.25">
      <c r="A27" s="16" t="s">
        <v>6620</v>
      </c>
      <c r="B27" s="17">
        <v>2579086</v>
      </c>
      <c r="C27" s="17">
        <v>2579086</v>
      </c>
      <c r="D27" s="17" t="s">
        <v>27498</v>
      </c>
      <c r="E27" s="17" t="s">
        <v>1007</v>
      </c>
      <c r="F27" s="17" t="s">
        <v>24142</v>
      </c>
      <c r="G27" s="22" t="s">
        <v>11464</v>
      </c>
      <c r="H27" s="22" t="s">
        <v>29405</v>
      </c>
      <c r="I27" s="17" t="s">
        <v>88</v>
      </c>
      <c r="J27" s="17">
        <v>1</v>
      </c>
      <c r="K27" s="17">
        <v>1</v>
      </c>
      <c r="L27" s="17" t="s">
        <v>27536</v>
      </c>
      <c r="M27" s="17" t="s">
        <v>1434</v>
      </c>
      <c r="N27" s="17" t="s">
        <v>29406</v>
      </c>
      <c r="O27" s="17" t="s">
        <v>6627</v>
      </c>
      <c r="P27" s="17" t="str">
        <f>HYPERLINK("https://dexscreener.com/solana/9wBdGejMb6UJeXDdTSfvRhhECCCNi74vmzLFQixjpump", "View")</f>
        <v>View</v>
      </c>
    </row>
    <row r="28" spans="1:16" x14ac:dyDescent="0.25">
      <c r="A28" s="13" t="s">
        <v>26535</v>
      </c>
      <c r="B28" s="14">
        <v>8672520</v>
      </c>
      <c r="C28" s="14">
        <v>8672520</v>
      </c>
      <c r="D28" s="14" t="s">
        <v>27529</v>
      </c>
      <c r="E28" s="14" t="s">
        <v>13727</v>
      </c>
      <c r="F28" s="14" t="s">
        <v>29407</v>
      </c>
      <c r="G28" s="21" t="s">
        <v>29408</v>
      </c>
      <c r="H28" s="21" t="s">
        <v>29409</v>
      </c>
      <c r="I28" s="14" t="s">
        <v>88</v>
      </c>
      <c r="J28" s="14">
        <v>1</v>
      </c>
      <c r="K28" s="14">
        <v>3</v>
      </c>
      <c r="L28" s="14" t="s">
        <v>29410</v>
      </c>
      <c r="M28" s="14" t="s">
        <v>788</v>
      </c>
      <c r="N28" s="14" t="s">
        <v>29411</v>
      </c>
      <c r="O28" s="14" t="s">
        <v>27545</v>
      </c>
      <c r="P28" s="14" t="str">
        <f>HYPERLINK("https://photon-sol.tinyastro.io/en/lp/2vuTTsSqRjjDcozauGTXcUYR3a7GVJsnKMcMLpxjpump?handle=676050794bc1b1657a56b", "View")</f>
        <v>View</v>
      </c>
    </row>
    <row r="29" spans="1:16" x14ac:dyDescent="0.25">
      <c r="A29" s="16" t="s">
        <v>26535</v>
      </c>
      <c r="B29" s="17">
        <v>7843901</v>
      </c>
      <c r="C29" s="17">
        <v>7843901</v>
      </c>
      <c r="D29" s="17" t="s">
        <v>27498</v>
      </c>
      <c r="E29" s="17" t="s">
        <v>12377</v>
      </c>
      <c r="F29" s="17" t="s">
        <v>29412</v>
      </c>
      <c r="G29" s="21" t="s">
        <v>29413</v>
      </c>
      <c r="H29" s="21" t="s">
        <v>29414</v>
      </c>
      <c r="I29" s="17" t="s">
        <v>88</v>
      </c>
      <c r="J29" s="17">
        <v>1</v>
      </c>
      <c r="K29" s="17">
        <v>2</v>
      </c>
      <c r="L29" s="17" t="s">
        <v>29415</v>
      </c>
      <c r="M29" s="17" t="s">
        <v>2047</v>
      </c>
      <c r="N29" s="17" t="s">
        <v>29416</v>
      </c>
      <c r="O29" s="17" t="s">
        <v>26538</v>
      </c>
      <c r="P29" s="17" t="str">
        <f>HYPERLINK("https://photon-sol.tinyastro.io/en/lp/DsDzFKro1PRxCX2CAuAKaYuc9uHRhmgtbrYLwWa3pump?handle=676050794bc1b1657a56b", "View")</f>
        <v>View</v>
      </c>
    </row>
    <row r="30" spans="1:16" x14ac:dyDescent="0.25">
      <c r="A30" s="13" t="s">
        <v>9071</v>
      </c>
      <c r="B30" s="14">
        <v>3387378</v>
      </c>
      <c r="C30" s="14">
        <v>3387378</v>
      </c>
      <c r="D30" s="14" t="s">
        <v>29417</v>
      </c>
      <c r="E30" s="14" t="s">
        <v>11021</v>
      </c>
      <c r="F30" s="14" t="s">
        <v>15334</v>
      </c>
      <c r="G30" s="15" t="s">
        <v>29418</v>
      </c>
      <c r="H30" s="15" t="s">
        <v>15849</v>
      </c>
      <c r="I30" s="14" t="s">
        <v>88</v>
      </c>
      <c r="J30" s="14">
        <v>1</v>
      </c>
      <c r="K30" s="14">
        <v>1</v>
      </c>
      <c r="L30" s="14" t="s">
        <v>27553</v>
      </c>
      <c r="M30" s="14" t="s">
        <v>3355</v>
      </c>
      <c r="N30" s="14" t="s">
        <v>29419</v>
      </c>
      <c r="O30" s="14" t="s">
        <v>9078</v>
      </c>
      <c r="P30" s="14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4E82-733E-4304-991D-F68FEAFA2DBE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HYPERLINK("https://gmgn.ai/sol/address/7ApjVzSa4eWsH7hi5aCwPjbo1k2cw9unV2vy4VQZuL7K", "GMGN")</f>
        <v>GMGN</v>
      </c>
    </row>
    <row r="2" spans="1:14" x14ac:dyDescent="0.25">
      <c r="A2" s="3" t="s">
        <v>29420</v>
      </c>
      <c r="B2" s="3" t="s">
        <v>29421</v>
      </c>
      <c r="C2" s="3" t="s">
        <v>27028</v>
      </c>
      <c r="D2" s="3" t="s">
        <v>29422</v>
      </c>
      <c r="E2" s="3" t="s">
        <v>29423</v>
      </c>
      <c r="F2" s="3" t="s">
        <v>18</v>
      </c>
      <c r="G2" s="3" t="s">
        <v>18</v>
      </c>
      <c r="H2" s="3">
        <v>9</v>
      </c>
      <c r="I2" s="3">
        <v>0</v>
      </c>
      <c r="J2" s="3" t="s">
        <v>132</v>
      </c>
      <c r="K2" s="3" t="s">
        <v>3180</v>
      </c>
      <c r="L2" s="3">
        <v>9</v>
      </c>
      <c r="M2" s="3">
        <v>1</v>
      </c>
      <c r="N2" s="3" t="str">
        <f>HYPERLINK("https://solscan.io/account/7ApjVzSa4eWsH7hi5aCwPjbo1k2cw9unV2vy4VQZuL7K", "Solscan")</f>
        <v>Solscan</v>
      </c>
    </row>
    <row r="3" spans="1:14" x14ac:dyDescent="0.25">
      <c r="A3" s="1" t="s">
        <v>21</v>
      </c>
      <c r="B3" s="23" t="s">
        <v>29424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HYPERLINK("https://birdeye.so/profile/7ApjVzSa4eWsH7hi5aCwPjbo1k2cw9unV2vy4VQZuL7K", "Birdeye")</f>
        <v>Birdeye</v>
      </c>
    </row>
    <row r="4" spans="1:14" x14ac:dyDescent="0.25">
      <c r="A4" s="1" t="s">
        <v>25</v>
      </c>
      <c r="B4" s="3" t="s">
        <v>4270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3</v>
      </c>
      <c r="E10" s="1">
        <v>2</v>
      </c>
      <c r="F10" s="1">
        <v>1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4275</v>
      </c>
      <c r="C11" s="1" t="s">
        <v>4275</v>
      </c>
      <c r="D11" s="1" t="s">
        <v>9642</v>
      </c>
      <c r="E11" s="1" t="s">
        <v>4274</v>
      </c>
      <c r="F11" s="1" t="s">
        <v>4275</v>
      </c>
      <c r="G11" s="1" t="s">
        <v>4275</v>
      </c>
      <c r="H11" s="3"/>
      <c r="I11" s="3" t="s">
        <v>50</v>
      </c>
      <c r="J11" s="3" t="s">
        <v>15564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26985</v>
      </c>
      <c r="C12" s="1" t="s">
        <v>1778</v>
      </c>
      <c r="D12" s="1" t="s">
        <v>7498</v>
      </c>
      <c r="E12" s="1" t="s">
        <v>1786</v>
      </c>
      <c r="F12" s="1" t="s">
        <v>4279</v>
      </c>
      <c r="G12" s="1" t="s">
        <v>20573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27468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26987</v>
      </c>
      <c r="B20" s="14">
        <v>8984506</v>
      </c>
      <c r="C20" s="14">
        <v>8984506</v>
      </c>
      <c r="D20" s="14" t="s">
        <v>1813</v>
      </c>
      <c r="E20" s="14" t="s">
        <v>15634</v>
      </c>
      <c r="F20" s="14" t="s">
        <v>14894</v>
      </c>
      <c r="G20" s="20" t="s">
        <v>7895</v>
      </c>
      <c r="H20" s="20" t="s">
        <v>29425</v>
      </c>
      <c r="I20" s="14" t="s">
        <v>88</v>
      </c>
      <c r="J20" s="14">
        <v>1</v>
      </c>
      <c r="K20" s="14">
        <v>1</v>
      </c>
      <c r="L20" s="14" t="s">
        <v>26989</v>
      </c>
      <c r="M20" s="14" t="s">
        <v>602</v>
      </c>
      <c r="N20" s="14" t="s">
        <v>3768</v>
      </c>
      <c r="O20" s="14" t="s">
        <v>26990</v>
      </c>
      <c r="P20" s="14" t="str">
        <f>HYPERLINK("https://photon-sol.tinyastro.io/en/lp/DZqXyNkK52FpPHGN73EmvvLoSZNXskpNvtL1GMjLpump?handle=676050794bc1b1657a56b", "View")</f>
        <v>View</v>
      </c>
    </row>
    <row r="21" spans="1:16" x14ac:dyDescent="0.25">
      <c r="A21" s="16" t="s">
        <v>26991</v>
      </c>
      <c r="B21" s="17">
        <v>8959841</v>
      </c>
      <c r="C21" s="17">
        <v>8959841</v>
      </c>
      <c r="D21" s="17" t="s">
        <v>29426</v>
      </c>
      <c r="E21" s="17" t="s">
        <v>26237</v>
      </c>
      <c r="F21" s="17" t="s">
        <v>29427</v>
      </c>
      <c r="G21" s="21" t="s">
        <v>3819</v>
      </c>
      <c r="H21" s="21" t="s">
        <v>29424</v>
      </c>
      <c r="I21" s="17" t="s">
        <v>88</v>
      </c>
      <c r="J21" s="17">
        <v>1</v>
      </c>
      <c r="K21" s="17">
        <v>19</v>
      </c>
      <c r="L21" s="17" t="s">
        <v>26995</v>
      </c>
      <c r="M21" s="17" t="s">
        <v>1566</v>
      </c>
      <c r="N21" s="17" t="s">
        <v>2763</v>
      </c>
      <c r="O21" s="17" t="s">
        <v>26996</v>
      </c>
      <c r="P21" s="17" t="str">
        <f>HYPERLINK("https://photon-sol.tinyastro.io/en/lp/CqBmg5ZUoaPg5Yx5uAKYzpyRcXme2UpVmZ8U5iotpump?handle=676050794bc1b1657a56b", "View")</f>
        <v>View</v>
      </c>
    </row>
    <row r="22" spans="1:16" x14ac:dyDescent="0.25">
      <c r="A22" s="13" t="s">
        <v>19027</v>
      </c>
      <c r="B22" s="14">
        <v>10163367</v>
      </c>
      <c r="C22" s="14">
        <v>10163367</v>
      </c>
      <c r="D22" s="14" t="s">
        <v>24430</v>
      </c>
      <c r="E22" s="14" t="s">
        <v>22103</v>
      </c>
      <c r="F22" s="14" t="s">
        <v>2092</v>
      </c>
      <c r="G22" s="21" t="s">
        <v>3098</v>
      </c>
      <c r="H22" s="21" t="s">
        <v>29428</v>
      </c>
      <c r="I22" s="14" t="s">
        <v>88</v>
      </c>
      <c r="J22" s="14">
        <v>1</v>
      </c>
      <c r="K22" s="14">
        <v>12</v>
      </c>
      <c r="L22" s="14" t="s">
        <v>27513</v>
      </c>
      <c r="M22" s="14" t="s">
        <v>788</v>
      </c>
      <c r="N22" s="14" t="s">
        <v>29429</v>
      </c>
      <c r="O22" s="14" t="s">
        <v>27039</v>
      </c>
      <c r="P22" s="14" t="str">
        <f>HYPERLINK("https://photon-sol.tinyastro.io/en/lp/HxdzGHd2jLF12UHjgFKCb6zMzgfqGnwRvwKweXmXpump?handle=676050794bc1b1657a56b", "View")</f>
        <v>View</v>
      </c>
    </row>
    <row r="23" spans="1:16" x14ac:dyDescent="0.25">
      <c r="A23" s="16" t="s">
        <v>19027</v>
      </c>
      <c r="B23" s="17">
        <v>8831328</v>
      </c>
      <c r="C23" s="17">
        <v>8831328</v>
      </c>
      <c r="D23" s="17" t="s">
        <v>29430</v>
      </c>
      <c r="E23" s="17" t="s">
        <v>11464</v>
      </c>
      <c r="F23" s="17" t="s">
        <v>29431</v>
      </c>
      <c r="G23" s="21" t="s">
        <v>29432</v>
      </c>
      <c r="H23" s="21" t="s">
        <v>29433</v>
      </c>
      <c r="I23" s="17" t="s">
        <v>88</v>
      </c>
      <c r="J23" s="17">
        <v>1</v>
      </c>
      <c r="K23" s="17">
        <v>63</v>
      </c>
      <c r="L23" s="17" t="s">
        <v>27001</v>
      </c>
      <c r="M23" s="17" t="s">
        <v>3180</v>
      </c>
      <c r="N23" s="17" t="s">
        <v>27570</v>
      </c>
      <c r="O23" s="17" t="s">
        <v>19033</v>
      </c>
      <c r="P23" s="17" t="str">
        <f>HYPERLINK("https://photon-sol.tinyastro.io/en/lp/ALKTKLRTyF3P83KMCAvGEtY4CsoMzvh1k38uixCgpump?handle=676050794bc1b1657a56b", "View")</f>
        <v>View</v>
      </c>
    </row>
    <row r="24" spans="1:16" x14ac:dyDescent="0.25">
      <c r="A24" s="13" t="s">
        <v>27003</v>
      </c>
      <c r="B24" s="14">
        <v>7929767</v>
      </c>
      <c r="C24" s="14">
        <v>7929767</v>
      </c>
      <c r="D24" s="14" t="s">
        <v>1813</v>
      </c>
      <c r="E24" s="14" t="s">
        <v>3992</v>
      </c>
      <c r="F24" s="14" t="s">
        <v>24555</v>
      </c>
      <c r="G24" s="21" t="s">
        <v>3739</v>
      </c>
      <c r="H24" s="21" t="s">
        <v>29434</v>
      </c>
      <c r="I24" s="14" t="s">
        <v>88</v>
      </c>
      <c r="J24" s="14">
        <v>1</v>
      </c>
      <c r="K24" s="14">
        <v>1</v>
      </c>
      <c r="L24" s="14" t="s">
        <v>27572</v>
      </c>
      <c r="M24" s="14" t="s">
        <v>3180</v>
      </c>
      <c r="N24" s="14" t="s">
        <v>29435</v>
      </c>
      <c r="O24" s="14" t="s">
        <v>27007</v>
      </c>
      <c r="P24" s="14" t="str">
        <f>HYPERLINK("https://photon-sol.tinyastro.io/en/lp/BFc3G2JaqZA3eCJzWiSMhGZp7aXwonXETtr2Nudppump?handle=676050794bc1b1657a56b", "View")</f>
        <v>View</v>
      </c>
    </row>
    <row r="25" spans="1:16" x14ac:dyDescent="0.25">
      <c r="A25" s="16" t="s">
        <v>27008</v>
      </c>
      <c r="B25" s="17">
        <v>11778199</v>
      </c>
      <c r="C25" s="17">
        <v>11778199</v>
      </c>
      <c r="D25" s="17" t="s">
        <v>1813</v>
      </c>
      <c r="E25" s="17" t="s">
        <v>29436</v>
      </c>
      <c r="F25" s="17" t="s">
        <v>28428</v>
      </c>
      <c r="G25" s="22" t="s">
        <v>4147</v>
      </c>
      <c r="H25" s="22" t="s">
        <v>29437</v>
      </c>
      <c r="I25" s="17" t="s">
        <v>88</v>
      </c>
      <c r="J25" s="17">
        <v>1</v>
      </c>
      <c r="K25" s="17">
        <v>1</v>
      </c>
      <c r="L25" s="17" t="s">
        <v>27012</v>
      </c>
      <c r="M25" s="17" t="s">
        <v>1566</v>
      </c>
      <c r="N25" s="17" t="s">
        <v>2557</v>
      </c>
      <c r="O25" s="17" t="s">
        <v>27013</v>
      </c>
      <c r="P25" s="17" t="str">
        <f>HYPERLINK("https://photon-sol.tinyastro.io/en/lp/CDkwBE7pPovZLJC2KxM7jvWXkyygR1Y1u2R7f6hmpump?handle=676050794bc1b1657a56b", "View")</f>
        <v>View</v>
      </c>
    </row>
    <row r="26" spans="1:16" x14ac:dyDescent="0.25">
      <c r="A26" s="13" t="s">
        <v>4867</v>
      </c>
      <c r="B26" s="14">
        <v>6064798</v>
      </c>
      <c r="C26" s="14">
        <v>6064798</v>
      </c>
      <c r="D26" s="14" t="s">
        <v>29438</v>
      </c>
      <c r="E26" s="14" t="s">
        <v>2553</v>
      </c>
      <c r="F26" s="14" t="s">
        <v>19697</v>
      </c>
      <c r="G26" s="22" t="s">
        <v>5248</v>
      </c>
      <c r="H26" s="22" t="s">
        <v>5669</v>
      </c>
      <c r="I26" s="14" t="s">
        <v>88</v>
      </c>
      <c r="J26" s="14">
        <v>3</v>
      </c>
      <c r="K26" s="14">
        <v>2</v>
      </c>
      <c r="L26" s="14" t="s">
        <v>27049</v>
      </c>
      <c r="M26" s="14" t="s">
        <v>937</v>
      </c>
      <c r="N26" s="14" t="s">
        <v>29439</v>
      </c>
      <c r="O26" s="14" t="s">
        <v>27016</v>
      </c>
      <c r="P26" s="14" t="str">
        <f>HYPERLINK("https://photon-sol.tinyastro.io/en/lp/BPFXTGBjoARa89gbSvbp7Dy6cQwgGc7efW1jE8nTpump?handle=676050794bc1b1657a56b", "View")</f>
        <v>View</v>
      </c>
    </row>
    <row r="27" spans="1:16" x14ac:dyDescent="0.25">
      <c r="A27" s="16" t="s">
        <v>27017</v>
      </c>
      <c r="B27" s="17">
        <v>11384893</v>
      </c>
      <c r="C27" s="17">
        <v>11384893</v>
      </c>
      <c r="D27" s="17" t="s">
        <v>27018</v>
      </c>
      <c r="E27" s="17" t="s">
        <v>28060</v>
      </c>
      <c r="F27" s="17" t="s">
        <v>29440</v>
      </c>
      <c r="G27" s="21" t="s">
        <v>12694</v>
      </c>
      <c r="H27" s="21" t="s">
        <v>29441</v>
      </c>
      <c r="I27" s="17" t="s">
        <v>88</v>
      </c>
      <c r="J27" s="17">
        <v>1</v>
      </c>
      <c r="K27" s="17">
        <v>31</v>
      </c>
      <c r="L27" s="17" t="s">
        <v>29442</v>
      </c>
      <c r="M27" s="17" t="s">
        <v>1610</v>
      </c>
      <c r="N27" s="17" t="s">
        <v>21098</v>
      </c>
      <c r="O27" s="17" t="s">
        <v>27021</v>
      </c>
      <c r="P27" s="17" t="str">
        <f>HYPERLINK("https://photon-sol.tinyastro.io/en/lp/DirQ7FDi1C5SZCy8ai1GTSvnm9o8MDf9s4C4cExzpump?handle=676050794bc1b1657a56b", "View")</f>
        <v>View</v>
      </c>
    </row>
    <row r="28" spans="1:16" x14ac:dyDescent="0.25">
      <c r="A28" s="13" t="s">
        <v>27017</v>
      </c>
      <c r="B28" s="14">
        <v>585788</v>
      </c>
      <c r="C28" s="14">
        <v>585788</v>
      </c>
      <c r="D28" s="14" t="s">
        <v>27022</v>
      </c>
      <c r="E28" s="14" t="s">
        <v>2597</v>
      </c>
      <c r="F28" s="14" t="s">
        <v>5675</v>
      </c>
      <c r="G28" s="15" t="s">
        <v>14673</v>
      </c>
      <c r="H28" s="15" t="s">
        <v>29443</v>
      </c>
      <c r="I28" s="14" t="s">
        <v>88</v>
      </c>
      <c r="J28" s="14">
        <v>1</v>
      </c>
      <c r="K28" s="14">
        <v>1</v>
      </c>
      <c r="L28" s="14" t="s">
        <v>27024</v>
      </c>
      <c r="M28" s="14" t="s">
        <v>2047</v>
      </c>
      <c r="N28" s="14" t="s">
        <v>29444</v>
      </c>
      <c r="O28" s="14" t="s">
        <v>27025</v>
      </c>
      <c r="P28" s="1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B5AA-8831-43E2-86E0-606D01914115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HYPERLINK("https://gmgn.ai/sol/address/77AeyLRLcrFb195Qve1bUxFHWYVVvGRQDLmNpSnrpfJP", "GMGN")</f>
        <v>GMGN</v>
      </c>
    </row>
    <row r="2" spans="1:14" x14ac:dyDescent="0.25">
      <c r="A2" s="3" t="s">
        <v>29445</v>
      </c>
      <c r="B2" s="3" t="s">
        <v>29446</v>
      </c>
      <c r="C2" s="3" t="s">
        <v>27028</v>
      </c>
      <c r="D2" s="3" t="s">
        <v>29447</v>
      </c>
      <c r="E2" s="3" t="s">
        <v>29448</v>
      </c>
      <c r="F2" s="3" t="s">
        <v>18</v>
      </c>
      <c r="G2" s="3" t="s">
        <v>18</v>
      </c>
      <c r="H2" s="3">
        <v>9</v>
      </c>
      <c r="I2" s="3">
        <v>0</v>
      </c>
      <c r="J2" s="3" t="s">
        <v>132</v>
      </c>
      <c r="K2" s="3" t="s">
        <v>3180</v>
      </c>
      <c r="L2" s="3">
        <v>9</v>
      </c>
      <c r="M2" s="3">
        <v>0</v>
      </c>
      <c r="N2" s="3" t="str">
        <f>HYPERLINK("https://solscan.io/account/77AeyLRLcrFb195Qve1bUxFHWYVVvGRQDLmNpSnrpfJP", "Solscan")</f>
        <v>Solscan</v>
      </c>
    </row>
    <row r="3" spans="1:14" x14ac:dyDescent="0.25">
      <c r="A3" s="1" t="s">
        <v>21</v>
      </c>
      <c r="B3" s="23" t="s">
        <v>29449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HYPERLINK("https://birdeye.so/profile/77AeyLRLcrFb195Qve1bUxFHWYVVvGRQDLmNpSnrpfJP", "Birdeye")</f>
        <v>Birdeye</v>
      </c>
    </row>
    <row r="4" spans="1:14" x14ac:dyDescent="0.25">
      <c r="A4" s="1" t="s">
        <v>25</v>
      </c>
      <c r="B4" s="23" t="s">
        <v>4264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1</v>
      </c>
      <c r="E10" s="1">
        <v>3</v>
      </c>
      <c r="F10" s="1">
        <v>1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4275</v>
      </c>
      <c r="C11" s="1" t="s">
        <v>4274</v>
      </c>
      <c r="D11" s="1" t="s">
        <v>4275</v>
      </c>
      <c r="E11" s="1" t="s">
        <v>9642</v>
      </c>
      <c r="F11" s="1" t="s">
        <v>4275</v>
      </c>
      <c r="G11" s="1" t="s">
        <v>4275</v>
      </c>
      <c r="H11" s="3"/>
      <c r="I11" s="3" t="s">
        <v>50</v>
      </c>
      <c r="J11" s="3" t="s">
        <v>12318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29450</v>
      </c>
      <c r="C12" s="1" t="s">
        <v>4278</v>
      </c>
      <c r="D12" s="1" t="s">
        <v>32</v>
      </c>
      <c r="E12" s="1" t="s">
        <v>9644</v>
      </c>
      <c r="F12" s="1" t="s">
        <v>22700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4131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26987</v>
      </c>
      <c r="B20" s="14">
        <v>8984506</v>
      </c>
      <c r="C20" s="14">
        <v>8984506</v>
      </c>
      <c r="D20" s="14" t="s">
        <v>1813</v>
      </c>
      <c r="E20" s="14" t="s">
        <v>10564</v>
      </c>
      <c r="F20" s="14" t="s">
        <v>29451</v>
      </c>
      <c r="G20" s="22" t="s">
        <v>11780</v>
      </c>
      <c r="H20" s="22" t="s">
        <v>29449</v>
      </c>
      <c r="I20" s="14" t="s">
        <v>88</v>
      </c>
      <c r="J20" s="14">
        <v>1</v>
      </c>
      <c r="K20" s="14">
        <v>1</v>
      </c>
      <c r="L20" s="14" t="s">
        <v>27033</v>
      </c>
      <c r="M20" s="14" t="s">
        <v>602</v>
      </c>
      <c r="N20" s="14" t="s">
        <v>22085</v>
      </c>
      <c r="O20" s="14" t="s">
        <v>26990</v>
      </c>
      <c r="P20" s="14" t="str">
        <f>HYPERLINK("https://photon-sol.tinyastro.io/en/lp/DZqXyNkK52FpPHGN73EmvvLoSZNXskpNvtL1GMjLpump?handle=676050794bc1b1657a56b", "View")</f>
        <v>View</v>
      </c>
    </row>
    <row r="21" spans="1:16" x14ac:dyDescent="0.25">
      <c r="A21" s="16" t="s">
        <v>26991</v>
      </c>
      <c r="B21" s="17">
        <v>8959841</v>
      </c>
      <c r="C21" s="17">
        <v>8959841</v>
      </c>
      <c r="D21" s="17" t="s">
        <v>27561</v>
      </c>
      <c r="E21" s="17" t="s">
        <v>4235</v>
      </c>
      <c r="F21" s="17" t="s">
        <v>29452</v>
      </c>
      <c r="G21" s="21" t="s">
        <v>26899</v>
      </c>
      <c r="H21" s="21" t="s">
        <v>29453</v>
      </c>
      <c r="I21" s="17" t="s">
        <v>88</v>
      </c>
      <c r="J21" s="17">
        <v>1</v>
      </c>
      <c r="K21" s="17">
        <v>18</v>
      </c>
      <c r="L21" s="17" t="s">
        <v>27473</v>
      </c>
      <c r="M21" s="17" t="s">
        <v>1566</v>
      </c>
      <c r="N21" s="17" t="s">
        <v>1980</v>
      </c>
      <c r="O21" s="17" t="s">
        <v>26996</v>
      </c>
      <c r="P21" s="17" t="str">
        <f>HYPERLINK("https://photon-sol.tinyastro.io/en/lp/CqBmg5ZUoaPg5Yx5uAKYzpyRcXme2UpVmZ8U5iotpump?handle=676050794bc1b1657a56b", "View")</f>
        <v>View</v>
      </c>
    </row>
    <row r="22" spans="1:16" x14ac:dyDescent="0.25">
      <c r="A22" s="13" t="s">
        <v>19027</v>
      </c>
      <c r="B22" s="14">
        <v>10163367</v>
      </c>
      <c r="C22" s="14">
        <v>10163367</v>
      </c>
      <c r="D22" s="14" t="s">
        <v>24430</v>
      </c>
      <c r="E22" s="14" t="s">
        <v>5471</v>
      </c>
      <c r="F22" s="14" t="s">
        <v>29454</v>
      </c>
      <c r="G22" s="21" t="s">
        <v>7880</v>
      </c>
      <c r="H22" s="21" t="s">
        <v>29455</v>
      </c>
      <c r="I22" s="14" t="s">
        <v>88</v>
      </c>
      <c r="J22" s="14">
        <v>1</v>
      </c>
      <c r="K22" s="14">
        <v>12</v>
      </c>
      <c r="L22" s="14" t="s">
        <v>27476</v>
      </c>
      <c r="M22" s="14" t="s">
        <v>788</v>
      </c>
      <c r="N22" s="14" t="s">
        <v>27308</v>
      </c>
      <c r="O22" s="14" t="s">
        <v>27039</v>
      </c>
      <c r="P22" s="14" t="str">
        <f>HYPERLINK("https://photon-sol.tinyastro.io/en/lp/HxdzGHd2jLF12UHjgFKCb6zMzgfqGnwRvwKweXmXpump?handle=676050794bc1b1657a56b", "View")</f>
        <v>View</v>
      </c>
    </row>
    <row r="23" spans="1:16" x14ac:dyDescent="0.25">
      <c r="A23" s="16" t="s">
        <v>19027</v>
      </c>
      <c r="B23" s="17">
        <v>8831328</v>
      </c>
      <c r="C23" s="17">
        <v>8831328</v>
      </c>
      <c r="D23" s="17" t="s">
        <v>26997</v>
      </c>
      <c r="E23" s="17" t="s">
        <v>3419</v>
      </c>
      <c r="F23" s="17" t="s">
        <v>29456</v>
      </c>
      <c r="G23" s="21" t="s">
        <v>29457</v>
      </c>
      <c r="H23" s="21" t="s">
        <v>29458</v>
      </c>
      <c r="I23" s="17" t="s">
        <v>88</v>
      </c>
      <c r="J23" s="17">
        <v>1</v>
      </c>
      <c r="K23" s="17">
        <v>61</v>
      </c>
      <c r="L23" s="17" t="s">
        <v>27001</v>
      </c>
      <c r="M23" s="17" t="s">
        <v>3180</v>
      </c>
      <c r="N23" s="17" t="s">
        <v>27313</v>
      </c>
      <c r="O23" s="17" t="s">
        <v>19033</v>
      </c>
      <c r="P23" s="17" t="str">
        <f>HYPERLINK("https://photon-sol.tinyastro.io/en/lp/ALKTKLRTyF3P83KMCAvGEtY4CsoMzvh1k38uixCgpump?handle=676050794bc1b1657a56b", "View")</f>
        <v>View</v>
      </c>
    </row>
    <row r="24" spans="1:16" x14ac:dyDescent="0.25">
      <c r="A24" s="13" t="s">
        <v>27003</v>
      </c>
      <c r="B24" s="14">
        <v>7929767</v>
      </c>
      <c r="C24" s="14">
        <v>7929767</v>
      </c>
      <c r="D24" s="14" t="s">
        <v>1813</v>
      </c>
      <c r="E24" s="14" t="s">
        <v>3522</v>
      </c>
      <c r="F24" s="14" t="s">
        <v>3221</v>
      </c>
      <c r="G24" s="22" t="s">
        <v>4818</v>
      </c>
      <c r="H24" s="22" t="s">
        <v>29459</v>
      </c>
      <c r="I24" s="14" t="s">
        <v>88</v>
      </c>
      <c r="J24" s="14">
        <v>1</v>
      </c>
      <c r="K24" s="14">
        <v>1</v>
      </c>
      <c r="L24" s="14" t="s">
        <v>29460</v>
      </c>
      <c r="M24" s="14" t="s">
        <v>2047</v>
      </c>
      <c r="N24" s="14" t="s">
        <v>1316</v>
      </c>
      <c r="O24" s="14" t="s">
        <v>27007</v>
      </c>
      <c r="P24" s="14" t="str">
        <f>HYPERLINK("https://photon-sol.tinyastro.io/en/lp/BFc3G2JaqZA3eCJzWiSMhGZp7aXwonXETtr2Nudppump?handle=676050794bc1b1657a56b", "View")</f>
        <v>View</v>
      </c>
    </row>
    <row r="25" spans="1:16" x14ac:dyDescent="0.25">
      <c r="A25" s="16" t="s">
        <v>27008</v>
      </c>
      <c r="B25" s="17">
        <v>11778199</v>
      </c>
      <c r="C25" s="17">
        <v>11778199</v>
      </c>
      <c r="D25" s="17" t="s">
        <v>1813</v>
      </c>
      <c r="E25" s="17" t="s">
        <v>2545</v>
      </c>
      <c r="F25" s="17" t="s">
        <v>17926</v>
      </c>
      <c r="G25" s="22" t="s">
        <v>5006</v>
      </c>
      <c r="H25" s="22" t="s">
        <v>2942</v>
      </c>
      <c r="I25" s="17" t="s">
        <v>88</v>
      </c>
      <c r="J25" s="17">
        <v>1</v>
      </c>
      <c r="K25" s="17">
        <v>1</v>
      </c>
      <c r="L25" s="17" t="s">
        <v>27012</v>
      </c>
      <c r="M25" s="17" t="s">
        <v>1566</v>
      </c>
      <c r="N25" s="17" t="s">
        <v>3816</v>
      </c>
      <c r="O25" s="17" t="s">
        <v>27013</v>
      </c>
      <c r="P25" s="17" t="str">
        <f>HYPERLINK("https://photon-sol.tinyastro.io/en/lp/CDkwBE7pPovZLJC2KxM7jvWXkyygR1Y1u2R7f6hmpump?handle=676050794bc1b1657a56b", "View")</f>
        <v>View</v>
      </c>
    </row>
    <row r="26" spans="1:16" x14ac:dyDescent="0.25">
      <c r="A26" s="13" t="s">
        <v>4867</v>
      </c>
      <c r="B26" s="14">
        <v>1793028</v>
      </c>
      <c r="C26" s="14">
        <v>1793028</v>
      </c>
      <c r="D26" s="14" t="s">
        <v>20279</v>
      </c>
      <c r="E26" s="14" t="s">
        <v>5242</v>
      </c>
      <c r="F26" s="14" t="s">
        <v>14894</v>
      </c>
      <c r="G26" s="20" t="s">
        <v>29461</v>
      </c>
      <c r="H26" s="20" t="s">
        <v>29462</v>
      </c>
      <c r="I26" s="14" t="s">
        <v>88</v>
      </c>
      <c r="J26" s="14">
        <v>2</v>
      </c>
      <c r="K26" s="14">
        <v>2</v>
      </c>
      <c r="L26" s="14" t="s">
        <v>27049</v>
      </c>
      <c r="M26" s="14" t="s">
        <v>1705</v>
      </c>
      <c r="N26" s="14" t="s">
        <v>27487</v>
      </c>
      <c r="O26" s="14" t="s">
        <v>27016</v>
      </c>
      <c r="P26" s="14" t="str">
        <f>HYPERLINK("https://photon-sol.tinyastro.io/en/lp/BPFXTGBjoARa89gbSvbp7Dy6cQwgGc7efW1jE8nTpump?handle=676050794bc1b1657a56b", "View")</f>
        <v>View</v>
      </c>
    </row>
    <row r="27" spans="1:16" x14ac:dyDescent="0.25">
      <c r="A27" s="16" t="s">
        <v>27017</v>
      </c>
      <c r="B27" s="17">
        <v>11384893</v>
      </c>
      <c r="C27" s="17">
        <v>11384893</v>
      </c>
      <c r="D27" s="17" t="s">
        <v>27051</v>
      </c>
      <c r="E27" s="17" t="s">
        <v>2831</v>
      </c>
      <c r="F27" s="17" t="s">
        <v>29463</v>
      </c>
      <c r="G27" s="21" t="s">
        <v>13499</v>
      </c>
      <c r="H27" s="21" t="s">
        <v>29464</v>
      </c>
      <c r="I27" s="17" t="s">
        <v>88</v>
      </c>
      <c r="J27" s="17">
        <v>1</v>
      </c>
      <c r="K27" s="17">
        <v>37</v>
      </c>
      <c r="L27" s="17" t="s">
        <v>29465</v>
      </c>
      <c r="M27" s="17" t="s">
        <v>1705</v>
      </c>
      <c r="N27" s="17" t="s">
        <v>13053</v>
      </c>
      <c r="O27" s="17" t="s">
        <v>27021</v>
      </c>
      <c r="P27" s="17" t="str">
        <f>HYPERLINK("https://photon-sol.tinyastro.io/en/lp/DirQ7FDi1C5SZCy8ai1GTSvnm9o8MDf9s4C4cExzpump?handle=676050794bc1b1657a56b", "View")</f>
        <v>View</v>
      </c>
    </row>
    <row r="28" spans="1:16" x14ac:dyDescent="0.25">
      <c r="A28" s="13" t="s">
        <v>27017</v>
      </c>
      <c r="B28" s="14">
        <v>585788</v>
      </c>
      <c r="C28" s="14">
        <v>585788</v>
      </c>
      <c r="D28" s="14" t="s">
        <v>27022</v>
      </c>
      <c r="E28" s="14" t="s">
        <v>2597</v>
      </c>
      <c r="F28" s="14" t="s">
        <v>17627</v>
      </c>
      <c r="G28" s="15" t="s">
        <v>2630</v>
      </c>
      <c r="H28" s="15" t="s">
        <v>29466</v>
      </c>
      <c r="I28" s="14" t="s">
        <v>88</v>
      </c>
      <c r="J28" s="14">
        <v>1</v>
      </c>
      <c r="K28" s="14">
        <v>1</v>
      </c>
      <c r="L28" s="14" t="s">
        <v>27609</v>
      </c>
      <c r="M28" s="14" t="s">
        <v>2047</v>
      </c>
      <c r="N28" s="14" t="s">
        <v>23380</v>
      </c>
      <c r="O28" s="14" t="s">
        <v>27025</v>
      </c>
      <c r="P28" s="14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A565-D4E9-4F5E-AC65-5B0A1F35DB36}">
  <dimension ref="A1:P2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HYPERLINK("https://gmgn.ai/sol/address/7BJk376WuRbWZ7DJRnxyJoYwwh5p6XAV3gySChMMQ4pi", "GMGN")</f>
        <v>GMGN</v>
      </c>
    </row>
    <row r="2" spans="1:14" x14ac:dyDescent="0.25">
      <c r="A2" s="3" t="s">
        <v>29467</v>
      </c>
      <c r="B2" s="3" t="s">
        <v>29468</v>
      </c>
      <c r="C2" s="3" t="s">
        <v>19651</v>
      </c>
      <c r="D2" s="3" t="s">
        <v>29469</v>
      </c>
      <c r="E2" s="3" t="s">
        <v>29470</v>
      </c>
      <c r="F2" s="3" t="s">
        <v>18</v>
      </c>
      <c r="G2" s="3" t="s">
        <v>18</v>
      </c>
      <c r="H2" s="3">
        <v>8</v>
      </c>
      <c r="I2" s="3">
        <v>0</v>
      </c>
      <c r="J2" s="3" t="s">
        <v>132</v>
      </c>
      <c r="K2" s="3" t="s">
        <v>3180</v>
      </c>
      <c r="L2" s="3">
        <v>8</v>
      </c>
      <c r="M2" s="3">
        <v>0</v>
      </c>
      <c r="N2" s="3" t="str">
        <f>HYPERLINK("https://solscan.io/account/7BJk376WuRbWZ7DJRnxyJoYwwh5p6XAV3gySChMMQ4pi", "Solscan")</f>
        <v>Solscan</v>
      </c>
    </row>
    <row r="3" spans="1:14" x14ac:dyDescent="0.25">
      <c r="A3" s="1" t="s">
        <v>21</v>
      </c>
      <c r="B3" s="23" t="s">
        <v>29471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HYPERLINK("https://birdeye.so/profile/7BJk376WuRbWZ7DJRnxyJoYwwh5p6XAV3gySChMMQ4pi", "Birdeye")</f>
        <v>Birdeye</v>
      </c>
    </row>
    <row r="4" spans="1:14" x14ac:dyDescent="0.25">
      <c r="A4" s="1" t="s">
        <v>25</v>
      </c>
      <c r="B4" s="23" t="s">
        <v>9638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1</v>
      </c>
      <c r="E10" s="1">
        <v>0</v>
      </c>
      <c r="F10" s="1">
        <v>2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17854</v>
      </c>
      <c r="C11" s="1" t="s">
        <v>17856</v>
      </c>
      <c r="D11" s="1" t="s">
        <v>17854</v>
      </c>
      <c r="E11" s="1" t="s">
        <v>1779</v>
      </c>
      <c r="F11" s="1" t="s">
        <v>24242</v>
      </c>
      <c r="G11" s="1" t="s">
        <v>17854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29450</v>
      </c>
      <c r="C12" s="1" t="s">
        <v>21279</v>
      </c>
      <c r="D12" s="1" t="s">
        <v>19663</v>
      </c>
      <c r="E12" s="1" t="s">
        <v>1786</v>
      </c>
      <c r="F12" s="1" t="s">
        <v>17860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27468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26991</v>
      </c>
      <c r="B20" s="14">
        <v>8959841</v>
      </c>
      <c r="C20" s="14">
        <v>8959841</v>
      </c>
      <c r="D20" s="14" t="s">
        <v>27561</v>
      </c>
      <c r="E20" s="14" t="s">
        <v>2575</v>
      </c>
      <c r="F20" s="14" t="s">
        <v>29472</v>
      </c>
      <c r="G20" s="21" t="s">
        <v>17072</v>
      </c>
      <c r="H20" s="21" t="s">
        <v>29473</v>
      </c>
      <c r="I20" s="14" t="s">
        <v>88</v>
      </c>
      <c r="J20" s="14">
        <v>1</v>
      </c>
      <c r="K20" s="14">
        <v>18</v>
      </c>
      <c r="L20" s="14" t="s">
        <v>26995</v>
      </c>
      <c r="M20" s="14" t="s">
        <v>1566</v>
      </c>
      <c r="N20" s="14" t="s">
        <v>1980</v>
      </c>
      <c r="O20" s="14" t="s">
        <v>26996</v>
      </c>
      <c r="P20" s="14" t="str">
        <f>HYPERLINK("https://photon-sol.tinyastro.io/en/lp/CqBmg5ZUoaPg5Yx5uAKYzpyRcXme2UpVmZ8U5iotpump?handle=676050794bc1b1657a56b", "View")</f>
        <v>View</v>
      </c>
    </row>
    <row r="21" spans="1:16" x14ac:dyDescent="0.25">
      <c r="A21" s="16" t="s">
        <v>19027</v>
      </c>
      <c r="B21" s="17">
        <v>10163367</v>
      </c>
      <c r="C21" s="17">
        <v>10163367</v>
      </c>
      <c r="D21" s="17" t="s">
        <v>27035</v>
      </c>
      <c r="E21" s="17" t="s">
        <v>29451</v>
      </c>
      <c r="F21" s="17" t="s">
        <v>18381</v>
      </c>
      <c r="G21" s="21" t="s">
        <v>24851</v>
      </c>
      <c r="H21" s="21" t="s">
        <v>27124</v>
      </c>
      <c r="I21" s="17" t="s">
        <v>88</v>
      </c>
      <c r="J21" s="17">
        <v>1</v>
      </c>
      <c r="K21" s="17">
        <v>13</v>
      </c>
      <c r="L21" s="17" t="s">
        <v>27476</v>
      </c>
      <c r="M21" s="17" t="s">
        <v>788</v>
      </c>
      <c r="N21" s="17" t="s">
        <v>29474</v>
      </c>
      <c r="O21" s="17" t="s">
        <v>27039</v>
      </c>
      <c r="P21" s="17" t="str">
        <f>HYPERLINK("https://photon-sol.tinyastro.io/en/lp/HxdzGHd2jLF12UHjgFKCb6zMzgfqGnwRvwKweXmXpump?handle=676050794bc1b1657a56b", "View")</f>
        <v>View</v>
      </c>
    </row>
    <row r="22" spans="1:16" x14ac:dyDescent="0.25">
      <c r="A22" s="13" t="s">
        <v>19027</v>
      </c>
      <c r="B22" s="14">
        <v>8831328</v>
      </c>
      <c r="C22" s="14">
        <v>8831328</v>
      </c>
      <c r="D22" s="14" t="s">
        <v>29475</v>
      </c>
      <c r="E22" s="14" t="s">
        <v>16828</v>
      </c>
      <c r="F22" s="14" t="s">
        <v>29476</v>
      </c>
      <c r="G22" s="21" t="s">
        <v>29477</v>
      </c>
      <c r="H22" s="21" t="s">
        <v>29478</v>
      </c>
      <c r="I22" s="14" t="s">
        <v>88</v>
      </c>
      <c r="J22" s="14">
        <v>1</v>
      </c>
      <c r="K22" s="14">
        <v>64</v>
      </c>
      <c r="L22" s="14" t="s">
        <v>27001</v>
      </c>
      <c r="M22" s="14" t="s">
        <v>3180</v>
      </c>
      <c r="N22" s="14" t="s">
        <v>27769</v>
      </c>
      <c r="O22" s="14" t="s">
        <v>19033</v>
      </c>
      <c r="P22" s="14" t="str">
        <f>HYPERLINK("https://photon-sol.tinyastro.io/en/lp/ALKTKLRTyF3P83KMCAvGEtY4CsoMzvh1k38uixCgpump?handle=676050794bc1b1657a56b", "View")</f>
        <v>View</v>
      </c>
    </row>
    <row r="23" spans="1:16" x14ac:dyDescent="0.25">
      <c r="A23" s="16" t="s">
        <v>27003</v>
      </c>
      <c r="B23" s="17">
        <v>7929767</v>
      </c>
      <c r="C23" s="17">
        <v>7929767</v>
      </c>
      <c r="D23" s="17" t="s">
        <v>1813</v>
      </c>
      <c r="E23" s="17" t="s">
        <v>3236</v>
      </c>
      <c r="F23" s="17" t="s">
        <v>9455</v>
      </c>
      <c r="G23" s="21" t="s">
        <v>2186</v>
      </c>
      <c r="H23" s="21" t="s">
        <v>27559</v>
      </c>
      <c r="I23" s="17" t="s">
        <v>88</v>
      </c>
      <c r="J23" s="17">
        <v>1</v>
      </c>
      <c r="K23" s="17">
        <v>1</v>
      </c>
      <c r="L23" s="17" t="s">
        <v>27572</v>
      </c>
      <c r="M23" s="17" t="s">
        <v>3180</v>
      </c>
      <c r="N23" s="17" t="s">
        <v>27573</v>
      </c>
      <c r="O23" s="17" t="s">
        <v>27007</v>
      </c>
      <c r="P23" s="17" t="str">
        <f>HYPERLINK("https://photon-sol.tinyastro.io/en/lp/BFc3G2JaqZA3eCJzWiSMhGZp7aXwonXETtr2Nudppump?handle=676050794bc1b1657a56b", "View")</f>
        <v>View</v>
      </c>
    </row>
    <row r="24" spans="1:16" x14ac:dyDescent="0.25">
      <c r="A24" s="13" t="s">
        <v>27008</v>
      </c>
      <c r="B24" s="14">
        <v>11778199</v>
      </c>
      <c r="C24" s="14">
        <v>11778199</v>
      </c>
      <c r="D24" s="14" t="s">
        <v>1813</v>
      </c>
      <c r="E24" s="14" t="s">
        <v>26886</v>
      </c>
      <c r="F24" s="14" t="s">
        <v>2652</v>
      </c>
      <c r="G24" s="20" t="s">
        <v>13261</v>
      </c>
      <c r="H24" s="20" t="s">
        <v>29479</v>
      </c>
      <c r="I24" s="14" t="s">
        <v>88</v>
      </c>
      <c r="J24" s="14">
        <v>1</v>
      </c>
      <c r="K24" s="14">
        <v>1</v>
      </c>
      <c r="L24" s="14" t="s">
        <v>27047</v>
      </c>
      <c r="M24" s="14" t="s">
        <v>1566</v>
      </c>
      <c r="N24" s="14" t="s">
        <v>7687</v>
      </c>
      <c r="O24" s="14" t="s">
        <v>27013</v>
      </c>
      <c r="P24" s="14" t="str">
        <f>HYPERLINK("https://photon-sol.tinyastro.io/en/lp/CDkwBE7pPovZLJC2KxM7jvWXkyygR1Y1u2R7f6hmpump?handle=676050794bc1b1657a56b", "View")</f>
        <v>View</v>
      </c>
    </row>
    <row r="25" spans="1:16" x14ac:dyDescent="0.25">
      <c r="A25" s="16" t="s">
        <v>4867</v>
      </c>
      <c r="B25" s="17">
        <v>1793028</v>
      </c>
      <c r="C25" s="17">
        <v>1793028</v>
      </c>
      <c r="D25" s="17" t="s">
        <v>20279</v>
      </c>
      <c r="E25" s="17" t="s">
        <v>29480</v>
      </c>
      <c r="F25" s="17" t="s">
        <v>22070</v>
      </c>
      <c r="G25" s="20" t="s">
        <v>29481</v>
      </c>
      <c r="H25" s="20" t="s">
        <v>29482</v>
      </c>
      <c r="I25" s="17" t="s">
        <v>88</v>
      </c>
      <c r="J25" s="17">
        <v>2</v>
      </c>
      <c r="K25" s="17">
        <v>2</v>
      </c>
      <c r="L25" s="17" t="s">
        <v>27049</v>
      </c>
      <c r="M25" s="17" t="s">
        <v>1705</v>
      </c>
      <c r="N25" s="17" t="s">
        <v>6258</v>
      </c>
      <c r="O25" s="17" t="s">
        <v>27016</v>
      </c>
      <c r="P25" s="17" t="str">
        <f>HYPERLINK("https://photon-sol.tinyastro.io/en/lp/BPFXTGBjoARa89gbSvbp7Dy6cQwgGc7efW1jE8nTpump?handle=676050794bc1b1657a56b", "View")</f>
        <v>View</v>
      </c>
    </row>
    <row r="26" spans="1:16" x14ac:dyDescent="0.25">
      <c r="A26" s="13" t="s">
        <v>27017</v>
      </c>
      <c r="B26" s="14">
        <v>11384893</v>
      </c>
      <c r="C26" s="14">
        <v>11384893</v>
      </c>
      <c r="D26" s="14" t="s">
        <v>29483</v>
      </c>
      <c r="E26" s="14" t="s">
        <v>17952</v>
      </c>
      <c r="F26" s="14" t="s">
        <v>29484</v>
      </c>
      <c r="G26" s="21" t="s">
        <v>1509</v>
      </c>
      <c r="H26" s="21" t="s">
        <v>29485</v>
      </c>
      <c r="I26" s="14" t="s">
        <v>88</v>
      </c>
      <c r="J26" s="14">
        <v>1</v>
      </c>
      <c r="K26" s="14">
        <v>38</v>
      </c>
      <c r="L26" s="14" t="s">
        <v>29486</v>
      </c>
      <c r="M26" s="14" t="s">
        <v>1610</v>
      </c>
      <c r="N26" s="14" t="s">
        <v>29487</v>
      </c>
      <c r="O26" s="14" t="s">
        <v>27021</v>
      </c>
      <c r="P26" s="14" t="str">
        <f>HYPERLINK("https://photon-sol.tinyastro.io/en/lp/DirQ7FDi1C5SZCy8ai1GTSvnm9o8MDf9s4C4cExzpump?handle=676050794bc1b1657a56b", "View")</f>
        <v>View</v>
      </c>
    </row>
    <row r="27" spans="1:16" x14ac:dyDescent="0.25">
      <c r="A27" s="16" t="s">
        <v>27017</v>
      </c>
      <c r="B27" s="17">
        <v>585788</v>
      </c>
      <c r="C27" s="17">
        <v>585788</v>
      </c>
      <c r="D27" s="17" t="s">
        <v>27022</v>
      </c>
      <c r="E27" s="17" t="s">
        <v>2597</v>
      </c>
      <c r="F27" s="17" t="s">
        <v>8306</v>
      </c>
      <c r="G27" s="15" t="s">
        <v>2630</v>
      </c>
      <c r="H27" s="15" t="s">
        <v>29488</v>
      </c>
      <c r="I27" s="17" t="s">
        <v>88</v>
      </c>
      <c r="J27" s="17">
        <v>1</v>
      </c>
      <c r="K27" s="17">
        <v>1</v>
      </c>
      <c r="L27" s="17" t="s">
        <v>27609</v>
      </c>
      <c r="M27" s="17" t="s">
        <v>2047</v>
      </c>
      <c r="N27" s="17" t="s">
        <v>23380</v>
      </c>
      <c r="O27" s="17" t="s">
        <v>27025</v>
      </c>
      <c r="P27" s="17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8A44-EE6F-40CF-82D9-76F69E18B0FD}">
  <dimension ref="A1:P3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HYPERLINK("https://gmgn.ai/sol/address/BcViwxDP94ZDX9zLbrzmwRyPD7Ygo8GCc589nxMpcR9C", "GMGN")</f>
        <v>GMGN</v>
      </c>
    </row>
    <row r="2" spans="1:14" x14ac:dyDescent="0.25">
      <c r="A2" s="3" t="s">
        <v>29489</v>
      </c>
      <c r="B2" s="3" t="s">
        <v>29490</v>
      </c>
      <c r="C2" s="3" t="s">
        <v>4357</v>
      </c>
      <c r="D2" s="3" t="s">
        <v>29491</v>
      </c>
      <c r="E2" s="3" t="s">
        <v>29492</v>
      </c>
      <c r="F2" s="3" t="s">
        <v>18</v>
      </c>
      <c r="G2" s="3" t="s">
        <v>29493</v>
      </c>
      <c r="H2" s="3">
        <v>15</v>
      </c>
      <c r="I2" s="3">
        <v>0</v>
      </c>
      <c r="J2" s="3" t="s">
        <v>11188</v>
      </c>
      <c r="K2" s="3" t="s">
        <v>4268</v>
      </c>
      <c r="L2" s="3">
        <v>13</v>
      </c>
      <c r="M2" s="3">
        <v>16</v>
      </c>
      <c r="N2" s="3" t="str">
        <f>HYPERLINK("https://solscan.io/account/BcViwxDP94ZDX9zLbrzmwRyPD7Ygo8GCc589nxMpcR9C", "Solscan")</f>
        <v>Solscan</v>
      </c>
    </row>
    <row r="3" spans="1:14" x14ac:dyDescent="0.25">
      <c r="A3" s="1" t="s">
        <v>21</v>
      </c>
      <c r="B3" s="23" t="s">
        <v>29494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HYPERLINK("https://birdeye.so/profile/BcViwxDP94ZDX9zLbrzmwRyPD7Ygo8GCc589nxMpcR9C", "Birdeye")</f>
        <v>Birdeye</v>
      </c>
    </row>
    <row r="4" spans="1:14" x14ac:dyDescent="0.25">
      <c r="A4" s="1" t="s">
        <v>25</v>
      </c>
      <c r="B4" s="23" t="s">
        <v>15652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29495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7498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4</v>
      </c>
      <c r="C10" s="1">
        <v>2</v>
      </c>
      <c r="D10" s="1">
        <v>0</v>
      </c>
      <c r="E10" s="1">
        <v>3</v>
      </c>
      <c r="F10" s="1">
        <v>5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20141</v>
      </c>
      <c r="C11" s="1" t="s">
        <v>21498</v>
      </c>
      <c r="D11" s="1" t="s">
        <v>1779</v>
      </c>
      <c r="E11" s="1" t="s">
        <v>21196</v>
      </c>
      <c r="F11" s="1" t="s">
        <v>9642</v>
      </c>
      <c r="G11" s="1" t="s">
        <v>21195</v>
      </c>
      <c r="H11" s="3"/>
      <c r="I11" s="3" t="s">
        <v>50</v>
      </c>
      <c r="J11" s="3" t="s">
        <v>8326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29496</v>
      </c>
      <c r="C12" s="1" t="s">
        <v>29497</v>
      </c>
      <c r="D12" s="1" t="s">
        <v>1786</v>
      </c>
      <c r="E12" s="1" t="s">
        <v>15567</v>
      </c>
      <c r="F12" s="1" t="s">
        <v>29498</v>
      </c>
      <c r="G12" s="1" t="s">
        <v>27787</v>
      </c>
      <c r="H12" s="3"/>
      <c r="I12" s="3" t="s">
        <v>59</v>
      </c>
      <c r="J12" s="3" t="s">
        <v>1570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4281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12145</v>
      </c>
      <c r="B20" s="14">
        <v>24948090</v>
      </c>
      <c r="C20" s="14">
        <v>24948090</v>
      </c>
      <c r="D20" s="14" t="s">
        <v>29499</v>
      </c>
      <c r="E20" s="14" t="s">
        <v>29500</v>
      </c>
      <c r="F20" s="14" t="s">
        <v>29501</v>
      </c>
      <c r="G20" s="22" t="s">
        <v>5753</v>
      </c>
      <c r="H20" s="22" t="s">
        <v>1971</v>
      </c>
      <c r="I20" s="14" t="s">
        <v>88</v>
      </c>
      <c r="J20" s="14">
        <v>1</v>
      </c>
      <c r="K20" s="14">
        <v>2</v>
      </c>
      <c r="L20" s="14" t="s">
        <v>29502</v>
      </c>
      <c r="M20" s="14" t="s">
        <v>179</v>
      </c>
      <c r="N20" s="14" t="s">
        <v>29503</v>
      </c>
      <c r="O20" s="14" t="s">
        <v>27645</v>
      </c>
      <c r="P20" s="14" t="str">
        <f>HYPERLINK("https://photon-sol.tinyastro.io/en/lp/BNqefzuRXjFQZdgn8zFsM1svNprTAeQJ1SKkMh7Qpump?handle=676050794bc1b1657a56b", "View")</f>
        <v>View</v>
      </c>
    </row>
    <row r="21" spans="1:16" x14ac:dyDescent="0.25">
      <c r="A21" s="16" t="s">
        <v>5931</v>
      </c>
      <c r="B21" s="17">
        <v>45342373</v>
      </c>
      <c r="C21" s="17">
        <v>238248127</v>
      </c>
      <c r="D21" s="17" t="s">
        <v>13920</v>
      </c>
      <c r="E21" s="17" t="s">
        <v>29504</v>
      </c>
      <c r="F21" s="17" t="s">
        <v>29505</v>
      </c>
      <c r="G21" s="21" t="s">
        <v>29506</v>
      </c>
      <c r="H21" s="21" t="s">
        <v>29507</v>
      </c>
      <c r="I21" s="17" t="s">
        <v>88</v>
      </c>
      <c r="J21" s="17">
        <v>3</v>
      </c>
      <c r="K21" s="17">
        <v>2</v>
      </c>
      <c r="L21" s="17" t="s">
        <v>29508</v>
      </c>
      <c r="M21" s="17" t="s">
        <v>7381</v>
      </c>
      <c r="N21" s="17" t="s">
        <v>507</v>
      </c>
      <c r="O21" s="17" t="s">
        <v>29509</v>
      </c>
      <c r="P21" s="17" t="str">
        <f>HYPERLINK("https://photon-sol.tinyastro.io/en/lp/DCa8emumq3cnkozq4sf4JGmp28dLuT9LVPKHk4cypump?handle=676050794bc1b1657a56b", "View")</f>
        <v>View</v>
      </c>
    </row>
    <row r="22" spans="1:16" x14ac:dyDescent="0.25">
      <c r="A22" s="13" t="s">
        <v>29510</v>
      </c>
      <c r="B22" s="14">
        <v>177802853</v>
      </c>
      <c r="C22" s="14">
        <v>177802852</v>
      </c>
      <c r="D22" s="14" t="s">
        <v>4347</v>
      </c>
      <c r="E22" s="14" t="s">
        <v>29511</v>
      </c>
      <c r="F22" s="14" t="s">
        <v>29512</v>
      </c>
      <c r="G22" s="20" t="s">
        <v>3920</v>
      </c>
      <c r="H22" s="20" t="s">
        <v>26457</v>
      </c>
      <c r="I22" s="14" t="s">
        <v>88</v>
      </c>
      <c r="J22" s="14">
        <v>1</v>
      </c>
      <c r="K22" s="14">
        <v>1</v>
      </c>
      <c r="L22" s="14" t="s">
        <v>29513</v>
      </c>
      <c r="M22" s="14" t="s">
        <v>1434</v>
      </c>
      <c r="N22" s="14" t="s">
        <v>507</v>
      </c>
      <c r="O22" s="14" t="s">
        <v>29514</v>
      </c>
      <c r="P22" s="14" t="str">
        <f>HYPERLINK("https://photon-sol.tinyastro.io/en/lp/2xcBVhTLNmx7HVxNNjYCR9DbvFhwXESV5kjZHct7pump?handle=676050794bc1b1657a56b", "View")</f>
        <v>View</v>
      </c>
    </row>
    <row r="23" spans="1:16" x14ac:dyDescent="0.25">
      <c r="A23" s="16" t="s">
        <v>5931</v>
      </c>
      <c r="B23" s="17">
        <v>65468234</v>
      </c>
      <c r="C23" s="17">
        <v>65468234</v>
      </c>
      <c r="D23" s="17" t="s">
        <v>29023</v>
      </c>
      <c r="E23" s="17" t="s">
        <v>13970</v>
      </c>
      <c r="F23" s="17" t="s">
        <v>13476</v>
      </c>
      <c r="G23" s="22" t="s">
        <v>6248</v>
      </c>
      <c r="H23" s="22" t="s">
        <v>29494</v>
      </c>
      <c r="I23" s="17" t="s">
        <v>88</v>
      </c>
      <c r="J23" s="17">
        <v>2</v>
      </c>
      <c r="K23" s="17">
        <v>2</v>
      </c>
      <c r="L23" s="17" t="s">
        <v>29515</v>
      </c>
      <c r="M23" s="17" t="s">
        <v>1448</v>
      </c>
      <c r="N23" s="17" t="s">
        <v>507</v>
      </c>
      <c r="O23" s="17" t="s">
        <v>29516</v>
      </c>
      <c r="P23" s="17" t="str">
        <f>HYPERLINK("https://photon-sol.tinyastro.io/en/lp/61rpxDaPX7YhGHoGLJVLUNwX6U2Mqv2t75LHyzUxpump?handle=676050794bc1b1657a56b", "View")</f>
        <v>View</v>
      </c>
    </row>
    <row r="24" spans="1:16" x14ac:dyDescent="0.25">
      <c r="A24" s="13" t="s">
        <v>16654</v>
      </c>
      <c r="B24" s="14">
        <v>129829977</v>
      </c>
      <c r="C24" s="14">
        <v>737216523</v>
      </c>
      <c r="D24" s="14" t="s">
        <v>29517</v>
      </c>
      <c r="E24" s="14" t="s">
        <v>29518</v>
      </c>
      <c r="F24" s="14" t="s">
        <v>29519</v>
      </c>
      <c r="G24" s="21" t="s">
        <v>29520</v>
      </c>
      <c r="H24" s="21" t="s">
        <v>29521</v>
      </c>
      <c r="I24" s="14" t="s">
        <v>88</v>
      </c>
      <c r="J24" s="14">
        <v>4</v>
      </c>
      <c r="K24" s="14">
        <v>5</v>
      </c>
      <c r="L24" s="14" t="s">
        <v>29522</v>
      </c>
      <c r="M24" s="14" t="s">
        <v>179</v>
      </c>
      <c r="N24" s="14" t="s">
        <v>507</v>
      </c>
      <c r="O24" s="14" t="s">
        <v>29523</v>
      </c>
      <c r="P24" s="14" t="str">
        <f>HYPERLINK("https://photon-sol.tinyastro.io/en/lp/6RmKWy38xWrU38xQcM17hwCrYKkkLjVWCdckyq7Xpump?handle=676050794bc1b1657a56b", "View")</f>
        <v>View</v>
      </c>
    </row>
    <row r="25" spans="1:16" x14ac:dyDescent="0.25">
      <c r="A25" s="16" t="s">
        <v>29524</v>
      </c>
      <c r="B25" s="17">
        <v>154357642</v>
      </c>
      <c r="C25" s="17">
        <v>808531768</v>
      </c>
      <c r="D25" s="17" t="s">
        <v>8739</v>
      </c>
      <c r="E25" s="17" t="s">
        <v>29511</v>
      </c>
      <c r="F25" s="17" t="s">
        <v>29525</v>
      </c>
      <c r="G25" s="21" t="s">
        <v>29526</v>
      </c>
      <c r="H25" s="21" t="s">
        <v>29527</v>
      </c>
      <c r="I25" s="17" t="s">
        <v>88</v>
      </c>
      <c r="J25" s="17">
        <v>1</v>
      </c>
      <c r="K25" s="17">
        <v>6</v>
      </c>
      <c r="L25" s="17" t="s">
        <v>29528</v>
      </c>
      <c r="M25" s="17" t="s">
        <v>179</v>
      </c>
      <c r="N25" s="17" t="s">
        <v>507</v>
      </c>
      <c r="O25" s="17" t="s">
        <v>29529</v>
      </c>
      <c r="P25" s="17" t="str">
        <f>HYPERLINK("https://photon-sol.tinyastro.io/en/lp/GpyWtEutywYPMJFnZmT1LWiZQaiE1aPDQojcYdsdpump?handle=676050794bc1b1657a56b", "View")</f>
        <v>View</v>
      </c>
    </row>
    <row r="26" spans="1:16" x14ac:dyDescent="0.25">
      <c r="A26" s="13" t="s">
        <v>29530</v>
      </c>
      <c r="B26" s="14">
        <v>125138958</v>
      </c>
      <c r="C26" s="14">
        <v>538985152</v>
      </c>
      <c r="D26" s="14" t="s">
        <v>29023</v>
      </c>
      <c r="E26" s="14" t="s">
        <v>29531</v>
      </c>
      <c r="F26" s="14" t="s">
        <v>29532</v>
      </c>
      <c r="G26" s="21" t="s">
        <v>29533</v>
      </c>
      <c r="H26" s="21" t="s">
        <v>29534</v>
      </c>
      <c r="I26" s="14" t="s">
        <v>88</v>
      </c>
      <c r="J26" s="14">
        <v>1</v>
      </c>
      <c r="K26" s="14">
        <v>3</v>
      </c>
      <c r="L26" s="14" t="s">
        <v>29535</v>
      </c>
      <c r="M26" s="14" t="s">
        <v>179</v>
      </c>
      <c r="N26" s="14" t="s">
        <v>507</v>
      </c>
      <c r="O26" s="14" t="s">
        <v>29536</v>
      </c>
      <c r="P26" s="14" t="str">
        <f>HYPERLINK("https://photon-sol.tinyastro.io/en/lp/6VT39pSEyGSBW7prUe4U1d96PVVfVLfbRMKK3kcipump?handle=676050794bc1b1657a56b", "View")</f>
        <v>View</v>
      </c>
    </row>
    <row r="27" spans="1:16" x14ac:dyDescent="0.25">
      <c r="A27" s="16" t="s">
        <v>29537</v>
      </c>
      <c r="B27" s="17">
        <v>36507192</v>
      </c>
      <c r="C27" s="17">
        <v>21283448</v>
      </c>
      <c r="D27" s="17" t="s">
        <v>16262</v>
      </c>
      <c r="E27" s="17" t="s">
        <v>22089</v>
      </c>
      <c r="F27" s="17" t="s">
        <v>29538</v>
      </c>
      <c r="G27" s="20" t="s">
        <v>29539</v>
      </c>
      <c r="H27" s="20" t="s">
        <v>29540</v>
      </c>
      <c r="I27" s="17" t="s">
        <v>88</v>
      </c>
      <c r="J27" s="17">
        <v>3</v>
      </c>
      <c r="K27" s="17">
        <v>1</v>
      </c>
      <c r="L27" s="17" t="s">
        <v>29541</v>
      </c>
      <c r="M27" s="17" t="s">
        <v>117</v>
      </c>
      <c r="N27" s="17" t="s">
        <v>507</v>
      </c>
      <c r="O27" s="17" t="s">
        <v>29542</v>
      </c>
      <c r="P27" s="17" t="str">
        <f>HYPERLINK("https://photon-sol.tinyastro.io/en/lp/GgdVTmUow4LqvCYhtBngRDRDmF8zeWrjEFo4fa5Spump?handle=676050794bc1b1657a56b", "View")</f>
        <v>View</v>
      </c>
    </row>
    <row r="28" spans="1:16" x14ac:dyDescent="0.25">
      <c r="A28" s="13" t="s">
        <v>29537</v>
      </c>
      <c r="B28" s="14">
        <v>89636724</v>
      </c>
      <c r="C28" s="14">
        <v>89636724</v>
      </c>
      <c r="D28" s="14" t="s">
        <v>17949</v>
      </c>
      <c r="E28" s="14" t="s">
        <v>29543</v>
      </c>
      <c r="F28" s="14" t="s">
        <v>29544</v>
      </c>
      <c r="G28" s="20" t="s">
        <v>8279</v>
      </c>
      <c r="H28" s="20" t="s">
        <v>29545</v>
      </c>
      <c r="I28" s="14" t="s">
        <v>88</v>
      </c>
      <c r="J28" s="14">
        <v>2</v>
      </c>
      <c r="K28" s="14">
        <v>2</v>
      </c>
      <c r="L28" s="14" t="s">
        <v>29546</v>
      </c>
      <c r="M28" s="14" t="s">
        <v>602</v>
      </c>
      <c r="N28" s="14" t="s">
        <v>507</v>
      </c>
      <c r="O28" s="14" t="s">
        <v>29547</v>
      </c>
      <c r="P28" s="14" t="str">
        <f>HYPERLINK("https://photon-sol.tinyastro.io/en/lp/2WXmgwG4pHAu9tswVciXRpq6QbnQWVdtiPCp4Crcpump?handle=676050794bc1b1657a56b", "View")</f>
        <v>View</v>
      </c>
    </row>
    <row r="29" spans="1:16" x14ac:dyDescent="0.25">
      <c r="A29" s="16" t="s">
        <v>29537</v>
      </c>
      <c r="B29" s="17">
        <v>51730292</v>
      </c>
      <c r="C29" s="17">
        <v>51730292</v>
      </c>
      <c r="D29" s="17" t="s">
        <v>832</v>
      </c>
      <c r="E29" s="17" t="s">
        <v>4302</v>
      </c>
      <c r="F29" s="17" t="s">
        <v>17907</v>
      </c>
      <c r="G29" s="20" t="s">
        <v>29548</v>
      </c>
      <c r="H29" s="20" t="s">
        <v>29549</v>
      </c>
      <c r="I29" s="17" t="s">
        <v>88</v>
      </c>
      <c r="J29" s="17">
        <v>1</v>
      </c>
      <c r="K29" s="17">
        <v>2</v>
      </c>
      <c r="L29" s="17" t="s">
        <v>29550</v>
      </c>
      <c r="M29" s="17" t="s">
        <v>602</v>
      </c>
      <c r="N29" s="17" t="s">
        <v>507</v>
      </c>
      <c r="O29" s="17" t="s">
        <v>29551</v>
      </c>
      <c r="P29" s="17" t="str">
        <f>HYPERLINK("https://photon-sol.tinyastro.io/en/lp/EzWht1gYUAzKoqbtHZVeM8Ney5wGCAfArE5UmYwcpump?handle=676050794bc1b1657a56b", "View")</f>
        <v>View</v>
      </c>
    </row>
    <row r="30" spans="1:16" x14ac:dyDescent="0.25">
      <c r="A30" s="13" t="s">
        <v>29537</v>
      </c>
      <c r="B30" s="14">
        <v>86836582</v>
      </c>
      <c r="C30" s="14">
        <v>86836581</v>
      </c>
      <c r="D30" s="14" t="s">
        <v>8064</v>
      </c>
      <c r="E30" s="14" t="s">
        <v>29552</v>
      </c>
      <c r="F30" s="14" t="s">
        <v>29553</v>
      </c>
      <c r="G30" s="22" t="s">
        <v>29554</v>
      </c>
      <c r="H30" s="22" t="s">
        <v>29555</v>
      </c>
      <c r="I30" s="14" t="s">
        <v>88</v>
      </c>
      <c r="J30" s="14">
        <v>2</v>
      </c>
      <c r="K30" s="14">
        <v>3</v>
      </c>
      <c r="L30" s="14" t="s">
        <v>29556</v>
      </c>
      <c r="M30" s="14" t="s">
        <v>3171</v>
      </c>
      <c r="N30" s="14" t="s">
        <v>507</v>
      </c>
      <c r="O30" s="14" t="s">
        <v>29557</v>
      </c>
      <c r="P30" s="14" t="str">
        <f>HYPERLINK("https://photon-sol.tinyastro.io/en/lp/D8F2DuWB2cNVDVyjAVocX1smidCtmgtJE8Nznnqnpump?handle=676050794bc1b1657a56b", "View")</f>
        <v>View</v>
      </c>
    </row>
    <row r="31" spans="1:16" x14ac:dyDescent="0.25">
      <c r="A31" s="16" t="s">
        <v>29558</v>
      </c>
      <c r="B31" s="17">
        <v>32983538</v>
      </c>
      <c r="C31" s="17">
        <v>78402727</v>
      </c>
      <c r="D31" s="17" t="s">
        <v>19035</v>
      </c>
      <c r="E31" s="17" t="s">
        <v>29559</v>
      </c>
      <c r="F31" s="17" t="s">
        <v>29560</v>
      </c>
      <c r="G31" s="21" t="s">
        <v>29561</v>
      </c>
      <c r="H31" s="21" t="s">
        <v>29562</v>
      </c>
      <c r="I31" s="17" t="s">
        <v>88</v>
      </c>
      <c r="J31" s="17">
        <v>1</v>
      </c>
      <c r="K31" s="17">
        <v>3</v>
      </c>
      <c r="L31" s="17" t="s">
        <v>29563</v>
      </c>
      <c r="M31" s="17" t="s">
        <v>117</v>
      </c>
      <c r="N31" s="17" t="s">
        <v>29564</v>
      </c>
      <c r="O31" s="17" t="s">
        <v>29565</v>
      </c>
      <c r="P31" s="17" t="str">
        <f>HYPERLINK("https://photon-sol.tinyastro.io/en/lp/CLzvow1g6NQseSZfe9Ejo97HMemWYQYHSaDW6RhMpump?handle=676050794bc1b1657a56b", "View")</f>
        <v>View</v>
      </c>
    </row>
    <row r="32" spans="1:16" x14ac:dyDescent="0.25">
      <c r="A32" s="13" t="s">
        <v>29558</v>
      </c>
      <c r="B32" s="14">
        <v>46619348</v>
      </c>
      <c r="C32" s="14">
        <v>46619348</v>
      </c>
      <c r="D32" s="14" t="s">
        <v>18981</v>
      </c>
      <c r="E32" s="14" t="s">
        <v>29566</v>
      </c>
      <c r="F32" s="14" t="s">
        <v>29567</v>
      </c>
      <c r="G32" s="20" t="s">
        <v>10599</v>
      </c>
      <c r="H32" s="20" t="s">
        <v>5742</v>
      </c>
      <c r="I32" s="14" t="s">
        <v>88</v>
      </c>
      <c r="J32" s="14">
        <v>1</v>
      </c>
      <c r="K32" s="14">
        <v>1</v>
      </c>
      <c r="L32" s="14" t="s">
        <v>29568</v>
      </c>
      <c r="M32" s="14" t="s">
        <v>1448</v>
      </c>
      <c r="N32" s="14" t="s">
        <v>507</v>
      </c>
      <c r="O32" s="14" t="s">
        <v>29569</v>
      </c>
      <c r="P32" s="14" t="str">
        <f>HYPERLINK("https://photon-sol.tinyastro.io/en/lp/F75vXecBWwAbET1DJrK7yRRyGSJzVrJY8mEU898Npump?handle=676050794bc1b1657a56b", "View")</f>
        <v>View</v>
      </c>
    </row>
    <row r="33" spans="1:16" x14ac:dyDescent="0.25">
      <c r="A33" s="16" t="s">
        <v>17673</v>
      </c>
      <c r="B33" s="17">
        <v>16525937</v>
      </c>
      <c r="C33" s="17">
        <v>16525937</v>
      </c>
      <c r="D33" s="17" t="s">
        <v>8191</v>
      </c>
      <c r="E33" s="17" t="s">
        <v>6560</v>
      </c>
      <c r="F33" s="17" t="s">
        <v>29570</v>
      </c>
      <c r="G33" s="15" t="s">
        <v>29571</v>
      </c>
      <c r="H33" s="15" t="s">
        <v>29572</v>
      </c>
      <c r="I33" s="17" t="s">
        <v>88</v>
      </c>
      <c r="J33" s="17">
        <v>1</v>
      </c>
      <c r="K33" s="17">
        <v>1</v>
      </c>
      <c r="L33" s="17" t="s">
        <v>29573</v>
      </c>
      <c r="M33" s="17" t="s">
        <v>379</v>
      </c>
      <c r="N33" s="17" t="s">
        <v>29574</v>
      </c>
      <c r="O33" s="17" t="s">
        <v>17677</v>
      </c>
      <c r="P33" s="17" t="str">
        <f>HYPERLINK("https://dexscreener.com/solana/6RVMpYRVtQdsGHZgRSq7kp2CWRWA62NfXEa8Drm9pump", "View")</f>
        <v>View</v>
      </c>
    </row>
    <row r="34" spans="1:16" x14ac:dyDescent="0.25">
      <c r="A34" s="13" t="s">
        <v>7133</v>
      </c>
      <c r="B34" s="14">
        <v>69331268</v>
      </c>
      <c r="C34" s="14">
        <v>96985114</v>
      </c>
      <c r="D34" s="14" t="s">
        <v>15618</v>
      </c>
      <c r="E34" s="14" t="s">
        <v>29575</v>
      </c>
      <c r="F34" s="14" t="s">
        <v>29576</v>
      </c>
      <c r="G34" s="21" t="s">
        <v>29577</v>
      </c>
      <c r="H34" s="21" t="s">
        <v>29578</v>
      </c>
      <c r="I34" s="14" t="s">
        <v>88</v>
      </c>
      <c r="J34" s="14">
        <v>2</v>
      </c>
      <c r="K34" s="14">
        <v>4</v>
      </c>
      <c r="L34" s="14" t="s">
        <v>29579</v>
      </c>
      <c r="M34" s="14" t="s">
        <v>414</v>
      </c>
      <c r="N34" s="14" t="s">
        <v>507</v>
      </c>
      <c r="O34" s="14" t="s">
        <v>29580</v>
      </c>
      <c r="P34" s="14" t="str">
        <f>HYPERLINK("https://dexscreener.com/solana/5Z67JE3WvDXNpwGca8o8q8hJc8obN5vPLHpHoYXKEbG1", "View")</f>
        <v>View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C7E4-3225-4667-A9A5-99FAD749E6AF}">
  <dimension ref="A1:P31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HYPERLINK("https://gmgn.ai/sol/address/8vys1QHhKnz9uXKgJ7KTzunBxchMyBUVUC34SqYyt2xk", "GMGN")</f>
        <v>GMGN</v>
      </c>
    </row>
    <row r="2" spans="1:14" x14ac:dyDescent="0.25">
      <c r="A2" s="3" t="s">
        <v>4712</v>
      </c>
      <c r="B2" s="3" t="s">
        <v>4713</v>
      </c>
      <c r="C2" s="3" t="s">
        <v>4714</v>
      </c>
      <c r="D2" s="3" t="s">
        <v>4715</v>
      </c>
      <c r="E2" s="3" t="s">
        <v>4716</v>
      </c>
      <c r="F2" s="3" t="s">
        <v>4717</v>
      </c>
      <c r="G2" s="3" t="s">
        <v>18</v>
      </c>
      <c r="H2" s="3">
        <v>299</v>
      </c>
      <c r="I2" s="3">
        <v>77</v>
      </c>
      <c r="J2" s="3" t="s">
        <v>4718</v>
      </c>
      <c r="K2" s="3" t="s">
        <v>4719</v>
      </c>
      <c r="L2" s="3">
        <v>57</v>
      </c>
      <c r="M2" s="3">
        <v>53</v>
      </c>
      <c r="N2" s="3" t="str">
        <f>HYPERLINK("https://solscan.io/account/8vys1QHhKnz9uXKgJ7KTzunBxchMyBUVUC34SqYyt2xk", "Solscan")</f>
        <v>Solscan</v>
      </c>
    </row>
    <row r="3" spans="1:14" x14ac:dyDescent="0.25">
      <c r="A3" s="1" t="s">
        <v>21</v>
      </c>
      <c r="B3" s="4" t="s">
        <v>4720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HYPERLINK("https://birdeye.so/profile/8vys1QHhKnz9uXKgJ7KTzunBxchMyBUVUC34SqYyt2xk", "Birdeye")</f>
        <v>Birdeye</v>
      </c>
    </row>
    <row r="4" spans="1:14" x14ac:dyDescent="0.25">
      <c r="A4" s="1" t="s">
        <v>25</v>
      </c>
      <c r="B4" s="3" t="s">
        <v>26</v>
      </c>
      <c r="C4" s="3"/>
      <c r="D4" s="3" t="s">
        <v>2004</v>
      </c>
      <c r="E4" s="3" t="s">
        <v>4721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4369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5</v>
      </c>
      <c r="C10" s="1">
        <v>26</v>
      </c>
      <c r="D10" s="1">
        <v>15</v>
      </c>
      <c r="E10" s="1">
        <v>34</v>
      </c>
      <c r="F10" s="1">
        <v>53</v>
      </c>
      <c r="G10" s="1">
        <v>166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4722</v>
      </c>
      <c r="C11" s="1" t="s">
        <v>1573</v>
      </c>
      <c r="D11" s="1" t="s">
        <v>4723</v>
      </c>
      <c r="E11" s="1" t="s">
        <v>4724</v>
      </c>
      <c r="F11" s="1" t="s">
        <v>4725</v>
      </c>
      <c r="G11" s="1" t="s">
        <v>4726</v>
      </c>
      <c r="H11" s="3"/>
      <c r="I11" s="3" t="s">
        <v>50</v>
      </c>
      <c r="J11" s="3" t="s">
        <v>4727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4728</v>
      </c>
      <c r="C12" s="1" t="s">
        <v>4729</v>
      </c>
      <c r="D12" s="1" t="s">
        <v>1778</v>
      </c>
      <c r="E12" s="1" t="s">
        <v>4730</v>
      </c>
      <c r="F12" s="1" t="s">
        <v>4731</v>
      </c>
      <c r="G12" s="1" t="s">
        <v>4732</v>
      </c>
      <c r="H12" s="3"/>
      <c r="I12" s="3" t="s">
        <v>59</v>
      </c>
      <c r="J12" s="3" t="s">
        <v>4733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4734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4735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4736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4737</v>
      </c>
      <c r="B20" s="14">
        <v>296842</v>
      </c>
      <c r="C20" s="14">
        <v>0</v>
      </c>
      <c r="D20" s="14" t="s">
        <v>4738</v>
      </c>
      <c r="E20" s="14" t="s">
        <v>4396</v>
      </c>
      <c r="F20" s="14" t="s">
        <v>96</v>
      </c>
      <c r="G20" s="18" t="s">
        <v>4739</v>
      </c>
      <c r="H20" s="18" t="s">
        <v>98</v>
      </c>
      <c r="I20" s="14" t="s">
        <v>4740</v>
      </c>
      <c r="J20" s="14">
        <v>1</v>
      </c>
      <c r="K20" s="14">
        <v>0</v>
      </c>
      <c r="L20" s="14" t="s">
        <v>4741</v>
      </c>
      <c r="M20" s="19" t="s">
        <v>101</v>
      </c>
      <c r="N20" s="14" t="s">
        <v>4742</v>
      </c>
      <c r="O20" s="14" t="s">
        <v>4743</v>
      </c>
      <c r="P20" s="14" t="str">
        <f>HYPERLINK("https://dexscreener.com/solana/9vMVrZxpyzZGdDxvTiwjPuTco8VuXQFoZPzrUoPSpump", "View")</f>
        <v>View</v>
      </c>
    </row>
    <row r="21" spans="1:16" x14ac:dyDescent="0.25">
      <c r="A21" s="16" t="s">
        <v>4744</v>
      </c>
      <c r="B21" s="17">
        <v>956390</v>
      </c>
      <c r="C21" s="17">
        <v>0</v>
      </c>
      <c r="D21" s="17" t="s">
        <v>4738</v>
      </c>
      <c r="E21" s="17" t="s">
        <v>4396</v>
      </c>
      <c r="F21" s="17" t="s">
        <v>96</v>
      </c>
      <c r="G21" s="18" t="s">
        <v>4739</v>
      </c>
      <c r="H21" s="18" t="s">
        <v>98</v>
      </c>
      <c r="I21" s="17" t="s">
        <v>4745</v>
      </c>
      <c r="J21" s="17">
        <v>1</v>
      </c>
      <c r="K21" s="17">
        <v>0</v>
      </c>
      <c r="L21" s="17" t="s">
        <v>4746</v>
      </c>
      <c r="M21" s="19" t="s">
        <v>101</v>
      </c>
      <c r="N21" s="17" t="s">
        <v>4747</v>
      </c>
      <c r="O21" s="17" t="s">
        <v>4748</v>
      </c>
      <c r="P21" s="17" t="str">
        <f>HYPERLINK("https://dexscreener.com/solana/GZSbHMuJrT2mLYnvkbD8mW3Tx6ycMCafMseNgq6yY8zw", "View")</f>
        <v>View</v>
      </c>
    </row>
    <row r="22" spans="1:16" x14ac:dyDescent="0.25">
      <c r="A22" s="13" t="s">
        <v>4749</v>
      </c>
      <c r="B22" s="14">
        <v>161795</v>
      </c>
      <c r="C22" s="14">
        <v>0</v>
      </c>
      <c r="D22" s="14" t="s">
        <v>4738</v>
      </c>
      <c r="E22" s="14" t="s">
        <v>4396</v>
      </c>
      <c r="F22" s="14" t="s">
        <v>96</v>
      </c>
      <c r="G22" s="18" t="s">
        <v>4739</v>
      </c>
      <c r="H22" s="18" t="s">
        <v>98</v>
      </c>
      <c r="I22" s="14" t="s">
        <v>4750</v>
      </c>
      <c r="J22" s="14">
        <v>1</v>
      </c>
      <c r="K22" s="14">
        <v>0</v>
      </c>
      <c r="L22" s="14" t="s">
        <v>4751</v>
      </c>
      <c r="M22" s="19" t="s">
        <v>101</v>
      </c>
      <c r="N22" s="14" t="s">
        <v>649</v>
      </c>
      <c r="O22" s="14" t="s">
        <v>4752</v>
      </c>
      <c r="P22" s="14" t="str">
        <f>HYPERLINK("https://dexscreener.com/solana/GFxYpGDua6boNBmUh7WiWkvckmyZEkaHW5J4hE1Xpump", "View")</f>
        <v>View</v>
      </c>
    </row>
    <row r="23" spans="1:16" x14ac:dyDescent="0.25">
      <c r="A23" s="16" t="s">
        <v>4753</v>
      </c>
      <c r="B23" s="17">
        <v>623915</v>
      </c>
      <c r="C23" s="17">
        <v>311958</v>
      </c>
      <c r="D23" s="17" t="s">
        <v>4754</v>
      </c>
      <c r="E23" s="17" t="s">
        <v>2605</v>
      </c>
      <c r="F23" s="17" t="s">
        <v>4396</v>
      </c>
      <c r="G23" s="15" t="s">
        <v>4755</v>
      </c>
      <c r="H23" s="15" t="s">
        <v>4756</v>
      </c>
      <c r="I23" s="17" t="s">
        <v>88</v>
      </c>
      <c r="J23" s="17">
        <v>1</v>
      </c>
      <c r="K23" s="17">
        <v>1</v>
      </c>
      <c r="L23" s="17" t="s">
        <v>4757</v>
      </c>
      <c r="M23" s="17" t="s">
        <v>1448</v>
      </c>
      <c r="N23" s="17" t="s">
        <v>4758</v>
      </c>
      <c r="O23" s="17" t="s">
        <v>4759</v>
      </c>
      <c r="P23" s="17" t="str">
        <f>HYPERLINK("https://photon-sol.tinyastro.io/en/lp/Aws17M8eUvZxc5LZ23YQfuFj9u3iN5PMgJtPFxfxpump?handle=676050794bc1b1657a56b", "View")</f>
        <v>View</v>
      </c>
    </row>
    <row r="24" spans="1:16" x14ac:dyDescent="0.25">
      <c r="A24" s="13" t="s">
        <v>4760</v>
      </c>
      <c r="B24" s="14">
        <v>107825</v>
      </c>
      <c r="C24" s="14">
        <v>53912</v>
      </c>
      <c r="D24" s="14" t="s">
        <v>4754</v>
      </c>
      <c r="E24" s="14" t="s">
        <v>4396</v>
      </c>
      <c r="F24" s="14" t="s">
        <v>4761</v>
      </c>
      <c r="G24" s="20" t="s">
        <v>4762</v>
      </c>
      <c r="H24" s="20" t="s">
        <v>4763</v>
      </c>
      <c r="I24" s="14" t="s">
        <v>88</v>
      </c>
      <c r="J24" s="14">
        <v>1</v>
      </c>
      <c r="K24" s="14">
        <v>1</v>
      </c>
      <c r="L24" s="14" t="s">
        <v>4764</v>
      </c>
      <c r="M24" s="14" t="s">
        <v>1566</v>
      </c>
      <c r="N24" s="14" t="s">
        <v>4765</v>
      </c>
      <c r="O24" s="14" t="s">
        <v>4766</v>
      </c>
      <c r="P24" s="14" t="str">
        <f>HYPERLINK("https://dexscreener.com/solana/C8w46V4sR4yph3JajsdV75wwpsAoxncrPUfkiJCtTUjM", "View")</f>
        <v>View</v>
      </c>
    </row>
    <row r="25" spans="1:16" x14ac:dyDescent="0.25">
      <c r="A25" s="16" t="s">
        <v>2842</v>
      </c>
      <c r="B25" s="17">
        <v>3015615</v>
      </c>
      <c r="C25" s="17">
        <v>0</v>
      </c>
      <c r="D25" s="17" t="s">
        <v>4738</v>
      </c>
      <c r="E25" s="17" t="s">
        <v>4396</v>
      </c>
      <c r="F25" s="17" t="s">
        <v>96</v>
      </c>
      <c r="G25" s="18" t="s">
        <v>4739</v>
      </c>
      <c r="H25" s="18" t="s">
        <v>98</v>
      </c>
      <c r="I25" s="17" t="s">
        <v>4767</v>
      </c>
      <c r="J25" s="17">
        <v>1</v>
      </c>
      <c r="K25" s="17">
        <v>0</v>
      </c>
      <c r="L25" s="17" t="s">
        <v>4768</v>
      </c>
      <c r="M25" s="19" t="s">
        <v>101</v>
      </c>
      <c r="N25" s="17" t="s">
        <v>4769</v>
      </c>
      <c r="O25" s="17" t="s">
        <v>4770</v>
      </c>
      <c r="P25" s="17" t="str">
        <f>HYPERLINK("https://dexscreener.com/solana/7FksGFdBunWuRpAJBrDkfEM2hGbHUPGtP1x4Gt4vpump", "View")</f>
        <v>View</v>
      </c>
    </row>
    <row r="26" spans="1:16" x14ac:dyDescent="0.25">
      <c r="A26" s="13" t="s">
        <v>4771</v>
      </c>
      <c r="B26" s="14">
        <v>1111166</v>
      </c>
      <c r="C26" s="14">
        <v>0</v>
      </c>
      <c r="D26" s="14" t="s">
        <v>4738</v>
      </c>
      <c r="E26" s="14" t="s">
        <v>4396</v>
      </c>
      <c r="F26" s="14" t="s">
        <v>96</v>
      </c>
      <c r="G26" s="18" t="s">
        <v>4739</v>
      </c>
      <c r="H26" s="18" t="s">
        <v>98</v>
      </c>
      <c r="I26" s="14" t="s">
        <v>4772</v>
      </c>
      <c r="J26" s="14">
        <v>1</v>
      </c>
      <c r="K26" s="14">
        <v>0</v>
      </c>
      <c r="L26" s="14" t="s">
        <v>4773</v>
      </c>
      <c r="M26" s="19" t="s">
        <v>101</v>
      </c>
      <c r="N26" s="14" t="s">
        <v>4774</v>
      </c>
      <c r="O26" s="14" t="s">
        <v>4775</v>
      </c>
      <c r="P26" s="14" t="str">
        <f>HYPERLINK("https://dexscreener.com/solana/3a23hdFRaMhqy9Q5P684U69r2GNzWDoxAYJpHjmmpump", "View")</f>
        <v>View</v>
      </c>
    </row>
    <row r="27" spans="1:16" x14ac:dyDescent="0.25">
      <c r="A27" s="16" t="s">
        <v>4776</v>
      </c>
      <c r="B27" s="17">
        <v>149356</v>
      </c>
      <c r="C27" s="17">
        <v>0</v>
      </c>
      <c r="D27" s="17" t="s">
        <v>4738</v>
      </c>
      <c r="E27" s="17" t="s">
        <v>4396</v>
      </c>
      <c r="F27" s="17" t="s">
        <v>96</v>
      </c>
      <c r="G27" s="18" t="s">
        <v>4739</v>
      </c>
      <c r="H27" s="18" t="s">
        <v>98</v>
      </c>
      <c r="I27" s="17" t="s">
        <v>4777</v>
      </c>
      <c r="J27" s="17">
        <v>1</v>
      </c>
      <c r="K27" s="17">
        <v>0</v>
      </c>
      <c r="L27" s="17" t="s">
        <v>4778</v>
      </c>
      <c r="M27" s="19" t="s">
        <v>101</v>
      </c>
      <c r="N27" s="17" t="s">
        <v>4779</v>
      </c>
      <c r="O27" s="17" t="s">
        <v>4780</v>
      </c>
      <c r="P27" s="17" t="str">
        <f>HYPERLINK("https://dexscreener.com/solana/8sdB4SieY1dMCPofU8Zh6QaYbk4ZBQiYXbtVQkaApump", "View")</f>
        <v>View</v>
      </c>
    </row>
    <row r="28" spans="1:16" x14ac:dyDescent="0.25">
      <c r="A28" s="13" t="s">
        <v>4781</v>
      </c>
      <c r="B28" s="14">
        <v>201356</v>
      </c>
      <c r="C28" s="14">
        <v>201356</v>
      </c>
      <c r="D28" s="14" t="s">
        <v>4782</v>
      </c>
      <c r="E28" s="14" t="s">
        <v>4396</v>
      </c>
      <c r="F28" s="14" t="s">
        <v>4783</v>
      </c>
      <c r="G28" s="21" t="s">
        <v>2831</v>
      </c>
      <c r="H28" s="21" t="s">
        <v>4784</v>
      </c>
      <c r="I28" s="14" t="s">
        <v>88</v>
      </c>
      <c r="J28" s="14">
        <v>1</v>
      </c>
      <c r="K28" s="14">
        <v>2</v>
      </c>
      <c r="L28" s="14" t="s">
        <v>4785</v>
      </c>
      <c r="M28" s="14" t="s">
        <v>4297</v>
      </c>
      <c r="N28" s="14" t="s">
        <v>4786</v>
      </c>
      <c r="O28" s="14" t="s">
        <v>4787</v>
      </c>
      <c r="P28" s="14" t="str">
        <f>HYPERLINK("https://dexscreener.com/solana/6LJaNpynfDj5dX1dJ2sdGDqmUzkqsVGCza5WLr5Npump", "View")</f>
        <v>View</v>
      </c>
    </row>
    <row r="29" spans="1:16" x14ac:dyDescent="0.25">
      <c r="A29" s="16" t="s">
        <v>4788</v>
      </c>
      <c r="B29" s="17">
        <v>275027</v>
      </c>
      <c r="C29" s="17">
        <v>0</v>
      </c>
      <c r="D29" s="17" t="s">
        <v>4738</v>
      </c>
      <c r="E29" s="17" t="s">
        <v>4396</v>
      </c>
      <c r="F29" s="17" t="s">
        <v>96</v>
      </c>
      <c r="G29" s="18" t="s">
        <v>4739</v>
      </c>
      <c r="H29" s="18" t="s">
        <v>98</v>
      </c>
      <c r="I29" s="17" t="s">
        <v>4789</v>
      </c>
      <c r="J29" s="17">
        <v>1</v>
      </c>
      <c r="K29" s="17">
        <v>0</v>
      </c>
      <c r="L29" s="17" t="s">
        <v>4790</v>
      </c>
      <c r="M29" s="19" t="s">
        <v>101</v>
      </c>
      <c r="N29" s="17" t="s">
        <v>4791</v>
      </c>
      <c r="O29" s="17" t="s">
        <v>4792</v>
      </c>
      <c r="P29" s="17" t="str">
        <f>HYPERLINK("https://dexscreener.com/solana/2CtwtX2A3jXgxG8WFJThQiNZpHzvqiCVwNU4za9fWH23", "View")</f>
        <v>View</v>
      </c>
    </row>
    <row r="30" spans="1:16" x14ac:dyDescent="0.25">
      <c r="A30" s="13" t="s">
        <v>4793</v>
      </c>
      <c r="B30" s="14">
        <v>158801</v>
      </c>
      <c r="C30" s="14">
        <v>0</v>
      </c>
      <c r="D30" s="14" t="s">
        <v>4738</v>
      </c>
      <c r="E30" s="14" t="s">
        <v>4396</v>
      </c>
      <c r="F30" s="14" t="s">
        <v>96</v>
      </c>
      <c r="G30" s="18" t="s">
        <v>4739</v>
      </c>
      <c r="H30" s="18" t="s">
        <v>98</v>
      </c>
      <c r="I30" s="14" t="s">
        <v>4794</v>
      </c>
      <c r="J30" s="14">
        <v>1</v>
      </c>
      <c r="K30" s="14">
        <v>0</v>
      </c>
      <c r="L30" s="14" t="s">
        <v>4795</v>
      </c>
      <c r="M30" s="19" t="s">
        <v>101</v>
      </c>
      <c r="N30" s="14" t="s">
        <v>4796</v>
      </c>
      <c r="O30" s="14" t="s">
        <v>4797</v>
      </c>
      <c r="P30" s="14" t="str">
        <f>HYPERLINK("https://dexscreener.com/solana/g6NSpJRmMvchtfcG6SxyCwRz9DQFMMKUBAEv5v7pump", "View")</f>
        <v>View</v>
      </c>
    </row>
    <row r="31" spans="1:16" x14ac:dyDescent="0.25">
      <c r="A31" s="16" t="s">
        <v>4798</v>
      </c>
      <c r="B31" s="17">
        <v>192492</v>
      </c>
      <c r="C31" s="17">
        <v>96246</v>
      </c>
      <c r="D31" s="17" t="s">
        <v>4754</v>
      </c>
      <c r="E31" s="17" t="s">
        <v>4396</v>
      </c>
      <c r="F31" s="17" t="s">
        <v>1884</v>
      </c>
      <c r="G31" s="20" t="s">
        <v>4799</v>
      </c>
      <c r="H31" s="20" t="s">
        <v>4800</v>
      </c>
      <c r="I31" s="17" t="s">
        <v>88</v>
      </c>
      <c r="J31" s="17">
        <v>1</v>
      </c>
      <c r="K31" s="17">
        <v>1</v>
      </c>
      <c r="L31" s="17" t="s">
        <v>4801</v>
      </c>
      <c r="M31" s="17" t="s">
        <v>1957</v>
      </c>
      <c r="N31" s="17" t="s">
        <v>4802</v>
      </c>
      <c r="O31" s="17" t="s">
        <v>4803</v>
      </c>
      <c r="P31" s="17" t="str">
        <f>HYPERLINK("https://dexscreener.com/solana/HcisYtXpJ9r4uUjPadfaJQiKCyT21wuQ1hNg2NAypump", "View")</f>
        <v>View</v>
      </c>
    </row>
    <row r="32" spans="1:16" x14ac:dyDescent="0.25">
      <c r="A32" s="13" t="s">
        <v>4804</v>
      </c>
      <c r="B32" s="14">
        <v>518624</v>
      </c>
      <c r="C32" s="14">
        <v>518624</v>
      </c>
      <c r="D32" s="14" t="s">
        <v>4805</v>
      </c>
      <c r="E32" s="14" t="s">
        <v>4665</v>
      </c>
      <c r="F32" s="14" t="s">
        <v>4806</v>
      </c>
      <c r="G32" s="22" t="s">
        <v>2661</v>
      </c>
      <c r="H32" s="22" t="s">
        <v>4807</v>
      </c>
      <c r="I32" s="14" t="s">
        <v>88</v>
      </c>
      <c r="J32" s="14">
        <v>2</v>
      </c>
      <c r="K32" s="14">
        <v>2</v>
      </c>
      <c r="L32" s="14" t="s">
        <v>4808</v>
      </c>
      <c r="M32" s="14" t="s">
        <v>132</v>
      </c>
      <c r="N32" s="14" t="s">
        <v>4809</v>
      </c>
      <c r="O32" s="14" t="s">
        <v>4810</v>
      </c>
      <c r="P32" s="14" t="str">
        <f>HYPERLINK("https://dexscreener.com/solana/2GU2KM9mx4aXuMcD596KN5LPQpyTLsmswutjis7upump", "View")</f>
        <v>View</v>
      </c>
    </row>
    <row r="33" spans="1:16" x14ac:dyDescent="0.25">
      <c r="A33" s="16" t="s">
        <v>4811</v>
      </c>
      <c r="B33" s="17">
        <v>217930</v>
      </c>
      <c r="C33" s="17">
        <v>108965</v>
      </c>
      <c r="D33" s="17" t="s">
        <v>4754</v>
      </c>
      <c r="E33" s="17" t="s">
        <v>4396</v>
      </c>
      <c r="F33" s="17" t="s">
        <v>4396</v>
      </c>
      <c r="G33" s="22" t="s">
        <v>96</v>
      </c>
      <c r="H33" s="22" t="s">
        <v>4812</v>
      </c>
      <c r="I33" s="17" t="s">
        <v>88</v>
      </c>
      <c r="J33" s="17">
        <v>1</v>
      </c>
      <c r="K33" s="17">
        <v>1</v>
      </c>
      <c r="L33" s="17" t="s">
        <v>4813</v>
      </c>
      <c r="M33" s="17" t="s">
        <v>3180</v>
      </c>
      <c r="N33" s="17" t="s">
        <v>4814</v>
      </c>
      <c r="O33" s="17" t="s">
        <v>4815</v>
      </c>
      <c r="P33" s="17" t="str">
        <f>HYPERLINK("https://dexscreener.com/solana/6wBkbf9697vSZ8rS8vTFJVKvxPLaW35zSRqg3iXpump", "View")</f>
        <v>View</v>
      </c>
    </row>
    <row r="34" spans="1:16" x14ac:dyDescent="0.25">
      <c r="A34" s="13" t="s">
        <v>4816</v>
      </c>
      <c r="B34" s="14">
        <v>131525</v>
      </c>
      <c r="C34" s="14">
        <v>65762</v>
      </c>
      <c r="D34" s="14" t="s">
        <v>4754</v>
      </c>
      <c r="E34" s="14" t="s">
        <v>4396</v>
      </c>
      <c r="F34" s="14" t="s">
        <v>4817</v>
      </c>
      <c r="G34" s="22" t="s">
        <v>4818</v>
      </c>
      <c r="H34" s="22" t="s">
        <v>4819</v>
      </c>
      <c r="I34" s="14" t="s">
        <v>88</v>
      </c>
      <c r="J34" s="14">
        <v>1</v>
      </c>
      <c r="K34" s="14">
        <v>1</v>
      </c>
      <c r="L34" s="14" t="s">
        <v>4820</v>
      </c>
      <c r="M34" s="14" t="s">
        <v>1566</v>
      </c>
      <c r="N34" s="14" t="s">
        <v>4821</v>
      </c>
      <c r="O34" s="14" t="s">
        <v>4822</v>
      </c>
      <c r="P34" s="14" t="str">
        <f>HYPERLINK("https://dexscreener.com/solana/DZNk7E8KdF9vRpP2Hk5gR9CtkkjTteA2FDFw3wUvpump", "View")</f>
        <v>View</v>
      </c>
    </row>
    <row r="35" spans="1:16" x14ac:dyDescent="0.25">
      <c r="A35" s="16" t="s">
        <v>4823</v>
      </c>
      <c r="B35" s="17">
        <v>208800</v>
      </c>
      <c r="C35" s="17">
        <v>0</v>
      </c>
      <c r="D35" s="17" t="s">
        <v>4738</v>
      </c>
      <c r="E35" s="17" t="s">
        <v>4396</v>
      </c>
      <c r="F35" s="17" t="s">
        <v>96</v>
      </c>
      <c r="G35" s="18" t="s">
        <v>4739</v>
      </c>
      <c r="H35" s="18" t="s">
        <v>98</v>
      </c>
      <c r="I35" s="17" t="s">
        <v>4824</v>
      </c>
      <c r="J35" s="17">
        <v>1</v>
      </c>
      <c r="K35" s="17">
        <v>0</v>
      </c>
      <c r="L35" s="17" t="s">
        <v>4825</v>
      </c>
      <c r="M35" s="19" t="s">
        <v>101</v>
      </c>
      <c r="N35" s="17" t="s">
        <v>4826</v>
      </c>
      <c r="O35" s="17" t="s">
        <v>4827</v>
      </c>
      <c r="P35" s="17" t="str">
        <f>HYPERLINK("https://dexscreener.com/solana/FGjDi7mTBsniSdcB1TcBZjuDCAvhRoqmE7EhrXr6pump", "View")</f>
        <v>View</v>
      </c>
    </row>
    <row r="36" spans="1:16" x14ac:dyDescent="0.25">
      <c r="A36" s="13" t="s">
        <v>153</v>
      </c>
      <c r="B36" s="14">
        <v>67572</v>
      </c>
      <c r="C36" s="14">
        <v>0</v>
      </c>
      <c r="D36" s="14" t="s">
        <v>4738</v>
      </c>
      <c r="E36" s="14" t="s">
        <v>4396</v>
      </c>
      <c r="F36" s="14" t="s">
        <v>96</v>
      </c>
      <c r="G36" s="18" t="s">
        <v>4739</v>
      </c>
      <c r="H36" s="18" t="s">
        <v>98</v>
      </c>
      <c r="I36" s="14" t="s">
        <v>4828</v>
      </c>
      <c r="J36" s="14">
        <v>1</v>
      </c>
      <c r="K36" s="14">
        <v>0</v>
      </c>
      <c r="L36" s="14" t="s">
        <v>4829</v>
      </c>
      <c r="M36" s="19" t="s">
        <v>101</v>
      </c>
      <c r="N36" s="14" t="s">
        <v>4830</v>
      </c>
      <c r="O36" s="14" t="s">
        <v>4831</v>
      </c>
      <c r="P36" s="14" t="str">
        <f>HYPERLINK("https://dexscreener.com/solana/EfgUrxH8LSk4gJBfULwW7GEAFekUULkK6DWjJdQLpump", "View")</f>
        <v>View</v>
      </c>
    </row>
    <row r="37" spans="1:16" x14ac:dyDescent="0.25">
      <c r="A37" s="16" t="s">
        <v>4832</v>
      </c>
      <c r="B37" s="17">
        <v>268195</v>
      </c>
      <c r="C37" s="17">
        <v>0</v>
      </c>
      <c r="D37" s="17" t="s">
        <v>4738</v>
      </c>
      <c r="E37" s="17" t="s">
        <v>4396</v>
      </c>
      <c r="F37" s="17" t="s">
        <v>96</v>
      </c>
      <c r="G37" s="18" t="s">
        <v>4739</v>
      </c>
      <c r="H37" s="18" t="s">
        <v>98</v>
      </c>
      <c r="I37" s="17" t="s">
        <v>4833</v>
      </c>
      <c r="J37" s="17">
        <v>1</v>
      </c>
      <c r="K37" s="17">
        <v>0</v>
      </c>
      <c r="L37" s="17" t="s">
        <v>4834</v>
      </c>
      <c r="M37" s="19" t="s">
        <v>101</v>
      </c>
      <c r="N37" s="17" t="s">
        <v>4835</v>
      </c>
      <c r="O37" s="17" t="s">
        <v>4836</v>
      </c>
      <c r="P37" s="17" t="str">
        <f>HYPERLINK("https://dexscreener.com/solana/GbsDEf8p82zziXK6Lf5B1qYcQ4kBeJii1yQ2bSbpump", "View")</f>
        <v>View</v>
      </c>
    </row>
    <row r="38" spans="1:16" x14ac:dyDescent="0.25">
      <c r="A38" s="13" t="s">
        <v>4837</v>
      </c>
      <c r="B38" s="14">
        <v>238377</v>
      </c>
      <c r="C38" s="14">
        <v>119189</v>
      </c>
      <c r="D38" s="14" t="s">
        <v>4754</v>
      </c>
      <c r="E38" s="14" t="s">
        <v>4396</v>
      </c>
      <c r="F38" s="14" t="s">
        <v>4838</v>
      </c>
      <c r="G38" s="22" t="s">
        <v>3765</v>
      </c>
      <c r="H38" s="22" t="s">
        <v>4839</v>
      </c>
      <c r="I38" s="14" t="s">
        <v>88</v>
      </c>
      <c r="J38" s="14">
        <v>1</v>
      </c>
      <c r="K38" s="14">
        <v>1</v>
      </c>
      <c r="L38" s="14" t="s">
        <v>4840</v>
      </c>
      <c r="M38" s="14" t="s">
        <v>3180</v>
      </c>
      <c r="N38" s="14" t="s">
        <v>4841</v>
      </c>
      <c r="O38" s="14" t="s">
        <v>4842</v>
      </c>
      <c r="P38" s="14" t="str">
        <f>HYPERLINK("https://dexscreener.com/solana/4KRD6qE4wYm76ET284aqt6VCkfi4EjuCLMKt4UBipump", "View")</f>
        <v>View</v>
      </c>
    </row>
    <row r="39" spans="1:16" x14ac:dyDescent="0.25">
      <c r="A39" s="16" t="s">
        <v>4843</v>
      </c>
      <c r="B39" s="17">
        <v>298265</v>
      </c>
      <c r="C39" s="17">
        <v>0</v>
      </c>
      <c r="D39" s="17" t="s">
        <v>4738</v>
      </c>
      <c r="E39" s="17" t="s">
        <v>4396</v>
      </c>
      <c r="F39" s="17" t="s">
        <v>96</v>
      </c>
      <c r="G39" s="18" t="s">
        <v>4739</v>
      </c>
      <c r="H39" s="18" t="s">
        <v>98</v>
      </c>
      <c r="I39" s="17" t="s">
        <v>4844</v>
      </c>
      <c r="J39" s="17">
        <v>1</v>
      </c>
      <c r="K39" s="17">
        <v>0</v>
      </c>
      <c r="L39" s="17" t="s">
        <v>4845</v>
      </c>
      <c r="M39" s="19" t="s">
        <v>101</v>
      </c>
      <c r="N39" s="17" t="s">
        <v>4846</v>
      </c>
      <c r="O39" s="17" t="s">
        <v>4847</v>
      </c>
      <c r="P39" s="17" t="str">
        <f>HYPERLINK("https://dexscreener.com/solana/DjNffyojgwGTHk3PLFxLwJYPgRZL8B3L7M5hLUD5pump", "View")</f>
        <v>View</v>
      </c>
    </row>
    <row r="40" spans="1:16" x14ac:dyDescent="0.25">
      <c r="A40" s="13" t="s">
        <v>4848</v>
      </c>
      <c r="B40" s="14">
        <v>47244</v>
      </c>
      <c r="C40" s="14">
        <v>0</v>
      </c>
      <c r="D40" s="14" t="s">
        <v>4738</v>
      </c>
      <c r="E40" s="14" t="s">
        <v>4396</v>
      </c>
      <c r="F40" s="14" t="s">
        <v>96</v>
      </c>
      <c r="G40" s="18" t="s">
        <v>4739</v>
      </c>
      <c r="H40" s="18" t="s">
        <v>98</v>
      </c>
      <c r="I40" s="14" t="s">
        <v>4849</v>
      </c>
      <c r="J40" s="14">
        <v>1</v>
      </c>
      <c r="K40" s="14">
        <v>0</v>
      </c>
      <c r="L40" s="14" t="s">
        <v>4850</v>
      </c>
      <c r="M40" s="19" t="s">
        <v>101</v>
      </c>
      <c r="N40" s="14" t="s">
        <v>4851</v>
      </c>
      <c r="O40" s="14" t="s">
        <v>4852</v>
      </c>
      <c r="P40" s="14" t="str">
        <f>HYPERLINK("https://dexscreener.com/solana/3TuNSRkKjvh8iu67xgUSrqJCiXCX5eW6F3GDTy9Fpump", "View")</f>
        <v>View</v>
      </c>
    </row>
    <row r="41" spans="1:16" x14ac:dyDescent="0.25">
      <c r="A41" s="16" t="s">
        <v>4853</v>
      </c>
      <c r="B41" s="17">
        <v>111873</v>
      </c>
      <c r="C41" s="17">
        <v>0</v>
      </c>
      <c r="D41" s="17" t="s">
        <v>4738</v>
      </c>
      <c r="E41" s="17" t="s">
        <v>4396</v>
      </c>
      <c r="F41" s="17" t="s">
        <v>96</v>
      </c>
      <c r="G41" s="18" t="s">
        <v>4739</v>
      </c>
      <c r="H41" s="18" t="s">
        <v>98</v>
      </c>
      <c r="I41" s="17" t="s">
        <v>4854</v>
      </c>
      <c r="J41" s="17">
        <v>1</v>
      </c>
      <c r="K41" s="17">
        <v>0</v>
      </c>
      <c r="L41" s="17" t="s">
        <v>4855</v>
      </c>
      <c r="M41" s="19" t="s">
        <v>101</v>
      </c>
      <c r="N41" s="17" t="s">
        <v>4856</v>
      </c>
      <c r="O41" s="17" t="s">
        <v>4857</v>
      </c>
      <c r="P41" s="17" t="str">
        <f>HYPERLINK("https://dexscreener.com/solana/H43yVAmXnZRs4MUDKzcJFueVW23kMSDvP2xHY3e3pump", "View")</f>
        <v>View</v>
      </c>
    </row>
    <row r="42" spans="1:16" x14ac:dyDescent="0.25">
      <c r="A42" s="13" t="s">
        <v>4858</v>
      </c>
      <c r="B42" s="14">
        <v>117703</v>
      </c>
      <c r="C42" s="14">
        <v>0</v>
      </c>
      <c r="D42" s="14" t="s">
        <v>4738</v>
      </c>
      <c r="E42" s="14" t="s">
        <v>4396</v>
      </c>
      <c r="F42" s="14" t="s">
        <v>96</v>
      </c>
      <c r="G42" s="18" t="s">
        <v>4739</v>
      </c>
      <c r="H42" s="18" t="s">
        <v>98</v>
      </c>
      <c r="I42" s="14" t="s">
        <v>4859</v>
      </c>
      <c r="J42" s="14">
        <v>1</v>
      </c>
      <c r="K42" s="14">
        <v>0</v>
      </c>
      <c r="L42" s="14" t="s">
        <v>4860</v>
      </c>
      <c r="M42" s="19" t="s">
        <v>101</v>
      </c>
      <c r="N42" s="14" t="s">
        <v>310</v>
      </c>
      <c r="O42" s="14" t="s">
        <v>4861</v>
      </c>
      <c r="P42" s="14" t="str">
        <f>HYPERLINK("https://dexscreener.com/solana/2W5pZVbUQcFdhhezzNbuwEvYK5ZYpc3yebGLkkm8pump", "View")</f>
        <v>View</v>
      </c>
    </row>
    <row r="43" spans="1:16" x14ac:dyDescent="0.25">
      <c r="A43" s="16" t="s">
        <v>4862</v>
      </c>
      <c r="B43" s="17">
        <v>253288</v>
      </c>
      <c r="C43" s="17">
        <v>0</v>
      </c>
      <c r="D43" s="17" t="s">
        <v>4738</v>
      </c>
      <c r="E43" s="17" t="s">
        <v>4396</v>
      </c>
      <c r="F43" s="17" t="s">
        <v>96</v>
      </c>
      <c r="G43" s="18" t="s">
        <v>4739</v>
      </c>
      <c r="H43" s="18" t="s">
        <v>98</v>
      </c>
      <c r="I43" s="17" t="s">
        <v>4863</v>
      </c>
      <c r="J43" s="17">
        <v>1</v>
      </c>
      <c r="K43" s="17">
        <v>0</v>
      </c>
      <c r="L43" s="17" t="s">
        <v>4864</v>
      </c>
      <c r="M43" s="19" t="s">
        <v>101</v>
      </c>
      <c r="N43" s="17" t="s">
        <v>4865</v>
      </c>
      <c r="O43" s="17" t="s">
        <v>4866</v>
      </c>
      <c r="P43" s="17" t="str">
        <f>HYPERLINK("https://dexscreener.com/solana/5JyTUrL9ZBvyA1dwUSw9XLZwkDLFjFHfm1ghVd9Vpump", "View")</f>
        <v>View</v>
      </c>
    </row>
    <row r="44" spans="1:16" x14ac:dyDescent="0.25">
      <c r="A44" s="13" t="s">
        <v>4867</v>
      </c>
      <c r="B44" s="14">
        <v>287544</v>
      </c>
      <c r="C44" s="14">
        <v>143772</v>
      </c>
      <c r="D44" s="14" t="s">
        <v>4754</v>
      </c>
      <c r="E44" s="14" t="s">
        <v>4396</v>
      </c>
      <c r="F44" s="14" t="s">
        <v>4868</v>
      </c>
      <c r="G44" s="21" t="s">
        <v>4869</v>
      </c>
      <c r="H44" s="21" t="s">
        <v>4870</v>
      </c>
      <c r="I44" s="14" t="s">
        <v>88</v>
      </c>
      <c r="J44" s="14">
        <v>1</v>
      </c>
      <c r="K44" s="14">
        <v>1</v>
      </c>
      <c r="L44" s="14" t="s">
        <v>4871</v>
      </c>
      <c r="M44" s="14" t="s">
        <v>1705</v>
      </c>
      <c r="N44" s="14" t="s">
        <v>1233</v>
      </c>
      <c r="O44" s="14" t="s">
        <v>4872</v>
      </c>
      <c r="P44" s="14" t="str">
        <f>HYPERLINK("https://dexscreener.com/solana/FAS87Vmmejcf5RBtpfGZ8vPAjR2VuUZJ6Sojf8Jgpump", "View")</f>
        <v>View</v>
      </c>
    </row>
    <row r="45" spans="1:16" x14ac:dyDescent="0.25">
      <c r="A45" s="16" t="s">
        <v>4873</v>
      </c>
      <c r="B45" s="17">
        <v>390881</v>
      </c>
      <c r="C45" s="17">
        <v>195440</v>
      </c>
      <c r="D45" s="17" t="s">
        <v>4754</v>
      </c>
      <c r="E45" s="17" t="s">
        <v>4396</v>
      </c>
      <c r="F45" s="17" t="s">
        <v>2164</v>
      </c>
      <c r="G45" s="22" t="s">
        <v>4874</v>
      </c>
      <c r="H45" s="22" t="s">
        <v>4875</v>
      </c>
      <c r="I45" s="17" t="s">
        <v>88</v>
      </c>
      <c r="J45" s="17">
        <v>1</v>
      </c>
      <c r="K45" s="17">
        <v>1</v>
      </c>
      <c r="L45" s="17" t="s">
        <v>4876</v>
      </c>
      <c r="M45" s="17" t="s">
        <v>602</v>
      </c>
      <c r="N45" s="17" t="s">
        <v>4877</v>
      </c>
      <c r="O45" s="17" t="s">
        <v>4878</v>
      </c>
      <c r="P45" s="17" t="str">
        <f>HYPERLINK("https://dexscreener.com/solana/9ej363VCux3fGh9P3nZon5v6FVBWHP5BJUweBraxpump", "View")</f>
        <v>View</v>
      </c>
    </row>
    <row r="46" spans="1:16" x14ac:dyDescent="0.25">
      <c r="A46" s="13" t="s">
        <v>4879</v>
      </c>
      <c r="B46" s="14">
        <v>256473</v>
      </c>
      <c r="C46" s="14">
        <v>128236</v>
      </c>
      <c r="D46" s="14" t="s">
        <v>4754</v>
      </c>
      <c r="E46" s="14" t="s">
        <v>4396</v>
      </c>
      <c r="F46" s="14" t="s">
        <v>3759</v>
      </c>
      <c r="G46" s="20" t="s">
        <v>4880</v>
      </c>
      <c r="H46" s="20" t="s">
        <v>4881</v>
      </c>
      <c r="I46" s="14" t="s">
        <v>88</v>
      </c>
      <c r="J46" s="14">
        <v>1</v>
      </c>
      <c r="K46" s="14">
        <v>1</v>
      </c>
      <c r="L46" s="14" t="s">
        <v>4882</v>
      </c>
      <c r="M46" s="14" t="s">
        <v>1566</v>
      </c>
      <c r="N46" s="14" t="s">
        <v>4883</v>
      </c>
      <c r="O46" s="14" t="s">
        <v>4884</v>
      </c>
      <c r="P46" s="14" t="str">
        <f>HYPERLINK("https://dexscreener.com/solana/EegQmCFNWdhZsh75XUdW2TaM8S13LAGf6JzNgHpxpump", "View")</f>
        <v>View</v>
      </c>
    </row>
    <row r="47" spans="1:16" x14ac:dyDescent="0.25">
      <c r="A47" s="16" t="s">
        <v>4885</v>
      </c>
      <c r="B47" s="17">
        <v>63958</v>
      </c>
      <c r="C47" s="17">
        <v>0</v>
      </c>
      <c r="D47" s="17" t="s">
        <v>4738</v>
      </c>
      <c r="E47" s="17" t="s">
        <v>4396</v>
      </c>
      <c r="F47" s="17" t="s">
        <v>96</v>
      </c>
      <c r="G47" s="18" t="s">
        <v>4739</v>
      </c>
      <c r="H47" s="18" t="s">
        <v>98</v>
      </c>
      <c r="I47" s="17" t="s">
        <v>4886</v>
      </c>
      <c r="J47" s="17">
        <v>1</v>
      </c>
      <c r="K47" s="17">
        <v>0</v>
      </c>
      <c r="L47" s="17" t="s">
        <v>4887</v>
      </c>
      <c r="M47" s="19" t="s">
        <v>101</v>
      </c>
      <c r="N47" s="17" t="s">
        <v>4888</v>
      </c>
      <c r="O47" s="17" t="s">
        <v>4889</v>
      </c>
      <c r="P47" s="17" t="str">
        <f>HYPERLINK("https://dexscreener.com/solana/7JmFkkvxffC1RjnYoAJQyMWemMREfuq64SDk1Urdpump", "View")</f>
        <v>View</v>
      </c>
    </row>
    <row r="48" spans="1:16" x14ac:dyDescent="0.25">
      <c r="A48" s="13" t="s">
        <v>4890</v>
      </c>
      <c r="B48" s="14">
        <v>270269</v>
      </c>
      <c r="C48" s="14">
        <v>0</v>
      </c>
      <c r="D48" s="14" t="s">
        <v>4738</v>
      </c>
      <c r="E48" s="14" t="s">
        <v>4396</v>
      </c>
      <c r="F48" s="14" t="s">
        <v>96</v>
      </c>
      <c r="G48" s="18" t="s">
        <v>4739</v>
      </c>
      <c r="H48" s="18" t="s">
        <v>98</v>
      </c>
      <c r="I48" s="14" t="s">
        <v>4891</v>
      </c>
      <c r="J48" s="14">
        <v>1</v>
      </c>
      <c r="K48" s="14">
        <v>0</v>
      </c>
      <c r="L48" s="14" t="s">
        <v>4892</v>
      </c>
      <c r="M48" s="19" t="s">
        <v>101</v>
      </c>
      <c r="N48" s="14" t="s">
        <v>4835</v>
      </c>
      <c r="O48" s="14" t="s">
        <v>4893</v>
      </c>
      <c r="P48" s="14" t="str">
        <f>HYPERLINK("https://dexscreener.com/solana/14no8dPgdrhbfduPAsrJSwngiFEB1yeBnnsxRFHRpump", "View")</f>
        <v>View</v>
      </c>
    </row>
    <row r="49" spans="1:16" x14ac:dyDescent="0.25">
      <c r="A49" s="16" t="s">
        <v>4894</v>
      </c>
      <c r="B49" s="17">
        <v>123837</v>
      </c>
      <c r="C49" s="17">
        <v>0</v>
      </c>
      <c r="D49" s="17" t="s">
        <v>4738</v>
      </c>
      <c r="E49" s="17" t="s">
        <v>4396</v>
      </c>
      <c r="F49" s="17" t="s">
        <v>96</v>
      </c>
      <c r="G49" s="18" t="s">
        <v>4739</v>
      </c>
      <c r="H49" s="18" t="s">
        <v>98</v>
      </c>
      <c r="I49" s="17" t="s">
        <v>4895</v>
      </c>
      <c r="J49" s="17">
        <v>1</v>
      </c>
      <c r="K49" s="17">
        <v>0</v>
      </c>
      <c r="L49" s="17" t="s">
        <v>4896</v>
      </c>
      <c r="M49" s="19" t="s">
        <v>101</v>
      </c>
      <c r="N49" s="17" t="s">
        <v>4897</v>
      </c>
      <c r="O49" s="17" t="s">
        <v>4898</v>
      </c>
      <c r="P49" s="17" t="str">
        <f>HYPERLINK("https://dexscreener.com/solana/6LhvoAHTJbHR5U8f72mt75rYWpfGNckSnogFuRCLpump", "View")</f>
        <v>View</v>
      </c>
    </row>
    <row r="50" spans="1:16" x14ac:dyDescent="0.25">
      <c r="A50" s="13" t="s">
        <v>4899</v>
      </c>
      <c r="B50" s="14">
        <v>1129428</v>
      </c>
      <c r="C50" s="14">
        <v>564714</v>
      </c>
      <c r="D50" s="14" t="s">
        <v>4754</v>
      </c>
      <c r="E50" s="14" t="s">
        <v>4396</v>
      </c>
      <c r="F50" s="14" t="s">
        <v>2569</v>
      </c>
      <c r="G50" s="21" t="s">
        <v>4475</v>
      </c>
      <c r="H50" s="21" t="s">
        <v>4900</v>
      </c>
      <c r="I50" s="14" t="s">
        <v>88</v>
      </c>
      <c r="J50" s="14">
        <v>1</v>
      </c>
      <c r="K50" s="14">
        <v>1</v>
      </c>
      <c r="L50" s="14" t="s">
        <v>4901</v>
      </c>
      <c r="M50" s="14" t="s">
        <v>602</v>
      </c>
      <c r="N50" s="14" t="s">
        <v>4902</v>
      </c>
      <c r="O50" s="14" t="s">
        <v>4903</v>
      </c>
      <c r="P50" s="14" t="str">
        <f>HYPERLINK("https://dexscreener.com/solana/FaGU9cdfdRpy3LREbwMzES2pGCNJGKfMYMeDWx8Jpump", "View")</f>
        <v>View</v>
      </c>
    </row>
    <row r="51" spans="1:16" x14ac:dyDescent="0.25">
      <c r="A51" s="16" t="s">
        <v>2642</v>
      </c>
      <c r="B51" s="17">
        <v>9313</v>
      </c>
      <c r="C51" s="17">
        <v>9313</v>
      </c>
      <c r="D51" s="17" t="s">
        <v>4754</v>
      </c>
      <c r="E51" s="17" t="s">
        <v>4396</v>
      </c>
      <c r="F51" s="17" t="s">
        <v>4141</v>
      </c>
      <c r="G51" s="15" t="s">
        <v>4904</v>
      </c>
      <c r="H51" s="15" t="s">
        <v>4905</v>
      </c>
      <c r="I51" s="17" t="s">
        <v>88</v>
      </c>
      <c r="J51" s="17">
        <v>1</v>
      </c>
      <c r="K51" s="17">
        <v>1</v>
      </c>
      <c r="L51" s="17" t="s">
        <v>4906</v>
      </c>
      <c r="M51" s="17" t="s">
        <v>1610</v>
      </c>
      <c r="N51" s="17" t="s">
        <v>4907</v>
      </c>
      <c r="O51" s="17" t="s">
        <v>2650</v>
      </c>
      <c r="P51" s="17" t="str">
        <f>HYPERLINK("https://dexscreener.com/solana/9Z3LF3ymEVwCPLd9uBda9ieySYKVK7MzukPRGHDPpump", "View")</f>
        <v>View</v>
      </c>
    </row>
    <row r="52" spans="1:16" x14ac:dyDescent="0.25">
      <c r="A52" s="13" t="s">
        <v>4908</v>
      </c>
      <c r="B52" s="14">
        <v>172629</v>
      </c>
      <c r="C52" s="14">
        <v>0</v>
      </c>
      <c r="D52" s="14" t="s">
        <v>4738</v>
      </c>
      <c r="E52" s="14" t="s">
        <v>4396</v>
      </c>
      <c r="F52" s="14" t="s">
        <v>96</v>
      </c>
      <c r="G52" s="18" t="s">
        <v>4739</v>
      </c>
      <c r="H52" s="18" t="s">
        <v>98</v>
      </c>
      <c r="I52" s="14" t="s">
        <v>4909</v>
      </c>
      <c r="J52" s="14">
        <v>1</v>
      </c>
      <c r="K52" s="14">
        <v>0</v>
      </c>
      <c r="L52" s="14" t="s">
        <v>4910</v>
      </c>
      <c r="M52" s="19" t="s">
        <v>101</v>
      </c>
      <c r="N52" s="14" t="s">
        <v>4911</v>
      </c>
      <c r="O52" s="14" t="s">
        <v>4912</v>
      </c>
      <c r="P52" s="14" t="str">
        <f>HYPERLINK("https://dexscreener.com/solana/AUvHzBSkLZLU2pZJcGPiLWkETj9oLjP74P6sWmjwpump", "View")</f>
        <v>View</v>
      </c>
    </row>
    <row r="53" spans="1:16" x14ac:dyDescent="0.25">
      <c r="A53" s="16" t="s">
        <v>4913</v>
      </c>
      <c r="B53" s="17">
        <v>342653</v>
      </c>
      <c r="C53" s="17">
        <v>171326</v>
      </c>
      <c r="D53" s="17" t="s">
        <v>4754</v>
      </c>
      <c r="E53" s="17" t="s">
        <v>4396</v>
      </c>
      <c r="F53" s="17" t="s">
        <v>4396</v>
      </c>
      <c r="G53" s="22" t="s">
        <v>96</v>
      </c>
      <c r="H53" s="22" t="s">
        <v>4914</v>
      </c>
      <c r="I53" s="17" t="s">
        <v>88</v>
      </c>
      <c r="J53" s="17">
        <v>1</v>
      </c>
      <c r="K53" s="17">
        <v>1</v>
      </c>
      <c r="L53" s="17" t="s">
        <v>4915</v>
      </c>
      <c r="M53" s="17" t="s">
        <v>3304</v>
      </c>
      <c r="N53" s="17" t="s">
        <v>4916</v>
      </c>
      <c r="O53" s="17" t="s">
        <v>4917</v>
      </c>
      <c r="P53" s="17" t="str">
        <f>HYPERLINK("https://dexscreener.com/solana/GRWYUdAuWNzAWUCjCVCgaWwQYg5CD6w7eJEEELjApump", "View")</f>
        <v>View</v>
      </c>
    </row>
    <row r="54" spans="1:16" x14ac:dyDescent="0.25">
      <c r="A54" s="13" t="s">
        <v>4918</v>
      </c>
      <c r="B54" s="14">
        <v>1020492</v>
      </c>
      <c r="C54" s="14">
        <v>1020492</v>
      </c>
      <c r="D54" s="14" t="s">
        <v>4754</v>
      </c>
      <c r="E54" s="14" t="s">
        <v>4919</v>
      </c>
      <c r="F54" s="14" t="s">
        <v>3972</v>
      </c>
      <c r="G54" s="15" t="s">
        <v>2590</v>
      </c>
      <c r="H54" s="15" t="s">
        <v>4920</v>
      </c>
      <c r="I54" s="14" t="s">
        <v>88</v>
      </c>
      <c r="J54" s="14">
        <v>1</v>
      </c>
      <c r="K54" s="14">
        <v>1</v>
      </c>
      <c r="L54" s="14" t="s">
        <v>4921</v>
      </c>
      <c r="M54" s="14" t="s">
        <v>4922</v>
      </c>
      <c r="N54" s="14" t="s">
        <v>1393</v>
      </c>
      <c r="O54" s="14" t="s">
        <v>4923</v>
      </c>
      <c r="P54" s="14" t="str">
        <f>HYPERLINK("https://photon-sol.tinyastro.io/en/lp/CzkLwfesBUx9fPc2A1TnB7R4Bbr22ZsDmZat9MKNpump?handle=676050794bc1b1657a56b", "View")</f>
        <v>View</v>
      </c>
    </row>
    <row r="55" spans="1:16" x14ac:dyDescent="0.25">
      <c r="A55" s="16" t="s">
        <v>2681</v>
      </c>
      <c r="B55" s="17">
        <v>556959</v>
      </c>
      <c r="C55" s="17">
        <v>556959</v>
      </c>
      <c r="D55" s="17" t="s">
        <v>4754</v>
      </c>
      <c r="E55" s="17" t="s">
        <v>4919</v>
      </c>
      <c r="F55" s="17" t="s">
        <v>4924</v>
      </c>
      <c r="G55" s="15" t="s">
        <v>4925</v>
      </c>
      <c r="H55" s="15" t="s">
        <v>4926</v>
      </c>
      <c r="I55" s="17" t="s">
        <v>88</v>
      </c>
      <c r="J55" s="17">
        <v>1</v>
      </c>
      <c r="K55" s="17">
        <v>1</v>
      </c>
      <c r="L55" s="17" t="s">
        <v>4927</v>
      </c>
      <c r="M55" s="17" t="s">
        <v>980</v>
      </c>
      <c r="N55" s="17" t="s">
        <v>517</v>
      </c>
      <c r="O55" s="17" t="s">
        <v>2688</v>
      </c>
      <c r="P55" s="17" t="str">
        <f>HYPERLINK("https://photon-sol.tinyastro.io/en/lp/6gAxPRSGg5r129hQjDAZm1Tdh5YTkLh1hKRhnm1wpump?handle=676050794bc1b1657a56b", "View")</f>
        <v>View</v>
      </c>
    </row>
    <row r="56" spans="1:16" x14ac:dyDescent="0.25">
      <c r="A56" s="13" t="s">
        <v>4928</v>
      </c>
      <c r="B56" s="14">
        <v>750106</v>
      </c>
      <c r="C56" s="14">
        <v>0</v>
      </c>
      <c r="D56" s="14" t="s">
        <v>4738</v>
      </c>
      <c r="E56" s="14" t="s">
        <v>4665</v>
      </c>
      <c r="F56" s="14" t="s">
        <v>96</v>
      </c>
      <c r="G56" s="18" t="s">
        <v>4929</v>
      </c>
      <c r="H56" s="18" t="s">
        <v>98</v>
      </c>
      <c r="I56" s="14" t="s">
        <v>4930</v>
      </c>
      <c r="J56" s="14">
        <v>1</v>
      </c>
      <c r="K56" s="14">
        <v>0</v>
      </c>
      <c r="L56" s="14" t="s">
        <v>4931</v>
      </c>
      <c r="M56" s="19" t="s">
        <v>101</v>
      </c>
      <c r="N56" s="14" t="s">
        <v>775</v>
      </c>
      <c r="O56" s="14" t="s">
        <v>4932</v>
      </c>
      <c r="P56" s="14" t="str">
        <f>HYPERLINK("https://dexscreener.com/solana/6ndx3p93ekUu94Y4mZAbEb4KENKFxcZ4H1mydda2pump", "View")</f>
        <v>View</v>
      </c>
    </row>
    <row r="57" spans="1:16" x14ac:dyDescent="0.25">
      <c r="A57" s="16" t="s">
        <v>4933</v>
      </c>
      <c r="B57" s="17">
        <v>200563</v>
      </c>
      <c r="C57" s="17">
        <v>0</v>
      </c>
      <c r="D57" s="17" t="s">
        <v>4738</v>
      </c>
      <c r="E57" s="17" t="s">
        <v>4396</v>
      </c>
      <c r="F57" s="17" t="s">
        <v>96</v>
      </c>
      <c r="G57" s="18" t="s">
        <v>4739</v>
      </c>
      <c r="H57" s="18" t="s">
        <v>98</v>
      </c>
      <c r="I57" s="17" t="s">
        <v>4934</v>
      </c>
      <c r="J57" s="17">
        <v>1</v>
      </c>
      <c r="K57" s="17">
        <v>0</v>
      </c>
      <c r="L57" s="17" t="s">
        <v>4935</v>
      </c>
      <c r="M57" s="19" t="s">
        <v>101</v>
      </c>
      <c r="N57" s="17" t="s">
        <v>4936</v>
      </c>
      <c r="O57" s="17" t="s">
        <v>4937</v>
      </c>
      <c r="P57" s="17" t="str">
        <f>HYPERLINK("https://dexscreener.com/solana/GzKSn2xXkpmSwSQMnFiXMKtCBu1TqiFRqGbDHZnGpump", "View")</f>
        <v>View</v>
      </c>
    </row>
    <row r="58" spans="1:16" x14ac:dyDescent="0.25">
      <c r="A58" s="13" t="s">
        <v>4938</v>
      </c>
      <c r="B58" s="14">
        <v>122385</v>
      </c>
      <c r="C58" s="14">
        <v>61192</v>
      </c>
      <c r="D58" s="14" t="s">
        <v>4754</v>
      </c>
      <c r="E58" s="14" t="s">
        <v>4396</v>
      </c>
      <c r="F58" s="14" t="s">
        <v>4396</v>
      </c>
      <c r="G58" s="20" t="s">
        <v>4939</v>
      </c>
      <c r="H58" s="20" t="s">
        <v>4940</v>
      </c>
      <c r="I58" s="14" t="s">
        <v>88</v>
      </c>
      <c r="J58" s="14">
        <v>1</v>
      </c>
      <c r="K58" s="14">
        <v>1</v>
      </c>
      <c r="L58" s="14" t="s">
        <v>4941</v>
      </c>
      <c r="M58" s="14" t="s">
        <v>1642</v>
      </c>
      <c r="N58" s="14" t="s">
        <v>4942</v>
      </c>
      <c r="O58" s="14" t="s">
        <v>4943</v>
      </c>
      <c r="P58" s="14" t="str">
        <f>HYPERLINK("https://dexscreener.com/solana/EUNev5ZzXVf7WUUDEpyf3vm274XrHGchY57UNA1vpump", "View")</f>
        <v>View</v>
      </c>
    </row>
    <row r="59" spans="1:16" x14ac:dyDescent="0.25">
      <c r="A59" s="16" t="s">
        <v>4944</v>
      </c>
      <c r="B59" s="17">
        <v>196636</v>
      </c>
      <c r="C59" s="17">
        <v>98318</v>
      </c>
      <c r="D59" s="17" t="s">
        <v>4754</v>
      </c>
      <c r="E59" s="17" t="s">
        <v>4396</v>
      </c>
      <c r="F59" s="17" t="s">
        <v>4945</v>
      </c>
      <c r="G59" s="22" t="s">
        <v>3047</v>
      </c>
      <c r="H59" s="22" t="s">
        <v>4946</v>
      </c>
      <c r="I59" s="17" t="s">
        <v>88</v>
      </c>
      <c r="J59" s="17">
        <v>1</v>
      </c>
      <c r="K59" s="17">
        <v>1</v>
      </c>
      <c r="L59" s="17" t="s">
        <v>4947</v>
      </c>
      <c r="M59" s="17" t="s">
        <v>1642</v>
      </c>
      <c r="N59" s="17" t="s">
        <v>4948</v>
      </c>
      <c r="O59" s="17" t="s">
        <v>4949</v>
      </c>
      <c r="P59" s="17" t="str">
        <f>HYPERLINK("https://dexscreener.com/solana/7xP9bo5H6PHYci64MbxZRUuESSSQEPnnwFNTFadrpump", "View")</f>
        <v>View</v>
      </c>
    </row>
    <row r="60" spans="1:16" x14ac:dyDescent="0.25">
      <c r="A60" s="13" t="s">
        <v>4950</v>
      </c>
      <c r="B60" s="14">
        <v>468044</v>
      </c>
      <c r="C60" s="14">
        <v>468044</v>
      </c>
      <c r="D60" s="14" t="s">
        <v>4754</v>
      </c>
      <c r="E60" s="14" t="s">
        <v>4919</v>
      </c>
      <c r="F60" s="14" t="s">
        <v>4951</v>
      </c>
      <c r="G60" s="22" t="s">
        <v>4874</v>
      </c>
      <c r="H60" s="22" t="s">
        <v>4952</v>
      </c>
      <c r="I60" s="14" t="s">
        <v>88</v>
      </c>
      <c r="J60" s="14">
        <v>1</v>
      </c>
      <c r="K60" s="14">
        <v>1</v>
      </c>
      <c r="L60" s="14" t="s">
        <v>4953</v>
      </c>
      <c r="M60" s="14" t="s">
        <v>304</v>
      </c>
      <c r="N60" s="14" t="s">
        <v>4954</v>
      </c>
      <c r="O60" s="14" t="s">
        <v>4955</v>
      </c>
      <c r="P60" s="14" t="str">
        <f>HYPERLINK("https://photon-sol.tinyastro.io/en/lp/KRG9RkAs7SjhLMgj6munGZ5HxtJfvotvJ8Dnr2Lpump?handle=676050794bc1b1657a56b", "View")</f>
        <v>View</v>
      </c>
    </row>
    <row r="61" spans="1:16" x14ac:dyDescent="0.25">
      <c r="A61" s="16" t="s">
        <v>4956</v>
      </c>
      <c r="B61" s="17">
        <v>179453</v>
      </c>
      <c r="C61" s="17">
        <v>89726</v>
      </c>
      <c r="D61" s="17" t="s">
        <v>4754</v>
      </c>
      <c r="E61" s="17" t="s">
        <v>4396</v>
      </c>
      <c r="F61" s="17" t="s">
        <v>4459</v>
      </c>
      <c r="G61" s="20" t="s">
        <v>2059</v>
      </c>
      <c r="H61" s="20" t="s">
        <v>4957</v>
      </c>
      <c r="I61" s="17" t="s">
        <v>88</v>
      </c>
      <c r="J61" s="17">
        <v>1</v>
      </c>
      <c r="K61" s="17">
        <v>1</v>
      </c>
      <c r="L61" s="17" t="s">
        <v>4958</v>
      </c>
      <c r="M61" s="17" t="s">
        <v>1642</v>
      </c>
      <c r="N61" s="17" t="s">
        <v>4959</v>
      </c>
      <c r="O61" s="17" t="s">
        <v>4960</v>
      </c>
      <c r="P61" s="17" t="str">
        <f>HYPERLINK("https://dexscreener.com/solana/4eAAZNhcXrWkBj4c5T5k6CYDv8Un1Wgqp1B976Mopump", "View")</f>
        <v>View</v>
      </c>
    </row>
    <row r="62" spans="1:16" x14ac:dyDescent="0.25">
      <c r="A62" s="13" t="s">
        <v>4961</v>
      </c>
      <c r="B62" s="14">
        <v>217500</v>
      </c>
      <c r="C62" s="14">
        <v>108750</v>
      </c>
      <c r="D62" s="14" t="s">
        <v>4754</v>
      </c>
      <c r="E62" s="14" t="s">
        <v>4396</v>
      </c>
      <c r="F62" s="14" t="s">
        <v>4020</v>
      </c>
      <c r="G62" s="20" t="s">
        <v>4962</v>
      </c>
      <c r="H62" s="20" t="s">
        <v>4963</v>
      </c>
      <c r="I62" s="14" t="s">
        <v>88</v>
      </c>
      <c r="J62" s="14">
        <v>1</v>
      </c>
      <c r="K62" s="14">
        <v>1</v>
      </c>
      <c r="L62" s="14" t="s">
        <v>4964</v>
      </c>
      <c r="M62" s="14" t="s">
        <v>937</v>
      </c>
      <c r="N62" s="14" t="s">
        <v>4965</v>
      </c>
      <c r="O62" s="14" t="s">
        <v>4966</v>
      </c>
      <c r="P62" s="14" t="str">
        <f>HYPERLINK("https://dexscreener.com/solana/3Yc2CDBBB6iew99m8FsXM4ZypuVD4EwowSDp8FWZpump", "View")</f>
        <v>View</v>
      </c>
    </row>
    <row r="63" spans="1:16" x14ac:dyDescent="0.25">
      <c r="A63" s="16" t="s">
        <v>4967</v>
      </c>
      <c r="B63" s="17">
        <v>639769</v>
      </c>
      <c r="C63" s="17">
        <v>0</v>
      </c>
      <c r="D63" s="17" t="s">
        <v>4738</v>
      </c>
      <c r="E63" s="17" t="s">
        <v>4396</v>
      </c>
      <c r="F63" s="17" t="s">
        <v>96</v>
      </c>
      <c r="G63" s="18" t="s">
        <v>4739</v>
      </c>
      <c r="H63" s="18" t="s">
        <v>98</v>
      </c>
      <c r="I63" s="17" t="s">
        <v>4968</v>
      </c>
      <c r="J63" s="17">
        <v>1</v>
      </c>
      <c r="K63" s="17">
        <v>0</v>
      </c>
      <c r="L63" s="17" t="s">
        <v>4969</v>
      </c>
      <c r="M63" s="19" t="s">
        <v>101</v>
      </c>
      <c r="N63" s="17" t="s">
        <v>4970</v>
      </c>
      <c r="O63" s="17" t="s">
        <v>4971</v>
      </c>
      <c r="P63" s="17" t="str">
        <f>HYPERLINK("https://dexscreener.com/solana/2GK7MQ5HpFY6NBYyNnoUMNwrt85doCeGg1qBLEhWpump", "View")</f>
        <v>View</v>
      </c>
    </row>
    <row r="64" spans="1:16" x14ac:dyDescent="0.25">
      <c r="A64" s="13" t="s">
        <v>125</v>
      </c>
      <c r="B64" s="14">
        <v>324786</v>
      </c>
      <c r="C64" s="14">
        <v>0</v>
      </c>
      <c r="D64" s="14" t="s">
        <v>4738</v>
      </c>
      <c r="E64" s="14" t="s">
        <v>4396</v>
      </c>
      <c r="F64" s="14" t="s">
        <v>96</v>
      </c>
      <c r="G64" s="18" t="s">
        <v>4739</v>
      </c>
      <c r="H64" s="18" t="s">
        <v>98</v>
      </c>
      <c r="I64" s="14" t="s">
        <v>4972</v>
      </c>
      <c r="J64" s="14">
        <v>1</v>
      </c>
      <c r="K64" s="14">
        <v>0</v>
      </c>
      <c r="L64" s="14" t="s">
        <v>4973</v>
      </c>
      <c r="M64" s="19" t="s">
        <v>101</v>
      </c>
      <c r="N64" s="14" t="s">
        <v>4974</v>
      </c>
      <c r="O64" s="14" t="s">
        <v>4975</v>
      </c>
      <c r="P64" s="14" t="str">
        <f>HYPERLINK("https://dexscreener.com/solana/ATamGjGr5SsCNeJMAGhSGMQkBiuySNevrCFb5c6dpump", "View")</f>
        <v>View</v>
      </c>
    </row>
    <row r="65" spans="1:16" x14ac:dyDescent="0.25">
      <c r="A65" s="16" t="s">
        <v>4976</v>
      </c>
      <c r="B65" s="17">
        <v>151049</v>
      </c>
      <c r="C65" s="17">
        <v>0</v>
      </c>
      <c r="D65" s="17" t="s">
        <v>4738</v>
      </c>
      <c r="E65" s="17" t="s">
        <v>4396</v>
      </c>
      <c r="F65" s="17" t="s">
        <v>96</v>
      </c>
      <c r="G65" s="18" t="s">
        <v>4739</v>
      </c>
      <c r="H65" s="18" t="s">
        <v>98</v>
      </c>
      <c r="I65" s="17" t="s">
        <v>4977</v>
      </c>
      <c r="J65" s="17">
        <v>1</v>
      </c>
      <c r="K65" s="17">
        <v>0</v>
      </c>
      <c r="L65" s="17" t="s">
        <v>4978</v>
      </c>
      <c r="M65" s="19" t="s">
        <v>101</v>
      </c>
      <c r="N65" s="17" t="s">
        <v>4979</v>
      </c>
      <c r="O65" s="17" t="s">
        <v>4980</v>
      </c>
      <c r="P65" s="17" t="str">
        <f>HYPERLINK("https://dexscreener.com/solana/4NESDJWK9dGhyY2KSPEVC6qgYx3sUAZPoyu2GDLRw83V", "View")</f>
        <v>View</v>
      </c>
    </row>
    <row r="66" spans="1:16" x14ac:dyDescent="0.25">
      <c r="A66" s="13" t="s">
        <v>4981</v>
      </c>
      <c r="B66" s="14">
        <v>201104</v>
      </c>
      <c r="C66" s="14">
        <v>201104</v>
      </c>
      <c r="D66" s="14" t="s">
        <v>4782</v>
      </c>
      <c r="E66" s="14" t="s">
        <v>4396</v>
      </c>
      <c r="F66" s="14" t="s">
        <v>4982</v>
      </c>
      <c r="G66" s="22" t="s">
        <v>3890</v>
      </c>
      <c r="H66" s="22" t="s">
        <v>4983</v>
      </c>
      <c r="I66" s="14" t="s">
        <v>88</v>
      </c>
      <c r="J66" s="14">
        <v>1</v>
      </c>
      <c r="K66" s="14">
        <v>2</v>
      </c>
      <c r="L66" s="14" t="s">
        <v>4984</v>
      </c>
      <c r="M66" s="14" t="s">
        <v>4985</v>
      </c>
      <c r="N66" s="14" t="s">
        <v>4986</v>
      </c>
      <c r="O66" s="14" t="s">
        <v>4987</v>
      </c>
      <c r="P66" s="14" t="str">
        <f>HYPERLINK("https://dexscreener.com/solana/DfBqGweEWB5GPXFCGrPD6ZZpcDY6Jqex6MbYfZM6pump", "View")</f>
        <v>View</v>
      </c>
    </row>
    <row r="67" spans="1:16" x14ac:dyDescent="0.25">
      <c r="A67" s="16" t="s">
        <v>4988</v>
      </c>
      <c r="B67" s="17">
        <v>47244</v>
      </c>
      <c r="C67" s="17">
        <v>47244</v>
      </c>
      <c r="D67" s="17" t="s">
        <v>4754</v>
      </c>
      <c r="E67" s="17" t="s">
        <v>4396</v>
      </c>
      <c r="F67" s="17" t="s">
        <v>4989</v>
      </c>
      <c r="G67" s="20" t="s">
        <v>4990</v>
      </c>
      <c r="H67" s="20" t="s">
        <v>4991</v>
      </c>
      <c r="I67" s="17" t="s">
        <v>88</v>
      </c>
      <c r="J67" s="17">
        <v>1</v>
      </c>
      <c r="K67" s="17">
        <v>1</v>
      </c>
      <c r="L67" s="17" t="s">
        <v>4992</v>
      </c>
      <c r="M67" s="17" t="s">
        <v>1448</v>
      </c>
      <c r="N67" s="17" t="s">
        <v>4993</v>
      </c>
      <c r="O67" s="17" t="s">
        <v>4994</v>
      </c>
      <c r="P67" s="17" t="str">
        <f>HYPERLINK("https://dexscreener.com/solana/BDZzdwcgB1e2bdetk5cE2LRj1z6J9kKSkeAoVAEbpump", "View")</f>
        <v>View</v>
      </c>
    </row>
    <row r="68" spans="1:16" x14ac:dyDescent="0.25">
      <c r="A68" s="13" t="s">
        <v>4995</v>
      </c>
      <c r="B68" s="14">
        <v>191746</v>
      </c>
      <c r="C68" s="14">
        <v>0</v>
      </c>
      <c r="D68" s="14" t="s">
        <v>4738</v>
      </c>
      <c r="E68" s="14" t="s">
        <v>4396</v>
      </c>
      <c r="F68" s="14" t="s">
        <v>96</v>
      </c>
      <c r="G68" s="18" t="s">
        <v>4739</v>
      </c>
      <c r="H68" s="18" t="s">
        <v>98</v>
      </c>
      <c r="I68" s="14" t="s">
        <v>4996</v>
      </c>
      <c r="J68" s="14">
        <v>1</v>
      </c>
      <c r="K68" s="14">
        <v>0</v>
      </c>
      <c r="L68" s="14" t="s">
        <v>4997</v>
      </c>
      <c r="M68" s="19" t="s">
        <v>101</v>
      </c>
      <c r="N68" s="14" t="s">
        <v>4998</v>
      </c>
      <c r="O68" s="14" t="s">
        <v>4999</v>
      </c>
      <c r="P68" s="14" t="str">
        <f>HYPERLINK("https://dexscreener.com/solana/4zXZQ35c2pGa1fJSquw7f19ioAMRF7N8zdR7UmwPpump", "View")</f>
        <v>View</v>
      </c>
    </row>
    <row r="69" spans="1:16" x14ac:dyDescent="0.25">
      <c r="A69" s="16" t="s">
        <v>5000</v>
      </c>
      <c r="B69" s="17">
        <v>205185</v>
      </c>
      <c r="C69" s="17">
        <v>102592</v>
      </c>
      <c r="D69" s="17" t="s">
        <v>4754</v>
      </c>
      <c r="E69" s="17" t="s">
        <v>4396</v>
      </c>
      <c r="F69" s="17" t="s">
        <v>1884</v>
      </c>
      <c r="G69" s="20" t="s">
        <v>4799</v>
      </c>
      <c r="H69" s="20" t="s">
        <v>5001</v>
      </c>
      <c r="I69" s="17" t="s">
        <v>88</v>
      </c>
      <c r="J69" s="17">
        <v>1</v>
      </c>
      <c r="K69" s="17">
        <v>1</v>
      </c>
      <c r="L69" s="17" t="s">
        <v>5002</v>
      </c>
      <c r="M69" s="17" t="s">
        <v>1705</v>
      </c>
      <c r="N69" s="17" t="s">
        <v>5003</v>
      </c>
      <c r="O69" s="17" t="s">
        <v>5004</v>
      </c>
      <c r="P69" s="17" t="str">
        <f>HYPERLINK("https://dexscreener.com/solana/GXRfFhgW35oZn1hLAbcSsWhTu7a6WxHVZoWLagCZpump", "View")</f>
        <v>View</v>
      </c>
    </row>
    <row r="70" spans="1:16" x14ac:dyDescent="0.25">
      <c r="A70" s="13" t="s">
        <v>5005</v>
      </c>
      <c r="B70" s="14">
        <v>90896</v>
      </c>
      <c r="C70" s="14">
        <v>90896</v>
      </c>
      <c r="D70" s="14" t="s">
        <v>4754</v>
      </c>
      <c r="E70" s="14" t="s">
        <v>4396</v>
      </c>
      <c r="F70" s="14" t="s">
        <v>5006</v>
      </c>
      <c r="G70" s="22" t="s">
        <v>4086</v>
      </c>
      <c r="H70" s="22" t="s">
        <v>5007</v>
      </c>
      <c r="I70" s="14" t="s">
        <v>88</v>
      </c>
      <c r="J70" s="14">
        <v>1</v>
      </c>
      <c r="K70" s="14">
        <v>1</v>
      </c>
      <c r="L70" s="14" t="s">
        <v>5008</v>
      </c>
      <c r="M70" s="19" t="s">
        <v>2812</v>
      </c>
      <c r="N70" s="14" t="s">
        <v>5009</v>
      </c>
      <c r="O70" s="14" t="s">
        <v>5010</v>
      </c>
      <c r="P70" s="14" t="str">
        <f>HYPERLINK("https://dexscreener.com/solana/3XDeFxhcKcn6NtEVM7T3vbBCxjxr3u9Mn2SvwQQdpump", "View")</f>
        <v>View</v>
      </c>
    </row>
    <row r="71" spans="1:16" x14ac:dyDescent="0.25">
      <c r="A71" s="16" t="s">
        <v>5011</v>
      </c>
      <c r="B71" s="17">
        <v>205624</v>
      </c>
      <c r="C71" s="17">
        <v>205624</v>
      </c>
      <c r="D71" s="17" t="s">
        <v>4754</v>
      </c>
      <c r="E71" s="17" t="s">
        <v>4396</v>
      </c>
      <c r="F71" s="17" t="s">
        <v>5012</v>
      </c>
      <c r="G71" s="15" t="s">
        <v>4134</v>
      </c>
      <c r="H71" s="15" t="s">
        <v>5013</v>
      </c>
      <c r="I71" s="17" t="s">
        <v>88</v>
      </c>
      <c r="J71" s="17">
        <v>1</v>
      </c>
      <c r="K71" s="17">
        <v>1</v>
      </c>
      <c r="L71" s="17" t="s">
        <v>5014</v>
      </c>
      <c r="M71" s="17" t="s">
        <v>602</v>
      </c>
      <c r="N71" s="17" t="s">
        <v>5015</v>
      </c>
      <c r="O71" s="17" t="s">
        <v>5016</v>
      </c>
      <c r="P71" s="17" t="str">
        <f>HYPERLINK("https://dexscreener.com/solana/66Yn3HoKojsWiaYyjL6Z8PvoQ8HsR7hjdcmP4pp5pump", "View")</f>
        <v>View</v>
      </c>
    </row>
    <row r="72" spans="1:16" x14ac:dyDescent="0.25">
      <c r="A72" s="13" t="s">
        <v>5017</v>
      </c>
      <c r="B72" s="14">
        <v>256512</v>
      </c>
      <c r="C72" s="14">
        <v>256512</v>
      </c>
      <c r="D72" s="14" t="s">
        <v>4754</v>
      </c>
      <c r="E72" s="14" t="s">
        <v>4396</v>
      </c>
      <c r="F72" s="14" t="s">
        <v>5018</v>
      </c>
      <c r="G72" s="20" t="s">
        <v>3652</v>
      </c>
      <c r="H72" s="20" t="s">
        <v>5019</v>
      </c>
      <c r="I72" s="14" t="s">
        <v>88</v>
      </c>
      <c r="J72" s="14">
        <v>1</v>
      </c>
      <c r="K72" s="14">
        <v>1</v>
      </c>
      <c r="L72" s="14" t="s">
        <v>5020</v>
      </c>
      <c r="M72" s="14" t="s">
        <v>132</v>
      </c>
      <c r="N72" s="14" t="s">
        <v>5021</v>
      </c>
      <c r="O72" s="14" t="s">
        <v>5022</v>
      </c>
      <c r="P72" s="14" t="str">
        <f>HYPERLINK("https://dexscreener.com/solana/EupmmrNQSewKNoP9T8hdLGH9jfyoqPGxrsVYU4qjpump", "View")</f>
        <v>View</v>
      </c>
    </row>
    <row r="73" spans="1:16" x14ac:dyDescent="0.25">
      <c r="A73" s="16" t="s">
        <v>5023</v>
      </c>
      <c r="B73" s="17">
        <v>210628</v>
      </c>
      <c r="C73" s="17">
        <v>210628</v>
      </c>
      <c r="D73" s="17" t="s">
        <v>4782</v>
      </c>
      <c r="E73" s="17" t="s">
        <v>4396</v>
      </c>
      <c r="F73" s="17" t="s">
        <v>3142</v>
      </c>
      <c r="G73" s="22" t="s">
        <v>5024</v>
      </c>
      <c r="H73" s="22" t="s">
        <v>5025</v>
      </c>
      <c r="I73" s="17" t="s">
        <v>88</v>
      </c>
      <c r="J73" s="17">
        <v>1</v>
      </c>
      <c r="K73" s="17">
        <v>2</v>
      </c>
      <c r="L73" s="17" t="s">
        <v>5026</v>
      </c>
      <c r="M73" s="17" t="s">
        <v>5027</v>
      </c>
      <c r="N73" s="17" t="s">
        <v>5028</v>
      </c>
      <c r="O73" s="17" t="s">
        <v>5029</v>
      </c>
      <c r="P73" s="17" t="str">
        <f>HYPERLINK("https://dexscreener.com/solana/DyeHc9qmeFmTVL7i9RGwap34dtHQhUWtHJMnYPbopump", "View")</f>
        <v>View</v>
      </c>
    </row>
    <row r="74" spans="1:16" x14ac:dyDescent="0.25">
      <c r="A74" s="13" t="s">
        <v>5030</v>
      </c>
      <c r="B74" s="14">
        <v>592885</v>
      </c>
      <c r="C74" s="14">
        <v>592885</v>
      </c>
      <c r="D74" s="14" t="s">
        <v>4754</v>
      </c>
      <c r="E74" s="14" t="s">
        <v>4396</v>
      </c>
      <c r="F74" s="14" t="s">
        <v>4217</v>
      </c>
      <c r="G74" s="20" t="s">
        <v>5031</v>
      </c>
      <c r="H74" s="20" t="s">
        <v>5032</v>
      </c>
      <c r="I74" s="14" t="s">
        <v>88</v>
      </c>
      <c r="J74" s="14">
        <v>1</v>
      </c>
      <c r="K74" s="14">
        <v>1</v>
      </c>
      <c r="L74" s="14" t="s">
        <v>5033</v>
      </c>
      <c r="M74" s="14" t="s">
        <v>602</v>
      </c>
      <c r="N74" s="14" t="s">
        <v>5034</v>
      </c>
      <c r="O74" s="14" t="s">
        <v>5035</v>
      </c>
      <c r="P74" s="14" t="str">
        <f>HYPERLINK("https://dexscreener.com/solana/HDywuSHABFMmWot8YY2utXD3U2baky3mtCvEyRPnpump", "View")</f>
        <v>View</v>
      </c>
    </row>
    <row r="75" spans="1:16" x14ac:dyDescent="0.25">
      <c r="A75" s="16" t="s">
        <v>5023</v>
      </c>
      <c r="B75" s="17">
        <v>176980</v>
      </c>
      <c r="C75" s="17">
        <v>176980</v>
      </c>
      <c r="D75" s="17" t="s">
        <v>4754</v>
      </c>
      <c r="E75" s="17" t="s">
        <v>4396</v>
      </c>
      <c r="F75" s="17" t="s">
        <v>4919</v>
      </c>
      <c r="G75" s="22" t="s">
        <v>5036</v>
      </c>
      <c r="H75" s="22" t="s">
        <v>4668</v>
      </c>
      <c r="I75" s="17" t="s">
        <v>88</v>
      </c>
      <c r="J75" s="17">
        <v>1</v>
      </c>
      <c r="K75" s="17">
        <v>1</v>
      </c>
      <c r="L75" s="17" t="s">
        <v>5037</v>
      </c>
      <c r="M75" s="17" t="s">
        <v>4985</v>
      </c>
      <c r="N75" s="17" t="s">
        <v>5038</v>
      </c>
      <c r="O75" s="17" t="s">
        <v>5039</v>
      </c>
      <c r="P75" s="17" t="str">
        <f>HYPERLINK("https://dexscreener.com/solana/5igPsKHquNAYitDfDxwZFbr7iVPfuw3LVzwjX17zpump", "View")</f>
        <v>View</v>
      </c>
    </row>
    <row r="76" spans="1:16" x14ac:dyDescent="0.25">
      <c r="A76" s="13" t="s">
        <v>5040</v>
      </c>
      <c r="B76" s="14">
        <v>118285</v>
      </c>
      <c r="C76" s="14">
        <v>118285</v>
      </c>
      <c r="D76" s="14" t="s">
        <v>4754</v>
      </c>
      <c r="E76" s="14" t="s">
        <v>4396</v>
      </c>
      <c r="F76" s="14" t="s">
        <v>4086</v>
      </c>
      <c r="G76" s="15" t="s">
        <v>4681</v>
      </c>
      <c r="H76" s="15" t="s">
        <v>5041</v>
      </c>
      <c r="I76" s="14" t="s">
        <v>88</v>
      </c>
      <c r="J76" s="14">
        <v>1</v>
      </c>
      <c r="K76" s="14">
        <v>1</v>
      </c>
      <c r="L76" s="14" t="s">
        <v>5042</v>
      </c>
      <c r="M76" s="14" t="s">
        <v>1434</v>
      </c>
      <c r="N76" s="14" t="s">
        <v>5043</v>
      </c>
      <c r="O76" s="14" t="s">
        <v>5044</v>
      </c>
      <c r="P76" s="14" t="str">
        <f>HYPERLINK("https://dexscreener.com/solana/7ZFmpe9zrBiNtjeU4C3U22hTTDTsndS9Lm1xu724pump", "View")</f>
        <v>View</v>
      </c>
    </row>
    <row r="77" spans="1:16" x14ac:dyDescent="0.25">
      <c r="A77" s="16" t="s">
        <v>5045</v>
      </c>
      <c r="B77" s="17">
        <v>536628</v>
      </c>
      <c r="C77" s="17">
        <v>536628</v>
      </c>
      <c r="D77" s="17" t="s">
        <v>4782</v>
      </c>
      <c r="E77" s="17" t="s">
        <v>4665</v>
      </c>
      <c r="F77" s="17" t="s">
        <v>5046</v>
      </c>
      <c r="G77" s="21" t="s">
        <v>3439</v>
      </c>
      <c r="H77" s="21" t="s">
        <v>5047</v>
      </c>
      <c r="I77" s="17" t="s">
        <v>88</v>
      </c>
      <c r="J77" s="17">
        <v>1</v>
      </c>
      <c r="K77" s="17">
        <v>2</v>
      </c>
      <c r="L77" s="17" t="s">
        <v>5048</v>
      </c>
      <c r="M77" s="17" t="s">
        <v>3136</v>
      </c>
      <c r="N77" s="17" t="s">
        <v>5049</v>
      </c>
      <c r="O77" s="17" t="s">
        <v>5050</v>
      </c>
      <c r="P77" s="17" t="str">
        <f>HYPERLINK("https://dexscreener.com/solana/C82MCUQJq4BWyPV9E2QKmiLWsrzey6Kq6B7Ay2xapump", "View")</f>
        <v>View</v>
      </c>
    </row>
    <row r="78" spans="1:16" x14ac:dyDescent="0.25">
      <c r="A78" s="13" t="s">
        <v>5051</v>
      </c>
      <c r="B78" s="14">
        <v>202095</v>
      </c>
      <c r="C78" s="14">
        <v>0</v>
      </c>
      <c r="D78" s="14" t="s">
        <v>4738</v>
      </c>
      <c r="E78" s="14" t="s">
        <v>4396</v>
      </c>
      <c r="F78" s="14" t="s">
        <v>96</v>
      </c>
      <c r="G78" s="18" t="s">
        <v>4739</v>
      </c>
      <c r="H78" s="18" t="s">
        <v>98</v>
      </c>
      <c r="I78" s="14" t="s">
        <v>5052</v>
      </c>
      <c r="J78" s="14">
        <v>1</v>
      </c>
      <c r="K78" s="14">
        <v>0</v>
      </c>
      <c r="L78" s="14" t="s">
        <v>5053</v>
      </c>
      <c r="M78" s="19" t="s">
        <v>101</v>
      </c>
      <c r="N78" s="14" t="s">
        <v>5054</v>
      </c>
      <c r="O78" s="14" t="s">
        <v>5055</v>
      </c>
      <c r="P78" s="14" t="str">
        <f>HYPERLINK("https://dexscreener.com/solana/6FuA9X6D7NXkNNttaQ7yf8n5JbyWtUujkuN8D2gWpump", "View")</f>
        <v>View</v>
      </c>
    </row>
    <row r="79" spans="1:16" x14ac:dyDescent="0.25">
      <c r="A79" s="16" t="s">
        <v>5056</v>
      </c>
      <c r="B79" s="17">
        <v>149068</v>
      </c>
      <c r="C79" s="17">
        <v>149068</v>
      </c>
      <c r="D79" s="17" t="s">
        <v>4782</v>
      </c>
      <c r="E79" s="17" t="s">
        <v>4396</v>
      </c>
      <c r="F79" s="17" t="s">
        <v>5057</v>
      </c>
      <c r="G79" s="21" t="s">
        <v>5058</v>
      </c>
      <c r="H79" s="21" t="s">
        <v>5059</v>
      </c>
      <c r="I79" s="17" t="s">
        <v>88</v>
      </c>
      <c r="J79" s="17">
        <v>1</v>
      </c>
      <c r="K79" s="17">
        <v>2</v>
      </c>
      <c r="L79" s="17" t="s">
        <v>5060</v>
      </c>
      <c r="M79" s="17" t="s">
        <v>5061</v>
      </c>
      <c r="N79" s="17" t="s">
        <v>5062</v>
      </c>
      <c r="O79" s="17" t="s">
        <v>5063</v>
      </c>
      <c r="P79" s="17" t="str">
        <f>HYPERLINK("https://dexscreener.com/solana/6QaZjD1aRmfyCWS31r4GTMq5ULKNLHDkPudUd3oYpump", "View")</f>
        <v>View</v>
      </c>
    </row>
    <row r="80" spans="1:16" x14ac:dyDescent="0.25">
      <c r="A80" s="13" t="s">
        <v>5064</v>
      </c>
      <c r="B80" s="14">
        <v>3178262</v>
      </c>
      <c r="C80" s="14">
        <v>3178262</v>
      </c>
      <c r="D80" s="14" t="s">
        <v>4754</v>
      </c>
      <c r="E80" s="14" t="s">
        <v>4919</v>
      </c>
      <c r="F80" s="14" t="s">
        <v>5065</v>
      </c>
      <c r="G80" s="20" t="s">
        <v>4762</v>
      </c>
      <c r="H80" s="20" t="s">
        <v>5066</v>
      </c>
      <c r="I80" s="14" t="s">
        <v>88</v>
      </c>
      <c r="J80" s="14">
        <v>1</v>
      </c>
      <c r="K80" s="14">
        <v>1</v>
      </c>
      <c r="L80" s="14" t="s">
        <v>5067</v>
      </c>
      <c r="M80" s="14" t="s">
        <v>379</v>
      </c>
      <c r="N80" s="14" t="s">
        <v>2308</v>
      </c>
      <c r="O80" s="14" t="s">
        <v>5068</v>
      </c>
      <c r="P80" s="14" t="str">
        <f>HYPERLINK("https://photon-sol.tinyastro.io/en/lp/FgLkC3x8US7UScQqjbqAbwSxb5gfcf8c5CCT6Gk7pump?handle=676050794bc1b1657a56b", "View")</f>
        <v>View</v>
      </c>
    </row>
    <row r="81" spans="1:16" x14ac:dyDescent="0.25">
      <c r="A81" s="16" t="s">
        <v>392</v>
      </c>
      <c r="B81" s="17">
        <v>1697568</v>
      </c>
      <c r="C81" s="17">
        <v>1692467</v>
      </c>
      <c r="D81" s="17" t="s">
        <v>5069</v>
      </c>
      <c r="E81" s="17" t="s">
        <v>4665</v>
      </c>
      <c r="F81" s="17" t="s">
        <v>5070</v>
      </c>
      <c r="G81" s="21" t="s">
        <v>5071</v>
      </c>
      <c r="H81" s="21" t="s">
        <v>5072</v>
      </c>
      <c r="I81" s="17" t="s">
        <v>88</v>
      </c>
      <c r="J81" s="17">
        <v>2</v>
      </c>
      <c r="K81" s="17">
        <v>4</v>
      </c>
      <c r="L81" s="17" t="s">
        <v>5073</v>
      </c>
      <c r="M81" s="17" t="s">
        <v>379</v>
      </c>
      <c r="N81" s="17" t="s">
        <v>5074</v>
      </c>
      <c r="O81" s="17" t="s">
        <v>400</v>
      </c>
      <c r="P81" s="17" t="str">
        <f>HYPERLINK("https://dexscreener.com/solana/BTdGTUjHz5FUSf91Ufo9L9r4LFMTRhE1qDtvUUfypump", "View")</f>
        <v>View</v>
      </c>
    </row>
    <row r="82" spans="1:16" x14ac:dyDescent="0.25">
      <c r="A82" s="13" t="s">
        <v>5075</v>
      </c>
      <c r="B82" s="14">
        <v>321698</v>
      </c>
      <c r="C82" s="14">
        <v>160849</v>
      </c>
      <c r="D82" s="14" t="s">
        <v>4754</v>
      </c>
      <c r="E82" s="14" t="s">
        <v>4396</v>
      </c>
      <c r="F82" s="14" t="s">
        <v>5076</v>
      </c>
      <c r="G82" s="21" t="s">
        <v>5077</v>
      </c>
      <c r="H82" s="21" t="s">
        <v>5078</v>
      </c>
      <c r="I82" s="14" t="s">
        <v>88</v>
      </c>
      <c r="J82" s="14">
        <v>1</v>
      </c>
      <c r="K82" s="14">
        <v>1</v>
      </c>
      <c r="L82" s="14" t="s">
        <v>5079</v>
      </c>
      <c r="M82" s="19" t="s">
        <v>2104</v>
      </c>
      <c r="N82" s="14" t="s">
        <v>5080</v>
      </c>
      <c r="O82" s="14" t="s">
        <v>5081</v>
      </c>
      <c r="P82" s="14" t="str">
        <f>HYPERLINK("https://dexscreener.com/solana/8ogBUvzZNPzo7FcsGHi6LCVBHrmL94ZVz7DynnTRpump", "View")</f>
        <v>View</v>
      </c>
    </row>
    <row r="83" spans="1:16" x14ac:dyDescent="0.25">
      <c r="A83" s="16" t="s">
        <v>5082</v>
      </c>
      <c r="B83" s="17">
        <v>128916</v>
      </c>
      <c r="C83" s="17">
        <v>0</v>
      </c>
      <c r="D83" s="17" t="s">
        <v>4738</v>
      </c>
      <c r="E83" s="17" t="s">
        <v>4396</v>
      </c>
      <c r="F83" s="17" t="s">
        <v>96</v>
      </c>
      <c r="G83" s="18" t="s">
        <v>4739</v>
      </c>
      <c r="H83" s="18" t="s">
        <v>98</v>
      </c>
      <c r="I83" s="17" t="s">
        <v>5083</v>
      </c>
      <c r="J83" s="17">
        <v>1</v>
      </c>
      <c r="K83" s="17">
        <v>0</v>
      </c>
      <c r="L83" s="17" t="s">
        <v>5084</v>
      </c>
      <c r="M83" s="19" t="s">
        <v>101</v>
      </c>
      <c r="N83" s="17" t="s">
        <v>5085</v>
      </c>
      <c r="O83" s="17" t="s">
        <v>5086</v>
      </c>
      <c r="P83" s="17" t="str">
        <f>HYPERLINK("https://dexscreener.com/solana/7n1y1dwSQdfZLH45t3LqbYfK74Ewn1s1eL2ozDgupump", "View")</f>
        <v>View</v>
      </c>
    </row>
    <row r="84" spans="1:16" x14ac:dyDescent="0.25">
      <c r="A84" s="13" t="s">
        <v>5087</v>
      </c>
      <c r="B84" s="14">
        <v>260186</v>
      </c>
      <c r="C84" s="14">
        <v>0</v>
      </c>
      <c r="D84" s="14" t="s">
        <v>4738</v>
      </c>
      <c r="E84" s="14" t="s">
        <v>4396</v>
      </c>
      <c r="F84" s="14" t="s">
        <v>96</v>
      </c>
      <c r="G84" s="18" t="s">
        <v>4739</v>
      </c>
      <c r="H84" s="18" t="s">
        <v>98</v>
      </c>
      <c r="I84" s="14" t="s">
        <v>5088</v>
      </c>
      <c r="J84" s="14">
        <v>1</v>
      </c>
      <c r="K84" s="14">
        <v>0</v>
      </c>
      <c r="L84" s="14" t="s">
        <v>5089</v>
      </c>
      <c r="M84" s="19" t="s">
        <v>101</v>
      </c>
      <c r="N84" s="14" t="s">
        <v>5090</v>
      </c>
      <c r="O84" s="14" t="s">
        <v>5091</v>
      </c>
      <c r="P84" s="14" t="str">
        <f>HYPERLINK("https://dexscreener.com/solana/QWpJTGdrPnjJpqDBrC5onXwRPtyZhwEvwrbUYxHpump", "View")</f>
        <v>View</v>
      </c>
    </row>
    <row r="85" spans="1:16" x14ac:dyDescent="0.25">
      <c r="A85" s="16" t="s">
        <v>5092</v>
      </c>
      <c r="B85" s="17">
        <v>485976</v>
      </c>
      <c r="C85" s="17">
        <v>0</v>
      </c>
      <c r="D85" s="17" t="s">
        <v>4754</v>
      </c>
      <c r="E85" s="17" t="s">
        <v>4665</v>
      </c>
      <c r="F85" s="17" t="s">
        <v>96</v>
      </c>
      <c r="G85" s="18" t="s">
        <v>4929</v>
      </c>
      <c r="H85" s="18" t="s">
        <v>98</v>
      </c>
      <c r="I85" s="17" t="s">
        <v>5093</v>
      </c>
      <c r="J85" s="17">
        <v>2</v>
      </c>
      <c r="K85" s="17">
        <v>0</v>
      </c>
      <c r="L85" s="17" t="s">
        <v>5094</v>
      </c>
      <c r="M85" s="19" t="s">
        <v>101</v>
      </c>
      <c r="N85" s="17" t="s">
        <v>5095</v>
      </c>
      <c r="O85" s="17" t="s">
        <v>5096</v>
      </c>
      <c r="P85" s="17" t="str">
        <f>HYPERLINK("https://dexscreener.com/solana/3qYVvs3NT2tvBwYe5KSmDMZDWwVbAsJq6aTAC95opump", "View")</f>
        <v>View</v>
      </c>
    </row>
    <row r="86" spans="1:16" x14ac:dyDescent="0.25">
      <c r="A86" s="13" t="s">
        <v>382</v>
      </c>
      <c r="B86" s="14">
        <v>147723</v>
      </c>
      <c r="C86" s="14">
        <v>147723</v>
      </c>
      <c r="D86" s="14" t="s">
        <v>4782</v>
      </c>
      <c r="E86" s="14" t="s">
        <v>4396</v>
      </c>
      <c r="F86" s="14" t="s">
        <v>5097</v>
      </c>
      <c r="G86" s="21" t="s">
        <v>5098</v>
      </c>
      <c r="H86" s="21" t="s">
        <v>5099</v>
      </c>
      <c r="I86" s="14" t="s">
        <v>88</v>
      </c>
      <c r="J86" s="14">
        <v>1</v>
      </c>
      <c r="K86" s="14">
        <v>2</v>
      </c>
      <c r="L86" s="14" t="s">
        <v>5100</v>
      </c>
      <c r="M86" s="14" t="s">
        <v>117</v>
      </c>
      <c r="N86" s="14" t="s">
        <v>5101</v>
      </c>
      <c r="O86" s="14" t="s">
        <v>386</v>
      </c>
      <c r="P86" s="14" t="str">
        <f>HYPERLINK("https://dexscreener.com/solana/3T557L68ZgBvjvuSuNQXcxH9JkJZieSEggdtWDf2pump", "View")</f>
        <v>View</v>
      </c>
    </row>
    <row r="87" spans="1:16" x14ac:dyDescent="0.25">
      <c r="A87" s="16" t="s">
        <v>5102</v>
      </c>
      <c r="B87" s="17">
        <v>275630</v>
      </c>
      <c r="C87" s="17">
        <v>0</v>
      </c>
      <c r="D87" s="17" t="s">
        <v>4738</v>
      </c>
      <c r="E87" s="17" t="s">
        <v>4396</v>
      </c>
      <c r="F87" s="17" t="s">
        <v>96</v>
      </c>
      <c r="G87" s="18" t="s">
        <v>4739</v>
      </c>
      <c r="H87" s="18" t="s">
        <v>98</v>
      </c>
      <c r="I87" s="17" t="s">
        <v>5103</v>
      </c>
      <c r="J87" s="17">
        <v>1</v>
      </c>
      <c r="K87" s="17">
        <v>0</v>
      </c>
      <c r="L87" s="17" t="s">
        <v>5104</v>
      </c>
      <c r="M87" s="19" t="s">
        <v>101</v>
      </c>
      <c r="N87" s="17" t="s">
        <v>5105</v>
      </c>
      <c r="O87" s="17" t="s">
        <v>5106</v>
      </c>
      <c r="P87" s="17" t="str">
        <f>HYPERLINK("https://dexscreener.com/solana/D2As5feEj3kJ1BKJwakNasNh9XD8emb5791RuU8Apump", "View")</f>
        <v>View</v>
      </c>
    </row>
    <row r="88" spans="1:16" x14ac:dyDescent="0.25">
      <c r="A88" s="13" t="s">
        <v>5107</v>
      </c>
      <c r="B88" s="14">
        <v>188323</v>
      </c>
      <c r="C88" s="14">
        <v>0</v>
      </c>
      <c r="D88" s="14" t="s">
        <v>4738</v>
      </c>
      <c r="E88" s="14" t="s">
        <v>4396</v>
      </c>
      <c r="F88" s="14" t="s">
        <v>96</v>
      </c>
      <c r="G88" s="18" t="s">
        <v>4739</v>
      </c>
      <c r="H88" s="18" t="s">
        <v>98</v>
      </c>
      <c r="I88" s="14" t="s">
        <v>5108</v>
      </c>
      <c r="J88" s="14">
        <v>1</v>
      </c>
      <c r="K88" s="14">
        <v>0</v>
      </c>
      <c r="L88" s="14" t="s">
        <v>5109</v>
      </c>
      <c r="M88" s="19" t="s">
        <v>101</v>
      </c>
      <c r="N88" s="14" t="s">
        <v>5110</v>
      </c>
      <c r="O88" s="14" t="s">
        <v>5111</v>
      </c>
      <c r="P88" s="14" t="str">
        <f>HYPERLINK("https://dexscreener.com/solana/AcB7DtVYAejFpajuvRgyQoHcdSrVzypbVDvG7Avcpump", "View")</f>
        <v>View</v>
      </c>
    </row>
    <row r="89" spans="1:16" x14ac:dyDescent="0.25">
      <c r="A89" s="16" t="s">
        <v>5112</v>
      </c>
      <c r="B89" s="17">
        <v>185712</v>
      </c>
      <c r="C89" s="17">
        <v>0</v>
      </c>
      <c r="D89" s="17" t="s">
        <v>4738</v>
      </c>
      <c r="E89" s="17" t="s">
        <v>4396</v>
      </c>
      <c r="F89" s="17" t="s">
        <v>96</v>
      </c>
      <c r="G89" s="18" t="s">
        <v>4739</v>
      </c>
      <c r="H89" s="18" t="s">
        <v>98</v>
      </c>
      <c r="I89" s="17" t="s">
        <v>5113</v>
      </c>
      <c r="J89" s="17">
        <v>1</v>
      </c>
      <c r="K89" s="17">
        <v>0</v>
      </c>
      <c r="L89" s="17" t="s">
        <v>5114</v>
      </c>
      <c r="M89" s="19" t="s">
        <v>101</v>
      </c>
      <c r="N89" s="17" t="s">
        <v>5115</v>
      </c>
      <c r="O89" s="17" t="s">
        <v>5116</v>
      </c>
      <c r="P89" s="17" t="str">
        <f>HYPERLINK("https://dexscreener.com/solana/BMtTHjGCpkz1fRtfoTDyvhdB5vo1imxZv8RkpT93pump", "View")</f>
        <v>View</v>
      </c>
    </row>
    <row r="90" spans="1:16" x14ac:dyDescent="0.25">
      <c r="A90" s="13" t="s">
        <v>5117</v>
      </c>
      <c r="B90" s="14">
        <v>500703</v>
      </c>
      <c r="C90" s="14">
        <v>0</v>
      </c>
      <c r="D90" s="14" t="s">
        <v>4738</v>
      </c>
      <c r="E90" s="14" t="s">
        <v>4396</v>
      </c>
      <c r="F90" s="14" t="s">
        <v>96</v>
      </c>
      <c r="G90" s="18" t="s">
        <v>4739</v>
      </c>
      <c r="H90" s="18" t="s">
        <v>98</v>
      </c>
      <c r="I90" s="14" t="s">
        <v>5118</v>
      </c>
      <c r="J90" s="14">
        <v>1</v>
      </c>
      <c r="K90" s="14">
        <v>0</v>
      </c>
      <c r="L90" s="14" t="s">
        <v>5119</v>
      </c>
      <c r="M90" s="19" t="s">
        <v>101</v>
      </c>
      <c r="N90" s="14" t="s">
        <v>968</v>
      </c>
      <c r="O90" s="14" t="s">
        <v>5120</v>
      </c>
      <c r="P90" s="14" t="str">
        <f>HYPERLINK("https://dexscreener.com/solana/EdBp881A1DrBdZYJuQqtDC8DxwaepBEh6uuvjXvMpump", "View")</f>
        <v>View</v>
      </c>
    </row>
    <row r="91" spans="1:16" x14ac:dyDescent="0.25">
      <c r="A91" s="16" t="s">
        <v>5121</v>
      </c>
      <c r="B91" s="17">
        <v>159622</v>
      </c>
      <c r="C91" s="17">
        <v>0</v>
      </c>
      <c r="D91" s="17" t="s">
        <v>4738</v>
      </c>
      <c r="E91" s="17" t="s">
        <v>4396</v>
      </c>
      <c r="F91" s="17" t="s">
        <v>96</v>
      </c>
      <c r="G91" s="18" t="s">
        <v>4739</v>
      </c>
      <c r="H91" s="18" t="s">
        <v>98</v>
      </c>
      <c r="I91" s="17" t="s">
        <v>5122</v>
      </c>
      <c r="J91" s="17">
        <v>1</v>
      </c>
      <c r="K91" s="17">
        <v>0</v>
      </c>
      <c r="L91" s="17" t="s">
        <v>5123</v>
      </c>
      <c r="M91" s="19" t="s">
        <v>101</v>
      </c>
      <c r="N91" s="17" t="s">
        <v>5124</v>
      </c>
      <c r="O91" s="17" t="s">
        <v>5125</v>
      </c>
      <c r="P91" s="17" t="str">
        <f>HYPERLINK("https://dexscreener.com/solana/3Dwg9MtA8rSsXQUDYv67KA63g6yWDGgrFzYKQ4z7pump", "View")</f>
        <v>View</v>
      </c>
    </row>
    <row r="92" spans="1:16" x14ac:dyDescent="0.25">
      <c r="A92" s="13" t="s">
        <v>5126</v>
      </c>
      <c r="B92" s="14">
        <v>45746</v>
      </c>
      <c r="C92" s="14">
        <v>0</v>
      </c>
      <c r="D92" s="14" t="s">
        <v>4738</v>
      </c>
      <c r="E92" s="14" t="s">
        <v>4396</v>
      </c>
      <c r="F92" s="14" t="s">
        <v>96</v>
      </c>
      <c r="G92" s="18" t="s">
        <v>4739</v>
      </c>
      <c r="H92" s="18" t="s">
        <v>98</v>
      </c>
      <c r="I92" s="14" t="s">
        <v>5127</v>
      </c>
      <c r="J92" s="14">
        <v>1</v>
      </c>
      <c r="K92" s="14">
        <v>0</v>
      </c>
      <c r="L92" s="14" t="s">
        <v>5128</v>
      </c>
      <c r="M92" s="19" t="s">
        <v>101</v>
      </c>
      <c r="N92" s="14" t="s">
        <v>5129</v>
      </c>
      <c r="O92" s="14" t="s">
        <v>5130</v>
      </c>
      <c r="P92" s="14" t="str">
        <f>HYPERLINK("https://dexscreener.com/solana/EEvAzgVykroPTytRm1NxR4pJrVdT4784CMXbMneMpump", "View")</f>
        <v>View</v>
      </c>
    </row>
    <row r="93" spans="1:16" x14ac:dyDescent="0.25">
      <c r="A93" s="16" t="s">
        <v>5131</v>
      </c>
      <c r="B93" s="17">
        <v>147066</v>
      </c>
      <c r="C93" s="17">
        <v>73533</v>
      </c>
      <c r="D93" s="17" t="s">
        <v>4754</v>
      </c>
      <c r="E93" s="17" t="s">
        <v>4396</v>
      </c>
      <c r="F93" s="17" t="s">
        <v>5132</v>
      </c>
      <c r="G93" s="20" t="s">
        <v>5133</v>
      </c>
      <c r="H93" s="20" t="s">
        <v>5134</v>
      </c>
      <c r="I93" s="17" t="s">
        <v>88</v>
      </c>
      <c r="J93" s="17">
        <v>1</v>
      </c>
      <c r="K93" s="17">
        <v>1</v>
      </c>
      <c r="L93" s="17" t="s">
        <v>5135</v>
      </c>
      <c r="M93" s="17" t="s">
        <v>1932</v>
      </c>
      <c r="N93" s="17" t="s">
        <v>5136</v>
      </c>
      <c r="O93" s="17" t="s">
        <v>5137</v>
      </c>
      <c r="P93" s="17" t="str">
        <f>HYPERLINK("https://dexscreener.com/solana/6ec1k1xF46XRdCupyc44MzcmL2Yi4WVP3F9NC4Snpump", "View")</f>
        <v>View</v>
      </c>
    </row>
    <row r="94" spans="1:16" x14ac:dyDescent="0.25">
      <c r="A94" s="13" t="s">
        <v>5138</v>
      </c>
      <c r="B94" s="14">
        <v>131783</v>
      </c>
      <c r="C94" s="14">
        <v>131783</v>
      </c>
      <c r="D94" s="14" t="s">
        <v>4782</v>
      </c>
      <c r="E94" s="14" t="s">
        <v>4396</v>
      </c>
      <c r="F94" s="14" t="s">
        <v>5139</v>
      </c>
      <c r="G94" s="21" t="s">
        <v>5140</v>
      </c>
      <c r="H94" s="21" t="s">
        <v>5141</v>
      </c>
      <c r="I94" s="14" t="s">
        <v>88</v>
      </c>
      <c r="J94" s="14">
        <v>1</v>
      </c>
      <c r="K94" s="14">
        <v>2</v>
      </c>
      <c r="L94" s="14" t="s">
        <v>5142</v>
      </c>
      <c r="M94" s="14" t="s">
        <v>160</v>
      </c>
      <c r="N94" s="14" t="s">
        <v>5143</v>
      </c>
      <c r="O94" s="14" t="s">
        <v>5144</v>
      </c>
      <c r="P94" s="14" t="str">
        <f>HYPERLINK("https://dexscreener.com/solana/ABSLrvYqSfJKhXJGnigaNaEB7rmgsGQH4VZY8Nf2pump", "View")</f>
        <v>View</v>
      </c>
    </row>
    <row r="95" spans="1:16" x14ac:dyDescent="0.25">
      <c r="A95" s="16" t="s">
        <v>5131</v>
      </c>
      <c r="B95" s="17">
        <v>229227</v>
      </c>
      <c r="C95" s="17">
        <v>114613</v>
      </c>
      <c r="D95" s="17" t="s">
        <v>4754</v>
      </c>
      <c r="E95" s="17" t="s">
        <v>4396</v>
      </c>
      <c r="F95" s="17" t="s">
        <v>4609</v>
      </c>
      <c r="G95" s="22" t="s">
        <v>4147</v>
      </c>
      <c r="H95" s="22" t="s">
        <v>5145</v>
      </c>
      <c r="I95" s="17" t="s">
        <v>88</v>
      </c>
      <c r="J95" s="17">
        <v>1</v>
      </c>
      <c r="K95" s="17">
        <v>1</v>
      </c>
      <c r="L95" s="17" t="s">
        <v>5146</v>
      </c>
      <c r="M95" s="17" t="s">
        <v>1957</v>
      </c>
      <c r="N95" s="17" t="s">
        <v>5147</v>
      </c>
      <c r="O95" s="17" t="s">
        <v>5148</v>
      </c>
      <c r="P95" s="17" t="str">
        <f>HYPERLINK("https://dexscreener.com/solana/ACro3rVwnm78KTw2ZChs3xP9Z5VEzMaS3r9PZR2DFEuL", "View")</f>
        <v>View</v>
      </c>
    </row>
    <row r="96" spans="1:16" x14ac:dyDescent="0.25">
      <c r="A96" s="13" t="s">
        <v>5131</v>
      </c>
      <c r="B96" s="14">
        <v>124949</v>
      </c>
      <c r="C96" s="14">
        <v>0</v>
      </c>
      <c r="D96" s="14" t="s">
        <v>4738</v>
      </c>
      <c r="E96" s="14" t="s">
        <v>4396</v>
      </c>
      <c r="F96" s="14" t="s">
        <v>96</v>
      </c>
      <c r="G96" s="18" t="s">
        <v>4739</v>
      </c>
      <c r="H96" s="18" t="s">
        <v>98</v>
      </c>
      <c r="I96" s="14" t="s">
        <v>5149</v>
      </c>
      <c r="J96" s="14">
        <v>1</v>
      </c>
      <c r="K96" s="14">
        <v>0</v>
      </c>
      <c r="L96" s="14" t="s">
        <v>5150</v>
      </c>
      <c r="M96" s="19" t="s">
        <v>101</v>
      </c>
      <c r="N96" s="14" t="s">
        <v>5151</v>
      </c>
      <c r="O96" s="14" t="s">
        <v>5152</v>
      </c>
      <c r="P96" s="14" t="str">
        <f>HYPERLINK("https://dexscreener.com/solana/EtSwvU5SyAsYZqoJ4MXM45APMgTgzp1g3a1dDc6Spump", "View")</f>
        <v>View</v>
      </c>
    </row>
    <row r="97" spans="1:16" x14ac:dyDescent="0.25">
      <c r="A97" s="16" t="s">
        <v>5153</v>
      </c>
      <c r="B97" s="17">
        <v>113621</v>
      </c>
      <c r="C97" s="17">
        <v>0</v>
      </c>
      <c r="D97" s="17" t="s">
        <v>4738</v>
      </c>
      <c r="E97" s="17" t="s">
        <v>4396</v>
      </c>
      <c r="F97" s="17" t="s">
        <v>96</v>
      </c>
      <c r="G97" s="18" t="s">
        <v>4739</v>
      </c>
      <c r="H97" s="18" t="s">
        <v>98</v>
      </c>
      <c r="I97" s="17" t="s">
        <v>5154</v>
      </c>
      <c r="J97" s="17">
        <v>1</v>
      </c>
      <c r="K97" s="17">
        <v>0</v>
      </c>
      <c r="L97" s="17" t="s">
        <v>5155</v>
      </c>
      <c r="M97" s="19" t="s">
        <v>101</v>
      </c>
      <c r="N97" s="17" t="s">
        <v>5156</v>
      </c>
      <c r="O97" s="17" t="s">
        <v>5157</v>
      </c>
      <c r="P97" s="17" t="str">
        <f>HYPERLINK("https://dexscreener.com/solana/67x3kZxv9uW2joveNJTUcA4NhD54XeArVrT1pJ1Cpump", "View")</f>
        <v>View</v>
      </c>
    </row>
    <row r="98" spans="1:16" x14ac:dyDescent="0.25">
      <c r="A98" s="13" t="s">
        <v>5158</v>
      </c>
      <c r="B98" s="14">
        <v>372604</v>
      </c>
      <c r="C98" s="14">
        <v>186302</v>
      </c>
      <c r="D98" s="14" t="s">
        <v>4754</v>
      </c>
      <c r="E98" s="14" t="s">
        <v>4396</v>
      </c>
      <c r="F98" s="14" t="s">
        <v>4817</v>
      </c>
      <c r="G98" s="22" t="s">
        <v>4818</v>
      </c>
      <c r="H98" s="22" t="s">
        <v>5159</v>
      </c>
      <c r="I98" s="14" t="s">
        <v>88</v>
      </c>
      <c r="J98" s="14">
        <v>1</v>
      </c>
      <c r="K98" s="14">
        <v>1</v>
      </c>
      <c r="L98" s="14" t="s">
        <v>5160</v>
      </c>
      <c r="M98" s="14" t="s">
        <v>1434</v>
      </c>
      <c r="N98" s="14" t="s">
        <v>5161</v>
      </c>
      <c r="O98" s="14" t="s">
        <v>5162</v>
      </c>
      <c r="P98" s="14" t="str">
        <f>HYPERLINK("https://dexscreener.com/solana/14b2PNaerPw218YqJj763rsSe9cESu8CfUXe8M7cpump", "View")</f>
        <v>View</v>
      </c>
    </row>
    <row r="99" spans="1:16" x14ac:dyDescent="0.25">
      <c r="A99" s="16" t="s">
        <v>5163</v>
      </c>
      <c r="B99" s="17">
        <v>1120594</v>
      </c>
      <c r="C99" s="17">
        <v>840445</v>
      </c>
      <c r="D99" s="17" t="s">
        <v>4782</v>
      </c>
      <c r="E99" s="17" t="s">
        <v>3845</v>
      </c>
      <c r="F99" s="17" t="s">
        <v>2966</v>
      </c>
      <c r="G99" s="21" t="s">
        <v>2580</v>
      </c>
      <c r="H99" s="21" t="s">
        <v>5164</v>
      </c>
      <c r="I99" s="17" t="s">
        <v>88</v>
      </c>
      <c r="J99" s="17">
        <v>1</v>
      </c>
      <c r="K99" s="17">
        <v>2</v>
      </c>
      <c r="L99" s="17" t="s">
        <v>5165</v>
      </c>
      <c r="M99" s="17" t="s">
        <v>117</v>
      </c>
      <c r="N99" s="17" t="s">
        <v>5166</v>
      </c>
      <c r="O99" s="17" t="s">
        <v>5167</v>
      </c>
      <c r="P99" s="17" t="str">
        <f>HYPERLINK("https://photon-sol.tinyastro.io/en/lp/8gvfbUZ1X7RbkD8Z1PLFgDJHoft1jNeweBu97JiWpump?handle=676050794bc1b1657a56b", "View")</f>
        <v>View</v>
      </c>
    </row>
    <row r="100" spans="1:16" x14ac:dyDescent="0.25">
      <c r="A100" s="13" t="s">
        <v>5168</v>
      </c>
      <c r="B100" s="14">
        <v>200319</v>
      </c>
      <c r="C100" s="14">
        <v>0</v>
      </c>
      <c r="D100" s="14" t="s">
        <v>4738</v>
      </c>
      <c r="E100" s="14" t="s">
        <v>4396</v>
      </c>
      <c r="F100" s="14" t="s">
        <v>96</v>
      </c>
      <c r="G100" s="18" t="s">
        <v>4739</v>
      </c>
      <c r="H100" s="18" t="s">
        <v>98</v>
      </c>
      <c r="I100" s="14" t="s">
        <v>5169</v>
      </c>
      <c r="J100" s="14">
        <v>1</v>
      </c>
      <c r="K100" s="14">
        <v>0</v>
      </c>
      <c r="L100" s="14" t="s">
        <v>5170</v>
      </c>
      <c r="M100" s="19" t="s">
        <v>101</v>
      </c>
      <c r="N100" s="14" t="s">
        <v>5171</v>
      </c>
      <c r="O100" s="14" t="s">
        <v>5172</v>
      </c>
      <c r="P100" s="14" t="str">
        <f>HYPERLINK("https://dexscreener.com/solana/F87HPcxdor2M51kdAMAnQpXmYbP1WJAx1N7qf4wFpump", "View")</f>
        <v>View</v>
      </c>
    </row>
    <row r="101" spans="1:16" x14ac:dyDescent="0.25">
      <c r="A101" s="16" t="s">
        <v>5173</v>
      </c>
      <c r="B101" s="17">
        <v>195833</v>
      </c>
      <c r="C101" s="17">
        <v>0</v>
      </c>
      <c r="D101" s="17" t="s">
        <v>4738</v>
      </c>
      <c r="E101" s="17" t="s">
        <v>4396</v>
      </c>
      <c r="F101" s="17" t="s">
        <v>96</v>
      </c>
      <c r="G101" s="18" t="s">
        <v>4739</v>
      </c>
      <c r="H101" s="18" t="s">
        <v>98</v>
      </c>
      <c r="I101" s="17" t="s">
        <v>5174</v>
      </c>
      <c r="J101" s="17">
        <v>1</v>
      </c>
      <c r="K101" s="17">
        <v>0</v>
      </c>
      <c r="L101" s="17" t="s">
        <v>5175</v>
      </c>
      <c r="M101" s="19" t="s">
        <v>101</v>
      </c>
      <c r="N101" s="17" t="s">
        <v>4948</v>
      </c>
      <c r="O101" s="17" t="s">
        <v>5176</v>
      </c>
      <c r="P101" s="17" t="str">
        <f>HYPERLINK("https://dexscreener.com/solana/3RCpUT1yN5bLKsKqy2vcNidogbvPnzp3hvv8MFvBpump", "View")</f>
        <v>View</v>
      </c>
    </row>
    <row r="102" spans="1:16" x14ac:dyDescent="0.25">
      <c r="A102" s="13" t="s">
        <v>280</v>
      </c>
      <c r="B102" s="14">
        <v>874572</v>
      </c>
      <c r="C102" s="14">
        <v>0</v>
      </c>
      <c r="D102" s="14" t="s">
        <v>4738</v>
      </c>
      <c r="E102" s="14" t="s">
        <v>4396</v>
      </c>
      <c r="F102" s="14" t="s">
        <v>96</v>
      </c>
      <c r="G102" s="18" t="s">
        <v>4739</v>
      </c>
      <c r="H102" s="18" t="s">
        <v>98</v>
      </c>
      <c r="I102" s="14" t="s">
        <v>5177</v>
      </c>
      <c r="J102" s="14">
        <v>1</v>
      </c>
      <c r="K102" s="14">
        <v>0</v>
      </c>
      <c r="L102" s="14" t="s">
        <v>5178</v>
      </c>
      <c r="M102" s="19" t="s">
        <v>101</v>
      </c>
      <c r="N102" s="14" t="s">
        <v>5179</v>
      </c>
      <c r="O102" s="14" t="s">
        <v>5180</v>
      </c>
      <c r="P102" s="14" t="str">
        <f>HYPERLINK("https://dexscreener.com/solana/A4K24HRdxpJcaBJYHkaLacB8PfxX8DkF7SLBkiKFpump", "View")</f>
        <v>View</v>
      </c>
    </row>
    <row r="103" spans="1:16" x14ac:dyDescent="0.25">
      <c r="A103" s="16" t="s">
        <v>2888</v>
      </c>
      <c r="B103" s="17">
        <v>828734</v>
      </c>
      <c r="C103" s="17">
        <v>0</v>
      </c>
      <c r="D103" s="17" t="s">
        <v>4738</v>
      </c>
      <c r="E103" s="17" t="s">
        <v>4396</v>
      </c>
      <c r="F103" s="17" t="s">
        <v>96</v>
      </c>
      <c r="G103" s="18" t="s">
        <v>4739</v>
      </c>
      <c r="H103" s="18" t="s">
        <v>98</v>
      </c>
      <c r="I103" s="17" t="s">
        <v>5181</v>
      </c>
      <c r="J103" s="17">
        <v>1</v>
      </c>
      <c r="K103" s="17">
        <v>0</v>
      </c>
      <c r="L103" s="17" t="s">
        <v>5182</v>
      </c>
      <c r="M103" s="19" t="s">
        <v>101</v>
      </c>
      <c r="N103" s="17" t="s">
        <v>1208</v>
      </c>
      <c r="O103" s="17" t="s">
        <v>5183</v>
      </c>
      <c r="P103" s="17" t="str">
        <f>HYPERLINK("https://dexscreener.com/solana/GA48z727YVddKJY83N2o6rpFPDq3NGibGCu7XThHpump", "View")</f>
        <v>View</v>
      </c>
    </row>
    <row r="104" spans="1:16" x14ac:dyDescent="0.25">
      <c r="A104" s="13" t="s">
        <v>5184</v>
      </c>
      <c r="B104" s="14">
        <v>461365</v>
      </c>
      <c r="C104" s="14">
        <v>461365</v>
      </c>
      <c r="D104" s="14" t="s">
        <v>4754</v>
      </c>
      <c r="E104" s="14" t="s">
        <v>4396</v>
      </c>
      <c r="F104" s="14" t="s">
        <v>4817</v>
      </c>
      <c r="G104" s="22" t="s">
        <v>4818</v>
      </c>
      <c r="H104" s="22" t="s">
        <v>5185</v>
      </c>
      <c r="I104" s="14" t="s">
        <v>88</v>
      </c>
      <c r="J104" s="14">
        <v>1</v>
      </c>
      <c r="K104" s="14">
        <v>1</v>
      </c>
      <c r="L104" s="14" t="s">
        <v>5186</v>
      </c>
      <c r="M104" s="14" t="s">
        <v>141</v>
      </c>
      <c r="N104" s="14" t="s">
        <v>5187</v>
      </c>
      <c r="O104" s="14" t="s">
        <v>5188</v>
      </c>
      <c r="P104" s="14" t="str">
        <f>HYPERLINK("https://dexscreener.com/solana/4H2kQgC4hdt35AryM4NjB6RoNuuX4WR6fRMQ4cqcg1zr", "View")</f>
        <v>View</v>
      </c>
    </row>
    <row r="105" spans="1:16" x14ac:dyDescent="0.25">
      <c r="A105" s="16" t="s">
        <v>5189</v>
      </c>
      <c r="B105" s="17">
        <v>106758</v>
      </c>
      <c r="C105" s="17">
        <v>0</v>
      </c>
      <c r="D105" s="17" t="s">
        <v>4738</v>
      </c>
      <c r="E105" s="17" t="s">
        <v>4396</v>
      </c>
      <c r="F105" s="17" t="s">
        <v>96</v>
      </c>
      <c r="G105" s="18" t="s">
        <v>4739</v>
      </c>
      <c r="H105" s="18" t="s">
        <v>98</v>
      </c>
      <c r="I105" s="17" t="s">
        <v>5190</v>
      </c>
      <c r="J105" s="17">
        <v>1</v>
      </c>
      <c r="K105" s="17">
        <v>0</v>
      </c>
      <c r="L105" s="17" t="s">
        <v>5191</v>
      </c>
      <c r="M105" s="19" t="s">
        <v>101</v>
      </c>
      <c r="N105" s="17" t="s">
        <v>5192</v>
      </c>
      <c r="O105" s="17" t="s">
        <v>5193</v>
      </c>
      <c r="P105" s="17" t="str">
        <f>HYPERLINK("https://dexscreener.com/solana/3tEp4x3wJVan8VRrsaiyqnL1AgeUsE251PifaGVFpump", "View")</f>
        <v>View</v>
      </c>
    </row>
    <row r="106" spans="1:16" x14ac:dyDescent="0.25">
      <c r="A106" s="13" t="s">
        <v>5194</v>
      </c>
      <c r="B106" s="14">
        <v>188906</v>
      </c>
      <c r="C106" s="14">
        <v>0</v>
      </c>
      <c r="D106" s="14" t="s">
        <v>4738</v>
      </c>
      <c r="E106" s="14" t="s">
        <v>4396</v>
      </c>
      <c r="F106" s="14" t="s">
        <v>96</v>
      </c>
      <c r="G106" s="18" t="s">
        <v>4739</v>
      </c>
      <c r="H106" s="18" t="s">
        <v>98</v>
      </c>
      <c r="I106" s="14" t="s">
        <v>5195</v>
      </c>
      <c r="J106" s="14">
        <v>1</v>
      </c>
      <c r="K106" s="14">
        <v>0</v>
      </c>
      <c r="L106" s="14" t="s">
        <v>5196</v>
      </c>
      <c r="M106" s="19" t="s">
        <v>101</v>
      </c>
      <c r="N106" s="14" t="s">
        <v>5110</v>
      </c>
      <c r="O106" s="14" t="s">
        <v>5197</v>
      </c>
      <c r="P106" s="14" t="str">
        <f>HYPERLINK("https://dexscreener.com/solana/3DnjL3j5UZmmiUoDMKcN98gSKwkqkm7gSj7APgYzpump", "View")</f>
        <v>View</v>
      </c>
    </row>
    <row r="107" spans="1:16" x14ac:dyDescent="0.25">
      <c r="A107" s="16" t="s">
        <v>5198</v>
      </c>
      <c r="B107" s="17">
        <v>200029</v>
      </c>
      <c r="C107" s="17">
        <v>100014</v>
      </c>
      <c r="D107" s="17" t="s">
        <v>4754</v>
      </c>
      <c r="E107" s="17" t="s">
        <v>4396</v>
      </c>
      <c r="F107" s="17" t="s">
        <v>5132</v>
      </c>
      <c r="G107" s="20" t="s">
        <v>5133</v>
      </c>
      <c r="H107" s="20" t="s">
        <v>5199</v>
      </c>
      <c r="I107" s="17" t="s">
        <v>88</v>
      </c>
      <c r="J107" s="17">
        <v>1</v>
      </c>
      <c r="K107" s="17">
        <v>1</v>
      </c>
      <c r="L107" s="17" t="s">
        <v>5200</v>
      </c>
      <c r="M107" s="17" t="s">
        <v>937</v>
      </c>
      <c r="N107" s="17" t="s">
        <v>5201</v>
      </c>
      <c r="O107" s="17" t="s">
        <v>5202</v>
      </c>
      <c r="P107" s="17" t="str">
        <f>HYPERLINK("https://dexscreener.com/solana/HDmA5XhTeDfkkFA7a9zXwF7bZTk1QooQFzzciuJ4pump", "View")</f>
        <v>View</v>
      </c>
    </row>
    <row r="108" spans="1:16" x14ac:dyDescent="0.25">
      <c r="A108" s="13" t="s">
        <v>5203</v>
      </c>
      <c r="B108" s="14">
        <v>662367</v>
      </c>
      <c r="C108" s="14">
        <v>662367</v>
      </c>
      <c r="D108" s="14" t="s">
        <v>4782</v>
      </c>
      <c r="E108" s="14" t="s">
        <v>2200</v>
      </c>
      <c r="F108" s="14" t="s">
        <v>5204</v>
      </c>
      <c r="G108" s="15" t="s">
        <v>5205</v>
      </c>
      <c r="H108" s="15" t="s">
        <v>5206</v>
      </c>
      <c r="I108" s="14" t="s">
        <v>88</v>
      </c>
      <c r="J108" s="14">
        <v>2</v>
      </c>
      <c r="K108" s="14">
        <v>1</v>
      </c>
      <c r="L108" s="14" t="s">
        <v>5207</v>
      </c>
      <c r="M108" s="14" t="s">
        <v>1434</v>
      </c>
      <c r="N108" s="14" t="s">
        <v>5208</v>
      </c>
      <c r="O108" s="14" t="s">
        <v>5209</v>
      </c>
      <c r="P108" s="14" t="str">
        <f>HYPERLINK("https://dexscreener.com/solana/3yaZcrCe2SFzjwx66Z8VUXde97DkZPicBXmd8C3zpump", "View")</f>
        <v>View</v>
      </c>
    </row>
    <row r="109" spans="1:16" x14ac:dyDescent="0.25">
      <c r="A109" s="16" t="s">
        <v>5210</v>
      </c>
      <c r="B109" s="17">
        <v>165223</v>
      </c>
      <c r="C109" s="17">
        <v>0</v>
      </c>
      <c r="D109" s="17" t="s">
        <v>4738</v>
      </c>
      <c r="E109" s="17" t="s">
        <v>4396</v>
      </c>
      <c r="F109" s="17" t="s">
        <v>96</v>
      </c>
      <c r="G109" s="18" t="s">
        <v>4739</v>
      </c>
      <c r="H109" s="18" t="s">
        <v>98</v>
      </c>
      <c r="I109" s="17" t="s">
        <v>5211</v>
      </c>
      <c r="J109" s="17">
        <v>1</v>
      </c>
      <c r="K109" s="17">
        <v>0</v>
      </c>
      <c r="L109" s="17" t="s">
        <v>5212</v>
      </c>
      <c r="M109" s="19" t="s">
        <v>101</v>
      </c>
      <c r="N109" s="17" t="s">
        <v>5213</v>
      </c>
      <c r="O109" s="17" t="s">
        <v>5214</v>
      </c>
      <c r="P109" s="17" t="str">
        <f>HYPERLINK("https://dexscreener.com/solana/3tHs2TJN5cKkLy9fFggqcAm5PxwdXvheEiidrTqopump", "View")</f>
        <v>View</v>
      </c>
    </row>
    <row r="110" spans="1:16" x14ac:dyDescent="0.25">
      <c r="A110" s="13" t="s">
        <v>3358</v>
      </c>
      <c r="B110" s="14">
        <v>242473</v>
      </c>
      <c r="C110" s="14">
        <v>242473</v>
      </c>
      <c r="D110" s="14" t="s">
        <v>4754</v>
      </c>
      <c r="E110" s="14" t="s">
        <v>4396</v>
      </c>
      <c r="F110" s="14" t="s">
        <v>3531</v>
      </c>
      <c r="G110" s="15" t="s">
        <v>4649</v>
      </c>
      <c r="H110" s="15" t="s">
        <v>5215</v>
      </c>
      <c r="I110" s="14" t="s">
        <v>88</v>
      </c>
      <c r="J110" s="14">
        <v>1</v>
      </c>
      <c r="K110" s="14">
        <v>1</v>
      </c>
      <c r="L110" s="14" t="s">
        <v>5216</v>
      </c>
      <c r="M110" s="14" t="s">
        <v>231</v>
      </c>
      <c r="N110" s="14" t="s">
        <v>5217</v>
      </c>
      <c r="O110" s="14" t="s">
        <v>3364</v>
      </c>
      <c r="P110" s="14" t="str">
        <f>HYPERLINK("https://dexscreener.com/solana/86DTwX1M7xt4HnDZNuVUXyMLTsdGKFwuLyLBpTpBpump", "View")</f>
        <v>View</v>
      </c>
    </row>
    <row r="111" spans="1:16" x14ac:dyDescent="0.25">
      <c r="A111" s="16" t="s">
        <v>5218</v>
      </c>
      <c r="B111" s="17">
        <v>396368</v>
      </c>
      <c r="C111" s="17">
        <v>396368</v>
      </c>
      <c r="D111" s="17" t="s">
        <v>4782</v>
      </c>
      <c r="E111" s="17" t="s">
        <v>4396</v>
      </c>
      <c r="F111" s="17" t="s">
        <v>5219</v>
      </c>
      <c r="G111" s="21" t="s">
        <v>5220</v>
      </c>
      <c r="H111" s="21" t="s">
        <v>5221</v>
      </c>
      <c r="I111" s="17" t="s">
        <v>88</v>
      </c>
      <c r="J111" s="17">
        <v>1</v>
      </c>
      <c r="K111" s="17">
        <v>2</v>
      </c>
      <c r="L111" s="17" t="s">
        <v>5222</v>
      </c>
      <c r="M111" s="17" t="s">
        <v>672</v>
      </c>
      <c r="N111" s="17" t="s">
        <v>5223</v>
      </c>
      <c r="O111" s="17" t="s">
        <v>5224</v>
      </c>
      <c r="P111" s="17" t="str">
        <f>HYPERLINK("https://dexscreener.com/solana/BTEjmkqmbBufmQtve8GoYYaTgVauuwgj6jh4JSEXpump", "View")</f>
        <v>View</v>
      </c>
    </row>
    <row r="112" spans="1:16" x14ac:dyDescent="0.25">
      <c r="A112" s="13" t="s">
        <v>5225</v>
      </c>
      <c r="B112" s="14">
        <v>3067315</v>
      </c>
      <c r="C112" s="14">
        <v>3067315</v>
      </c>
      <c r="D112" s="14" t="s">
        <v>4754</v>
      </c>
      <c r="E112" s="14" t="s">
        <v>4919</v>
      </c>
      <c r="F112" s="14" t="s">
        <v>5226</v>
      </c>
      <c r="G112" s="20" t="s">
        <v>3728</v>
      </c>
      <c r="H112" s="20" t="s">
        <v>5227</v>
      </c>
      <c r="I112" s="14" t="s">
        <v>88</v>
      </c>
      <c r="J112" s="14">
        <v>1</v>
      </c>
      <c r="K112" s="14">
        <v>1</v>
      </c>
      <c r="L112" s="14" t="s">
        <v>5228</v>
      </c>
      <c r="M112" s="14" t="s">
        <v>277</v>
      </c>
      <c r="N112" s="14" t="s">
        <v>2308</v>
      </c>
      <c r="O112" s="14" t="s">
        <v>5229</v>
      </c>
      <c r="P112" s="14" t="str">
        <f>HYPERLINK("https://photon-sol.tinyastro.io/en/lp/7aWg9byG12eCs7wftnQcjppAA2xAb41fkJyxTyyWpump?handle=676050794bc1b1657a56b", "View")</f>
        <v>View</v>
      </c>
    </row>
    <row r="113" spans="1:16" x14ac:dyDescent="0.25">
      <c r="A113" s="16" t="s">
        <v>5230</v>
      </c>
      <c r="B113" s="17">
        <v>1888658</v>
      </c>
      <c r="C113" s="17">
        <v>1888658</v>
      </c>
      <c r="D113" s="17" t="s">
        <v>4754</v>
      </c>
      <c r="E113" s="17" t="s">
        <v>4396</v>
      </c>
      <c r="F113" s="17" t="s">
        <v>5140</v>
      </c>
      <c r="G113" s="20" t="s">
        <v>5231</v>
      </c>
      <c r="H113" s="20" t="s">
        <v>5232</v>
      </c>
      <c r="I113" s="17" t="s">
        <v>88</v>
      </c>
      <c r="J113" s="17">
        <v>1</v>
      </c>
      <c r="K113" s="17">
        <v>1</v>
      </c>
      <c r="L113" s="17" t="s">
        <v>5233</v>
      </c>
      <c r="M113" s="17" t="s">
        <v>1448</v>
      </c>
      <c r="N113" s="17" t="s">
        <v>5234</v>
      </c>
      <c r="O113" s="17" t="s">
        <v>5235</v>
      </c>
      <c r="P113" s="17" t="str">
        <f>HYPERLINK("https://dexscreener.com/solana/EhG22KykyRwvFist258V14pDiUuW8eBcZjynz7PKpump", "View")</f>
        <v>View</v>
      </c>
    </row>
    <row r="114" spans="1:16" x14ac:dyDescent="0.25">
      <c r="A114" s="13" t="s">
        <v>5236</v>
      </c>
      <c r="B114" s="14">
        <v>225982</v>
      </c>
      <c r="C114" s="14">
        <v>0</v>
      </c>
      <c r="D114" s="14" t="s">
        <v>4738</v>
      </c>
      <c r="E114" s="14" t="s">
        <v>4396</v>
      </c>
      <c r="F114" s="14" t="s">
        <v>96</v>
      </c>
      <c r="G114" s="18" t="s">
        <v>4739</v>
      </c>
      <c r="H114" s="18" t="s">
        <v>98</v>
      </c>
      <c r="I114" s="14" t="s">
        <v>5237</v>
      </c>
      <c r="J114" s="14">
        <v>1</v>
      </c>
      <c r="K114" s="14">
        <v>0</v>
      </c>
      <c r="L114" s="14" t="s">
        <v>5238</v>
      </c>
      <c r="M114" s="19" t="s">
        <v>101</v>
      </c>
      <c r="N114" s="14" t="s">
        <v>5239</v>
      </c>
      <c r="O114" s="14" t="s">
        <v>5240</v>
      </c>
      <c r="P114" s="14" t="str">
        <f>HYPERLINK("https://dexscreener.com/solana/3yQzngtoYvfzLZg4swkf4degmY8cPpC44fV7taxspump", "View")</f>
        <v>View</v>
      </c>
    </row>
    <row r="115" spans="1:16" x14ac:dyDescent="0.25">
      <c r="A115" s="16" t="s">
        <v>5241</v>
      </c>
      <c r="B115" s="17">
        <v>505106</v>
      </c>
      <c r="C115" s="17">
        <v>505106</v>
      </c>
      <c r="D115" s="17" t="s">
        <v>5069</v>
      </c>
      <c r="E115" s="17" t="s">
        <v>4679</v>
      </c>
      <c r="F115" s="17" t="s">
        <v>5242</v>
      </c>
      <c r="G115" s="21" t="s">
        <v>3733</v>
      </c>
      <c r="H115" s="21" t="s">
        <v>5243</v>
      </c>
      <c r="I115" s="17" t="s">
        <v>88</v>
      </c>
      <c r="J115" s="17">
        <v>2</v>
      </c>
      <c r="K115" s="17">
        <v>4</v>
      </c>
      <c r="L115" s="17" t="s">
        <v>5244</v>
      </c>
      <c r="M115" s="17" t="s">
        <v>132</v>
      </c>
      <c r="N115" s="17" t="s">
        <v>5245</v>
      </c>
      <c r="O115" s="17" t="s">
        <v>5246</v>
      </c>
      <c r="P115" s="17" t="str">
        <f>HYPERLINK("https://dexscreener.com/solana/Ehxi6CznHg8VnnqTRdRkiLT7cuniYaVS3f4wK5Dhpump", "View")</f>
        <v>View</v>
      </c>
    </row>
    <row r="116" spans="1:16" x14ac:dyDescent="0.25">
      <c r="A116" s="13" t="s">
        <v>5247</v>
      </c>
      <c r="B116" s="14">
        <v>419141</v>
      </c>
      <c r="C116" s="14">
        <v>209571</v>
      </c>
      <c r="D116" s="14" t="s">
        <v>4754</v>
      </c>
      <c r="E116" s="14" t="s">
        <v>4396</v>
      </c>
      <c r="F116" s="14" t="s">
        <v>3845</v>
      </c>
      <c r="G116" s="22" t="s">
        <v>5248</v>
      </c>
      <c r="H116" s="22" t="s">
        <v>5249</v>
      </c>
      <c r="I116" s="14" t="s">
        <v>88</v>
      </c>
      <c r="J116" s="14">
        <v>1</v>
      </c>
      <c r="K116" s="14">
        <v>1</v>
      </c>
      <c r="L116" s="14" t="s">
        <v>5250</v>
      </c>
      <c r="M116" s="14" t="s">
        <v>2789</v>
      </c>
      <c r="N116" s="14" t="s">
        <v>5251</v>
      </c>
      <c r="O116" s="14" t="s">
        <v>5252</v>
      </c>
      <c r="P116" s="14" t="str">
        <f>HYPERLINK("https://dexscreener.com/solana/AJLLXE78sr7uYXM1JSFdMMJ8UdxiXutGGqsK6eZ3pump", "View")</f>
        <v>View</v>
      </c>
    </row>
    <row r="117" spans="1:16" x14ac:dyDescent="0.25">
      <c r="A117" s="16" t="s">
        <v>514</v>
      </c>
      <c r="B117" s="17">
        <v>117981</v>
      </c>
      <c r="C117" s="17">
        <v>0</v>
      </c>
      <c r="D117" s="17" t="s">
        <v>4738</v>
      </c>
      <c r="E117" s="17" t="s">
        <v>4396</v>
      </c>
      <c r="F117" s="17" t="s">
        <v>96</v>
      </c>
      <c r="G117" s="18" t="s">
        <v>4739</v>
      </c>
      <c r="H117" s="18" t="s">
        <v>98</v>
      </c>
      <c r="I117" s="17" t="s">
        <v>5253</v>
      </c>
      <c r="J117" s="17">
        <v>1</v>
      </c>
      <c r="K117" s="17">
        <v>0</v>
      </c>
      <c r="L117" s="17" t="s">
        <v>5254</v>
      </c>
      <c r="M117" s="19" t="s">
        <v>101</v>
      </c>
      <c r="N117" s="17" t="s">
        <v>5255</v>
      </c>
      <c r="O117" s="17" t="s">
        <v>518</v>
      </c>
      <c r="P117" s="17" t="str">
        <f>HYPERLINK("https://dexscreener.com/solana/DU5g5d5SXRF2VvSw7qAtQTxY7KcYrLnLDCWNUFjHpump", "View")</f>
        <v>View</v>
      </c>
    </row>
    <row r="118" spans="1:16" x14ac:dyDescent="0.25">
      <c r="A118" s="13" t="s">
        <v>5256</v>
      </c>
      <c r="B118" s="14">
        <v>97921</v>
      </c>
      <c r="C118" s="14">
        <v>97921</v>
      </c>
      <c r="D118" s="14" t="s">
        <v>4782</v>
      </c>
      <c r="E118" s="14" t="s">
        <v>4396</v>
      </c>
      <c r="F118" s="14" t="s">
        <v>2965</v>
      </c>
      <c r="G118" s="21" t="s">
        <v>5257</v>
      </c>
      <c r="H118" s="21" t="s">
        <v>5258</v>
      </c>
      <c r="I118" s="14" t="s">
        <v>88</v>
      </c>
      <c r="J118" s="14">
        <v>1</v>
      </c>
      <c r="K118" s="14">
        <v>2</v>
      </c>
      <c r="L118" s="14" t="s">
        <v>5259</v>
      </c>
      <c r="M118" s="14" t="s">
        <v>379</v>
      </c>
      <c r="N118" s="14" t="s">
        <v>5260</v>
      </c>
      <c r="O118" s="14" t="s">
        <v>5261</v>
      </c>
      <c r="P118" s="14" t="str">
        <f>HYPERLINK("https://dexscreener.com/solana/hf8aYwMK2cYv7t4uUhUAqpdwTS3sja2z9RJMQZ2pump", "View")</f>
        <v>View</v>
      </c>
    </row>
    <row r="119" spans="1:16" x14ac:dyDescent="0.25">
      <c r="A119" s="16" t="s">
        <v>3392</v>
      </c>
      <c r="B119" s="17">
        <v>236618</v>
      </c>
      <c r="C119" s="17">
        <v>0</v>
      </c>
      <c r="D119" s="17" t="s">
        <v>4738</v>
      </c>
      <c r="E119" s="17" t="s">
        <v>4396</v>
      </c>
      <c r="F119" s="17" t="s">
        <v>96</v>
      </c>
      <c r="G119" s="18" t="s">
        <v>4739</v>
      </c>
      <c r="H119" s="18" t="s">
        <v>98</v>
      </c>
      <c r="I119" s="17" t="s">
        <v>5262</v>
      </c>
      <c r="J119" s="17">
        <v>1</v>
      </c>
      <c r="K119" s="17">
        <v>0</v>
      </c>
      <c r="L119" s="17" t="s">
        <v>5263</v>
      </c>
      <c r="M119" s="19" t="s">
        <v>101</v>
      </c>
      <c r="N119" s="17" t="s">
        <v>5264</v>
      </c>
      <c r="O119" s="17" t="s">
        <v>5265</v>
      </c>
      <c r="P119" s="17" t="str">
        <f>HYPERLINK("https://dexscreener.com/solana/95obaZENTFCTKoK7ntRbtN5sfECDzcnh7m5ZJPjDpump", "View")</f>
        <v>View</v>
      </c>
    </row>
    <row r="120" spans="1:16" x14ac:dyDescent="0.25">
      <c r="A120" s="13" t="s">
        <v>5266</v>
      </c>
      <c r="B120" s="14">
        <v>202255</v>
      </c>
      <c r="C120" s="14">
        <v>0</v>
      </c>
      <c r="D120" s="14" t="s">
        <v>4738</v>
      </c>
      <c r="E120" s="14" t="s">
        <v>4396</v>
      </c>
      <c r="F120" s="14" t="s">
        <v>96</v>
      </c>
      <c r="G120" s="18" t="s">
        <v>4739</v>
      </c>
      <c r="H120" s="18" t="s">
        <v>98</v>
      </c>
      <c r="I120" s="14" t="s">
        <v>5267</v>
      </c>
      <c r="J120" s="14">
        <v>1</v>
      </c>
      <c r="K120" s="14">
        <v>0</v>
      </c>
      <c r="L120" s="14" t="s">
        <v>5268</v>
      </c>
      <c r="M120" s="19" t="s">
        <v>101</v>
      </c>
      <c r="N120" s="14" t="s">
        <v>5054</v>
      </c>
      <c r="O120" s="14" t="s">
        <v>5269</v>
      </c>
      <c r="P120" s="14" t="str">
        <f>HYPERLINK("https://dexscreener.com/solana/9KK8oX8UZdkdqiuDncVBuBvQYEr314NEhEHzcaKNpump", "View")</f>
        <v>View</v>
      </c>
    </row>
    <row r="121" spans="1:16" x14ac:dyDescent="0.25">
      <c r="A121" s="16" t="s">
        <v>5270</v>
      </c>
      <c r="B121" s="17">
        <v>185786</v>
      </c>
      <c r="C121" s="17">
        <v>0</v>
      </c>
      <c r="D121" s="17" t="s">
        <v>4738</v>
      </c>
      <c r="E121" s="17" t="s">
        <v>4396</v>
      </c>
      <c r="F121" s="17" t="s">
        <v>96</v>
      </c>
      <c r="G121" s="18" t="s">
        <v>4739</v>
      </c>
      <c r="H121" s="18" t="s">
        <v>98</v>
      </c>
      <c r="I121" s="17" t="s">
        <v>5271</v>
      </c>
      <c r="J121" s="17">
        <v>1</v>
      </c>
      <c r="K121" s="17">
        <v>0</v>
      </c>
      <c r="L121" s="17" t="s">
        <v>5272</v>
      </c>
      <c r="M121" s="19" t="s">
        <v>101</v>
      </c>
      <c r="N121" s="17" t="s">
        <v>5273</v>
      </c>
      <c r="O121" s="17" t="s">
        <v>5274</v>
      </c>
      <c r="P121" s="17" t="str">
        <f>HYPERLINK("https://dexscreener.com/solana/CAbxMU9xP68JSnFW6JvRY6uHiQGMhhBNYuPVbbxspump", "View")</f>
        <v>View</v>
      </c>
    </row>
    <row r="122" spans="1:16" x14ac:dyDescent="0.25">
      <c r="A122" s="13" t="s">
        <v>5275</v>
      </c>
      <c r="B122" s="14">
        <v>330583</v>
      </c>
      <c r="C122" s="14">
        <v>0</v>
      </c>
      <c r="D122" s="14" t="s">
        <v>4738</v>
      </c>
      <c r="E122" s="14" t="s">
        <v>4396</v>
      </c>
      <c r="F122" s="14" t="s">
        <v>96</v>
      </c>
      <c r="G122" s="18" t="s">
        <v>4739</v>
      </c>
      <c r="H122" s="18" t="s">
        <v>98</v>
      </c>
      <c r="I122" s="14" t="s">
        <v>5276</v>
      </c>
      <c r="J122" s="14">
        <v>1</v>
      </c>
      <c r="K122" s="14">
        <v>0</v>
      </c>
      <c r="L122" s="14" t="s">
        <v>5277</v>
      </c>
      <c r="M122" s="19" t="s">
        <v>101</v>
      </c>
      <c r="N122" s="14" t="s">
        <v>5278</v>
      </c>
      <c r="O122" s="14" t="s">
        <v>5279</v>
      </c>
      <c r="P122" s="14" t="str">
        <f>HYPERLINK("https://dexscreener.com/solana/8T9Km5VFPXPjCYp1A28UuUpZsKEHKJ4D2UraTbwXpump", "View")</f>
        <v>View</v>
      </c>
    </row>
    <row r="123" spans="1:16" x14ac:dyDescent="0.25">
      <c r="A123" s="16" t="s">
        <v>5280</v>
      </c>
      <c r="B123" s="17">
        <v>395347</v>
      </c>
      <c r="C123" s="17">
        <v>0</v>
      </c>
      <c r="D123" s="17" t="s">
        <v>4738</v>
      </c>
      <c r="E123" s="17" t="s">
        <v>5204</v>
      </c>
      <c r="F123" s="17" t="s">
        <v>96</v>
      </c>
      <c r="G123" s="18" t="s">
        <v>4081</v>
      </c>
      <c r="H123" s="18" t="s">
        <v>98</v>
      </c>
      <c r="I123" s="17" t="s">
        <v>5281</v>
      </c>
      <c r="J123" s="17">
        <v>1</v>
      </c>
      <c r="K123" s="17">
        <v>0</v>
      </c>
      <c r="L123" s="17" t="s">
        <v>5282</v>
      </c>
      <c r="M123" s="19" t="s">
        <v>101</v>
      </c>
      <c r="N123" s="17" t="s">
        <v>5283</v>
      </c>
      <c r="O123" s="17" t="s">
        <v>5284</v>
      </c>
      <c r="P123" s="17" t="str">
        <f>HYPERLINK("https://photon-sol.tinyastro.io/en/lp/526EzgCsXB2L2Fu5ruyk8A2PDC89o3cTdeL7LFmpump?handle=676050794bc1b1657a56b", "View")</f>
        <v>View</v>
      </c>
    </row>
    <row r="124" spans="1:16" x14ac:dyDescent="0.25">
      <c r="A124" s="13" t="s">
        <v>5285</v>
      </c>
      <c r="B124" s="14">
        <v>338916</v>
      </c>
      <c r="C124" s="14">
        <v>0</v>
      </c>
      <c r="D124" s="14" t="s">
        <v>4738</v>
      </c>
      <c r="E124" s="14" t="s">
        <v>4660</v>
      </c>
      <c r="F124" s="14" t="s">
        <v>96</v>
      </c>
      <c r="G124" s="18" t="s">
        <v>3793</v>
      </c>
      <c r="H124" s="18" t="s">
        <v>98</v>
      </c>
      <c r="I124" s="14" t="s">
        <v>5286</v>
      </c>
      <c r="J124" s="14">
        <v>1</v>
      </c>
      <c r="K124" s="14">
        <v>0</v>
      </c>
      <c r="L124" s="14" t="s">
        <v>5287</v>
      </c>
      <c r="M124" s="19" t="s">
        <v>101</v>
      </c>
      <c r="N124" s="14" t="s">
        <v>4974</v>
      </c>
      <c r="O124" s="14" t="s">
        <v>5288</v>
      </c>
      <c r="P124" s="14" t="str">
        <f>HYPERLINK("https://photon-sol.tinyastro.io/en/lp/2eifyf1ogN7QbUT2j7MEujtbQr3CstiiRZvnc4vrKXGs?handle=676050794bc1b1657a56b", "View")</f>
        <v>View</v>
      </c>
    </row>
    <row r="125" spans="1:16" x14ac:dyDescent="0.25">
      <c r="A125" s="16" t="s">
        <v>5289</v>
      </c>
      <c r="B125" s="17">
        <v>298767</v>
      </c>
      <c r="C125" s="17">
        <v>0</v>
      </c>
      <c r="D125" s="17" t="s">
        <v>4738</v>
      </c>
      <c r="E125" s="17" t="s">
        <v>4396</v>
      </c>
      <c r="F125" s="17" t="s">
        <v>96</v>
      </c>
      <c r="G125" s="18" t="s">
        <v>4739</v>
      </c>
      <c r="H125" s="18" t="s">
        <v>98</v>
      </c>
      <c r="I125" s="17" t="s">
        <v>5290</v>
      </c>
      <c r="J125" s="17">
        <v>1</v>
      </c>
      <c r="K125" s="17">
        <v>0</v>
      </c>
      <c r="L125" s="17" t="s">
        <v>5291</v>
      </c>
      <c r="M125" s="19" t="s">
        <v>101</v>
      </c>
      <c r="N125" s="17" t="s">
        <v>1055</v>
      </c>
      <c r="O125" s="17" t="s">
        <v>5292</v>
      </c>
      <c r="P125" s="17" t="str">
        <f>HYPERLINK("https://dexscreener.com/solana/EVJ4pJufCyfC5SLTGry6kRN9TzRxmWq2s955Hzpzpump", "View")</f>
        <v>View</v>
      </c>
    </row>
    <row r="126" spans="1:16" x14ac:dyDescent="0.25">
      <c r="A126" s="13" t="s">
        <v>5293</v>
      </c>
      <c r="B126" s="14">
        <v>36510</v>
      </c>
      <c r="C126" s="14">
        <v>0</v>
      </c>
      <c r="D126" s="14" t="s">
        <v>4738</v>
      </c>
      <c r="E126" s="14" t="s">
        <v>4396</v>
      </c>
      <c r="F126" s="14" t="s">
        <v>96</v>
      </c>
      <c r="G126" s="18" t="s">
        <v>4739</v>
      </c>
      <c r="H126" s="18" t="s">
        <v>98</v>
      </c>
      <c r="I126" s="14" t="s">
        <v>5294</v>
      </c>
      <c r="J126" s="14">
        <v>1</v>
      </c>
      <c r="K126" s="14">
        <v>0</v>
      </c>
      <c r="L126" s="14" t="s">
        <v>5295</v>
      </c>
      <c r="M126" s="19" t="s">
        <v>101</v>
      </c>
      <c r="N126" s="14" t="s">
        <v>5296</v>
      </c>
      <c r="O126" s="14" t="s">
        <v>5297</v>
      </c>
      <c r="P126" s="14" t="str">
        <f>HYPERLINK("https://dexscreener.com/solana/8afnLWPRCjvNfPPT8jP3R9DMiwE89pizGVtRw36Apump", "View")</f>
        <v>View</v>
      </c>
    </row>
    <row r="127" spans="1:16" x14ac:dyDescent="0.25">
      <c r="A127" s="16" t="s">
        <v>5298</v>
      </c>
      <c r="B127" s="17">
        <v>1537182</v>
      </c>
      <c r="C127" s="17">
        <v>0</v>
      </c>
      <c r="D127" s="17" t="s">
        <v>4738</v>
      </c>
      <c r="E127" s="17" t="s">
        <v>4919</v>
      </c>
      <c r="F127" s="17" t="s">
        <v>96</v>
      </c>
      <c r="G127" s="18" t="s">
        <v>5299</v>
      </c>
      <c r="H127" s="18" t="s">
        <v>98</v>
      </c>
      <c r="I127" s="17" t="s">
        <v>5300</v>
      </c>
      <c r="J127" s="17">
        <v>1</v>
      </c>
      <c r="K127" s="17">
        <v>0</v>
      </c>
      <c r="L127" s="17" t="s">
        <v>5301</v>
      </c>
      <c r="M127" s="19" t="s">
        <v>101</v>
      </c>
      <c r="N127" s="17" t="s">
        <v>5302</v>
      </c>
      <c r="O127" s="17" t="s">
        <v>5303</v>
      </c>
      <c r="P127" s="17" t="str">
        <f>HYPERLINK("https://photon-sol.tinyastro.io/en/lp/AfwwNNsrDKMxujntsvaKG6XoWpz5gqiE2YXXM4Gpump?handle=676050794bc1b1657a56b", "View")</f>
        <v>View</v>
      </c>
    </row>
    <row r="128" spans="1:16" x14ac:dyDescent="0.25">
      <c r="A128" s="13" t="s">
        <v>5304</v>
      </c>
      <c r="B128" s="14">
        <v>197701</v>
      </c>
      <c r="C128" s="14">
        <v>98850</v>
      </c>
      <c r="D128" s="14" t="s">
        <v>4754</v>
      </c>
      <c r="E128" s="14" t="s">
        <v>4396</v>
      </c>
      <c r="F128" s="14" t="s">
        <v>3759</v>
      </c>
      <c r="G128" s="20" t="s">
        <v>5305</v>
      </c>
      <c r="H128" s="20" t="s">
        <v>5306</v>
      </c>
      <c r="I128" s="14" t="s">
        <v>88</v>
      </c>
      <c r="J128" s="14">
        <v>1</v>
      </c>
      <c r="K128" s="14">
        <v>1</v>
      </c>
      <c r="L128" s="14" t="s">
        <v>5307</v>
      </c>
      <c r="M128" s="14" t="s">
        <v>980</v>
      </c>
      <c r="N128" s="14" t="s">
        <v>5308</v>
      </c>
      <c r="O128" s="14" t="s">
        <v>5309</v>
      </c>
      <c r="P128" s="14" t="str">
        <f>HYPERLINK("https://dexscreener.com/solana/95uzY9RSBZHwexTcLXrf9DZNao2JUVxakWWhpUxGpump", "View")</f>
        <v>View</v>
      </c>
    </row>
    <row r="129" spans="1:16" x14ac:dyDescent="0.25">
      <c r="A129" s="16" t="s">
        <v>5310</v>
      </c>
      <c r="B129" s="17">
        <v>2214265</v>
      </c>
      <c r="C129" s="17">
        <v>2214265</v>
      </c>
      <c r="D129" s="17" t="s">
        <v>4782</v>
      </c>
      <c r="E129" s="17" t="s">
        <v>4665</v>
      </c>
      <c r="F129" s="17" t="s">
        <v>5311</v>
      </c>
      <c r="G129" s="15" t="s">
        <v>2974</v>
      </c>
      <c r="H129" s="15" t="s">
        <v>5312</v>
      </c>
      <c r="I129" s="17" t="s">
        <v>88</v>
      </c>
      <c r="J129" s="17">
        <v>2</v>
      </c>
      <c r="K129" s="17">
        <v>1</v>
      </c>
      <c r="L129" s="17" t="s">
        <v>5313</v>
      </c>
      <c r="M129" s="17" t="s">
        <v>231</v>
      </c>
      <c r="N129" s="17" t="s">
        <v>955</v>
      </c>
      <c r="O129" s="17" t="s">
        <v>5314</v>
      </c>
      <c r="P129" s="17" t="str">
        <f>HYPERLINK("https://dexscreener.com/solana/4Cr1JQHduEPaVN9qE9PiErfNaqwZjLyg3QmegBLGpump", "View")</f>
        <v>View</v>
      </c>
    </row>
    <row r="130" spans="1:16" x14ac:dyDescent="0.25">
      <c r="A130" s="13" t="s">
        <v>5315</v>
      </c>
      <c r="B130" s="14">
        <v>438214</v>
      </c>
      <c r="C130" s="14">
        <v>0</v>
      </c>
      <c r="D130" s="14" t="s">
        <v>4738</v>
      </c>
      <c r="E130" s="14" t="s">
        <v>4919</v>
      </c>
      <c r="F130" s="14" t="s">
        <v>96</v>
      </c>
      <c r="G130" s="18" t="s">
        <v>5299</v>
      </c>
      <c r="H130" s="18" t="s">
        <v>98</v>
      </c>
      <c r="I130" s="14" t="s">
        <v>5316</v>
      </c>
      <c r="J130" s="14">
        <v>1</v>
      </c>
      <c r="K130" s="14">
        <v>0</v>
      </c>
      <c r="L130" s="14" t="s">
        <v>5317</v>
      </c>
      <c r="M130" s="19" t="s">
        <v>101</v>
      </c>
      <c r="N130" s="14" t="s">
        <v>5318</v>
      </c>
      <c r="O130" s="14" t="s">
        <v>5319</v>
      </c>
      <c r="P130" s="14" t="str">
        <f>HYPERLINK("https://photon-sol.tinyastro.io/en/lp/HE99z2j6EDKzMnscbxbYdipiWQyRDkx8kyDcpWKSUWSm?handle=676050794bc1b1657a56b", "View")</f>
        <v>View</v>
      </c>
    </row>
    <row r="131" spans="1:16" x14ac:dyDescent="0.25">
      <c r="A131" s="16" t="s">
        <v>3349</v>
      </c>
      <c r="B131" s="17">
        <v>95454</v>
      </c>
      <c r="C131" s="17">
        <v>0</v>
      </c>
      <c r="D131" s="17" t="s">
        <v>4738</v>
      </c>
      <c r="E131" s="17" t="s">
        <v>4396</v>
      </c>
      <c r="F131" s="17" t="s">
        <v>96</v>
      </c>
      <c r="G131" s="18" t="s">
        <v>4739</v>
      </c>
      <c r="H131" s="18" t="s">
        <v>98</v>
      </c>
      <c r="I131" s="17" t="s">
        <v>5320</v>
      </c>
      <c r="J131" s="17">
        <v>1</v>
      </c>
      <c r="K131" s="17">
        <v>0</v>
      </c>
      <c r="L131" s="17" t="s">
        <v>5321</v>
      </c>
      <c r="M131" s="19" t="s">
        <v>101</v>
      </c>
      <c r="N131" s="17" t="s">
        <v>5322</v>
      </c>
      <c r="O131" s="17" t="s">
        <v>3357</v>
      </c>
      <c r="P131" s="17" t="str">
        <f>HYPERLINK("https://dexscreener.com/solana/9JLsnxCqZju5ymLhMkTW6acnUxgrARqz5NAR7Acdpump", "View")</f>
        <v>View</v>
      </c>
    </row>
    <row r="132" spans="1:16" x14ac:dyDescent="0.25">
      <c r="A132" s="13" t="s">
        <v>5323</v>
      </c>
      <c r="B132" s="14">
        <v>113278</v>
      </c>
      <c r="C132" s="14">
        <v>0</v>
      </c>
      <c r="D132" s="14" t="s">
        <v>4738</v>
      </c>
      <c r="E132" s="14" t="s">
        <v>4396</v>
      </c>
      <c r="F132" s="14" t="s">
        <v>96</v>
      </c>
      <c r="G132" s="18" t="s">
        <v>4739</v>
      </c>
      <c r="H132" s="18" t="s">
        <v>98</v>
      </c>
      <c r="I132" s="14" t="s">
        <v>5324</v>
      </c>
      <c r="J132" s="14">
        <v>1</v>
      </c>
      <c r="K132" s="14">
        <v>0</v>
      </c>
      <c r="L132" s="14" t="s">
        <v>5325</v>
      </c>
      <c r="M132" s="19" t="s">
        <v>101</v>
      </c>
      <c r="N132" s="14" t="s">
        <v>5326</v>
      </c>
      <c r="O132" s="14" t="s">
        <v>5327</v>
      </c>
      <c r="P132" s="14" t="str">
        <f>HYPERLINK("https://dexscreener.com/solana/3kq81R8jQ2njDUB5sX46WPDmamgJbNUfZf2h1DsYpump", "View")</f>
        <v>View</v>
      </c>
    </row>
    <row r="133" spans="1:16" x14ac:dyDescent="0.25">
      <c r="A133" s="16" t="s">
        <v>3373</v>
      </c>
      <c r="B133" s="17">
        <v>139942</v>
      </c>
      <c r="C133" s="17">
        <v>0</v>
      </c>
      <c r="D133" s="17" t="s">
        <v>4738</v>
      </c>
      <c r="E133" s="17" t="s">
        <v>4396</v>
      </c>
      <c r="F133" s="17" t="s">
        <v>96</v>
      </c>
      <c r="G133" s="18" t="s">
        <v>4739</v>
      </c>
      <c r="H133" s="18" t="s">
        <v>98</v>
      </c>
      <c r="I133" s="17" t="s">
        <v>5328</v>
      </c>
      <c r="J133" s="17">
        <v>1</v>
      </c>
      <c r="K133" s="17">
        <v>0</v>
      </c>
      <c r="L133" s="17" t="s">
        <v>5329</v>
      </c>
      <c r="M133" s="19" t="s">
        <v>101</v>
      </c>
      <c r="N133" s="17" t="s">
        <v>5330</v>
      </c>
      <c r="O133" s="17" t="s">
        <v>3378</v>
      </c>
      <c r="P133" s="17" t="str">
        <f>HYPERLINK("https://dexscreener.com/solana/BpqXJMguKsS8azKaVy4tZ4Ysm2e2f2zygZKHx8VKGKBA", "View")</f>
        <v>View</v>
      </c>
    </row>
    <row r="134" spans="1:16" x14ac:dyDescent="0.25">
      <c r="A134" s="13" t="s">
        <v>5331</v>
      </c>
      <c r="B134" s="14">
        <v>190131</v>
      </c>
      <c r="C134" s="14">
        <v>0</v>
      </c>
      <c r="D134" s="14" t="s">
        <v>4738</v>
      </c>
      <c r="E134" s="14" t="s">
        <v>4396</v>
      </c>
      <c r="F134" s="14" t="s">
        <v>96</v>
      </c>
      <c r="G134" s="18" t="s">
        <v>4739</v>
      </c>
      <c r="H134" s="18" t="s">
        <v>98</v>
      </c>
      <c r="I134" s="14" t="s">
        <v>5332</v>
      </c>
      <c r="J134" s="14">
        <v>1</v>
      </c>
      <c r="K134" s="14">
        <v>0</v>
      </c>
      <c r="L134" s="14" t="s">
        <v>5333</v>
      </c>
      <c r="M134" s="19" t="s">
        <v>101</v>
      </c>
      <c r="N134" s="14" t="s">
        <v>5334</v>
      </c>
      <c r="O134" s="14" t="s">
        <v>5335</v>
      </c>
      <c r="P134" s="14" t="str">
        <f>HYPERLINK("https://dexscreener.com/solana/FaK5G1HPUDxs5guJoQnfDa64R3EMwTJ6qAByoymbpump", "View")</f>
        <v>View</v>
      </c>
    </row>
    <row r="135" spans="1:16" x14ac:dyDescent="0.25">
      <c r="A135" s="16" t="s">
        <v>5336</v>
      </c>
      <c r="B135" s="17">
        <v>236726</v>
      </c>
      <c r="C135" s="17">
        <v>0</v>
      </c>
      <c r="D135" s="17" t="s">
        <v>4738</v>
      </c>
      <c r="E135" s="17" t="s">
        <v>4396</v>
      </c>
      <c r="F135" s="17" t="s">
        <v>96</v>
      </c>
      <c r="G135" s="18" t="s">
        <v>4739</v>
      </c>
      <c r="H135" s="18" t="s">
        <v>98</v>
      </c>
      <c r="I135" s="17" t="s">
        <v>5337</v>
      </c>
      <c r="J135" s="17">
        <v>1</v>
      </c>
      <c r="K135" s="17">
        <v>0</v>
      </c>
      <c r="L135" s="17" t="s">
        <v>5338</v>
      </c>
      <c r="M135" s="19" t="s">
        <v>101</v>
      </c>
      <c r="N135" s="17" t="s">
        <v>5264</v>
      </c>
      <c r="O135" s="17" t="s">
        <v>5339</v>
      </c>
      <c r="P135" s="17" t="str">
        <f>HYPERLINK("https://dexscreener.com/solana/4XudNQkZ6TkE6qwT1z9pZUfUCMw9xPrZZVDWmfntpump", "View")</f>
        <v>View</v>
      </c>
    </row>
    <row r="136" spans="1:16" x14ac:dyDescent="0.25">
      <c r="A136" s="13" t="s">
        <v>5340</v>
      </c>
      <c r="B136" s="14">
        <v>171088</v>
      </c>
      <c r="C136" s="14">
        <v>0</v>
      </c>
      <c r="D136" s="14" t="s">
        <v>4738</v>
      </c>
      <c r="E136" s="14" t="s">
        <v>4396</v>
      </c>
      <c r="F136" s="14" t="s">
        <v>96</v>
      </c>
      <c r="G136" s="18" t="s">
        <v>4739</v>
      </c>
      <c r="H136" s="18" t="s">
        <v>98</v>
      </c>
      <c r="I136" s="14" t="s">
        <v>5341</v>
      </c>
      <c r="J136" s="14">
        <v>1</v>
      </c>
      <c r="K136" s="14">
        <v>0</v>
      </c>
      <c r="L136" s="14" t="s">
        <v>5342</v>
      </c>
      <c r="M136" s="19" t="s">
        <v>101</v>
      </c>
      <c r="N136" s="14" t="s">
        <v>4911</v>
      </c>
      <c r="O136" s="14" t="s">
        <v>5343</v>
      </c>
      <c r="P136" s="14" t="str">
        <f>HYPERLINK("https://dexscreener.com/solana/2ZmaFdN4ZiHCE2S7MrxmftJpCWK3qKL3FQyPjXcWpump", "View")</f>
        <v>View</v>
      </c>
    </row>
    <row r="137" spans="1:16" x14ac:dyDescent="0.25">
      <c r="A137" s="16" t="s">
        <v>5344</v>
      </c>
      <c r="B137" s="17">
        <v>478565</v>
      </c>
      <c r="C137" s="17">
        <v>239283</v>
      </c>
      <c r="D137" s="17" t="s">
        <v>4754</v>
      </c>
      <c r="E137" s="17" t="s">
        <v>5345</v>
      </c>
      <c r="F137" s="17" t="s">
        <v>5346</v>
      </c>
      <c r="G137" s="15" t="s">
        <v>5347</v>
      </c>
      <c r="H137" s="15" t="s">
        <v>5348</v>
      </c>
      <c r="I137" s="17" t="s">
        <v>88</v>
      </c>
      <c r="J137" s="17">
        <v>1</v>
      </c>
      <c r="K137" s="17">
        <v>1</v>
      </c>
      <c r="L137" s="17" t="s">
        <v>5349</v>
      </c>
      <c r="M137" s="17" t="s">
        <v>1434</v>
      </c>
      <c r="N137" s="17" t="s">
        <v>5350</v>
      </c>
      <c r="O137" s="17" t="s">
        <v>5351</v>
      </c>
      <c r="P137" s="17" t="str">
        <f>HYPERLINK("https://dexscreener.com/solana/6BbsRCdCSN5ta2MaFmfuzsbu7FKrNHTvT656Bntzpump", "View")</f>
        <v>View</v>
      </c>
    </row>
    <row r="138" spans="1:16" x14ac:dyDescent="0.25">
      <c r="A138" s="13" t="s">
        <v>5352</v>
      </c>
      <c r="B138" s="14">
        <v>328745</v>
      </c>
      <c r="C138" s="14">
        <v>328745</v>
      </c>
      <c r="D138" s="14" t="s">
        <v>4782</v>
      </c>
      <c r="E138" s="14" t="s">
        <v>5345</v>
      </c>
      <c r="F138" s="14" t="s">
        <v>5353</v>
      </c>
      <c r="G138" s="21" t="s">
        <v>2652</v>
      </c>
      <c r="H138" s="21" t="s">
        <v>5354</v>
      </c>
      <c r="I138" s="14" t="s">
        <v>88</v>
      </c>
      <c r="J138" s="14">
        <v>1</v>
      </c>
      <c r="K138" s="14">
        <v>2</v>
      </c>
      <c r="L138" s="14" t="s">
        <v>5355</v>
      </c>
      <c r="M138" s="14" t="s">
        <v>179</v>
      </c>
      <c r="N138" s="14" t="s">
        <v>5356</v>
      </c>
      <c r="O138" s="14" t="s">
        <v>5357</v>
      </c>
      <c r="P138" s="14" t="str">
        <f>HYPERLINK("https://dexscreener.com/solana/De46TR1cNTF5D4GxVHMQkTnmZ6oUXHyXkxqWvUdwpump", "View")</f>
        <v>View</v>
      </c>
    </row>
    <row r="139" spans="1:16" x14ac:dyDescent="0.25">
      <c r="A139" s="16" t="s">
        <v>624</v>
      </c>
      <c r="B139" s="17">
        <v>109918</v>
      </c>
      <c r="C139" s="17">
        <v>109918</v>
      </c>
      <c r="D139" s="17" t="s">
        <v>4805</v>
      </c>
      <c r="E139" s="17" t="s">
        <v>4665</v>
      </c>
      <c r="F139" s="17" t="s">
        <v>5358</v>
      </c>
      <c r="G139" s="22" t="s">
        <v>5359</v>
      </c>
      <c r="H139" s="22" t="s">
        <v>5360</v>
      </c>
      <c r="I139" s="17" t="s">
        <v>88</v>
      </c>
      <c r="J139" s="17">
        <v>1</v>
      </c>
      <c r="K139" s="17">
        <v>3</v>
      </c>
      <c r="L139" s="17" t="s">
        <v>5361</v>
      </c>
      <c r="M139" s="17" t="s">
        <v>179</v>
      </c>
      <c r="N139" s="17" t="s">
        <v>5362</v>
      </c>
      <c r="O139" s="17" t="s">
        <v>630</v>
      </c>
      <c r="P139" s="17" t="str">
        <f>HYPERLINK("https://dexscreener.com/solana/BJowxCMNHdXzchdKJaVWHUrQAZekpWMqUUgMMHqopump", "View")</f>
        <v>View</v>
      </c>
    </row>
    <row r="140" spans="1:16" x14ac:dyDescent="0.25">
      <c r="A140" s="13" t="s">
        <v>5363</v>
      </c>
      <c r="B140" s="14">
        <v>280481</v>
      </c>
      <c r="C140" s="14">
        <v>140241</v>
      </c>
      <c r="D140" s="14" t="s">
        <v>4754</v>
      </c>
      <c r="E140" s="14" t="s">
        <v>4396</v>
      </c>
      <c r="F140" s="14" t="s">
        <v>2531</v>
      </c>
      <c r="G140" s="20" t="s">
        <v>5364</v>
      </c>
      <c r="H140" s="20" t="s">
        <v>5365</v>
      </c>
      <c r="I140" s="14" t="s">
        <v>88</v>
      </c>
      <c r="J140" s="14">
        <v>1</v>
      </c>
      <c r="K140" s="14">
        <v>1</v>
      </c>
      <c r="L140" s="14" t="s">
        <v>5366</v>
      </c>
      <c r="M140" s="14" t="s">
        <v>1705</v>
      </c>
      <c r="N140" s="14" t="s">
        <v>5367</v>
      </c>
      <c r="O140" s="14" t="s">
        <v>5368</v>
      </c>
      <c r="P140" s="14" t="str">
        <f>HYPERLINK("https://dexscreener.com/solana/BhPngtgrDBdpmZrjfKBtcmQSP4RBmhzA1pAyUe3Kpump", "View")</f>
        <v>View</v>
      </c>
    </row>
    <row r="141" spans="1:16" x14ac:dyDescent="0.25">
      <c r="A141" s="16" t="s">
        <v>5369</v>
      </c>
      <c r="B141" s="17">
        <v>465384</v>
      </c>
      <c r="C141" s="17">
        <v>0</v>
      </c>
      <c r="D141" s="17" t="s">
        <v>4738</v>
      </c>
      <c r="E141" s="17" t="s">
        <v>5345</v>
      </c>
      <c r="F141" s="17" t="s">
        <v>96</v>
      </c>
      <c r="G141" s="18" t="s">
        <v>5370</v>
      </c>
      <c r="H141" s="18" t="s">
        <v>98</v>
      </c>
      <c r="I141" s="17" t="s">
        <v>5371</v>
      </c>
      <c r="J141" s="17">
        <v>1</v>
      </c>
      <c r="K141" s="17">
        <v>0</v>
      </c>
      <c r="L141" s="17" t="s">
        <v>5372</v>
      </c>
      <c r="M141" s="19" t="s">
        <v>101</v>
      </c>
      <c r="N141" s="17" t="s">
        <v>5373</v>
      </c>
      <c r="O141" s="17" t="s">
        <v>5374</v>
      </c>
      <c r="P141" s="17" t="str">
        <f>HYPERLINK("https://dexscreener.com/solana/APiR8o9A1884CLLRAqoj6q1JEHyd415upTkL7HH8pump", "View")</f>
        <v>View</v>
      </c>
    </row>
    <row r="142" spans="1:16" x14ac:dyDescent="0.25">
      <c r="A142" s="13" t="s">
        <v>5375</v>
      </c>
      <c r="B142" s="14">
        <v>642448</v>
      </c>
      <c r="C142" s="14">
        <v>0</v>
      </c>
      <c r="D142" s="14" t="s">
        <v>4738</v>
      </c>
      <c r="E142" s="14" t="s">
        <v>4396</v>
      </c>
      <c r="F142" s="14" t="s">
        <v>96</v>
      </c>
      <c r="G142" s="18" t="s">
        <v>4739</v>
      </c>
      <c r="H142" s="18" t="s">
        <v>98</v>
      </c>
      <c r="I142" s="14" t="s">
        <v>5376</v>
      </c>
      <c r="J142" s="14">
        <v>1</v>
      </c>
      <c r="K142" s="14">
        <v>0</v>
      </c>
      <c r="L142" s="14" t="s">
        <v>5377</v>
      </c>
      <c r="M142" s="19" t="s">
        <v>101</v>
      </c>
      <c r="N142" s="14" t="s">
        <v>4970</v>
      </c>
      <c r="O142" s="14" t="s">
        <v>5378</v>
      </c>
      <c r="P142" s="14" t="str">
        <f>HYPERLINK("https://dexscreener.com/solana/4ZkPRpZESieCSmBonquEQyK4L4f3PMhsjgu6yGTTpump", "View")</f>
        <v>View</v>
      </c>
    </row>
    <row r="143" spans="1:16" x14ac:dyDescent="0.25">
      <c r="A143" s="16" t="s">
        <v>5379</v>
      </c>
      <c r="B143" s="17">
        <v>621495</v>
      </c>
      <c r="C143" s="17">
        <v>621495</v>
      </c>
      <c r="D143" s="17" t="s">
        <v>4782</v>
      </c>
      <c r="E143" s="17" t="s">
        <v>4396</v>
      </c>
      <c r="F143" s="17" t="s">
        <v>3951</v>
      </c>
      <c r="G143" s="21" t="s">
        <v>5380</v>
      </c>
      <c r="H143" s="21" t="s">
        <v>5381</v>
      </c>
      <c r="I143" s="17" t="s">
        <v>88</v>
      </c>
      <c r="J143" s="17">
        <v>1</v>
      </c>
      <c r="K143" s="17">
        <v>2</v>
      </c>
      <c r="L143" s="17" t="s">
        <v>5382</v>
      </c>
      <c r="M143" s="17" t="s">
        <v>132</v>
      </c>
      <c r="N143" s="17" t="s">
        <v>4970</v>
      </c>
      <c r="O143" s="17" t="s">
        <v>5383</v>
      </c>
      <c r="P143" s="17" t="str">
        <f>HYPERLINK("https://dexscreener.com/solana/14LtyH1iZc9SkXJEvCSyzqb9iRHrSo3bBj8tu7m8pump", "View")</f>
        <v>View</v>
      </c>
    </row>
    <row r="144" spans="1:16" x14ac:dyDescent="0.25">
      <c r="A144" s="13" t="s">
        <v>5384</v>
      </c>
      <c r="B144" s="14">
        <v>13579</v>
      </c>
      <c r="C144" s="14">
        <v>6789</v>
      </c>
      <c r="D144" s="14" t="s">
        <v>4754</v>
      </c>
      <c r="E144" s="14" t="s">
        <v>4396</v>
      </c>
      <c r="F144" s="14" t="s">
        <v>3845</v>
      </c>
      <c r="G144" s="22" t="s">
        <v>5248</v>
      </c>
      <c r="H144" s="22" t="s">
        <v>5385</v>
      </c>
      <c r="I144" s="14" t="s">
        <v>88</v>
      </c>
      <c r="J144" s="14">
        <v>1</v>
      </c>
      <c r="K144" s="14">
        <v>1</v>
      </c>
      <c r="L144" s="14" t="s">
        <v>5386</v>
      </c>
      <c r="M144" s="14" t="s">
        <v>1566</v>
      </c>
      <c r="N144" s="14" t="s">
        <v>5387</v>
      </c>
      <c r="O144" s="14" t="s">
        <v>5388</v>
      </c>
      <c r="P144" s="14" t="str">
        <f>HYPERLINK("https://dexscreener.com/solana/BjkLiXHxastxjBQiJn9cmJFQqNBM8HdRcYPPrUSMpump", "View")</f>
        <v>View</v>
      </c>
    </row>
    <row r="145" spans="1:16" x14ac:dyDescent="0.25">
      <c r="A145" s="16" t="s">
        <v>5389</v>
      </c>
      <c r="B145" s="17">
        <v>385854</v>
      </c>
      <c r="C145" s="17">
        <v>0</v>
      </c>
      <c r="D145" s="17" t="s">
        <v>4738</v>
      </c>
      <c r="E145" s="17" t="s">
        <v>4396</v>
      </c>
      <c r="F145" s="17" t="s">
        <v>96</v>
      </c>
      <c r="G145" s="18" t="s">
        <v>4739</v>
      </c>
      <c r="H145" s="18" t="s">
        <v>98</v>
      </c>
      <c r="I145" s="17" t="s">
        <v>5390</v>
      </c>
      <c r="J145" s="17">
        <v>1</v>
      </c>
      <c r="K145" s="17">
        <v>0</v>
      </c>
      <c r="L145" s="17" t="s">
        <v>5391</v>
      </c>
      <c r="M145" s="19" t="s">
        <v>101</v>
      </c>
      <c r="N145" s="17" t="s">
        <v>5392</v>
      </c>
      <c r="O145" s="17" t="s">
        <v>5393</v>
      </c>
      <c r="P145" s="17" t="str">
        <f>HYPERLINK("https://dexscreener.com/solana/8bwRUtqWF56c75rjqBt95V3zHELpF5E9THk1YCNKpump", "View")</f>
        <v>View</v>
      </c>
    </row>
    <row r="146" spans="1:16" x14ac:dyDescent="0.25">
      <c r="A146" s="13" t="s">
        <v>5394</v>
      </c>
      <c r="B146" s="14">
        <v>171244</v>
      </c>
      <c r="C146" s="14">
        <v>0</v>
      </c>
      <c r="D146" s="14" t="s">
        <v>4738</v>
      </c>
      <c r="E146" s="14" t="s">
        <v>4396</v>
      </c>
      <c r="F146" s="14" t="s">
        <v>96</v>
      </c>
      <c r="G146" s="18" t="s">
        <v>4739</v>
      </c>
      <c r="H146" s="18" t="s">
        <v>98</v>
      </c>
      <c r="I146" s="14" t="s">
        <v>5395</v>
      </c>
      <c r="J146" s="14">
        <v>1</v>
      </c>
      <c r="K146" s="14">
        <v>0</v>
      </c>
      <c r="L146" s="14" t="s">
        <v>5396</v>
      </c>
      <c r="M146" s="19" t="s">
        <v>101</v>
      </c>
      <c r="N146" s="14" t="s">
        <v>5397</v>
      </c>
      <c r="O146" s="14" t="s">
        <v>5398</v>
      </c>
      <c r="P146" s="14" t="str">
        <f>HYPERLINK("https://dexscreener.com/solana/7FDm8kuQZRNs1QWma5jHPrJFZZWhiZGUKTYaPPLZgUKM", "View")</f>
        <v>View</v>
      </c>
    </row>
    <row r="147" spans="1:16" x14ac:dyDescent="0.25">
      <c r="A147" s="16" t="s">
        <v>5399</v>
      </c>
      <c r="B147" s="17">
        <v>666278</v>
      </c>
      <c r="C147" s="17">
        <v>0</v>
      </c>
      <c r="D147" s="17" t="s">
        <v>4738</v>
      </c>
      <c r="E147" s="17" t="s">
        <v>4396</v>
      </c>
      <c r="F147" s="17" t="s">
        <v>96</v>
      </c>
      <c r="G147" s="18" t="s">
        <v>4739</v>
      </c>
      <c r="H147" s="18" t="s">
        <v>98</v>
      </c>
      <c r="I147" s="17" t="s">
        <v>5400</v>
      </c>
      <c r="J147" s="17">
        <v>1</v>
      </c>
      <c r="K147" s="17">
        <v>0</v>
      </c>
      <c r="L147" s="17" t="s">
        <v>5401</v>
      </c>
      <c r="M147" s="19" t="s">
        <v>101</v>
      </c>
      <c r="N147" s="17" t="s">
        <v>5402</v>
      </c>
      <c r="O147" s="17" t="s">
        <v>5403</v>
      </c>
      <c r="P147" s="17" t="str">
        <f>HYPERLINK("https://dexscreener.com/solana/74Yhhcbga2N1TTw87rNb8C3p8iHxyGEUKGhjFjkgpump", "View")</f>
        <v>View</v>
      </c>
    </row>
    <row r="148" spans="1:16" x14ac:dyDescent="0.25">
      <c r="A148" s="13" t="s">
        <v>5404</v>
      </c>
      <c r="B148" s="14">
        <v>312177</v>
      </c>
      <c r="C148" s="14">
        <v>0</v>
      </c>
      <c r="D148" s="14" t="s">
        <v>4738</v>
      </c>
      <c r="E148" s="14" t="s">
        <v>5345</v>
      </c>
      <c r="F148" s="14" t="s">
        <v>96</v>
      </c>
      <c r="G148" s="18" t="s">
        <v>5370</v>
      </c>
      <c r="H148" s="18" t="s">
        <v>98</v>
      </c>
      <c r="I148" s="14" t="s">
        <v>5405</v>
      </c>
      <c r="J148" s="14">
        <v>1</v>
      </c>
      <c r="K148" s="14">
        <v>0</v>
      </c>
      <c r="L148" s="14" t="s">
        <v>5406</v>
      </c>
      <c r="M148" s="19" t="s">
        <v>101</v>
      </c>
      <c r="N148" s="14" t="s">
        <v>4826</v>
      </c>
      <c r="O148" s="14" t="s">
        <v>5407</v>
      </c>
      <c r="P148" s="14" t="str">
        <f>HYPERLINK("https://dexscreener.com/solana/3A5ZHYwLj7mRWbb2eMvXxPyFQwYhrprnnXyB2HiSpump", "View")</f>
        <v>View</v>
      </c>
    </row>
    <row r="149" spans="1:16" x14ac:dyDescent="0.25">
      <c r="A149" s="16" t="s">
        <v>5408</v>
      </c>
      <c r="B149" s="17">
        <v>70537</v>
      </c>
      <c r="C149" s="17">
        <v>35269</v>
      </c>
      <c r="D149" s="17" t="s">
        <v>4754</v>
      </c>
      <c r="E149" s="17" t="s">
        <v>4396</v>
      </c>
      <c r="F149" s="17" t="s">
        <v>5409</v>
      </c>
      <c r="G149" s="20" t="s">
        <v>3420</v>
      </c>
      <c r="H149" s="20" t="s">
        <v>2858</v>
      </c>
      <c r="I149" s="17" t="s">
        <v>88</v>
      </c>
      <c r="J149" s="17">
        <v>1</v>
      </c>
      <c r="K149" s="17">
        <v>1</v>
      </c>
      <c r="L149" s="17" t="s">
        <v>5410</v>
      </c>
      <c r="M149" s="17" t="s">
        <v>788</v>
      </c>
      <c r="N149" s="17" t="s">
        <v>5411</v>
      </c>
      <c r="O149" s="17" t="s">
        <v>5412</v>
      </c>
      <c r="P149" s="17" t="str">
        <f>HYPERLINK("https://dexscreener.com/solana/2TXwAQ3jCicGS4SdoS1huXT3hEk64ybREaqT1jtkpump", "View")</f>
        <v>View</v>
      </c>
    </row>
    <row r="150" spans="1:16" x14ac:dyDescent="0.25">
      <c r="A150" s="13" t="s">
        <v>5413</v>
      </c>
      <c r="B150" s="14">
        <v>646577</v>
      </c>
      <c r="C150" s="14">
        <v>0</v>
      </c>
      <c r="D150" s="14" t="s">
        <v>4738</v>
      </c>
      <c r="E150" s="14" t="s">
        <v>4396</v>
      </c>
      <c r="F150" s="14" t="s">
        <v>96</v>
      </c>
      <c r="G150" s="18" t="s">
        <v>4739</v>
      </c>
      <c r="H150" s="18" t="s">
        <v>98</v>
      </c>
      <c r="I150" s="14" t="s">
        <v>5414</v>
      </c>
      <c r="J150" s="14">
        <v>1</v>
      </c>
      <c r="K150" s="14">
        <v>0</v>
      </c>
      <c r="L150" s="14" t="s">
        <v>5415</v>
      </c>
      <c r="M150" s="19" t="s">
        <v>101</v>
      </c>
      <c r="N150" s="14" t="s">
        <v>5416</v>
      </c>
      <c r="O150" s="14" t="s">
        <v>5417</v>
      </c>
      <c r="P150" s="14" t="str">
        <f>HYPERLINK("https://dexscreener.com/solana/DDtTW7vqbhVnjN6mW2ihgqMYY9zCJt9hnaKBH66Tpump", "View")</f>
        <v>View</v>
      </c>
    </row>
    <row r="151" spans="1:16" x14ac:dyDescent="0.25">
      <c r="A151" s="16" t="s">
        <v>5418</v>
      </c>
      <c r="B151" s="17">
        <v>185780</v>
      </c>
      <c r="C151" s="17">
        <v>92890</v>
      </c>
      <c r="D151" s="17" t="s">
        <v>4754</v>
      </c>
      <c r="E151" s="17" t="s">
        <v>4396</v>
      </c>
      <c r="F151" s="17" t="s">
        <v>4396</v>
      </c>
      <c r="G151" s="20" t="s">
        <v>4939</v>
      </c>
      <c r="H151" s="20" t="s">
        <v>5419</v>
      </c>
      <c r="I151" s="17" t="s">
        <v>88</v>
      </c>
      <c r="J151" s="17">
        <v>1</v>
      </c>
      <c r="K151" s="17">
        <v>1</v>
      </c>
      <c r="L151" s="17" t="s">
        <v>5420</v>
      </c>
      <c r="M151" s="17" t="s">
        <v>4922</v>
      </c>
      <c r="N151" s="17" t="s">
        <v>5421</v>
      </c>
      <c r="O151" s="17" t="s">
        <v>5422</v>
      </c>
      <c r="P151" s="17" t="str">
        <f>HYPERLINK("https://dexscreener.com/solana/3D1JFwhsrhm1TXBj2gkeY3KE3FTDRnVcNHweZrc7pump", "View")</f>
        <v>View</v>
      </c>
    </row>
    <row r="152" spans="1:16" x14ac:dyDescent="0.25">
      <c r="A152" s="13" t="s">
        <v>5423</v>
      </c>
      <c r="B152" s="14">
        <v>196437</v>
      </c>
      <c r="C152" s="14">
        <v>98218</v>
      </c>
      <c r="D152" s="14" t="s">
        <v>4754</v>
      </c>
      <c r="E152" s="14" t="s">
        <v>4396</v>
      </c>
      <c r="F152" s="14" t="s">
        <v>5424</v>
      </c>
      <c r="G152" s="21" t="s">
        <v>5425</v>
      </c>
      <c r="H152" s="21" t="s">
        <v>5426</v>
      </c>
      <c r="I152" s="14" t="s">
        <v>88</v>
      </c>
      <c r="J152" s="14">
        <v>1</v>
      </c>
      <c r="K152" s="14">
        <v>1</v>
      </c>
      <c r="L152" s="14" t="s">
        <v>5427</v>
      </c>
      <c r="M152" s="14" t="s">
        <v>1434</v>
      </c>
      <c r="N152" s="14" t="s">
        <v>5428</v>
      </c>
      <c r="O152" s="14" t="s">
        <v>5429</v>
      </c>
      <c r="P152" s="14" t="str">
        <f>HYPERLINK("https://dexscreener.com/solana/Bj3ZTeAaSeukvvNDbTVRZpb8MtVKa31nirA5pWyppump", "View")</f>
        <v>View</v>
      </c>
    </row>
    <row r="153" spans="1:16" x14ac:dyDescent="0.25">
      <c r="A153" s="16" t="s">
        <v>5430</v>
      </c>
      <c r="B153" s="17">
        <v>94516</v>
      </c>
      <c r="C153" s="17">
        <v>47258</v>
      </c>
      <c r="D153" s="17" t="s">
        <v>4754</v>
      </c>
      <c r="E153" s="17" t="s">
        <v>4396</v>
      </c>
      <c r="F153" s="17" t="s">
        <v>4020</v>
      </c>
      <c r="G153" s="20" t="s">
        <v>4962</v>
      </c>
      <c r="H153" s="20" t="s">
        <v>5431</v>
      </c>
      <c r="I153" s="17" t="s">
        <v>88</v>
      </c>
      <c r="J153" s="17">
        <v>1</v>
      </c>
      <c r="K153" s="17">
        <v>1</v>
      </c>
      <c r="L153" s="17" t="s">
        <v>5432</v>
      </c>
      <c r="M153" s="17" t="s">
        <v>1434</v>
      </c>
      <c r="N153" s="17" t="s">
        <v>5433</v>
      </c>
      <c r="O153" s="17" t="s">
        <v>5434</v>
      </c>
      <c r="P153" s="17" t="str">
        <f>HYPERLINK("https://dexscreener.com/solana/AxQFgQFSThwMcYRb19sauF4G9uD8f8i2YS2KBS2Apump", "View")</f>
        <v>View</v>
      </c>
    </row>
    <row r="154" spans="1:16" x14ac:dyDescent="0.25">
      <c r="A154" s="13" t="s">
        <v>5435</v>
      </c>
      <c r="B154" s="14">
        <v>79713</v>
      </c>
      <c r="C154" s="14">
        <v>0</v>
      </c>
      <c r="D154" s="14" t="s">
        <v>4782</v>
      </c>
      <c r="E154" s="14" t="s">
        <v>4679</v>
      </c>
      <c r="F154" s="14" t="s">
        <v>96</v>
      </c>
      <c r="G154" s="18" t="s">
        <v>5436</v>
      </c>
      <c r="H154" s="18" t="s">
        <v>98</v>
      </c>
      <c r="I154" s="14" t="s">
        <v>5437</v>
      </c>
      <c r="J154" s="14">
        <v>3</v>
      </c>
      <c r="K154" s="14">
        <v>0</v>
      </c>
      <c r="L154" s="14" t="s">
        <v>5438</v>
      </c>
      <c r="M154" s="14" t="s">
        <v>4550</v>
      </c>
      <c r="N154" s="14" t="s">
        <v>5439</v>
      </c>
      <c r="O154" s="14" t="s">
        <v>5440</v>
      </c>
      <c r="P154" s="14" t="str">
        <f>HYPERLINK("https://dexscreener.com/solana/9WwQBoPS38sv5ZPXaGy6kTzdYbNeHZzm27hkfXrJpump", "View")</f>
        <v>View</v>
      </c>
    </row>
    <row r="155" spans="1:16" x14ac:dyDescent="0.25">
      <c r="A155" s="16" t="s">
        <v>5441</v>
      </c>
      <c r="B155" s="17">
        <v>478467</v>
      </c>
      <c r="C155" s="17">
        <v>358850</v>
      </c>
      <c r="D155" s="17" t="s">
        <v>4782</v>
      </c>
      <c r="E155" s="17" t="s">
        <v>4665</v>
      </c>
      <c r="F155" s="17" t="s">
        <v>5442</v>
      </c>
      <c r="G155" s="21" t="s">
        <v>5358</v>
      </c>
      <c r="H155" s="21" t="s">
        <v>5443</v>
      </c>
      <c r="I155" s="17" t="s">
        <v>88</v>
      </c>
      <c r="J155" s="17">
        <v>1</v>
      </c>
      <c r="K155" s="17">
        <v>2</v>
      </c>
      <c r="L155" s="17" t="s">
        <v>5444</v>
      </c>
      <c r="M155" s="17" t="s">
        <v>5445</v>
      </c>
      <c r="N155" s="17" t="s">
        <v>5446</v>
      </c>
      <c r="O155" s="17" t="s">
        <v>5447</v>
      </c>
      <c r="P155" s="17" t="str">
        <f>HYPERLINK("https://dexscreener.com/solana/FNLCYiZzc6dcpNNekZyMUpmQNQLx4LscTi7h5mCYpump", "View")</f>
        <v>View</v>
      </c>
    </row>
    <row r="156" spans="1:16" x14ac:dyDescent="0.25">
      <c r="A156" s="13" t="s">
        <v>5448</v>
      </c>
      <c r="B156" s="14">
        <v>457438</v>
      </c>
      <c r="C156" s="14">
        <v>343078</v>
      </c>
      <c r="D156" s="14" t="s">
        <v>4782</v>
      </c>
      <c r="E156" s="14" t="s">
        <v>4665</v>
      </c>
      <c r="F156" s="14" t="s">
        <v>3530</v>
      </c>
      <c r="G156" s="21" t="s">
        <v>5449</v>
      </c>
      <c r="H156" s="21" t="s">
        <v>5450</v>
      </c>
      <c r="I156" s="14" t="s">
        <v>88</v>
      </c>
      <c r="J156" s="14">
        <v>1</v>
      </c>
      <c r="K156" s="14">
        <v>2</v>
      </c>
      <c r="L156" s="14" t="s">
        <v>5451</v>
      </c>
      <c r="M156" s="14" t="s">
        <v>1642</v>
      </c>
      <c r="N156" s="14" t="s">
        <v>5452</v>
      </c>
      <c r="O156" s="14" t="s">
        <v>5453</v>
      </c>
      <c r="P156" s="14" t="str">
        <f>HYPERLINK("https://dexscreener.com/solana/3ng7uAiJ1vehnAiPi2JWUPNJANRhpcGf8dpiiQsjpump", "View")</f>
        <v>View</v>
      </c>
    </row>
    <row r="157" spans="1:16" x14ac:dyDescent="0.25">
      <c r="A157" s="16" t="s">
        <v>5454</v>
      </c>
      <c r="B157" s="17">
        <v>386434</v>
      </c>
      <c r="C157" s="17">
        <v>0</v>
      </c>
      <c r="D157" s="17" t="s">
        <v>4738</v>
      </c>
      <c r="E157" s="17" t="s">
        <v>4665</v>
      </c>
      <c r="F157" s="17" t="s">
        <v>96</v>
      </c>
      <c r="G157" s="18" t="s">
        <v>4929</v>
      </c>
      <c r="H157" s="18" t="s">
        <v>98</v>
      </c>
      <c r="I157" s="17" t="s">
        <v>5455</v>
      </c>
      <c r="J157" s="17">
        <v>1</v>
      </c>
      <c r="K157" s="17">
        <v>0</v>
      </c>
      <c r="L157" s="17" t="s">
        <v>5456</v>
      </c>
      <c r="M157" s="19" t="s">
        <v>101</v>
      </c>
      <c r="N157" s="17" t="s">
        <v>4998</v>
      </c>
      <c r="O157" s="17" t="s">
        <v>5457</v>
      </c>
      <c r="P157" s="17" t="str">
        <f>HYPERLINK("https://dexscreener.com/solana/E6v2M1AXZbiPGb1PsppeoF1fiHA6UqzweTjUZcJApump", "View")</f>
        <v>View</v>
      </c>
    </row>
    <row r="158" spans="1:16" x14ac:dyDescent="0.25">
      <c r="A158" s="13" t="s">
        <v>5458</v>
      </c>
      <c r="B158" s="14">
        <v>618786</v>
      </c>
      <c r="C158" s="14">
        <v>309393</v>
      </c>
      <c r="D158" s="14" t="s">
        <v>4782</v>
      </c>
      <c r="E158" s="14" t="s">
        <v>5459</v>
      </c>
      <c r="F158" s="14" t="s">
        <v>5460</v>
      </c>
      <c r="G158" s="15" t="s">
        <v>5461</v>
      </c>
      <c r="H158" s="15" t="s">
        <v>5462</v>
      </c>
      <c r="I158" s="14" t="s">
        <v>88</v>
      </c>
      <c r="J158" s="14">
        <v>2</v>
      </c>
      <c r="K158" s="14">
        <v>1</v>
      </c>
      <c r="L158" s="14" t="s">
        <v>5463</v>
      </c>
      <c r="M158" s="14" t="s">
        <v>1434</v>
      </c>
      <c r="N158" s="14" t="s">
        <v>5464</v>
      </c>
      <c r="O158" s="14" t="s">
        <v>5465</v>
      </c>
      <c r="P158" s="14" t="str">
        <f>HYPERLINK("https://dexscreener.com/solana/DxfMrEKo2YTJv4KvevybmutjUTcQybAe9ULZxJ5Npump", "View")</f>
        <v>View</v>
      </c>
    </row>
    <row r="159" spans="1:16" x14ac:dyDescent="0.25">
      <c r="A159" s="16" t="s">
        <v>5466</v>
      </c>
      <c r="B159" s="17">
        <v>390757</v>
      </c>
      <c r="C159" s="17">
        <v>293068</v>
      </c>
      <c r="D159" s="17" t="s">
        <v>4782</v>
      </c>
      <c r="E159" s="17" t="s">
        <v>4665</v>
      </c>
      <c r="F159" s="17" t="s">
        <v>5467</v>
      </c>
      <c r="G159" s="21" t="s">
        <v>3659</v>
      </c>
      <c r="H159" s="21" t="s">
        <v>5468</v>
      </c>
      <c r="I159" s="17" t="s">
        <v>88</v>
      </c>
      <c r="J159" s="17">
        <v>1</v>
      </c>
      <c r="K159" s="17">
        <v>2</v>
      </c>
      <c r="L159" s="17" t="s">
        <v>5469</v>
      </c>
      <c r="M159" s="17" t="s">
        <v>2695</v>
      </c>
      <c r="N159" s="17" t="s">
        <v>4948</v>
      </c>
      <c r="O159" s="17" t="s">
        <v>5470</v>
      </c>
      <c r="P159" s="17" t="str">
        <f>HYPERLINK("https://dexscreener.com/solana/Ge8HiSKhq5YRDX9XBVdcdTSF5KTA7hr5M5qk9b99pump", "View")</f>
        <v>View</v>
      </c>
    </row>
    <row r="160" spans="1:16" x14ac:dyDescent="0.25">
      <c r="A160" s="13" t="s">
        <v>740</v>
      </c>
      <c r="B160" s="14">
        <v>455466</v>
      </c>
      <c r="C160" s="14">
        <v>341599</v>
      </c>
      <c r="D160" s="14" t="s">
        <v>4782</v>
      </c>
      <c r="E160" s="14" t="s">
        <v>4665</v>
      </c>
      <c r="F160" s="14" t="s">
        <v>5471</v>
      </c>
      <c r="G160" s="21" t="s">
        <v>5472</v>
      </c>
      <c r="H160" s="21" t="s">
        <v>5473</v>
      </c>
      <c r="I160" s="14" t="s">
        <v>88</v>
      </c>
      <c r="J160" s="14">
        <v>1</v>
      </c>
      <c r="K160" s="14">
        <v>2</v>
      </c>
      <c r="L160" s="14" t="s">
        <v>5474</v>
      </c>
      <c r="M160" s="14" t="s">
        <v>364</v>
      </c>
      <c r="N160" s="14" t="s">
        <v>5475</v>
      </c>
      <c r="O160" s="14" t="s">
        <v>747</v>
      </c>
      <c r="P160" s="14" t="str">
        <f>HYPERLINK("https://dexscreener.com/solana/BZW215nxTGpbw87TUQJJpABGTBXeXqfjxjDYyrjCpump", "View")</f>
        <v>View</v>
      </c>
    </row>
    <row r="161" spans="1:16" x14ac:dyDescent="0.25">
      <c r="A161" s="16" t="s">
        <v>5476</v>
      </c>
      <c r="B161" s="17">
        <v>155290</v>
      </c>
      <c r="C161" s="17">
        <v>77645</v>
      </c>
      <c r="D161" s="17" t="s">
        <v>4754</v>
      </c>
      <c r="E161" s="17" t="s">
        <v>4396</v>
      </c>
      <c r="F161" s="17" t="s">
        <v>3759</v>
      </c>
      <c r="G161" s="20" t="s">
        <v>4880</v>
      </c>
      <c r="H161" s="20" t="s">
        <v>5477</v>
      </c>
      <c r="I161" s="17" t="s">
        <v>88</v>
      </c>
      <c r="J161" s="17">
        <v>1</v>
      </c>
      <c r="K161" s="17">
        <v>1</v>
      </c>
      <c r="L161" s="17" t="s">
        <v>5478</v>
      </c>
      <c r="M161" s="17" t="s">
        <v>364</v>
      </c>
      <c r="N161" s="17" t="s">
        <v>5479</v>
      </c>
      <c r="O161" s="17" t="s">
        <v>5480</v>
      </c>
      <c r="P161" s="17" t="str">
        <f>HYPERLINK("https://dexscreener.com/solana/9zGjSYsr44zi6kjYbSoKsPx9YQ5y6xFZRhj2nignpump", "View")</f>
        <v>View</v>
      </c>
    </row>
    <row r="162" spans="1:16" x14ac:dyDescent="0.25">
      <c r="A162" s="13" t="s">
        <v>5481</v>
      </c>
      <c r="B162" s="14">
        <v>241419</v>
      </c>
      <c r="C162" s="14">
        <v>0</v>
      </c>
      <c r="D162" s="14" t="s">
        <v>4738</v>
      </c>
      <c r="E162" s="14" t="s">
        <v>4396</v>
      </c>
      <c r="F162" s="14" t="s">
        <v>96</v>
      </c>
      <c r="G162" s="18" t="s">
        <v>4739</v>
      </c>
      <c r="H162" s="18" t="s">
        <v>98</v>
      </c>
      <c r="I162" s="14" t="s">
        <v>5482</v>
      </c>
      <c r="J162" s="14">
        <v>1</v>
      </c>
      <c r="K162" s="14">
        <v>0</v>
      </c>
      <c r="L162" s="14" t="s">
        <v>5483</v>
      </c>
      <c r="M162" s="19" t="s">
        <v>101</v>
      </c>
      <c r="N162" s="14" t="s">
        <v>5484</v>
      </c>
      <c r="O162" s="14" t="s">
        <v>5485</v>
      </c>
      <c r="P162" s="14" t="str">
        <f>HYPERLINK("https://dexscreener.com/solana/LbX8DLypZ9DwUBJKHvzsKphx3CCatsCSTAT8wympump", "View")</f>
        <v>View</v>
      </c>
    </row>
    <row r="163" spans="1:16" x14ac:dyDescent="0.25">
      <c r="A163" s="16" t="s">
        <v>5486</v>
      </c>
      <c r="B163" s="17">
        <v>264138</v>
      </c>
      <c r="C163" s="17">
        <v>0</v>
      </c>
      <c r="D163" s="17" t="s">
        <v>4738</v>
      </c>
      <c r="E163" s="17" t="s">
        <v>4665</v>
      </c>
      <c r="F163" s="17" t="s">
        <v>96</v>
      </c>
      <c r="G163" s="18" t="s">
        <v>4929</v>
      </c>
      <c r="H163" s="18" t="s">
        <v>98</v>
      </c>
      <c r="I163" s="17" t="s">
        <v>5487</v>
      </c>
      <c r="J163" s="17">
        <v>1</v>
      </c>
      <c r="K163" s="17">
        <v>0</v>
      </c>
      <c r="L163" s="17" t="s">
        <v>5488</v>
      </c>
      <c r="M163" s="19" t="s">
        <v>101</v>
      </c>
      <c r="N163" s="17" t="s">
        <v>5489</v>
      </c>
      <c r="O163" s="17" t="s">
        <v>5490</v>
      </c>
      <c r="P163" s="17" t="str">
        <f>HYPERLINK("https://dexscreener.com/solana/FQFVPBxDLDpXorBrgoLcvEWhGg6NxLhcE2q93pGtpump", "View")</f>
        <v>View</v>
      </c>
    </row>
    <row r="164" spans="1:16" x14ac:dyDescent="0.25">
      <c r="A164" s="13" t="s">
        <v>5491</v>
      </c>
      <c r="B164" s="14">
        <v>427479</v>
      </c>
      <c r="C164" s="14">
        <v>0</v>
      </c>
      <c r="D164" s="14" t="s">
        <v>4738</v>
      </c>
      <c r="E164" s="14" t="s">
        <v>4665</v>
      </c>
      <c r="F164" s="14" t="s">
        <v>96</v>
      </c>
      <c r="G164" s="18" t="s">
        <v>4929</v>
      </c>
      <c r="H164" s="18" t="s">
        <v>98</v>
      </c>
      <c r="I164" s="14" t="s">
        <v>5492</v>
      </c>
      <c r="J164" s="14">
        <v>1</v>
      </c>
      <c r="K164" s="14">
        <v>0</v>
      </c>
      <c r="L164" s="14" t="s">
        <v>5493</v>
      </c>
      <c r="M164" s="19" t="s">
        <v>101</v>
      </c>
      <c r="N164" s="14" t="s">
        <v>5494</v>
      </c>
      <c r="O164" s="14" t="s">
        <v>5495</v>
      </c>
      <c r="P164" s="14" t="str">
        <f>HYPERLINK("https://dexscreener.com/solana/2j48qpWJpWNHoWhsmWsdmaA1wKP7qaoYJfwhAbrkpump", "View")</f>
        <v>View</v>
      </c>
    </row>
    <row r="165" spans="1:16" x14ac:dyDescent="0.25">
      <c r="A165" s="16" t="s">
        <v>5496</v>
      </c>
      <c r="B165" s="17">
        <v>146501</v>
      </c>
      <c r="C165" s="17">
        <v>109875</v>
      </c>
      <c r="D165" s="17" t="s">
        <v>4782</v>
      </c>
      <c r="E165" s="17" t="s">
        <v>4396</v>
      </c>
      <c r="F165" s="17" t="s">
        <v>5497</v>
      </c>
      <c r="G165" s="21" t="s">
        <v>5498</v>
      </c>
      <c r="H165" s="21" t="s">
        <v>5499</v>
      </c>
      <c r="I165" s="17" t="s">
        <v>88</v>
      </c>
      <c r="J165" s="17">
        <v>1</v>
      </c>
      <c r="K165" s="17">
        <v>2</v>
      </c>
      <c r="L165" s="17" t="s">
        <v>5500</v>
      </c>
      <c r="M165" s="17" t="s">
        <v>5501</v>
      </c>
      <c r="N165" s="17" t="s">
        <v>5502</v>
      </c>
      <c r="O165" s="17" t="s">
        <v>5503</v>
      </c>
      <c r="P165" s="17" t="str">
        <f>HYPERLINK("https://dexscreener.com/solana/wpU56BR9qLyA9bxxF2uLtULERVZFvtuLtcXdL9xpump", "View")</f>
        <v>View</v>
      </c>
    </row>
    <row r="166" spans="1:16" x14ac:dyDescent="0.25">
      <c r="A166" s="13" t="s">
        <v>5504</v>
      </c>
      <c r="B166" s="14">
        <v>161932</v>
      </c>
      <c r="C166" s="14">
        <v>0</v>
      </c>
      <c r="D166" s="14" t="s">
        <v>4738</v>
      </c>
      <c r="E166" s="14" t="s">
        <v>4396</v>
      </c>
      <c r="F166" s="14" t="s">
        <v>96</v>
      </c>
      <c r="G166" s="18" t="s">
        <v>4739</v>
      </c>
      <c r="H166" s="18" t="s">
        <v>98</v>
      </c>
      <c r="I166" s="14" t="s">
        <v>5505</v>
      </c>
      <c r="J166" s="14">
        <v>1</v>
      </c>
      <c r="K166" s="14">
        <v>0</v>
      </c>
      <c r="L166" s="14" t="s">
        <v>5506</v>
      </c>
      <c r="M166" s="19" t="s">
        <v>101</v>
      </c>
      <c r="N166" s="14" t="s">
        <v>5507</v>
      </c>
      <c r="O166" s="14" t="s">
        <v>5508</v>
      </c>
      <c r="P166" s="14" t="str">
        <f>HYPERLINK("https://dexscreener.com/solana/14NcHGnyF7eF4ydW9AhFnCiUNsXZkUbuSNTZxYRvpump", "View")</f>
        <v>View</v>
      </c>
    </row>
    <row r="167" spans="1:16" x14ac:dyDescent="0.25">
      <c r="A167" s="16" t="s">
        <v>5509</v>
      </c>
      <c r="B167" s="17">
        <v>435695</v>
      </c>
      <c r="C167" s="17">
        <v>217848</v>
      </c>
      <c r="D167" s="17" t="s">
        <v>4754</v>
      </c>
      <c r="E167" s="17" t="s">
        <v>4396</v>
      </c>
      <c r="F167" s="17" t="s">
        <v>4817</v>
      </c>
      <c r="G167" s="22" t="s">
        <v>4818</v>
      </c>
      <c r="H167" s="22" t="s">
        <v>5510</v>
      </c>
      <c r="I167" s="17" t="s">
        <v>88</v>
      </c>
      <c r="J167" s="17">
        <v>1</v>
      </c>
      <c r="K167" s="17">
        <v>1</v>
      </c>
      <c r="L167" s="17" t="s">
        <v>5511</v>
      </c>
      <c r="M167" s="17" t="s">
        <v>1448</v>
      </c>
      <c r="N167" s="17" t="s">
        <v>5512</v>
      </c>
      <c r="O167" s="17" t="s">
        <v>5513</v>
      </c>
      <c r="P167" s="17" t="str">
        <f>HYPERLINK("https://dexscreener.com/solana/Hb2vZbkeZA8woGeH7gUpuqMeQj5vWD9Nnj7C9KYhe4y5", "View")</f>
        <v>View</v>
      </c>
    </row>
    <row r="168" spans="1:16" x14ac:dyDescent="0.25">
      <c r="A168" s="13" t="s">
        <v>5514</v>
      </c>
      <c r="B168" s="14">
        <v>269961</v>
      </c>
      <c r="C168" s="14">
        <v>0</v>
      </c>
      <c r="D168" s="14" t="s">
        <v>4738</v>
      </c>
      <c r="E168" s="14" t="s">
        <v>4396</v>
      </c>
      <c r="F168" s="14" t="s">
        <v>96</v>
      </c>
      <c r="G168" s="18" t="s">
        <v>4739</v>
      </c>
      <c r="H168" s="18" t="s">
        <v>98</v>
      </c>
      <c r="I168" s="14" t="s">
        <v>5515</v>
      </c>
      <c r="J168" s="14">
        <v>1</v>
      </c>
      <c r="K168" s="14">
        <v>0</v>
      </c>
      <c r="L168" s="14" t="s">
        <v>5516</v>
      </c>
      <c r="M168" s="19" t="s">
        <v>101</v>
      </c>
      <c r="N168" s="14" t="s">
        <v>5517</v>
      </c>
      <c r="O168" s="14" t="s">
        <v>5518</v>
      </c>
      <c r="P168" s="14" t="str">
        <f>HYPERLINK("https://dexscreener.com/solana/BLthhcBfFJrySVhK7oSJrCfNJ6TnUEVfG7s3Ek8spump", "View")</f>
        <v>View</v>
      </c>
    </row>
    <row r="169" spans="1:16" x14ac:dyDescent="0.25">
      <c r="A169" s="16" t="s">
        <v>5519</v>
      </c>
      <c r="B169" s="17">
        <v>1987044</v>
      </c>
      <c r="C169" s="17">
        <v>0</v>
      </c>
      <c r="D169" s="17" t="s">
        <v>4754</v>
      </c>
      <c r="E169" s="17" t="s">
        <v>4665</v>
      </c>
      <c r="F169" s="17" t="s">
        <v>96</v>
      </c>
      <c r="G169" s="18" t="s">
        <v>4929</v>
      </c>
      <c r="H169" s="18" t="s">
        <v>98</v>
      </c>
      <c r="I169" s="17" t="s">
        <v>5520</v>
      </c>
      <c r="J169" s="17">
        <v>2</v>
      </c>
      <c r="K169" s="17">
        <v>0</v>
      </c>
      <c r="L169" s="17" t="s">
        <v>5521</v>
      </c>
      <c r="M169" s="19" t="s">
        <v>2315</v>
      </c>
      <c r="N169" s="17" t="s">
        <v>5522</v>
      </c>
      <c r="O169" s="17" t="s">
        <v>5523</v>
      </c>
      <c r="P169" s="17" t="str">
        <f>HYPERLINK("https://dexscreener.com/solana/ATvnHoe4Gt7rGRWoqkstSTwpbuF6ni3sUfxYkrNJpump", "View")</f>
        <v>View</v>
      </c>
    </row>
    <row r="170" spans="1:16" x14ac:dyDescent="0.25">
      <c r="A170" s="13" t="s">
        <v>5524</v>
      </c>
      <c r="B170" s="14">
        <v>397005</v>
      </c>
      <c r="C170" s="14">
        <v>0</v>
      </c>
      <c r="D170" s="14" t="s">
        <v>4738</v>
      </c>
      <c r="E170" s="14" t="s">
        <v>4665</v>
      </c>
      <c r="F170" s="14" t="s">
        <v>96</v>
      </c>
      <c r="G170" s="18" t="s">
        <v>4929</v>
      </c>
      <c r="H170" s="18" t="s">
        <v>98</v>
      </c>
      <c r="I170" s="14" t="s">
        <v>5525</v>
      </c>
      <c r="J170" s="14">
        <v>1</v>
      </c>
      <c r="K170" s="14">
        <v>0</v>
      </c>
      <c r="L170" s="14" t="s">
        <v>5526</v>
      </c>
      <c r="M170" s="19" t="s">
        <v>101</v>
      </c>
      <c r="N170" s="14" t="s">
        <v>5171</v>
      </c>
      <c r="O170" s="14" t="s">
        <v>5527</v>
      </c>
      <c r="P170" s="14" t="str">
        <f>HYPERLINK("https://dexscreener.com/solana/EQsug4jsK5gZBYuiTTa6XSubCHCMjJouxRLSqR8spump", "View")</f>
        <v>View</v>
      </c>
    </row>
    <row r="171" spans="1:16" x14ac:dyDescent="0.25">
      <c r="A171" s="16" t="s">
        <v>5528</v>
      </c>
      <c r="B171" s="17">
        <v>184202</v>
      </c>
      <c r="C171" s="17">
        <v>0</v>
      </c>
      <c r="D171" s="17" t="s">
        <v>4738</v>
      </c>
      <c r="E171" s="17" t="s">
        <v>4665</v>
      </c>
      <c r="F171" s="17" t="s">
        <v>96</v>
      </c>
      <c r="G171" s="18" t="s">
        <v>4929</v>
      </c>
      <c r="H171" s="18" t="s">
        <v>98</v>
      </c>
      <c r="I171" s="17" t="s">
        <v>5529</v>
      </c>
      <c r="J171" s="17">
        <v>1</v>
      </c>
      <c r="K171" s="17">
        <v>0</v>
      </c>
      <c r="L171" s="17" t="s">
        <v>5530</v>
      </c>
      <c r="M171" s="19" t="s">
        <v>101</v>
      </c>
      <c r="N171" s="17" t="s">
        <v>5531</v>
      </c>
      <c r="O171" s="17" t="s">
        <v>5532</v>
      </c>
      <c r="P171" s="17" t="str">
        <f>HYPERLINK("https://dexscreener.com/solana/E4JQwDUmokvkWz7Q9XJb7ZKXUWLoZQteSt6Ekmedpump", "View")</f>
        <v>View</v>
      </c>
    </row>
    <row r="172" spans="1:16" x14ac:dyDescent="0.25">
      <c r="A172" s="13" t="s">
        <v>5533</v>
      </c>
      <c r="B172" s="14">
        <v>642147</v>
      </c>
      <c r="C172" s="14">
        <v>321073</v>
      </c>
      <c r="D172" s="14" t="s">
        <v>4754</v>
      </c>
      <c r="E172" s="14" t="s">
        <v>4396</v>
      </c>
      <c r="F172" s="14" t="s">
        <v>5534</v>
      </c>
      <c r="G172" s="20" t="s">
        <v>5535</v>
      </c>
      <c r="H172" s="20" t="s">
        <v>5536</v>
      </c>
      <c r="I172" s="14" t="s">
        <v>88</v>
      </c>
      <c r="J172" s="14">
        <v>1</v>
      </c>
      <c r="K172" s="14">
        <v>1</v>
      </c>
      <c r="L172" s="14" t="s">
        <v>5537</v>
      </c>
      <c r="M172" s="19" t="s">
        <v>1827</v>
      </c>
      <c r="N172" s="14" t="s">
        <v>5538</v>
      </c>
      <c r="O172" s="14" t="s">
        <v>5539</v>
      </c>
      <c r="P172" s="14" t="str">
        <f>HYPERLINK("https://dexscreener.com/solana/9oCqvUkK7W9ViGZuQCJ6LzL7718EWLwKuVSW7kJpump", "View")</f>
        <v>View</v>
      </c>
    </row>
    <row r="173" spans="1:16" x14ac:dyDescent="0.25">
      <c r="A173" s="16" t="s">
        <v>3071</v>
      </c>
      <c r="B173" s="17">
        <v>702916</v>
      </c>
      <c r="C173" s="17">
        <v>0</v>
      </c>
      <c r="D173" s="17" t="s">
        <v>4754</v>
      </c>
      <c r="E173" s="17" t="s">
        <v>4665</v>
      </c>
      <c r="F173" s="17" t="s">
        <v>96</v>
      </c>
      <c r="G173" s="18" t="s">
        <v>4929</v>
      </c>
      <c r="H173" s="18" t="s">
        <v>98</v>
      </c>
      <c r="I173" s="17" t="s">
        <v>5540</v>
      </c>
      <c r="J173" s="17">
        <v>2</v>
      </c>
      <c r="K173" s="17">
        <v>0</v>
      </c>
      <c r="L173" s="17" t="s">
        <v>5541</v>
      </c>
      <c r="M173" s="19" t="s">
        <v>2955</v>
      </c>
      <c r="N173" s="17" t="s">
        <v>5542</v>
      </c>
      <c r="O173" s="17" t="s">
        <v>5543</v>
      </c>
      <c r="P173" s="17" t="str">
        <f>HYPERLINK("https://dexscreener.com/solana/Fpp6L1ehDxTbzVcEtqdb59wQH4ozREX7NowYscnupump", "View")</f>
        <v>View</v>
      </c>
    </row>
    <row r="174" spans="1:16" x14ac:dyDescent="0.25">
      <c r="A174" s="13" t="s">
        <v>5544</v>
      </c>
      <c r="B174" s="14">
        <v>171033</v>
      </c>
      <c r="C174" s="14">
        <v>171033</v>
      </c>
      <c r="D174" s="14" t="s">
        <v>4805</v>
      </c>
      <c r="E174" s="14" t="s">
        <v>4396</v>
      </c>
      <c r="F174" s="14" t="s">
        <v>5545</v>
      </c>
      <c r="G174" s="21" t="s">
        <v>5546</v>
      </c>
      <c r="H174" s="21" t="s">
        <v>5547</v>
      </c>
      <c r="I174" s="14" t="s">
        <v>88</v>
      </c>
      <c r="J174" s="14">
        <v>1</v>
      </c>
      <c r="K174" s="14">
        <v>3</v>
      </c>
      <c r="L174" s="14" t="s">
        <v>5548</v>
      </c>
      <c r="M174" s="14" t="s">
        <v>277</v>
      </c>
      <c r="N174" s="14" t="s">
        <v>5549</v>
      </c>
      <c r="O174" s="14" t="s">
        <v>5550</v>
      </c>
      <c r="P174" s="14" t="str">
        <f>HYPERLINK("https://dexscreener.com/solana/Bz4MhmVRQENiCou7ZpJ575wpjNFjBjVBSiVhuNg1pump", "View")</f>
        <v>View</v>
      </c>
    </row>
    <row r="175" spans="1:16" x14ac:dyDescent="0.25">
      <c r="A175" s="16" t="s">
        <v>1913</v>
      </c>
      <c r="B175" s="17">
        <v>28009</v>
      </c>
      <c r="C175" s="17">
        <v>14005</v>
      </c>
      <c r="D175" s="17" t="s">
        <v>4754</v>
      </c>
      <c r="E175" s="17" t="s">
        <v>4396</v>
      </c>
      <c r="F175" s="17" t="s">
        <v>5551</v>
      </c>
      <c r="G175" s="22" t="s">
        <v>5552</v>
      </c>
      <c r="H175" s="22" t="s">
        <v>2328</v>
      </c>
      <c r="I175" s="17" t="s">
        <v>88</v>
      </c>
      <c r="J175" s="17">
        <v>1</v>
      </c>
      <c r="K175" s="17">
        <v>1</v>
      </c>
      <c r="L175" s="17" t="s">
        <v>5553</v>
      </c>
      <c r="M175" s="17" t="s">
        <v>398</v>
      </c>
      <c r="N175" s="17" t="s">
        <v>5554</v>
      </c>
      <c r="O175" s="17" t="s">
        <v>5555</v>
      </c>
      <c r="P175" s="17" t="str">
        <f>HYPERLINK("https://dexscreener.com/solana/46KirRwaHxiVhLCapkqPj1M7urYChzmkGLRNyuuzpump", "View")</f>
        <v>View</v>
      </c>
    </row>
    <row r="176" spans="1:16" x14ac:dyDescent="0.25">
      <c r="A176" s="13" t="s">
        <v>5556</v>
      </c>
      <c r="B176" s="14">
        <v>83885</v>
      </c>
      <c r="C176" s="14">
        <v>0</v>
      </c>
      <c r="D176" s="14" t="s">
        <v>4738</v>
      </c>
      <c r="E176" s="14" t="s">
        <v>4396</v>
      </c>
      <c r="F176" s="14" t="s">
        <v>96</v>
      </c>
      <c r="G176" s="18" t="s">
        <v>4739</v>
      </c>
      <c r="H176" s="18" t="s">
        <v>98</v>
      </c>
      <c r="I176" s="14" t="s">
        <v>5557</v>
      </c>
      <c r="J176" s="14">
        <v>1</v>
      </c>
      <c r="K176" s="14">
        <v>0</v>
      </c>
      <c r="L176" s="14" t="s">
        <v>5558</v>
      </c>
      <c r="M176" s="19" t="s">
        <v>101</v>
      </c>
      <c r="N176" s="14" t="s">
        <v>5559</v>
      </c>
      <c r="O176" s="14" t="s">
        <v>5560</v>
      </c>
      <c r="P176" s="14" t="str">
        <f>HYPERLINK("https://dexscreener.com/solana/BSpYpMSwubM9uRNRqX4n8vedvGJ1pij8dFc5aZeqpump", "View")</f>
        <v>View</v>
      </c>
    </row>
    <row r="177" spans="1:16" x14ac:dyDescent="0.25">
      <c r="A177" s="16" t="s">
        <v>5561</v>
      </c>
      <c r="B177" s="17">
        <v>428808</v>
      </c>
      <c r="C177" s="17">
        <v>0</v>
      </c>
      <c r="D177" s="17" t="s">
        <v>4738</v>
      </c>
      <c r="E177" s="17" t="s">
        <v>5345</v>
      </c>
      <c r="F177" s="17" t="s">
        <v>96</v>
      </c>
      <c r="G177" s="18" t="s">
        <v>5370</v>
      </c>
      <c r="H177" s="18" t="s">
        <v>98</v>
      </c>
      <c r="I177" s="17" t="s">
        <v>5562</v>
      </c>
      <c r="J177" s="17">
        <v>1</v>
      </c>
      <c r="K177" s="17">
        <v>0</v>
      </c>
      <c r="L177" s="17" t="s">
        <v>5563</v>
      </c>
      <c r="M177" s="19" t="s">
        <v>101</v>
      </c>
      <c r="N177" s="17" t="s">
        <v>5564</v>
      </c>
      <c r="O177" s="17" t="s">
        <v>5565</v>
      </c>
      <c r="P177" s="17" t="str">
        <f>HYPERLINK("https://dexscreener.com/solana/8E2M2Hdt31sANJpBFSAKU42erpKLrEYQyyapsUbApump", "View")</f>
        <v>View</v>
      </c>
    </row>
    <row r="178" spans="1:16" x14ac:dyDescent="0.25">
      <c r="A178" s="13" t="s">
        <v>5566</v>
      </c>
      <c r="B178" s="14">
        <v>83079</v>
      </c>
      <c r="C178" s="14">
        <v>0</v>
      </c>
      <c r="D178" s="14" t="s">
        <v>4738</v>
      </c>
      <c r="E178" s="14" t="s">
        <v>4396</v>
      </c>
      <c r="F178" s="14" t="s">
        <v>96</v>
      </c>
      <c r="G178" s="18" t="s">
        <v>4739</v>
      </c>
      <c r="H178" s="18" t="s">
        <v>98</v>
      </c>
      <c r="I178" s="14" t="s">
        <v>5567</v>
      </c>
      <c r="J178" s="14">
        <v>1</v>
      </c>
      <c r="K178" s="14">
        <v>0</v>
      </c>
      <c r="L178" s="14" t="s">
        <v>5568</v>
      </c>
      <c r="M178" s="19" t="s">
        <v>101</v>
      </c>
      <c r="N178" s="14" t="s">
        <v>5569</v>
      </c>
      <c r="O178" s="14" t="s">
        <v>5570</v>
      </c>
      <c r="P178" s="14" t="str">
        <f>HYPERLINK("https://dexscreener.com/solana/3qrEHV8zMR8BySfkQUCVQRnqjSDaCr9str6gRgRspump", "View")</f>
        <v>View</v>
      </c>
    </row>
    <row r="179" spans="1:16" x14ac:dyDescent="0.25">
      <c r="A179" s="16" t="s">
        <v>5571</v>
      </c>
      <c r="B179" s="17">
        <v>586003</v>
      </c>
      <c r="C179" s="17">
        <v>439502</v>
      </c>
      <c r="D179" s="17" t="s">
        <v>4782</v>
      </c>
      <c r="E179" s="17" t="s">
        <v>4396</v>
      </c>
      <c r="F179" s="17" t="s">
        <v>5572</v>
      </c>
      <c r="G179" s="21" t="s">
        <v>5573</v>
      </c>
      <c r="H179" s="21" t="s">
        <v>5574</v>
      </c>
      <c r="I179" s="17" t="s">
        <v>88</v>
      </c>
      <c r="J179" s="17">
        <v>1</v>
      </c>
      <c r="K179" s="17">
        <v>2</v>
      </c>
      <c r="L179" s="17" t="s">
        <v>5575</v>
      </c>
      <c r="M179" s="17" t="s">
        <v>2617</v>
      </c>
      <c r="N179" s="17" t="s">
        <v>5576</v>
      </c>
      <c r="O179" s="17" t="s">
        <v>5577</v>
      </c>
      <c r="P179" s="17" t="str">
        <f>HYPERLINK("https://dexscreener.com/solana/2aPiXF1oruhA75AJUTUwPE8N5vW2a2sjnMvJdmpopump", "View")</f>
        <v>View</v>
      </c>
    </row>
    <row r="180" spans="1:16" x14ac:dyDescent="0.25">
      <c r="A180" s="13" t="s">
        <v>5578</v>
      </c>
      <c r="B180" s="14">
        <v>635436</v>
      </c>
      <c r="C180" s="14">
        <v>0</v>
      </c>
      <c r="D180" s="14" t="s">
        <v>4738</v>
      </c>
      <c r="E180" s="14" t="s">
        <v>4396</v>
      </c>
      <c r="F180" s="14" t="s">
        <v>96</v>
      </c>
      <c r="G180" s="18" t="s">
        <v>4739</v>
      </c>
      <c r="H180" s="18" t="s">
        <v>98</v>
      </c>
      <c r="I180" s="14" t="s">
        <v>5579</v>
      </c>
      <c r="J180" s="14">
        <v>1</v>
      </c>
      <c r="K180" s="14">
        <v>0</v>
      </c>
      <c r="L180" s="14" t="s">
        <v>5580</v>
      </c>
      <c r="M180" s="19" t="s">
        <v>101</v>
      </c>
      <c r="N180" s="14" t="s">
        <v>4970</v>
      </c>
      <c r="O180" s="14" t="s">
        <v>5581</v>
      </c>
      <c r="P180" s="14" t="str">
        <f>HYPERLINK("https://dexscreener.com/solana/wZonEuZGCGT5QXKKvVZs7vu8uH5HKDsnZei9F24pump", "View")</f>
        <v>View</v>
      </c>
    </row>
    <row r="181" spans="1:16" x14ac:dyDescent="0.25">
      <c r="A181" s="16" t="s">
        <v>5582</v>
      </c>
      <c r="B181" s="17">
        <v>170705</v>
      </c>
      <c r="C181" s="17">
        <v>128029</v>
      </c>
      <c r="D181" s="17" t="s">
        <v>4782</v>
      </c>
      <c r="E181" s="17" t="s">
        <v>4396</v>
      </c>
      <c r="F181" s="17" t="s">
        <v>1915</v>
      </c>
      <c r="G181" s="21" t="s">
        <v>4006</v>
      </c>
      <c r="H181" s="21" t="s">
        <v>5583</v>
      </c>
      <c r="I181" s="17" t="s">
        <v>88</v>
      </c>
      <c r="J181" s="17">
        <v>1</v>
      </c>
      <c r="K181" s="17">
        <v>2</v>
      </c>
      <c r="L181" s="17" t="s">
        <v>5584</v>
      </c>
      <c r="M181" s="17" t="s">
        <v>160</v>
      </c>
      <c r="N181" s="17" t="s">
        <v>5585</v>
      </c>
      <c r="O181" s="17" t="s">
        <v>5586</v>
      </c>
      <c r="P181" s="17" t="str">
        <f>HYPERLINK("https://dexscreener.com/solana/2CiAmompjNUhCMv4snMMVu55g1CFzNuqbrbaYVnCpump", "View")</f>
        <v>View</v>
      </c>
    </row>
    <row r="182" spans="1:16" x14ac:dyDescent="0.25">
      <c r="A182" s="13" t="s">
        <v>5587</v>
      </c>
      <c r="B182" s="14">
        <v>472774</v>
      </c>
      <c r="C182" s="14">
        <v>236387</v>
      </c>
      <c r="D182" s="14" t="s">
        <v>4754</v>
      </c>
      <c r="E182" s="14" t="s">
        <v>4396</v>
      </c>
      <c r="F182" s="14" t="s">
        <v>5588</v>
      </c>
      <c r="G182" s="20" t="s">
        <v>5589</v>
      </c>
      <c r="H182" s="20" t="s">
        <v>5590</v>
      </c>
      <c r="I182" s="14" t="s">
        <v>88</v>
      </c>
      <c r="J182" s="14">
        <v>1</v>
      </c>
      <c r="K182" s="14">
        <v>1</v>
      </c>
      <c r="L182" s="14" t="s">
        <v>5591</v>
      </c>
      <c r="M182" s="14" t="s">
        <v>2695</v>
      </c>
      <c r="N182" s="14" t="s">
        <v>5592</v>
      </c>
      <c r="O182" s="14" t="s">
        <v>5593</v>
      </c>
      <c r="P182" s="14" t="str">
        <f>HYPERLINK("https://dexscreener.com/solana/7iPV4Q6RpvjY1jNx9brKV3R8UiYr6MXfLrbah7Krpump", "View")</f>
        <v>View</v>
      </c>
    </row>
    <row r="183" spans="1:16" x14ac:dyDescent="0.25">
      <c r="A183" s="16" t="s">
        <v>5594</v>
      </c>
      <c r="B183" s="17">
        <v>299621</v>
      </c>
      <c r="C183" s="17">
        <v>0</v>
      </c>
      <c r="D183" s="17" t="s">
        <v>4738</v>
      </c>
      <c r="E183" s="17" t="s">
        <v>4396</v>
      </c>
      <c r="F183" s="17" t="s">
        <v>96</v>
      </c>
      <c r="G183" s="18" t="s">
        <v>4739</v>
      </c>
      <c r="H183" s="18" t="s">
        <v>98</v>
      </c>
      <c r="I183" s="17" t="s">
        <v>5595</v>
      </c>
      <c r="J183" s="17">
        <v>1</v>
      </c>
      <c r="K183" s="17">
        <v>0</v>
      </c>
      <c r="L183" s="17" t="s">
        <v>5596</v>
      </c>
      <c r="M183" s="19" t="s">
        <v>101</v>
      </c>
      <c r="N183" s="17" t="s">
        <v>5597</v>
      </c>
      <c r="O183" s="17" t="s">
        <v>5598</v>
      </c>
      <c r="P183" s="17" t="str">
        <f>HYPERLINK("https://dexscreener.com/solana/fqrLRxCe1j5c44WJzLQnMcsjSNivwgTdvoAu9J3pump", "View")</f>
        <v>View</v>
      </c>
    </row>
    <row r="184" spans="1:16" x14ac:dyDescent="0.25">
      <c r="A184" s="13" t="s">
        <v>5599</v>
      </c>
      <c r="B184" s="14">
        <v>1720259</v>
      </c>
      <c r="C184" s="14">
        <v>929659</v>
      </c>
      <c r="D184" s="14" t="s">
        <v>4782</v>
      </c>
      <c r="E184" s="14" t="s">
        <v>5600</v>
      </c>
      <c r="F184" s="14" t="s">
        <v>5601</v>
      </c>
      <c r="G184" s="22" t="s">
        <v>5257</v>
      </c>
      <c r="H184" s="22" t="s">
        <v>5602</v>
      </c>
      <c r="I184" s="14" t="s">
        <v>88</v>
      </c>
      <c r="J184" s="14">
        <v>2</v>
      </c>
      <c r="K184" s="14">
        <v>1</v>
      </c>
      <c r="L184" s="14" t="s">
        <v>5603</v>
      </c>
      <c r="M184" s="14" t="s">
        <v>5604</v>
      </c>
      <c r="N184" s="14" t="s">
        <v>5605</v>
      </c>
      <c r="O184" s="14" t="s">
        <v>5606</v>
      </c>
      <c r="P184" s="14" t="str">
        <f>HYPERLINK("https://dexscreener.com/solana/GSXvsGygcMcbByTnGZqBtML9Ntj373bJtNXEfRrppump", "View")</f>
        <v>View</v>
      </c>
    </row>
    <row r="185" spans="1:16" x14ac:dyDescent="0.25">
      <c r="A185" s="16" t="s">
        <v>5607</v>
      </c>
      <c r="B185" s="17">
        <v>323376</v>
      </c>
      <c r="C185" s="17">
        <v>323376</v>
      </c>
      <c r="D185" s="17" t="s">
        <v>4782</v>
      </c>
      <c r="E185" s="17" t="s">
        <v>4396</v>
      </c>
      <c r="F185" s="17" t="s">
        <v>2699</v>
      </c>
      <c r="G185" s="21" t="s">
        <v>5608</v>
      </c>
      <c r="H185" s="21" t="s">
        <v>5609</v>
      </c>
      <c r="I185" s="17" t="s">
        <v>88</v>
      </c>
      <c r="J185" s="17">
        <v>1</v>
      </c>
      <c r="K185" s="17">
        <v>2</v>
      </c>
      <c r="L185" s="17" t="s">
        <v>5610</v>
      </c>
      <c r="M185" s="17" t="s">
        <v>680</v>
      </c>
      <c r="N185" s="17" t="s">
        <v>5611</v>
      </c>
      <c r="O185" s="17" t="s">
        <v>5612</v>
      </c>
      <c r="P185" s="17" t="str">
        <f>HYPERLINK("https://dexscreener.com/solana/CeDdQ9q6wXQiRWKQBvoY2sF6hQn3r2AKq1TGHFFgWbPn", "View")</f>
        <v>View</v>
      </c>
    </row>
    <row r="186" spans="1:16" x14ac:dyDescent="0.25">
      <c r="A186" s="13" t="s">
        <v>5613</v>
      </c>
      <c r="B186" s="14">
        <v>885081</v>
      </c>
      <c r="C186" s="14">
        <v>885081</v>
      </c>
      <c r="D186" s="14" t="s">
        <v>4754</v>
      </c>
      <c r="E186" s="14" t="s">
        <v>4396</v>
      </c>
      <c r="F186" s="14" t="s">
        <v>4147</v>
      </c>
      <c r="G186" s="15" t="s">
        <v>5614</v>
      </c>
      <c r="H186" s="15" t="s">
        <v>5615</v>
      </c>
      <c r="I186" s="14" t="s">
        <v>88</v>
      </c>
      <c r="J186" s="14">
        <v>1</v>
      </c>
      <c r="K186" s="14">
        <v>1</v>
      </c>
      <c r="L186" s="14" t="s">
        <v>5616</v>
      </c>
      <c r="M186" s="14" t="s">
        <v>980</v>
      </c>
      <c r="N186" s="14" t="s">
        <v>5617</v>
      </c>
      <c r="O186" s="14" t="s">
        <v>5618</v>
      </c>
      <c r="P186" s="14" t="str">
        <f>HYPERLINK("https://dexscreener.com/solana/2jdDQocnt8CXbavdx5CLWgf3M8wzVGijKt22hwgspump", "View")</f>
        <v>View</v>
      </c>
    </row>
    <row r="187" spans="1:16" x14ac:dyDescent="0.25">
      <c r="A187" s="16" t="s">
        <v>5619</v>
      </c>
      <c r="B187" s="17">
        <v>210106</v>
      </c>
      <c r="C187" s="17">
        <v>210106</v>
      </c>
      <c r="D187" s="17" t="s">
        <v>4782</v>
      </c>
      <c r="E187" s="17" t="s">
        <v>4396</v>
      </c>
      <c r="F187" s="17" t="s">
        <v>1816</v>
      </c>
      <c r="G187" s="22" t="s">
        <v>4687</v>
      </c>
      <c r="H187" s="22" t="s">
        <v>5620</v>
      </c>
      <c r="I187" s="17" t="s">
        <v>88</v>
      </c>
      <c r="J187" s="17">
        <v>1</v>
      </c>
      <c r="K187" s="17">
        <v>2</v>
      </c>
      <c r="L187" s="17" t="s">
        <v>5621</v>
      </c>
      <c r="M187" s="17" t="s">
        <v>680</v>
      </c>
      <c r="N187" s="17" t="s">
        <v>5622</v>
      </c>
      <c r="O187" s="17" t="s">
        <v>5623</v>
      </c>
      <c r="P187" s="17" t="str">
        <f>HYPERLINK("https://dexscreener.com/solana/EijUb7SgZgoyCe2KF8BzTsyrPH7DrAaZYNVD67SGpump", "View")</f>
        <v>View</v>
      </c>
    </row>
    <row r="188" spans="1:16" x14ac:dyDescent="0.25">
      <c r="A188" s="13" t="s">
        <v>5624</v>
      </c>
      <c r="B188" s="14">
        <v>197788</v>
      </c>
      <c r="C188" s="14">
        <v>98894</v>
      </c>
      <c r="D188" s="14" t="s">
        <v>4754</v>
      </c>
      <c r="E188" s="14" t="s">
        <v>4396</v>
      </c>
      <c r="F188" s="14" t="s">
        <v>2531</v>
      </c>
      <c r="G188" s="20" t="s">
        <v>5364</v>
      </c>
      <c r="H188" s="20" t="s">
        <v>5625</v>
      </c>
      <c r="I188" s="14" t="s">
        <v>88</v>
      </c>
      <c r="J188" s="14">
        <v>1</v>
      </c>
      <c r="K188" s="14">
        <v>1</v>
      </c>
      <c r="L188" s="14" t="s">
        <v>5626</v>
      </c>
      <c r="M188" s="14" t="s">
        <v>1566</v>
      </c>
      <c r="N188" s="14" t="s">
        <v>5627</v>
      </c>
      <c r="O188" s="14" t="s">
        <v>5628</v>
      </c>
      <c r="P188" s="14" t="str">
        <f>HYPERLINK("https://dexscreener.com/solana/DMro6sb9KXzRsHo4qqxiTQweTLcapHYFvAeDzqYBpump", "View")</f>
        <v>View</v>
      </c>
    </row>
    <row r="189" spans="1:16" x14ac:dyDescent="0.25">
      <c r="A189" s="16" t="s">
        <v>5629</v>
      </c>
      <c r="B189" s="17">
        <v>156706</v>
      </c>
      <c r="C189" s="17">
        <v>0</v>
      </c>
      <c r="D189" s="17" t="s">
        <v>4738</v>
      </c>
      <c r="E189" s="17" t="s">
        <v>4396</v>
      </c>
      <c r="F189" s="17" t="s">
        <v>96</v>
      </c>
      <c r="G189" s="18" t="s">
        <v>4739</v>
      </c>
      <c r="H189" s="18" t="s">
        <v>98</v>
      </c>
      <c r="I189" s="17" t="s">
        <v>5630</v>
      </c>
      <c r="J189" s="17">
        <v>1</v>
      </c>
      <c r="K189" s="17">
        <v>0</v>
      </c>
      <c r="L189" s="17" t="s">
        <v>5631</v>
      </c>
      <c r="M189" s="19" t="s">
        <v>101</v>
      </c>
      <c r="N189" s="17" t="s">
        <v>5632</v>
      </c>
      <c r="O189" s="17" t="s">
        <v>5633</v>
      </c>
      <c r="P189" s="17" t="str">
        <f>HYPERLINK("https://dexscreener.com/solana/H1tqLeomYW71YgHa9Zsm5DDnHnCngGAmkejVMHT7pump", "View")</f>
        <v>View</v>
      </c>
    </row>
    <row r="190" spans="1:16" x14ac:dyDescent="0.25">
      <c r="A190" s="13" t="s">
        <v>5634</v>
      </c>
      <c r="B190" s="14">
        <v>224302</v>
      </c>
      <c r="C190" s="14">
        <v>112151</v>
      </c>
      <c r="D190" s="14" t="s">
        <v>4754</v>
      </c>
      <c r="E190" s="14" t="s">
        <v>4396</v>
      </c>
      <c r="F190" s="14" t="s">
        <v>5635</v>
      </c>
      <c r="G190" s="22" t="s">
        <v>5024</v>
      </c>
      <c r="H190" s="22" t="s">
        <v>5636</v>
      </c>
      <c r="I190" s="14" t="s">
        <v>88</v>
      </c>
      <c r="J190" s="14">
        <v>1</v>
      </c>
      <c r="K190" s="14">
        <v>1</v>
      </c>
      <c r="L190" s="14" t="s">
        <v>5637</v>
      </c>
      <c r="M190" s="14" t="s">
        <v>1448</v>
      </c>
      <c r="N190" s="14" t="s">
        <v>5638</v>
      </c>
      <c r="O190" s="14" t="s">
        <v>5639</v>
      </c>
      <c r="P190" s="14" t="str">
        <f>HYPERLINK("https://dexscreener.com/solana/DiVdD5yfwQ3v2aHwUU6VUQEaLn89BpPWXaveMY1Wpump", "View")</f>
        <v>View</v>
      </c>
    </row>
    <row r="191" spans="1:16" x14ac:dyDescent="0.25">
      <c r="A191" s="16" t="s">
        <v>5640</v>
      </c>
      <c r="B191" s="17">
        <v>199694</v>
      </c>
      <c r="C191" s="17">
        <v>199694</v>
      </c>
      <c r="D191" s="17" t="s">
        <v>4782</v>
      </c>
      <c r="E191" s="17" t="s">
        <v>4396</v>
      </c>
      <c r="F191" s="17" t="s">
        <v>5641</v>
      </c>
      <c r="G191" s="21" t="s">
        <v>3965</v>
      </c>
      <c r="H191" s="21" t="s">
        <v>5642</v>
      </c>
      <c r="I191" s="17" t="s">
        <v>88</v>
      </c>
      <c r="J191" s="17">
        <v>1</v>
      </c>
      <c r="K191" s="17">
        <v>2</v>
      </c>
      <c r="L191" s="17" t="s">
        <v>5643</v>
      </c>
      <c r="M191" s="17" t="s">
        <v>5644</v>
      </c>
      <c r="N191" s="17" t="s">
        <v>5645</v>
      </c>
      <c r="O191" s="17" t="s">
        <v>5646</v>
      </c>
      <c r="P191" s="17" t="str">
        <f>HYPERLINK("https://dexscreener.com/solana/BxJ1rwhiiLfWQ9DFfsu8DVUHLkfkW3VH1hnJQP1xDcpq", "View")</f>
        <v>View</v>
      </c>
    </row>
    <row r="192" spans="1:16" x14ac:dyDescent="0.25">
      <c r="A192" s="13" t="s">
        <v>5647</v>
      </c>
      <c r="B192" s="14">
        <v>283722</v>
      </c>
      <c r="C192" s="14">
        <v>0</v>
      </c>
      <c r="D192" s="14" t="s">
        <v>4738</v>
      </c>
      <c r="E192" s="14" t="s">
        <v>4396</v>
      </c>
      <c r="F192" s="14" t="s">
        <v>96</v>
      </c>
      <c r="G192" s="18" t="s">
        <v>4739</v>
      </c>
      <c r="H192" s="18" t="s">
        <v>98</v>
      </c>
      <c r="I192" s="14" t="s">
        <v>5648</v>
      </c>
      <c r="J192" s="14">
        <v>1</v>
      </c>
      <c r="K192" s="14">
        <v>0</v>
      </c>
      <c r="L192" s="14" t="s">
        <v>5649</v>
      </c>
      <c r="M192" s="19" t="s">
        <v>101</v>
      </c>
      <c r="N192" s="14" t="s">
        <v>5564</v>
      </c>
      <c r="O192" s="14" t="s">
        <v>5650</v>
      </c>
      <c r="P192" s="14" t="str">
        <f>HYPERLINK("https://dexscreener.com/solana/6Zscc1zS3YemZMCx1QmUoQKmX7V5oZJ9MZ5vZb7Xpump", "View")</f>
        <v>View</v>
      </c>
    </row>
    <row r="193" spans="1:16" x14ac:dyDescent="0.25">
      <c r="A193" s="16" t="s">
        <v>5651</v>
      </c>
      <c r="B193" s="17">
        <v>42066</v>
      </c>
      <c r="C193" s="17">
        <v>42066</v>
      </c>
      <c r="D193" s="17" t="s">
        <v>4782</v>
      </c>
      <c r="E193" s="17" t="s">
        <v>4396</v>
      </c>
      <c r="F193" s="17" t="s">
        <v>5652</v>
      </c>
      <c r="G193" s="21" t="s">
        <v>5653</v>
      </c>
      <c r="H193" s="21" t="s">
        <v>5654</v>
      </c>
      <c r="I193" s="17" t="s">
        <v>88</v>
      </c>
      <c r="J193" s="17">
        <v>1</v>
      </c>
      <c r="K193" s="17">
        <v>2</v>
      </c>
      <c r="L193" s="17" t="s">
        <v>5655</v>
      </c>
      <c r="M193" s="17" t="s">
        <v>179</v>
      </c>
      <c r="N193" s="17" t="s">
        <v>5656</v>
      </c>
      <c r="O193" s="17" t="s">
        <v>5657</v>
      </c>
      <c r="P193" s="17" t="str">
        <f>HYPERLINK("https://dexscreener.com/solana/B2tekTmmhg9vQt5fofya5qP3j4CXsC26TFnez5Wnpump", "View")</f>
        <v>View</v>
      </c>
    </row>
    <row r="194" spans="1:16" x14ac:dyDescent="0.25">
      <c r="A194" s="13" t="s">
        <v>5658</v>
      </c>
      <c r="B194" s="14">
        <v>211145</v>
      </c>
      <c r="C194" s="14">
        <v>0</v>
      </c>
      <c r="D194" s="14" t="s">
        <v>4738</v>
      </c>
      <c r="E194" s="14" t="s">
        <v>4396</v>
      </c>
      <c r="F194" s="14" t="s">
        <v>96</v>
      </c>
      <c r="G194" s="18" t="s">
        <v>4739</v>
      </c>
      <c r="H194" s="18" t="s">
        <v>98</v>
      </c>
      <c r="I194" s="14" t="s">
        <v>5659</v>
      </c>
      <c r="J194" s="14">
        <v>1</v>
      </c>
      <c r="K194" s="14">
        <v>0</v>
      </c>
      <c r="L194" s="14" t="s">
        <v>5660</v>
      </c>
      <c r="M194" s="19" t="s">
        <v>101</v>
      </c>
      <c r="N194" s="14" t="s">
        <v>5661</v>
      </c>
      <c r="O194" s="14" t="s">
        <v>5662</v>
      </c>
      <c r="P194" s="14" t="str">
        <f>HYPERLINK("https://dexscreener.com/solana/6LzfE2aoeKqz1BWCv1CWW8hZx992dEEKHbtjNLVJpump", "View")</f>
        <v>View</v>
      </c>
    </row>
    <row r="195" spans="1:16" x14ac:dyDescent="0.25">
      <c r="A195" s="16" t="s">
        <v>5663</v>
      </c>
      <c r="B195" s="17">
        <v>440866</v>
      </c>
      <c r="C195" s="17">
        <v>0</v>
      </c>
      <c r="D195" s="17" t="s">
        <v>4738</v>
      </c>
      <c r="E195" s="17" t="s">
        <v>4660</v>
      </c>
      <c r="F195" s="17" t="s">
        <v>96</v>
      </c>
      <c r="G195" s="18" t="s">
        <v>3793</v>
      </c>
      <c r="H195" s="18" t="s">
        <v>98</v>
      </c>
      <c r="I195" s="17" t="s">
        <v>5664</v>
      </c>
      <c r="J195" s="17">
        <v>1</v>
      </c>
      <c r="K195" s="17">
        <v>0</v>
      </c>
      <c r="L195" s="17" t="s">
        <v>5665</v>
      </c>
      <c r="M195" s="19" t="s">
        <v>101</v>
      </c>
      <c r="N195" s="17" t="s">
        <v>5251</v>
      </c>
      <c r="O195" s="17" t="s">
        <v>5666</v>
      </c>
      <c r="P195" s="17" t="str">
        <f>HYPERLINK("https://photon-sol.tinyastro.io/en/lp/Mj8x7aV7bwrkZ4fLr3gC4MJmq8jmMyMCJLHCBbFpump?handle=676050794bc1b1657a56b", "View")</f>
        <v>View</v>
      </c>
    </row>
    <row r="196" spans="1:16" x14ac:dyDescent="0.25">
      <c r="A196" s="13" t="s">
        <v>5667</v>
      </c>
      <c r="B196" s="14">
        <v>1751257</v>
      </c>
      <c r="C196" s="14">
        <v>1340348</v>
      </c>
      <c r="D196" s="14" t="s">
        <v>5668</v>
      </c>
      <c r="E196" s="14" t="s">
        <v>4679</v>
      </c>
      <c r="F196" s="14" t="s">
        <v>4042</v>
      </c>
      <c r="G196" s="22" t="s">
        <v>4818</v>
      </c>
      <c r="H196" s="22" t="s">
        <v>5669</v>
      </c>
      <c r="I196" s="14" t="s">
        <v>88</v>
      </c>
      <c r="J196" s="14">
        <v>3</v>
      </c>
      <c r="K196" s="14">
        <v>2</v>
      </c>
      <c r="L196" s="14" t="s">
        <v>5670</v>
      </c>
      <c r="M196" s="14" t="s">
        <v>4393</v>
      </c>
      <c r="N196" s="14" t="s">
        <v>5671</v>
      </c>
      <c r="O196" s="14" t="s">
        <v>5672</v>
      </c>
      <c r="P196" s="14" t="str">
        <f>HYPERLINK("https://dexscreener.com/solana/H4as6Btk8xycJSSES4hhLEYvcbEnHiqD1xGsMU8Bpump", "View")</f>
        <v>View</v>
      </c>
    </row>
    <row r="197" spans="1:16" x14ac:dyDescent="0.25">
      <c r="A197" s="16" t="s">
        <v>5673</v>
      </c>
      <c r="B197" s="17">
        <v>1113509</v>
      </c>
      <c r="C197" s="17">
        <v>1113509</v>
      </c>
      <c r="D197" s="17" t="s">
        <v>4805</v>
      </c>
      <c r="E197" s="17" t="s">
        <v>5674</v>
      </c>
      <c r="F197" s="17" t="s">
        <v>5675</v>
      </c>
      <c r="G197" s="20" t="s">
        <v>3414</v>
      </c>
      <c r="H197" s="20" t="s">
        <v>5676</v>
      </c>
      <c r="I197" s="17" t="s">
        <v>88</v>
      </c>
      <c r="J197" s="17">
        <v>2</v>
      </c>
      <c r="K197" s="17">
        <v>2</v>
      </c>
      <c r="L197" s="17" t="s">
        <v>5677</v>
      </c>
      <c r="M197" s="17" t="s">
        <v>1478</v>
      </c>
      <c r="N197" s="17" t="s">
        <v>507</v>
      </c>
      <c r="O197" s="17" t="s">
        <v>5678</v>
      </c>
      <c r="P197" s="17" t="str">
        <f>HYPERLINK("https://photon-sol.tinyastro.io/en/lp/uFFzWZ9t9D5VECS291E6QHR4MygbCJTjtaDyDgwpump?handle=676050794bc1b1657a56b", "View")</f>
        <v>View</v>
      </c>
    </row>
    <row r="198" spans="1:16" x14ac:dyDescent="0.25">
      <c r="A198" s="13" t="s">
        <v>5679</v>
      </c>
      <c r="B198" s="14">
        <v>622411</v>
      </c>
      <c r="C198" s="14">
        <v>622411</v>
      </c>
      <c r="D198" s="14" t="s">
        <v>4754</v>
      </c>
      <c r="E198" s="14" t="s">
        <v>4396</v>
      </c>
      <c r="F198" s="14" t="s">
        <v>5680</v>
      </c>
      <c r="G198" s="20" t="s">
        <v>5681</v>
      </c>
      <c r="H198" s="20" t="s">
        <v>5682</v>
      </c>
      <c r="I198" s="14" t="s">
        <v>88</v>
      </c>
      <c r="J198" s="14">
        <v>1</v>
      </c>
      <c r="K198" s="14">
        <v>1</v>
      </c>
      <c r="L198" s="14" t="s">
        <v>5683</v>
      </c>
      <c r="M198" s="14" t="s">
        <v>4297</v>
      </c>
      <c r="N198" s="14" t="s">
        <v>5684</v>
      </c>
      <c r="O198" s="14" t="s">
        <v>5685</v>
      </c>
      <c r="P198" s="14" t="str">
        <f>HYPERLINK("https://dexscreener.com/solana/7DssKRwQJyyu93pwzMYA1bYMU7fTjbtkKQyLCdpppump", "View")</f>
        <v>View</v>
      </c>
    </row>
    <row r="199" spans="1:16" x14ac:dyDescent="0.25">
      <c r="A199" s="16" t="s">
        <v>5686</v>
      </c>
      <c r="B199" s="17">
        <v>169201</v>
      </c>
      <c r="C199" s="17">
        <v>169201</v>
      </c>
      <c r="D199" s="17" t="s">
        <v>4754</v>
      </c>
      <c r="E199" s="17" t="s">
        <v>4396</v>
      </c>
      <c r="F199" s="17" t="s">
        <v>5687</v>
      </c>
      <c r="G199" s="15" t="s">
        <v>2582</v>
      </c>
      <c r="H199" s="15" t="s">
        <v>4720</v>
      </c>
      <c r="I199" s="17" t="s">
        <v>88</v>
      </c>
      <c r="J199" s="17">
        <v>1</v>
      </c>
      <c r="K199" s="17">
        <v>1</v>
      </c>
      <c r="L199" s="17" t="s">
        <v>5688</v>
      </c>
      <c r="M199" s="17" t="s">
        <v>317</v>
      </c>
      <c r="N199" s="17" t="s">
        <v>5689</v>
      </c>
      <c r="O199" s="17" t="s">
        <v>5690</v>
      </c>
      <c r="P199" s="17" t="str">
        <f>HYPERLINK("https://dexscreener.com/solana/fXrocZXTrfUQ6ocGbM2z89ZXSZ5k6nxqM3Np1pZpump", "View")</f>
        <v>View</v>
      </c>
    </row>
    <row r="200" spans="1:16" x14ac:dyDescent="0.25">
      <c r="A200" s="13" t="s">
        <v>5691</v>
      </c>
      <c r="B200" s="14">
        <v>339815</v>
      </c>
      <c r="C200" s="14">
        <v>339815</v>
      </c>
      <c r="D200" s="14" t="s">
        <v>4754</v>
      </c>
      <c r="E200" s="14" t="s">
        <v>4919</v>
      </c>
      <c r="F200" s="14" t="s">
        <v>4482</v>
      </c>
      <c r="G200" s="20" t="s">
        <v>5692</v>
      </c>
      <c r="H200" s="20" t="s">
        <v>5693</v>
      </c>
      <c r="I200" s="14" t="s">
        <v>88</v>
      </c>
      <c r="J200" s="14">
        <v>1</v>
      </c>
      <c r="K200" s="14">
        <v>1</v>
      </c>
      <c r="L200" s="14" t="s">
        <v>5694</v>
      </c>
      <c r="M200" s="14" t="s">
        <v>5695</v>
      </c>
      <c r="N200" s="14" t="s">
        <v>5696</v>
      </c>
      <c r="O200" s="14" t="s">
        <v>5697</v>
      </c>
      <c r="P200" s="14" t="str">
        <f>HYPERLINK("https://photon-sol.tinyastro.io/en/lp/8xgCqhHtEi5tmd3X6oQ4zcCQjEAnTVazy5UkD5MApump?handle=676050794bc1b1657a56b", "View")</f>
        <v>View</v>
      </c>
    </row>
    <row r="201" spans="1:16" x14ac:dyDescent="0.25">
      <c r="A201" s="16" t="s">
        <v>5698</v>
      </c>
      <c r="B201" s="17">
        <v>760224</v>
      </c>
      <c r="C201" s="17">
        <v>760224</v>
      </c>
      <c r="D201" s="17" t="s">
        <v>4754</v>
      </c>
      <c r="E201" s="17" t="s">
        <v>4919</v>
      </c>
      <c r="F201" s="17" t="s">
        <v>5699</v>
      </c>
      <c r="G201" s="15" t="s">
        <v>3023</v>
      </c>
      <c r="H201" s="15" t="s">
        <v>5700</v>
      </c>
      <c r="I201" s="17" t="s">
        <v>88</v>
      </c>
      <c r="J201" s="17">
        <v>1</v>
      </c>
      <c r="K201" s="17">
        <v>1</v>
      </c>
      <c r="L201" s="17" t="s">
        <v>5701</v>
      </c>
      <c r="M201" s="17" t="s">
        <v>5702</v>
      </c>
      <c r="N201" s="17" t="s">
        <v>507</v>
      </c>
      <c r="O201" s="17" t="s">
        <v>5703</v>
      </c>
      <c r="P201" s="17" t="str">
        <f>HYPERLINK("https://photon-sol.tinyastro.io/en/lp/GSUvDq9EBbPsA58N6BLTBZP6oor96dZSDu2X7Zo4pump?handle=676050794bc1b1657a56b", "View")</f>
        <v>View</v>
      </c>
    </row>
    <row r="202" spans="1:16" x14ac:dyDescent="0.25">
      <c r="A202" s="13" t="s">
        <v>5704</v>
      </c>
      <c r="B202" s="14">
        <v>640320</v>
      </c>
      <c r="C202" s="14">
        <v>640320</v>
      </c>
      <c r="D202" s="14" t="s">
        <v>4754</v>
      </c>
      <c r="E202" s="14" t="s">
        <v>4919</v>
      </c>
      <c r="F202" s="14" t="s">
        <v>5705</v>
      </c>
      <c r="G202" s="15" t="s">
        <v>5706</v>
      </c>
      <c r="H202" s="15" t="s">
        <v>5707</v>
      </c>
      <c r="I202" s="14" t="s">
        <v>88</v>
      </c>
      <c r="J202" s="14">
        <v>1</v>
      </c>
      <c r="K202" s="14">
        <v>1</v>
      </c>
      <c r="L202" s="14" t="s">
        <v>5708</v>
      </c>
      <c r="M202" s="14" t="s">
        <v>132</v>
      </c>
      <c r="N202" s="14" t="s">
        <v>5709</v>
      </c>
      <c r="O202" s="14" t="s">
        <v>5710</v>
      </c>
      <c r="P202" s="14" t="str">
        <f>HYPERLINK("https://photon-sol.tinyastro.io/en/lp/3mkNHqzKhEic7dbqDZeLRdNwxZVKBnP14HSVMVzwpump?handle=676050794bc1b1657a56b", "View")</f>
        <v>View</v>
      </c>
    </row>
    <row r="203" spans="1:16" x14ac:dyDescent="0.25">
      <c r="A203" s="16" t="s">
        <v>5711</v>
      </c>
      <c r="B203" s="17">
        <v>559774</v>
      </c>
      <c r="C203" s="17">
        <v>559774</v>
      </c>
      <c r="D203" s="17" t="s">
        <v>4754</v>
      </c>
      <c r="E203" s="17" t="s">
        <v>4919</v>
      </c>
      <c r="F203" s="17" t="s">
        <v>2429</v>
      </c>
      <c r="G203" s="15" t="s">
        <v>4246</v>
      </c>
      <c r="H203" s="15" t="s">
        <v>5712</v>
      </c>
      <c r="I203" s="17" t="s">
        <v>88</v>
      </c>
      <c r="J203" s="17">
        <v>1</v>
      </c>
      <c r="K203" s="17">
        <v>1</v>
      </c>
      <c r="L203" s="17" t="s">
        <v>5713</v>
      </c>
      <c r="M203" s="17" t="s">
        <v>179</v>
      </c>
      <c r="N203" s="17" t="s">
        <v>507</v>
      </c>
      <c r="O203" s="17" t="s">
        <v>5714</v>
      </c>
      <c r="P203" s="17" t="str">
        <f>HYPERLINK("https://photon-sol.tinyastro.io/en/lp/FXQdys3HGuX1vWwLDivTmBCzpVrsBn3CQdebKVtQpump?handle=676050794bc1b1657a56b", "View")</f>
        <v>View</v>
      </c>
    </row>
    <row r="204" spans="1:16" x14ac:dyDescent="0.25">
      <c r="A204" s="13" t="s">
        <v>945</v>
      </c>
      <c r="B204" s="14">
        <v>23435</v>
      </c>
      <c r="C204" s="14">
        <v>23435</v>
      </c>
      <c r="D204" s="14" t="s">
        <v>4754</v>
      </c>
      <c r="E204" s="14" t="s">
        <v>4396</v>
      </c>
      <c r="F204" s="14" t="s">
        <v>5715</v>
      </c>
      <c r="G204" s="20" t="s">
        <v>5692</v>
      </c>
      <c r="H204" s="20" t="s">
        <v>5716</v>
      </c>
      <c r="I204" s="14" t="s">
        <v>88</v>
      </c>
      <c r="J204" s="14">
        <v>1</v>
      </c>
      <c r="K204" s="14">
        <v>1</v>
      </c>
      <c r="L204" s="14" t="s">
        <v>5717</v>
      </c>
      <c r="M204" s="14" t="s">
        <v>2695</v>
      </c>
      <c r="N204" s="14" t="s">
        <v>5718</v>
      </c>
      <c r="O204" s="14" t="s">
        <v>949</v>
      </c>
      <c r="P204" s="14" t="str">
        <f>HYPERLINK("https://dexscreener.com/solana/GDEuw8cG6TyAE3hwbFYmTEGVSHWHohLVPkQ3anTBpump", "View")</f>
        <v>View</v>
      </c>
    </row>
    <row r="205" spans="1:16" x14ac:dyDescent="0.25">
      <c r="A205" s="16" t="s">
        <v>5719</v>
      </c>
      <c r="B205" s="17">
        <v>1347882</v>
      </c>
      <c r="C205" s="17">
        <v>1347882</v>
      </c>
      <c r="D205" s="17" t="s">
        <v>4782</v>
      </c>
      <c r="E205" s="17" t="s">
        <v>3275</v>
      </c>
      <c r="F205" s="17" t="s">
        <v>5720</v>
      </c>
      <c r="G205" s="21" t="s">
        <v>5721</v>
      </c>
      <c r="H205" s="21" t="s">
        <v>5722</v>
      </c>
      <c r="I205" s="17" t="s">
        <v>88</v>
      </c>
      <c r="J205" s="17">
        <v>1</v>
      </c>
      <c r="K205" s="17">
        <v>2</v>
      </c>
      <c r="L205" s="17" t="s">
        <v>5723</v>
      </c>
      <c r="M205" s="17" t="s">
        <v>179</v>
      </c>
      <c r="N205" s="17" t="s">
        <v>5724</v>
      </c>
      <c r="O205" s="17" t="s">
        <v>5725</v>
      </c>
      <c r="P205" s="17" t="str">
        <f>HYPERLINK("https://photon-sol.tinyastro.io/en/lp/29Jy4A9X8gS1JDroW21JdGgT4bM4Wv5Q7ydXPZJ9pump?handle=676050794bc1b1657a56b", "View")</f>
        <v>View</v>
      </c>
    </row>
    <row r="206" spans="1:16" x14ac:dyDescent="0.25">
      <c r="A206" s="13" t="s">
        <v>5726</v>
      </c>
      <c r="B206" s="14">
        <v>4757</v>
      </c>
      <c r="C206" s="14">
        <v>4757</v>
      </c>
      <c r="D206" s="14" t="s">
        <v>4754</v>
      </c>
      <c r="E206" s="14" t="s">
        <v>4396</v>
      </c>
      <c r="F206" s="14" t="s">
        <v>5139</v>
      </c>
      <c r="G206" s="21" t="s">
        <v>5140</v>
      </c>
      <c r="H206" s="21" t="s">
        <v>5727</v>
      </c>
      <c r="I206" s="14" t="s">
        <v>88</v>
      </c>
      <c r="J206" s="14">
        <v>1</v>
      </c>
      <c r="K206" s="14">
        <v>1</v>
      </c>
      <c r="L206" s="14" t="s">
        <v>5728</v>
      </c>
      <c r="M206" s="14" t="s">
        <v>5729</v>
      </c>
      <c r="N206" s="14" t="s">
        <v>5730</v>
      </c>
      <c r="O206" s="14" t="s">
        <v>5731</v>
      </c>
      <c r="P206" s="14" t="str">
        <f>HYPERLINK("https://dexscreener.com/solana/9pWPUXoZKWNPWyaegPQeR3Kn8aFz9nrGtm5jeAFzpump", "View")</f>
        <v>View</v>
      </c>
    </row>
    <row r="207" spans="1:16" x14ac:dyDescent="0.25">
      <c r="A207" s="16" t="s">
        <v>5732</v>
      </c>
      <c r="B207" s="17">
        <v>12880</v>
      </c>
      <c r="C207" s="17">
        <v>12880</v>
      </c>
      <c r="D207" s="17" t="s">
        <v>4754</v>
      </c>
      <c r="E207" s="17" t="s">
        <v>4396</v>
      </c>
      <c r="F207" s="17" t="s">
        <v>2347</v>
      </c>
      <c r="G207" s="20" t="s">
        <v>5733</v>
      </c>
      <c r="H207" s="20" t="s">
        <v>5734</v>
      </c>
      <c r="I207" s="17" t="s">
        <v>88</v>
      </c>
      <c r="J207" s="17">
        <v>1</v>
      </c>
      <c r="K207" s="17">
        <v>1</v>
      </c>
      <c r="L207" s="17" t="s">
        <v>5735</v>
      </c>
      <c r="M207" s="17" t="s">
        <v>4922</v>
      </c>
      <c r="N207" s="17" t="s">
        <v>507</v>
      </c>
      <c r="O207" s="17" t="s">
        <v>5736</v>
      </c>
      <c r="P207" s="17" t="str">
        <f>HYPERLINK("https://dexscreener.com/solana/G46yFYDNPDeHsmnJhaZfsYnAm2VEcn6tmPTMHhFgpump", "View")</f>
        <v>View</v>
      </c>
    </row>
    <row r="208" spans="1:16" x14ac:dyDescent="0.25">
      <c r="A208" s="13" t="s">
        <v>5737</v>
      </c>
      <c r="B208" s="14">
        <v>114282</v>
      </c>
      <c r="C208" s="14">
        <v>0</v>
      </c>
      <c r="D208" s="14" t="s">
        <v>4738</v>
      </c>
      <c r="E208" s="14" t="s">
        <v>4396</v>
      </c>
      <c r="F208" s="14" t="s">
        <v>96</v>
      </c>
      <c r="G208" s="18" t="s">
        <v>4739</v>
      </c>
      <c r="H208" s="18" t="s">
        <v>98</v>
      </c>
      <c r="I208" s="14" t="s">
        <v>5738</v>
      </c>
      <c r="J208" s="14">
        <v>1</v>
      </c>
      <c r="K208" s="14">
        <v>0</v>
      </c>
      <c r="L208" s="14" t="s">
        <v>5739</v>
      </c>
      <c r="M208" s="19" t="s">
        <v>101</v>
      </c>
      <c r="N208" s="14" t="s">
        <v>5156</v>
      </c>
      <c r="O208" s="14" t="s">
        <v>5740</v>
      </c>
      <c r="P208" s="14" t="str">
        <f>HYPERLINK("https://dexscreener.com/solana/BBBgdpBJhdm8qFTAEfyRRaCpmJ9Qecachc7YuqQRpump", "View")</f>
        <v>View</v>
      </c>
    </row>
    <row r="209" spans="1:16" x14ac:dyDescent="0.25">
      <c r="A209" s="16" t="s">
        <v>5741</v>
      </c>
      <c r="B209" s="17">
        <v>618917</v>
      </c>
      <c r="C209" s="17">
        <v>618917</v>
      </c>
      <c r="D209" s="17" t="s">
        <v>4782</v>
      </c>
      <c r="E209" s="17" t="s">
        <v>4665</v>
      </c>
      <c r="F209" s="17" t="s">
        <v>5139</v>
      </c>
      <c r="G209" s="20" t="s">
        <v>5231</v>
      </c>
      <c r="H209" s="20" t="s">
        <v>5742</v>
      </c>
      <c r="I209" s="17" t="s">
        <v>88</v>
      </c>
      <c r="J209" s="17">
        <v>2</v>
      </c>
      <c r="K209" s="17">
        <v>1</v>
      </c>
      <c r="L209" s="17" t="s">
        <v>5743</v>
      </c>
      <c r="M209" s="17" t="s">
        <v>4413</v>
      </c>
      <c r="N209" s="17" t="s">
        <v>5744</v>
      </c>
      <c r="O209" s="17" t="s">
        <v>5745</v>
      </c>
      <c r="P209" s="17" t="str">
        <f>HYPERLINK("https://dexscreener.com/solana/5LdiRaZWFwazmYN7KLb1BHk78s6dhjRsnft7Cb5Apump", "View")</f>
        <v>View</v>
      </c>
    </row>
    <row r="210" spans="1:16" x14ac:dyDescent="0.25">
      <c r="A210" s="13" t="s">
        <v>1045</v>
      </c>
      <c r="B210" s="14">
        <v>283685</v>
      </c>
      <c r="C210" s="14">
        <v>283685</v>
      </c>
      <c r="D210" s="14" t="s">
        <v>4782</v>
      </c>
      <c r="E210" s="14" t="s">
        <v>4665</v>
      </c>
      <c r="F210" s="14" t="s">
        <v>5746</v>
      </c>
      <c r="G210" s="15" t="s">
        <v>5747</v>
      </c>
      <c r="H210" s="15" t="s">
        <v>5748</v>
      </c>
      <c r="I210" s="14" t="s">
        <v>88</v>
      </c>
      <c r="J210" s="14">
        <v>2</v>
      </c>
      <c r="K210" s="14">
        <v>1</v>
      </c>
      <c r="L210" s="14" t="s">
        <v>5749</v>
      </c>
      <c r="M210" s="14" t="s">
        <v>3180</v>
      </c>
      <c r="N210" s="14" t="s">
        <v>5750</v>
      </c>
      <c r="O210" s="14" t="s">
        <v>1049</v>
      </c>
      <c r="P210" s="14" t="str">
        <f>HYPERLINK("https://dexscreener.com/solana/CKDnn4zTnfSXdeSmJAEQdUyxHH3Lp3pSpYRzizNbpump", "View")</f>
        <v>View</v>
      </c>
    </row>
    <row r="211" spans="1:16" x14ac:dyDescent="0.25">
      <c r="A211" s="16" t="s">
        <v>5751</v>
      </c>
      <c r="B211" s="17">
        <v>734912</v>
      </c>
      <c r="C211" s="17">
        <v>734912</v>
      </c>
      <c r="D211" s="17" t="s">
        <v>4754</v>
      </c>
      <c r="E211" s="17" t="s">
        <v>4396</v>
      </c>
      <c r="F211" s="17" t="s">
        <v>5752</v>
      </c>
      <c r="G211" s="22" t="s">
        <v>5753</v>
      </c>
      <c r="H211" s="22" t="s">
        <v>5754</v>
      </c>
      <c r="I211" s="17" t="s">
        <v>88</v>
      </c>
      <c r="J211" s="17">
        <v>1</v>
      </c>
      <c r="K211" s="17">
        <v>1</v>
      </c>
      <c r="L211" s="17" t="s">
        <v>5755</v>
      </c>
      <c r="M211" s="17" t="s">
        <v>4503</v>
      </c>
      <c r="N211" s="17" t="s">
        <v>5756</v>
      </c>
      <c r="O211" s="17" t="s">
        <v>5757</v>
      </c>
      <c r="P211" s="17" t="str">
        <f>HYPERLINK("https://dexscreener.com/solana/HVqkGQhJZdL1NK15TCipwooDV7TQ1mSfjfUW6fMBpump", "View")</f>
        <v>View</v>
      </c>
    </row>
    <row r="212" spans="1:16" x14ac:dyDescent="0.25">
      <c r="A212" s="13" t="s">
        <v>5758</v>
      </c>
      <c r="B212" s="14">
        <v>160455</v>
      </c>
      <c r="C212" s="14">
        <v>160455</v>
      </c>
      <c r="D212" s="14" t="s">
        <v>4754</v>
      </c>
      <c r="E212" s="14" t="s">
        <v>4396</v>
      </c>
      <c r="F212" s="14" t="s">
        <v>3556</v>
      </c>
      <c r="G212" s="20" t="s">
        <v>1616</v>
      </c>
      <c r="H212" s="20" t="s">
        <v>5759</v>
      </c>
      <c r="I212" s="14" t="s">
        <v>88</v>
      </c>
      <c r="J212" s="14">
        <v>1</v>
      </c>
      <c r="K212" s="14">
        <v>1</v>
      </c>
      <c r="L212" s="14" t="s">
        <v>5760</v>
      </c>
      <c r="M212" s="14" t="s">
        <v>2984</v>
      </c>
      <c r="N212" s="14" t="s">
        <v>5761</v>
      </c>
      <c r="O212" s="14" t="s">
        <v>5762</v>
      </c>
      <c r="P212" s="14" t="str">
        <f>HYPERLINK("https://dexscreener.com/solana/DUm61kKfaRfeTTUueYyf67ZYWVWKDDiZKxde765ipump", "View")</f>
        <v>View</v>
      </c>
    </row>
    <row r="213" spans="1:16" x14ac:dyDescent="0.25">
      <c r="A213" s="16" t="s">
        <v>5763</v>
      </c>
      <c r="B213" s="17">
        <v>714166</v>
      </c>
      <c r="C213" s="17">
        <v>714166</v>
      </c>
      <c r="D213" s="17" t="s">
        <v>4754</v>
      </c>
      <c r="E213" s="17" t="s">
        <v>4396</v>
      </c>
      <c r="F213" s="17" t="s">
        <v>3979</v>
      </c>
      <c r="G213" s="20" t="s">
        <v>5764</v>
      </c>
      <c r="H213" s="20" t="s">
        <v>5765</v>
      </c>
      <c r="I213" s="17" t="s">
        <v>88</v>
      </c>
      <c r="J213" s="17">
        <v>1</v>
      </c>
      <c r="K213" s="17">
        <v>1</v>
      </c>
      <c r="L213" s="17" t="s">
        <v>5766</v>
      </c>
      <c r="M213" s="17" t="s">
        <v>699</v>
      </c>
      <c r="N213" s="17" t="s">
        <v>5767</v>
      </c>
      <c r="O213" s="17" t="s">
        <v>5768</v>
      </c>
      <c r="P213" s="17" t="str">
        <f>HYPERLINK("https://dexscreener.com/solana/4cRkQ2dntpusYag6Zmvco8T78WxK9Jqh1eEZJox8pump", "View")</f>
        <v>View</v>
      </c>
    </row>
    <row r="214" spans="1:16" x14ac:dyDescent="0.25">
      <c r="A214" s="13" t="s">
        <v>5769</v>
      </c>
      <c r="B214" s="14">
        <v>122970</v>
      </c>
      <c r="C214" s="14">
        <v>0</v>
      </c>
      <c r="D214" s="14" t="s">
        <v>4738</v>
      </c>
      <c r="E214" s="14" t="s">
        <v>4396</v>
      </c>
      <c r="F214" s="14" t="s">
        <v>96</v>
      </c>
      <c r="G214" s="18" t="s">
        <v>4739</v>
      </c>
      <c r="H214" s="18" t="s">
        <v>98</v>
      </c>
      <c r="I214" s="14" t="s">
        <v>5770</v>
      </c>
      <c r="J214" s="14">
        <v>1</v>
      </c>
      <c r="K214" s="14">
        <v>0</v>
      </c>
      <c r="L214" s="14" t="s">
        <v>5771</v>
      </c>
      <c r="M214" s="19" t="s">
        <v>101</v>
      </c>
      <c r="N214" s="14" t="s">
        <v>4897</v>
      </c>
      <c r="O214" s="14" t="s">
        <v>5772</v>
      </c>
      <c r="P214" s="14" t="str">
        <f>HYPERLINK("https://dexscreener.com/solana/7WKV854wEXTPywYE9UTECtVRLkH9Cqf86PEBzRfgpump", "View")</f>
        <v>View</v>
      </c>
    </row>
    <row r="215" spans="1:16" x14ac:dyDescent="0.25">
      <c r="A215" s="16" t="s">
        <v>5773</v>
      </c>
      <c r="B215" s="17">
        <v>81969</v>
      </c>
      <c r="C215" s="17">
        <v>0</v>
      </c>
      <c r="D215" s="17" t="s">
        <v>4738</v>
      </c>
      <c r="E215" s="17" t="s">
        <v>4396</v>
      </c>
      <c r="F215" s="17" t="s">
        <v>96</v>
      </c>
      <c r="G215" s="18" t="s">
        <v>4739</v>
      </c>
      <c r="H215" s="18" t="s">
        <v>98</v>
      </c>
      <c r="I215" s="17" t="s">
        <v>5774</v>
      </c>
      <c r="J215" s="17">
        <v>1</v>
      </c>
      <c r="K215" s="17">
        <v>0</v>
      </c>
      <c r="L215" s="17" t="s">
        <v>5775</v>
      </c>
      <c r="M215" s="19" t="s">
        <v>101</v>
      </c>
      <c r="N215" s="17" t="s">
        <v>5776</v>
      </c>
      <c r="O215" s="17" t="s">
        <v>5777</v>
      </c>
      <c r="P215" s="17" t="str">
        <f>HYPERLINK("https://dexscreener.com/solana/4NBfgeyFkYgEB85xKpMJkXUrqLKTxinS2CnvQMrWpump", "View")</f>
        <v>View</v>
      </c>
    </row>
    <row r="216" spans="1:16" x14ac:dyDescent="0.25">
      <c r="A216" s="13" t="s">
        <v>5778</v>
      </c>
      <c r="B216" s="14">
        <v>597278</v>
      </c>
      <c r="C216" s="14">
        <v>597278</v>
      </c>
      <c r="D216" s="14" t="s">
        <v>4754</v>
      </c>
      <c r="E216" s="14" t="s">
        <v>4396</v>
      </c>
      <c r="F216" s="14" t="s">
        <v>3556</v>
      </c>
      <c r="G216" s="20" t="s">
        <v>1616</v>
      </c>
      <c r="H216" s="20" t="s">
        <v>5779</v>
      </c>
      <c r="I216" s="14" t="s">
        <v>88</v>
      </c>
      <c r="J216" s="14">
        <v>1</v>
      </c>
      <c r="K216" s="14">
        <v>1</v>
      </c>
      <c r="L216" s="14" t="s">
        <v>5780</v>
      </c>
      <c r="M216" s="14" t="s">
        <v>745</v>
      </c>
      <c r="N216" s="14" t="s">
        <v>5781</v>
      </c>
      <c r="O216" s="14" t="s">
        <v>5782</v>
      </c>
      <c r="P216" s="14" t="str">
        <f>HYPERLINK("https://dexscreener.com/solana/F56CBPrnvvbs88zqnno97r9ybnh58RSeSxz63eoapump", "View")</f>
        <v>View</v>
      </c>
    </row>
    <row r="217" spans="1:16" x14ac:dyDescent="0.25">
      <c r="A217" s="16" t="s">
        <v>5783</v>
      </c>
      <c r="B217" s="17">
        <v>347059</v>
      </c>
      <c r="C217" s="17">
        <v>0</v>
      </c>
      <c r="D217" s="17" t="s">
        <v>4738</v>
      </c>
      <c r="E217" s="17" t="s">
        <v>4396</v>
      </c>
      <c r="F217" s="17" t="s">
        <v>96</v>
      </c>
      <c r="G217" s="18" t="s">
        <v>4739</v>
      </c>
      <c r="H217" s="18" t="s">
        <v>98</v>
      </c>
      <c r="I217" s="17" t="s">
        <v>5784</v>
      </c>
      <c r="J217" s="17">
        <v>1</v>
      </c>
      <c r="K217" s="17">
        <v>0</v>
      </c>
      <c r="L217" s="17" t="s">
        <v>5785</v>
      </c>
      <c r="M217" s="19" t="s">
        <v>101</v>
      </c>
      <c r="N217" s="17" t="s">
        <v>1454</v>
      </c>
      <c r="O217" s="17" t="s">
        <v>5786</v>
      </c>
      <c r="P217" s="17" t="str">
        <f>HYPERLINK("https://dexscreener.com/solana/YcRmYguNXBLH4ZBLGn26MifpEpX3uUcVPnRLmKWpump", "View")</f>
        <v>View</v>
      </c>
    </row>
    <row r="218" spans="1:16" x14ac:dyDescent="0.25">
      <c r="A218" s="13" t="s">
        <v>5787</v>
      </c>
      <c r="B218" s="14">
        <v>523672</v>
      </c>
      <c r="C218" s="14">
        <v>0</v>
      </c>
      <c r="D218" s="14" t="s">
        <v>4738</v>
      </c>
      <c r="E218" s="14" t="s">
        <v>4919</v>
      </c>
      <c r="F218" s="14" t="s">
        <v>96</v>
      </c>
      <c r="G218" s="18" t="s">
        <v>5299</v>
      </c>
      <c r="H218" s="18" t="s">
        <v>98</v>
      </c>
      <c r="I218" s="14" t="s">
        <v>5788</v>
      </c>
      <c r="J218" s="14">
        <v>1</v>
      </c>
      <c r="K218" s="14">
        <v>0</v>
      </c>
      <c r="L218" s="14" t="s">
        <v>5789</v>
      </c>
      <c r="M218" s="19" t="s">
        <v>101</v>
      </c>
      <c r="N218" s="14" t="s">
        <v>4534</v>
      </c>
      <c r="O218" s="14" t="s">
        <v>5790</v>
      </c>
      <c r="P218" s="14" t="str">
        <f>HYPERLINK("https://photon-sol.tinyastro.io/en/lp/vftr14mBtnsH393oS7Zy5M6pyofE7VbeAgnM4GbbuLL?handle=676050794bc1b1657a56b", "View")</f>
        <v>View</v>
      </c>
    </row>
    <row r="219" spans="1:16" x14ac:dyDescent="0.25">
      <c r="A219" s="16" t="s">
        <v>5791</v>
      </c>
      <c r="B219" s="17">
        <v>265697</v>
      </c>
      <c r="C219" s="17">
        <v>0</v>
      </c>
      <c r="D219" s="17" t="s">
        <v>4738</v>
      </c>
      <c r="E219" s="17" t="s">
        <v>4396</v>
      </c>
      <c r="F219" s="17" t="s">
        <v>96</v>
      </c>
      <c r="G219" s="18" t="s">
        <v>4739</v>
      </c>
      <c r="H219" s="18" t="s">
        <v>98</v>
      </c>
      <c r="I219" s="17" t="s">
        <v>5792</v>
      </c>
      <c r="J219" s="17">
        <v>1</v>
      </c>
      <c r="K219" s="17">
        <v>0</v>
      </c>
      <c r="L219" s="17" t="s">
        <v>5793</v>
      </c>
      <c r="M219" s="19" t="s">
        <v>101</v>
      </c>
      <c r="N219" s="17" t="s">
        <v>5090</v>
      </c>
      <c r="O219" s="17" t="s">
        <v>5794</v>
      </c>
      <c r="P219" s="17" t="str">
        <f>HYPERLINK("https://dexscreener.com/solana/B25eZveFnJds8gkfv8n7YddPVg3qSCRQXMr4cop6pump", "View")</f>
        <v>View</v>
      </c>
    </row>
    <row r="220" spans="1:16" x14ac:dyDescent="0.25">
      <c r="A220" s="13" t="s">
        <v>5795</v>
      </c>
      <c r="B220" s="14">
        <v>521075</v>
      </c>
      <c r="C220" s="14">
        <v>0</v>
      </c>
      <c r="D220" s="14" t="s">
        <v>4738</v>
      </c>
      <c r="E220" s="14" t="s">
        <v>4665</v>
      </c>
      <c r="F220" s="14" t="s">
        <v>96</v>
      </c>
      <c r="G220" s="18" t="s">
        <v>4929</v>
      </c>
      <c r="H220" s="18" t="s">
        <v>98</v>
      </c>
      <c r="I220" s="14" t="s">
        <v>5796</v>
      </c>
      <c r="J220" s="14">
        <v>1</v>
      </c>
      <c r="K220" s="14">
        <v>0</v>
      </c>
      <c r="L220" s="14" t="s">
        <v>5797</v>
      </c>
      <c r="M220" s="19" t="s">
        <v>101</v>
      </c>
      <c r="N220" s="14" t="s">
        <v>5798</v>
      </c>
      <c r="O220" s="14" t="s">
        <v>5799</v>
      </c>
      <c r="P220" s="14" t="str">
        <f>HYPERLINK("https://dexscreener.com/solana/A5WfQoua5C7YRag9BfEsPz9E8K9ctpodiezUabiSpump", "View")</f>
        <v>View</v>
      </c>
    </row>
    <row r="221" spans="1:16" x14ac:dyDescent="0.25">
      <c r="A221" s="16" t="s">
        <v>5800</v>
      </c>
      <c r="B221" s="17">
        <v>183842</v>
      </c>
      <c r="C221" s="17">
        <v>183842</v>
      </c>
      <c r="D221" s="17" t="s">
        <v>4754</v>
      </c>
      <c r="E221" s="17" t="s">
        <v>4396</v>
      </c>
      <c r="F221" s="17" t="s">
        <v>5425</v>
      </c>
      <c r="G221" s="20" t="s">
        <v>5801</v>
      </c>
      <c r="H221" s="20" t="s">
        <v>5802</v>
      </c>
      <c r="I221" s="17" t="s">
        <v>88</v>
      </c>
      <c r="J221" s="17">
        <v>1</v>
      </c>
      <c r="K221" s="17">
        <v>1</v>
      </c>
      <c r="L221" s="17" t="s">
        <v>5803</v>
      </c>
      <c r="M221" s="19" t="s">
        <v>3033</v>
      </c>
      <c r="N221" s="17" t="s">
        <v>5804</v>
      </c>
      <c r="O221" s="17" t="s">
        <v>5805</v>
      </c>
      <c r="P221" s="17" t="str">
        <f>HYPERLINK("https://dexscreener.com/solana/9WHuDHkgrKCzdzBjg2LzGyyNvXvHBkChSoTRtFnxpump", "View")</f>
        <v>View</v>
      </c>
    </row>
    <row r="222" spans="1:16" x14ac:dyDescent="0.25">
      <c r="A222" s="13" t="s">
        <v>5806</v>
      </c>
      <c r="B222" s="14">
        <v>1570959</v>
      </c>
      <c r="C222" s="14">
        <v>1570959</v>
      </c>
      <c r="D222" s="14" t="s">
        <v>4754</v>
      </c>
      <c r="E222" s="14" t="s">
        <v>5534</v>
      </c>
      <c r="F222" s="14" t="s">
        <v>5699</v>
      </c>
      <c r="G222" s="15" t="s">
        <v>3880</v>
      </c>
      <c r="H222" s="15" t="s">
        <v>5807</v>
      </c>
      <c r="I222" s="14" t="s">
        <v>88</v>
      </c>
      <c r="J222" s="14">
        <v>1</v>
      </c>
      <c r="K222" s="14">
        <v>1</v>
      </c>
      <c r="L222" s="14" t="s">
        <v>5808</v>
      </c>
      <c r="M222" s="14" t="s">
        <v>231</v>
      </c>
      <c r="N222" s="14" t="s">
        <v>5809</v>
      </c>
      <c r="O222" s="14" t="s">
        <v>5810</v>
      </c>
      <c r="P222" s="14" t="str">
        <f>HYPERLINK("https://photon-sol.tinyastro.io/en/lp/Eb9431kXGR1UhgrqKgiUhj4jpygZHvznAL3BTL8epump?handle=676050794bc1b1657a56b", "View")</f>
        <v>View</v>
      </c>
    </row>
    <row r="223" spans="1:16" x14ac:dyDescent="0.25">
      <c r="A223" s="16" t="s">
        <v>5811</v>
      </c>
      <c r="B223" s="17">
        <v>229670</v>
      </c>
      <c r="C223" s="17">
        <v>114835</v>
      </c>
      <c r="D223" s="17" t="s">
        <v>4754</v>
      </c>
      <c r="E223" s="17" t="s">
        <v>4396</v>
      </c>
      <c r="F223" s="17" t="s">
        <v>4020</v>
      </c>
      <c r="G223" s="20" t="s">
        <v>4962</v>
      </c>
      <c r="H223" s="20" t="s">
        <v>5812</v>
      </c>
      <c r="I223" s="17" t="s">
        <v>88</v>
      </c>
      <c r="J223" s="17">
        <v>1</v>
      </c>
      <c r="K223" s="17">
        <v>1</v>
      </c>
      <c r="L223" s="17" t="s">
        <v>5813</v>
      </c>
      <c r="M223" s="19" t="s">
        <v>1730</v>
      </c>
      <c r="N223" s="17" t="s">
        <v>5814</v>
      </c>
      <c r="O223" s="17" t="s">
        <v>5815</v>
      </c>
      <c r="P223" s="17" t="str">
        <f>HYPERLINK("https://dexscreener.com/solana/8Yw6DLo78azt2ihFsSTCiPUJuzvbN7f2EG89NjdEpump", "View")</f>
        <v>View</v>
      </c>
    </row>
    <row r="224" spans="1:16" x14ac:dyDescent="0.25">
      <c r="A224" s="13" t="s">
        <v>5816</v>
      </c>
      <c r="B224" s="14">
        <v>401847</v>
      </c>
      <c r="C224" s="14">
        <v>0</v>
      </c>
      <c r="D224" s="14" t="s">
        <v>4738</v>
      </c>
      <c r="E224" s="14" t="s">
        <v>3845</v>
      </c>
      <c r="F224" s="14" t="s">
        <v>96</v>
      </c>
      <c r="G224" s="18" t="s">
        <v>4755</v>
      </c>
      <c r="H224" s="18" t="s">
        <v>98</v>
      </c>
      <c r="I224" s="14" t="s">
        <v>5817</v>
      </c>
      <c r="J224" s="14">
        <v>1</v>
      </c>
      <c r="K224" s="14">
        <v>0</v>
      </c>
      <c r="L224" s="14" t="s">
        <v>5818</v>
      </c>
      <c r="M224" s="19" t="s">
        <v>101</v>
      </c>
      <c r="N224" s="14" t="s">
        <v>5392</v>
      </c>
      <c r="O224" s="14" t="s">
        <v>5819</v>
      </c>
      <c r="P224" s="14" t="str">
        <f>HYPERLINK("https://photon-sol.tinyastro.io/en/lp/AZdrMvw6sMTHNZZJepQZTJhxRCRBmfo8JENA8GJM9uYD?handle=676050794bc1b1657a56b", "View")</f>
        <v>View</v>
      </c>
    </row>
    <row r="225" spans="1:16" x14ac:dyDescent="0.25">
      <c r="A225" s="16" t="s">
        <v>5820</v>
      </c>
      <c r="B225" s="17">
        <v>140620</v>
      </c>
      <c r="C225" s="17">
        <v>140620</v>
      </c>
      <c r="D225" s="17" t="s">
        <v>4754</v>
      </c>
      <c r="E225" s="17" t="s">
        <v>4396</v>
      </c>
      <c r="F225" s="17" t="s">
        <v>5821</v>
      </c>
      <c r="G225" s="21" t="s">
        <v>5822</v>
      </c>
      <c r="H225" s="21" t="s">
        <v>5823</v>
      </c>
      <c r="I225" s="17" t="s">
        <v>88</v>
      </c>
      <c r="J225" s="17">
        <v>1</v>
      </c>
      <c r="K225" s="17">
        <v>1</v>
      </c>
      <c r="L225" s="17" t="s">
        <v>5824</v>
      </c>
      <c r="M225" s="17" t="s">
        <v>117</v>
      </c>
      <c r="N225" s="17" t="s">
        <v>5825</v>
      </c>
      <c r="O225" s="17" t="s">
        <v>5826</v>
      </c>
      <c r="P225" s="17" t="str">
        <f>HYPERLINK("https://dexscreener.com/solana/7rHkp4hUV7UfER7Ng7m6FqKkq5oviFcijsya79tPpump", "View")</f>
        <v>View</v>
      </c>
    </row>
    <row r="226" spans="1:16" x14ac:dyDescent="0.25">
      <c r="A226" s="13" t="s">
        <v>5827</v>
      </c>
      <c r="B226" s="14">
        <v>167368</v>
      </c>
      <c r="C226" s="14">
        <v>0</v>
      </c>
      <c r="D226" s="14" t="s">
        <v>4738</v>
      </c>
      <c r="E226" s="14" t="s">
        <v>4396</v>
      </c>
      <c r="F226" s="14" t="s">
        <v>96</v>
      </c>
      <c r="G226" s="18" t="s">
        <v>4739</v>
      </c>
      <c r="H226" s="18" t="s">
        <v>98</v>
      </c>
      <c r="I226" s="14" t="s">
        <v>5828</v>
      </c>
      <c r="J226" s="14">
        <v>1</v>
      </c>
      <c r="K226" s="14">
        <v>0</v>
      </c>
      <c r="L226" s="14" t="s">
        <v>5829</v>
      </c>
      <c r="M226" s="19" t="s">
        <v>101</v>
      </c>
      <c r="N226" s="14" t="s">
        <v>5830</v>
      </c>
      <c r="O226" s="14" t="s">
        <v>5831</v>
      </c>
      <c r="P226" s="14" t="str">
        <f>HYPERLINK("https://dexscreener.com/solana/Dn7xPGxiVwWvau9Qyb129WGtqQQm3XwNEURZhpCEpump", "View")</f>
        <v>View</v>
      </c>
    </row>
    <row r="227" spans="1:16" x14ac:dyDescent="0.25">
      <c r="A227" s="16" t="s">
        <v>5832</v>
      </c>
      <c r="B227" s="17">
        <v>265270</v>
      </c>
      <c r="C227" s="17">
        <v>0</v>
      </c>
      <c r="D227" s="17" t="s">
        <v>4738</v>
      </c>
      <c r="E227" s="17" t="s">
        <v>4396</v>
      </c>
      <c r="F227" s="17" t="s">
        <v>96</v>
      </c>
      <c r="G227" s="18" t="s">
        <v>4739</v>
      </c>
      <c r="H227" s="18" t="s">
        <v>98</v>
      </c>
      <c r="I227" s="17" t="s">
        <v>5833</v>
      </c>
      <c r="J227" s="17">
        <v>1</v>
      </c>
      <c r="K227" s="17">
        <v>0</v>
      </c>
      <c r="L227" s="17" t="s">
        <v>5834</v>
      </c>
      <c r="M227" s="19" t="s">
        <v>101</v>
      </c>
      <c r="N227" s="17" t="s">
        <v>1214</v>
      </c>
      <c r="O227" s="17" t="s">
        <v>5835</v>
      </c>
      <c r="P227" s="17" t="str">
        <f>HYPERLINK("https://dexscreener.com/solana/4319jaoNp824niQryL3dfkW3qZNV8K5cd5mt7b2Fpump", "View")</f>
        <v>View</v>
      </c>
    </row>
    <row r="228" spans="1:16" x14ac:dyDescent="0.25">
      <c r="A228" s="13" t="s">
        <v>5836</v>
      </c>
      <c r="B228" s="14">
        <v>97972</v>
      </c>
      <c r="C228" s="14">
        <v>48986</v>
      </c>
      <c r="D228" s="14" t="s">
        <v>4754</v>
      </c>
      <c r="E228" s="14" t="s">
        <v>4396</v>
      </c>
      <c r="F228" s="14" t="s">
        <v>5837</v>
      </c>
      <c r="G228" s="20" t="s">
        <v>4252</v>
      </c>
      <c r="H228" s="20" t="s">
        <v>5838</v>
      </c>
      <c r="I228" s="14" t="s">
        <v>88</v>
      </c>
      <c r="J228" s="14">
        <v>1</v>
      </c>
      <c r="K228" s="14">
        <v>1</v>
      </c>
      <c r="L228" s="14" t="s">
        <v>5839</v>
      </c>
      <c r="M228" s="14" t="s">
        <v>3180</v>
      </c>
      <c r="N228" s="14" t="s">
        <v>5840</v>
      </c>
      <c r="O228" s="14" t="s">
        <v>5841</v>
      </c>
      <c r="P228" s="14" t="str">
        <f>HYPERLINK("https://dexscreener.com/solana/CQJ8XFfWUpTS7qCWmzJi6Vy3UxdWWDr5rB42LmeXpump", "View")</f>
        <v>View</v>
      </c>
    </row>
    <row r="229" spans="1:16" x14ac:dyDescent="0.25">
      <c r="A229" s="16" t="s">
        <v>5842</v>
      </c>
      <c r="B229" s="17">
        <v>117638</v>
      </c>
      <c r="C229" s="17">
        <v>117638</v>
      </c>
      <c r="D229" s="17" t="s">
        <v>4754</v>
      </c>
      <c r="E229" s="17" t="s">
        <v>4396</v>
      </c>
      <c r="F229" s="17" t="s">
        <v>4660</v>
      </c>
      <c r="G229" s="22" t="s">
        <v>5843</v>
      </c>
      <c r="H229" s="22" t="s">
        <v>5844</v>
      </c>
      <c r="I229" s="17" t="s">
        <v>88</v>
      </c>
      <c r="J229" s="17">
        <v>1</v>
      </c>
      <c r="K229" s="17">
        <v>1</v>
      </c>
      <c r="L229" s="17" t="s">
        <v>5845</v>
      </c>
      <c r="M229" s="17" t="s">
        <v>823</v>
      </c>
      <c r="N229" s="17" t="s">
        <v>5846</v>
      </c>
      <c r="O229" s="17" t="s">
        <v>5847</v>
      </c>
      <c r="P229" s="17" t="str">
        <f>HYPERLINK("https://dexscreener.com/solana/6ipq59qkwJVECtYBwe4qfz3NprvQ5FtQY7THvXWFpump", "View")</f>
        <v>View</v>
      </c>
    </row>
    <row r="230" spans="1:16" x14ac:dyDescent="0.25">
      <c r="A230" s="13" t="s">
        <v>5848</v>
      </c>
      <c r="B230" s="14">
        <v>1054012</v>
      </c>
      <c r="C230" s="14">
        <v>1054012</v>
      </c>
      <c r="D230" s="14" t="s">
        <v>4754</v>
      </c>
      <c r="E230" s="14" t="s">
        <v>4919</v>
      </c>
      <c r="F230" s="14" t="s">
        <v>2809</v>
      </c>
      <c r="G230" s="15" t="s">
        <v>5849</v>
      </c>
      <c r="H230" s="15" t="s">
        <v>5850</v>
      </c>
      <c r="I230" s="14" t="s">
        <v>88</v>
      </c>
      <c r="J230" s="14">
        <v>1</v>
      </c>
      <c r="K230" s="14">
        <v>1</v>
      </c>
      <c r="L230" s="14" t="s">
        <v>5851</v>
      </c>
      <c r="M230" s="19" t="s">
        <v>3626</v>
      </c>
      <c r="N230" s="14" t="s">
        <v>1941</v>
      </c>
      <c r="O230" s="14" t="s">
        <v>5852</v>
      </c>
      <c r="P230" s="14" t="str">
        <f>HYPERLINK("https://photon-sol.tinyastro.io/en/lp/39xuLk7eAoAy4st7PQgimsbTJDHffqwR9h21y864pump?handle=676050794bc1b1657a56b", "View")</f>
        <v>View</v>
      </c>
    </row>
    <row r="231" spans="1:16" x14ac:dyDescent="0.25">
      <c r="A231" s="16" t="s">
        <v>5853</v>
      </c>
      <c r="B231" s="17">
        <v>935574</v>
      </c>
      <c r="C231" s="17">
        <v>935574</v>
      </c>
      <c r="D231" s="17" t="s">
        <v>4754</v>
      </c>
      <c r="E231" s="17" t="s">
        <v>4919</v>
      </c>
      <c r="F231" s="17" t="s">
        <v>2236</v>
      </c>
      <c r="G231" s="15" t="s">
        <v>5854</v>
      </c>
      <c r="H231" s="15" t="s">
        <v>5855</v>
      </c>
      <c r="I231" s="17" t="s">
        <v>88</v>
      </c>
      <c r="J231" s="17">
        <v>1</v>
      </c>
      <c r="K231" s="17">
        <v>1</v>
      </c>
      <c r="L231" s="17" t="s">
        <v>5856</v>
      </c>
      <c r="M231" s="17" t="s">
        <v>1434</v>
      </c>
      <c r="N231" s="17" t="s">
        <v>5857</v>
      </c>
      <c r="O231" s="17" t="s">
        <v>5858</v>
      </c>
      <c r="P231" s="17" t="str">
        <f>HYPERLINK("https://photon-sol.tinyastro.io/en/lp/GphUCBiQm58KUwmfrx2ZaSBTRChQSEbJMkX7iey5pump?handle=676050794bc1b1657a56b", "View")</f>
        <v>View</v>
      </c>
    </row>
    <row r="232" spans="1:16" x14ac:dyDescent="0.25">
      <c r="A232" s="13" t="s">
        <v>5859</v>
      </c>
      <c r="B232" s="14">
        <v>954330</v>
      </c>
      <c r="C232" s="14">
        <v>954330</v>
      </c>
      <c r="D232" s="14" t="s">
        <v>4754</v>
      </c>
      <c r="E232" s="14" t="s">
        <v>3659</v>
      </c>
      <c r="F232" s="14" t="s">
        <v>5860</v>
      </c>
      <c r="G232" s="21" t="s">
        <v>5861</v>
      </c>
      <c r="H232" s="21" t="s">
        <v>5862</v>
      </c>
      <c r="I232" s="14" t="s">
        <v>88</v>
      </c>
      <c r="J232" s="14">
        <v>1</v>
      </c>
      <c r="K232" s="14">
        <v>1</v>
      </c>
      <c r="L232" s="14" t="s">
        <v>5863</v>
      </c>
      <c r="M232" s="14" t="s">
        <v>602</v>
      </c>
      <c r="N232" s="14" t="s">
        <v>5864</v>
      </c>
      <c r="O232" s="14" t="s">
        <v>5865</v>
      </c>
      <c r="P232" s="14" t="str">
        <f>HYPERLINK("https://photon-sol.tinyastro.io/en/lp/FtrUz4JX53vJadxcAWqG2FrwjLUixVCeyypeYCXtBPj7?handle=676050794bc1b1657a56b", "View")</f>
        <v>View</v>
      </c>
    </row>
    <row r="233" spans="1:16" x14ac:dyDescent="0.25">
      <c r="A233" s="16" t="s">
        <v>5866</v>
      </c>
      <c r="B233" s="17">
        <v>102328</v>
      </c>
      <c r="C233" s="17">
        <v>102328</v>
      </c>
      <c r="D233" s="17" t="s">
        <v>4754</v>
      </c>
      <c r="E233" s="17" t="s">
        <v>4396</v>
      </c>
      <c r="F233" s="17" t="s">
        <v>3890</v>
      </c>
      <c r="G233" s="15" t="s">
        <v>5867</v>
      </c>
      <c r="H233" s="15" t="s">
        <v>5868</v>
      </c>
      <c r="I233" s="17" t="s">
        <v>88</v>
      </c>
      <c r="J233" s="17">
        <v>1</v>
      </c>
      <c r="K233" s="17">
        <v>1</v>
      </c>
      <c r="L233" s="17" t="s">
        <v>5869</v>
      </c>
      <c r="M233" s="17" t="s">
        <v>231</v>
      </c>
      <c r="N233" s="17" t="s">
        <v>5870</v>
      </c>
      <c r="O233" s="17" t="s">
        <v>5871</v>
      </c>
      <c r="P233" s="17" t="str">
        <f>HYPERLINK("https://dexscreener.com/solana/2jMqFewHv11qiRfupKLe1JoT63yJ34ePULZkZnx2pump", "View")</f>
        <v>View</v>
      </c>
    </row>
    <row r="234" spans="1:16" x14ac:dyDescent="0.25">
      <c r="A234" s="13" t="s">
        <v>5872</v>
      </c>
      <c r="B234" s="14">
        <v>298143</v>
      </c>
      <c r="C234" s="14">
        <v>0</v>
      </c>
      <c r="D234" s="14" t="s">
        <v>4738</v>
      </c>
      <c r="E234" s="14" t="s">
        <v>4919</v>
      </c>
      <c r="F234" s="14" t="s">
        <v>96</v>
      </c>
      <c r="G234" s="18" t="s">
        <v>5299</v>
      </c>
      <c r="H234" s="18" t="s">
        <v>98</v>
      </c>
      <c r="I234" s="14" t="s">
        <v>5873</v>
      </c>
      <c r="J234" s="14">
        <v>1</v>
      </c>
      <c r="K234" s="14">
        <v>0</v>
      </c>
      <c r="L234" s="14" t="s">
        <v>5874</v>
      </c>
      <c r="M234" s="19" t="s">
        <v>101</v>
      </c>
      <c r="N234" s="14" t="s">
        <v>5875</v>
      </c>
      <c r="O234" s="14" t="s">
        <v>5876</v>
      </c>
      <c r="P234" s="14" t="str">
        <f>HYPERLINK("https://photon-sol.tinyastro.io/en/lp/DjArMw9tkFW14iHAMb1sDRux5PSRMobwgXNT8XX2siuf?handle=676050794bc1b1657a56b", "View")</f>
        <v>View</v>
      </c>
    </row>
    <row r="235" spans="1:16" x14ac:dyDescent="0.25">
      <c r="A235" s="16" t="s">
        <v>5877</v>
      </c>
      <c r="B235" s="17">
        <v>43106</v>
      </c>
      <c r="C235" s="17">
        <v>0</v>
      </c>
      <c r="D235" s="17" t="s">
        <v>4738</v>
      </c>
      <c r="E235" s="17" t="s">
        <v>4396</v>
      </c>
      <c r="F235" s="17" t="s">
        <v>96</v>
      </c>
      <c r="G235" s="18" t="s">
        <v>4739</v>
      </c>
      <c r="H235" s="18" t="s">
        <v>98</v>
      </c>
      <c r="I235" s="17" t="s">
        <v>5878</v>
      </c>
      <c r="J235" s="17">
        <v>1</v>
      </c>
      <c r="K235" s="17">
        <v>0</v>
      </c>
      <c r="L235" s="17" t="s">
        <v>5879</v>
      </c>
      <c r="M235" s="19" t="s">
        <v>101</v>
      </c>
      <c r="N235" s="17" t="s">
        <v>5880</v>
      </c>
      <c r="O235" s="17" t="s">
        <v>5881</v>
      </c>
      <c r="P235" s="17" t="str">
        <f>HYPERLINK("https://dexscreener.com/solana/BmoisRvhTBiFWuPLNrtEPZEAkdeDNyZgTmQ9jg1Bpump", "View")</f>
        <v>View</v>
      </c>
    </row>
    <row r="236" spans="1:16" x14ac:dyDescent="0.25">
      <c r="A236" s="13" t="s">
        <v>5882</v>
      </c>
      <c r="B236" s="14">
        <v>64962</v>
      </c>
      <c r="C236" s="14">
        <v>64962</v>
      </c>
      <c r="D236" s="14" t="s">
        <v>4754</v>
      </c>
      <c r="E236" s="14" t="s">
        <v>4396</v>
      </c>
      <c r="F236" s="14" t="s">
        <v>4874</v>
      </c>
      <c r="G236" s="15" t="s">
        <v>5883</v>
      </c>
      <c r="H236" s="15" t="s">
        <v>5884</v>
      </c>
      <c r="I236" s="14" t="s">
        <v>88</v>
      </c>
      <c r="J236" s="14">
        <v>1</v>
      </c>
      <c r="K236" s="14">
        <v>1</v>
      </c>
      <c r="L236" s="14" t="s">
        <v>5885</v>
      </c>
      <c r="M236" s="14" t="s">
        <v>4922</v>
      </c>
      <c r="N236" s="14" t="s">
        <v>5886</v>
      </c>
      <c r="O236" s="14" t="s">
        <v>5887</v>
      </c>
      <c r="P236" s="14" t="str">
        <f>HYPERLINK("https://dexscreener.com/solana/AdJYM1s7vdTpBKx4c6LJvH4jWUXu4qypuzVj2Nw7ZtWv", "View")</f>
        <v>View</v>
      </c>
    </row>
    <row r="237" spans="1:16" x14ac:dyDescent="0.25">
      <c r="A237" s="16" t="s">
        <v>5888</v>
      </c>
      <c r="B237" s="17">
        <v>219605</v>
      </c>
      <c r="C237" s="17">
        <v>0</v>
      </c>
      <c r="D237" s="17" t="s">
        <v>4738</v>
      </c>
      <c r="E237" s="17" t="s">
        <v>4396</v>
      </c>
      <c r="F237" s="17" t="s">
        <v>96</v>
      </c>
      <c r="G237" s="18" t="s">
        <v>4739</v>
      </c>
      <c r="H237" s="18" t="s">
        <v>98</v>
      </c>
      <c r="I237" s="17" t="s">
        <v>5889</v>
      </c>
      <c r="J237" s="17">
        <v>1</v>
      </c>
      <c r="K237" s="17">
        <v>0</v>
      </c>
      <c r="L237" s="17" t="s">
        <v>5890</v>
      </c>
      <c r="M237" s="19" t="s">
        <v>101</v>
      </c>
      <c r="N237" s="17" t="s">
        <v>5891</v>
      </c>
      <c r="O237" s="17" t="s">
        <v>5892</v>
      </c>
      <c r="P237" s="17" t="str">
        <f>HYPERLINK("https://dexscreener.com/solana/EyBoHaoLJUyEHmndL2uzUpMguZZ2pjzXYphnVbhypump", "View")</f>
        <v>View</v>
      </c>
    </row>
    <row r="238" spans="1:16" x14ac:dyDescent="0.25">
      <c r="A238" s="13" t="s">
        <v>5893</v>
      </c>
      <c r="B238" s="14">
        <v>69980</v>
      </c>
      <c r="C238" s="14">
        <v>69980</v>
      </c>
      <c r="D238" s="14" t="s">
        <v>4782</v>
      </c>
      <c r="E238" s="14" t="s">
        <v>4396</v>
      </c>
      <c r="F238" s="14" t="s">
        <v>5894</v>
      </c>
      <c r="G238" s="21" t="s">
        <v>2305</v>
      </c>
      <c r="H238" s="21" t="s">
        <v>5895</v>
      </c>
      <c r="I238" s="14" t="s">
        <v>88</v>
      </c>
      <c r="J238" s="14">
        <v>1</v>
      </c>
      <c r="K238" s="14">
        <v>2</v>
      </c>
      <c r="L238" s="14" t="s">
        <v>5896</v>
      </c>
      <c r="M238" s="14" t="s">
        <v>150</v>
      </c>
      <c r="N238" s="14" t="s">
        <v>5897</v>
      </c>
      <c r="O238" s="14" t="s">
        <v>5898</v>
      </c>
      <c r="P238" s="14" t="str">
        <f>HYPERLINK("https://dexscreener.com/solana/FZEWxnkkVM4Eqvrt8Shipj6MJsnGptZNgM7bZwPmpump", "View")</f>
        <v>View</v>
      </c>
    </row>
    <row r="239" spans="1:16" x14ac:dyDescent="0.25">
      <c r="A239" s="16" t="s">
        <v>5899</v>
      </c>
      <c r="B239" s="17">
        <v>200237</v>
      </c>
      <c r="C239" s="17">
        <v>0</v>
      </c>
      <c r="D239" s="17" t="s">
        <v>4738</v>
      </c>
      <c r="E239" s="17" t="s">
        <v>4396</v>
      </c>
      <c r="F239" s="17" t="s">
        <v>96</v>
      </c>
      <c r="G239" s="18" t="s">
        <v>4739</v>
      </c>
      <c r="H239" s="18" t="s">
        <v>98</v>
      </c>
      <c r="I239" s="17" t="s">
        <v>5900</v>
      </c>
      <c r="J239" s="17">
        <v>1</v>
      </c>
      <c r="K239" s="17">
        <v>0</v>
      </c>
      <c r="L239" s="17" t="s">
        <v>5901</v>
      </c>
      <c r="M239" s="19" t="s">
        <v>101</v>
      </c>
      <c r="N239" s="17" t="s">
        <v>4986</v>
      </c>
      <c r="O239" s="17" t="s">
        <v>5902</v>
      </c>
      <c r="P239" s="17" t="str">
        <f>HYPERLINK("https://dexscreener.com/solana/EiX8zhiYZB51JDXTM36ELxaTAgRscvYCUjqj6Bn1pump", "View")</f>
        <v>View</v>
      </c>
    </row>
    <row r="240" spans="1:16" x14ac:dyDescent="0.25">
      <c r="A240" s="13" t="s">
        <v>5903</v>
      </c>
      <c r="B240" s="14">
        <v>9429207</v>
      </c>
      <c r="C240" s="14">
        <v>9429207</v>
      </c>
      <c r="D240" s="14" t="s">
        <v>5069</v>
      </c>
      <c r="E240" s="14" t="s">
        <v>3344</v>
      </c>
      <c r="F240" s="14" t="s">
        <v>5904</v>
      </c>
      <c r="G240" s="20" t="s">
        <v>3388</v>
      </c>
      <c r="H240" s="20" t="s">
        <v>5905</v>
      </c>
      <c r="I240" s="14" t="s">
        <v>88</v>
      </c>
      <c r="J240" s="14">
        <v>4</v>
      </c>
      <c r="K240" s="14">
        <v>2</v>
      </c>
      <c r="L240" s="14" t="s">
        <v>5906</v>
      </c>
      <c r="M240" s="14" t="s">
        <v>277</v>
      </c>
      <c r="N240" s="14" t="s">
        <v>1011</v>
      </c>
      <c r="O240" s="14" t="s">
        <v>5907</v>
      </c>
      <c r="P240" s="14" t="str">
        <f>HYPERLINK("https://photon-sol.tinyastro.io/en/lp/9Xk2P6QvLsWBBHd3hPSRG1d6UWHfjfKKWX8bvitWpump?handle=676050794bc1b1657a56b", "View")</f>
        <v>View</v>
      </c>
    </row>
    <row r="241" spans="1:16" x14ac:dyDescent="0.25">
      <c r="A241" s="16" t="s">
        <v>5908</v>
      </c>
      <c r="B241" s="17">
        <v>194598</v>
      </c>
      <c r="C241" s="17">
        <v>194598</v>
      </c>
      <c r="D241" s="17" t="s">
        <v>4782</v>
      </c>
      <c r="E241" s="17" t="s">
        <v>4396</v>
      </c>
      <c r="F241" s="17" t="s">
        <v>2164</v>
      </c>
      <c r="G241" s="22" t="s">
        <v>4874</v>
      </c>
      <c r="H241" s="22" t="s">
        <v>5909</v>
      </c>
      <c r="I241" s="17" t="s">
        <v>88</v>
      </c>
      <c r="J241" s="17">
        <v>1</v>
      </c>
      <c r="K241" s="17">
        <v>2</v>
      </c>
      <c r="L241" s="17" t="s">
        <v>5910</v>
      </c>
      <c r="M241" s="17" t="s">
        <v>538</v>
      </c>
      <c r="N241" s="17" t="s">
        <v>5911</v>
      </c>
      <c r="O241" s="17" t="s">
        <v>5912</v>
      </c>
      <c r="P241" s="17" t="str">
        <f>HYPERLINK("https://dexscreener.com/solana/6knS2iQca2b7r6uNxEh65CG5Wpt9g7vy5nNmTLk6pump", "View")</f>
        <v>View</v>
      </c>
    </row>
    <row r="242" spans="1:16" x14ac:dyDescent="0.25">
      <c r="A242" s="13" t="s">
        <v>5913</v>
      </c>
      <c r="B242" s="14">
        <v>15062</v>
      </c>
      <c r="C242" s="14">
        <v>7531</v>
      </c>
      <c r="D242" s="14" t="s">
        <v>4754</v>
      </c>
      <c r="E242" s="14" t="s">
        <v>4396</v>
      </c>
      <c r="F242" s="14" t="s">
        <v>5914</v>
      </c>
      <c r="G242" s="21" t="s">
        <v>5204</v>
      </c>
      <c r="H242" s="21" t="s">
        <v>5915</v>
      </c>
      <c r="I242" s="14" t="s">
        <v>88</v>
      </c>
      <c r="J242" s="14">
        <v>1</v>
      </c>
      <c r="K242" s="14">
        <v>1</v>
      </c>
      <c r="L242" s="14" t="s">
        <v>5916</v>
      </c>
      <c r="M242" s="14" t="s">
        <v>90</v>
      </c>
      <c r="N242" s="14" t="s">
        <v>5917</v>
      </c>
      <c r="O242" s="14" t="s">
        <v>5918</v>
      </c>
      <c r="P242" s="14" t="str">
        <f>HYPERLINK("https://dexscreener.com/solana/fDJVuPCzsi4pfc5wBEan5PEUDPvtvcTWm5gjLAtpump", "View")</f>
        <v>View</v>
      </c>
    </row>
    <row r="243" spans="1:16" x14ac:dyDescent="0.25">
      <c r="A243" s="16" t="s">
        <v>1250</v>
      </c>
      <c r="B243" s="17">
        <v>91715</v>
      </c>
      <c r="C243" s="17">
        <v>91715</v>
      </c>
      <c r="D243" s="17" t="s">
        <v>4754</v>
      </c>
      <c r="E243" s="17" t="s">
        <v>4396</v>
      </c>
      <c r="F243" s="17" t="s">
        <v>5919</v>
      </c>
      <c r="G243" s="15" t="s">
        <v>3885</v>
      </c>
      <c r="H243" s="15" t="s">
        <v>5920</v>
      </c>
      <c r="I243" s="17" t="s">
        <v>88</v>
      </c>
      <c r="J243" s="17">
        <v>1</v>
      </c>
      <c r="K243" s="17">
        <v>1</v>
      </c>
      <c r="L243" s="17" t="s">
        <v>5921</v>
      </c>
      <c r="M243" s="17" t="s">
        <v>5922</v>
      </c>
      <c r="N243" s="17" t="s">
        <v>5923</v>
      </c>
      <c r="O243" s="17" t="s">
        <v>1255</v>
      </c>
      <c r="P243" s="17" t="str">
        <f>HYPERLINK("https://dexscreener.com/solana/FGSheu4NuiGqf8zjP9Na5BtdQTmd1SzfcdYZAHHNpump", "View")</f>
        <v>View</v>
      </c>
    </row>
    <row r="244" spans="1:16" x14ac:dyDescent="0.25">
      <c r="A244" s="13" t="s">
        <v>5924</v>
      </c>
      <c r="B244" s="14">
        <v>831003</v>
      </c>
      <c r="C244" s="14">
        <v>0</v>
      </c>
      <c r="D244" s="14" t="s">
        <v>4738</v>
      </c>
      <c r="E244" s="14" t="s">
        <v>4919</v>
      </c>
      <c r="F244" s="14" t="s">
        <v>96</v>
      </c>
      <c r="G244" s="18" t="s">
        <v>5299</v>
      </c>
      <c r="H244" s="18" t="s">
        <v>98</v>
      </c>
      <c r="I244" s="14" t="s">
        <v>5925</v>
      </c>
      <c r="J244" s="14">
        <v>1</v>
      </c>
      <c r="K244" s="14">
        <v>0</v>
      </c>
      <c r="L244" s="14" t="s">
        <v>5926</v>
      </c>
      <c r="M244" s="19" t="s">
        <v>101</v>
      </c>
      <c r="N244" s="14" t="s">
        <v>507</v>
      </c>
      <c r="O244" s="14" t="s">
        <v>5927</v>
      </c>
      <c r="P244" s="14" t="str">
        <f>HYPERLINK("https://photon-sol.tinyastro.io/en/lp/Bp7KskfHLByExoKMBwtRmTT1tqRMzBcLswamu41wpump?handle=676050794bc1b1657a56b", "View")</f>
        <v>View</v>
      </c>
    </row>
    <row r="245" spans="1:16" x14ac:dyDescent="0.25">
      <c r="A245" s="16" t="s">
        <v>5928</v>
      </c>
      <c r="B245" s="17">
        <v>1015657</v>
      </c>
      <c r="C245" s="17">
        <v>1015657</v>
      </c>
      <c r="D245" s="17" t="s">
        <v>4754</v>
      </c>
      <c r="E245" s="17" t="s">
        <v>4919</v>
      </c>
      <c r="F245" s="17" t="s">
        <v>4482</v>
      </c>
      <c r="G245" s="20" t="s">
        <v>5692</v>
      </c>
      <c r="H245" s="20" t="s">
        <v>4191</v>
      </c>
      <c r="I245" s="17" t="s">
        <v>88</v>
      </c>
      <c r="J245" s="17">
        <v>1</v>
      </c>
      <c r="K245" s="17">
        <v>1</v>
      </c>
      <c r="L245" s="17" t="s">
        <v>5929</v>
      </c>
      <c r="M245" s="17" t="s">
        <v>179</v>
      </c>
      <c r="N245" s="17" t="s">
        <v>507</v>
      </c>
      <c r="O245" s="17" t="s">
        <v>5930</v>
      </c>
      <c r="P245" s="17" t="str">
        <f>HYPERLINK("https://photon-sol.tinyastro.io/en/lp/D3WzfhioY7YKeTKbegoPq9mEuYUjko4MCatGtMJipump?handle=676050794bc1b1657a56b", "View")</f>
        <v>View</v>
      </c>
    </row>
    <row r="246" spans="1:16" x14ac:dyDescent="0.25">
      <c r="A246" s="13" t="s">
        <v>5931</v>
      </c>
      <c r="B246" s="14">
        <v>185539</v>
      </c>
      <c r="C246" s="14">
        <v>55662</v>
      </c>
      <c r="D246" s="14" t="s">
        <v>4754</v>
      </c>
      <c r="E246" s="14" t="s">
        <v>4396</v>
      </c>
      <c r="F246" s="14" t="s">
        <v>5204</v>
      </c>
      <c r="G246" s="20" t="s">
        <v>4799</v>
      </c>
      <c r="H246" s="20" t="s">
        <v>5932</v>
      </c>
      <c r="I246" s="14" t="s">
        <v>88</v>
      </c>
      <c r="J246" s="14">
        <v>1</v>
      </c>
      <c r="K246" s="14">
        <v>1</v>
      </c>
      <c r="L246" s="14" t="s">
        <v>5933</v>
      </c>
      <c r="M246" s="14" t="s">
        <v>3695</v>
      </c>
      <c r="N246" s="14" t="s">
        <v>5934</v>
      </c>
      <c r="O246" s="14" t="s">
        <v>5935</v>
      </c>
      <c r="P246" s="14" t="str">
        <f>HYPERLINK("https://dexscreener.com/solana/7QPazeNDzoyMdxb1ACwcDWwb91Rtxu15CV3GWQQXpump", "View")</f>
        <v>View</v>
      </c>
    </row>
    <row r="247" spans="1:16" x14ac:dyDescent="0.25">
      <c r="A247" s="16" t="s">
        <v>5936</v>
      </c>
      <c r="B247" s="17">
        <v>4117</v>
      </c>
      <c r="C247" s="17">
        <v>4117</v>
      </c>
      <c r="D247" s="17" t="s">
        <v>4754</v>
      </c>
      <c r="E247" s="17" t="s">
        <v>4396</v>
      </c>
      <c r="F247" s="17" t="s">
        <v>4817</v>
      </c>
      <c r="G247" s="22" t="s">
        <v>96</v>
      </c>
      <c r="H247" s="22" t="s">
        <v>5937</v>
      </c>
      <c r="I247" s="17" t="s">
        <v>88</v>
      </c>
      <c r="J247" s="17">
        <v>1</v>
      </c>
      <c r="K247" s="17">
        <v>1</v>
      </c>
      <c r="L247" s="17" t="s">
        <v>5938</v>
      </c>
      <c r="M247" s="17" t="s">
        <v>680</v>
      </c>
      <c r="N247" s="17" t="s">
        <v>5939</v>
      </c>
      <c r="O247" s="17" t="s">
        <v>5940</v>
      </c>
      <c r="P247" s="17" t="str">
        <f>HYPERLINK("https://dexscreener.com/solana/DFwxYdmfLJsPTyrNJCapGadF58Y74e2TFpVAyhbgpump", "View")</f>
        <v>View</v>
      </c>
    </row>
    <row r="248" spans="1:16" x14ac:dyDescent="0.25">
      <c r="A248" s="13" t="s">
        <v>5741</v>
      </c>
      <c r="B248" s="14">
        <v>1785399</v>
      </c>
      <c r="C248" s="14">
        <v>1785399</v>
      </c>
      <c r="D248" s="14" t="s">
        <v>4782</v>
      </c>
      <c r="E248" s="14" t="s">
        <v>4665</v>
      </c>
      <c r="F248" s="14" t="s">
        <v>4475</v>
      </c>
      <c r="G248" s="22" t="s">
        <v>5036</v>
      </c>
      <c r="H248" s="22" t="s">
        <v>5941</v>
      </c>
      <c r="I248" s="14" t="s">
        <v>88</v>
      </c>
      <c r="J248" s="14">
        <v>2</v>
      </c>
      <c r="K248" s="14">
        <v>1</v>
      </c>
      <c r="L248" s="14" t="s">
        <v>5942</v>
      </c>
      <c r="M248" s="14" t="s">
        <v>240</v>
      </c>
      <c r="N248" s="14" t="s">
        <v>5943</v>
      </c>
      <c r="O248" s="14" t="s">
        <v>5944</v>
      </c>
      <c r="P248" s="14" t="str">
        <f>HYPERLINK("https://dexscreener.com/solana/5qZ4Ns4QsAKoshJMa4aqKxGpzsyhskL4x23kWpHypump", "View")</f>
        <v>View</v>
      </c>
    </row>
    <row r="249" spans="1:16" x14ac:dyDescent="0.25">
      <c r="A249" s="16" t="s">
        <v>5945</v>
      </c>
      <c r="B249" s="17">
        <v>158871</v>
      </c>
      <c r="C249" s="17">
        <v>0</v>
      </c>
      <c r="D249" s="17" t="s">
        <v>4738</v>
      </c>
      <c r="E249" s="17" t="s">
        <v>4396</v>
      </c>
      <c r="F249" s="17" t="s">
        <v>96</v>
      </c>
      <c r="G249" s="18" t="s">
        <v>4739</v>
      </c>
      <c r="H249" s="18" t="s">
        <v>98</v>
      </c>
      <c r="I249" s="17" t="s">
        <v>5946</v>
      </c>
      <c r="J249" s="17">
        <v>1</v>
      </c>
      <c r="K249" s="17">
        <v>0</v>
      </c>
      <c r="L249" s="17" t="s">
        <v>5947</v>
      </c>
      <c r="M249" s="19" t="s">
        <v>101</v>
      </c>
      <c r="N249" s="17" t="s">
        <v>5948</v>
      </c>
      <c r="O249" s="17" t="s">
        <v>5949</v>
      </c>
      <c r="P249" s="17" t="str">
        <f>HYPERLINK("https://dexscreener.com/solana/6DZkrKBPrRWou1oS7P8WLDawwrXhLCKgt1cr7mabpump", "View")</f>
        <v>View</v>
      </c>
    </row>
    <row r="250" spans="1:16" x14ac:dyDescent="0.25">
      <c r="A250" s="13" t="s">
        <v>5950</v>
      </c>
      <c r="B250" s="14">
        <v>180880</v>
      </c>
      <c r="C250" s="14">
        <v>72352</v>
      </c>
      <c r="D250" s="14" t="s">
        <v>4754</v>
      </c>
      <c r="E250" s="14" t="s">
        <v>4396</v>
      </c>
      <c r="F250" s="14" t="s">
        <v>2531</v>
      </c>
      <c r="G250" s="20" t="s">
        <v>5364</v>
      </c>
      <c r="H250" s="20" t="s">
        <v>5951</v>
      </c>
      <c r="I250" s="14" t="s">
        <v>88</v>
      </c>
      <c r="J250" s="14">
        <v>1</v>
      </c>
      <c r="K250" s="14">
        <v>1</v>
      </c>
      <c r="L250" s="14" t="s">
        <v>5952</v>
      </c>
      <c r="M250" s="14" t="s">
        <v>1478</v>
      </c>
      <c r="N250" s="14" t="s">
        <v>5953</v>
      </c>
      <c r="O250" s="14" t="s">
        <v>5954</v>
      </c>
      <c r="P250" s="14" t="str">
        <f>HYPERLINK("https://dexscreener.com/solana/EaVwRAXqe2Cbesm9dQs4AeeQP1X6VB8dczZHmXuDpump", "View")</f>
        <v>View</v>
      </c>
    </row>
    <row r="251" spans="1:16" x14ac:dyDescent="0.25">
      <c r="A251" s="16" t="s">
        <v>5955</v>
      </c>
      <c r="B251" s="17">
        <v>289864</v>
      </c>
      <c r="C251" s="17">
        <v>0</v>
      </c>
      <c r="D251" s="17" t="s">
        <v>4738</v>
      </c>
      <c r="E251" s="17" t="s">
        <v>4919</v>
      </c>
      <c r="F251" s="17" t="s">
        <v>96</v>
      </c>
      <c r="G251" s="18" t="s">
        <v>5299</v>
      </c>
      <c r="H251" s="18" t="s">
        <v>98</v>
      </c>
      <c r="I251" s="17" t="s">
        <v>5956</v>
      </c>
      <c r="J251" s="17">
        <v>1</v>
      </c>
      <c r="K251" s="17">
        <v>0</v>
      </c>
      <c r="L251" s="17" t="s">
        <v>5957</v>
      </c>
      <c r="M251" s="19" t="s">
        <v>101</v>
      </c>
      <c r="N251" s="17" t="s">
        <v>5105</v>
      </c>
      <c r="O251" s="17" t="s">
        <v>5958</v>
      </c>
      <c r="P251" s="17" t="str">
        <f>HYPERLINK("https://photon-sol.tinyastro.io/en/lp/hAyE4s1cFWht6GvRgzG23VcqGfVR7mF9iLCZ9yrpump?handle=676050794bc1b1657a56b", "View")</f>
        <v>View</v>
      </c>
    </row>
    <row r="252" spans="1:16" x14ac:dyDescent="0.25">
      <c r="A252" s="13" t="s">
        <v>5959</v>
      </c>
      <c r="B252" s="14">
        <v>1547629</v>
      </c>
      <c r="C252" s="14">
        <v>1547629</v>
      </c>
      <c r="D252" s="14" t="s">
        <v>4754</v>
      </c>
      <c r="E252" s="14" t="s">
        <v>4919</v>
      </c>
      <c r="F252" s="14" t="s">
        <v>5699</v>
      </c>
      <c r="G252" s="15" t="s">
        <v>3023</v>
      </c>
      <c r="H252" s="15" t="s">
        <v>5960</v>
      </c>
      <c r="I252" s="14" t="s">
        <v>88</v>
      </c>
      <c r="J252" s="14">
        <v>1</v>
      </c>
      <c r="K252" s="14">
        <v>1</v>
      </c>
      <c r="L252" s="14" t="s">
        <v>5961</v>
      </c>
      <c r="M252" s="14" t="s">
        <v>5729</v>
      </c>
      <c r="N252" s="14" t="s">
        <v>507</v>
      </c>
      <c r="O252" s="14" t="s">
        <v>5962</v>
      </c>
      <c r="P252" s="14" t="str">
        <f>HYPERLINK("https://photon-sol.tinyastro.io/en/lp/Grq9dmH9X8LDuGGx25fL6DNfYbHnx3PP3wZwFidopump?handle=676050794bc1b1657a56b", "View")</f>
        <v>View</v>
      </c>
    </row>
    <row r="253" spans="1:16" x14ac:dyDescent="0.25">
      <c r="A253" s="16" t="s">
        <v>5963</v>
      </c>
      <c r="B253" s="17">
        <v>31983</v>
      </c>
      <c r="C253" s="17">
        <v>0</v>
      </c>
      <c r="D253" s="17" t="s">
        <v>4738</v>
      </c>
      <c r="E253" s="17" t="s">
        <v>4396</v>
      </c>
      <c r="F253" s="17" t="s">
        <v>96</v>
      </c>
      <c r="G253" s="18" t="s">
        <v>4739</v>
      </c>
      <c r="H253" s="18" t="s">
        <v>98</v>
      </c>
      <c r="I253" s="17" t="s">
        <v>5964</v>
      </c>
      <c r="J253" s="17">
        <v>1</v>
      </c>
      <c r="K253" s="17">
        <v>0</v>
      </c>
      <c r="L253" s="17" t="s">
        <v>5965</v>
      </c>
      <c r="M253" s="19" t="s">
        <v>101</v>
      </c>
      <c r="N253" s="17" t="s">
        <v>5966</v>
      </c>
      <c r="O253" s="17" t="s">
        <v>5967</v>
      </c>
      <c r="P253" s="17" t="str">
        <f>HYPERLINK("https://dexscreener.com/solana/Er2TBmNnXzbKWHNTdcfVW41MtqkR4FDuocBLWXgvpump", "View")</f>
        <v>View</v>
      </c>
    </row>
    <row r="254" spans="1:16" x14ac:dyDescent="0.25">
      <c r="A254" s="13" t="s">
        <v>5968</v>
      </c>
      <c r="B254" s="14">
        <v>439683</v>
      </c>
      <c r="C254" s="14">
        <v>439683</v>
      </c>
      <c r="D254" s="14" t="s">
        <v>4754</v>
      </c>
      <c r="E254" s="14" t="s">
        <v>4919</v>
      </c>
      <c r="F254" s="14" t="s">
        <v>2890</v>
      </c>
      <c r="G254" s="22" t="s">
        <v>5705</v>
      </c>
      <c r="H254" s="22" t="s">
        <v>5969</v>
      </c>
      <c r="I254" s="14" t="s">
        <v>88</v>
      </c>
      <c r="J254" s="14">
        <v>1</v>
      </c>
      <c r="K254" s="14">
        <v>1</v>
      </c>
      <c r="L254" s="14" t="s">
        <v>5970</v>
      </c>
      <c r="M254" s="14" t="s">
        <v>132</v>
      </c>
      <c r="N254" s="14" t="s">
        <v>5971</v>
      </c>
      <c r="O254" s="14" t="s">
        <v>5972</v>
      </c>
      <c r="P254" s="14" t="str">
        <f>HYPERLINK("https://photon-sol.tinyastro.io/en/lp/6ARWffTGt4Vf3rRxjBc6gWtfScm7JycdEmkuTYpjpump?handle=676050794bc1b1657a56b", "View")</f>
        <v>View</v>
      </c>
    </row>
    <row r="255" spans="1:16" x14ac:dyDescent="0.25">
      <c r="A255" s="16" t="s">
        <v>5973</v>
      </c>
      <c r="B255" s="17">
        <v>169821</v>
      </c>
      <c r="C255" s="17">
        <v>0</v>
      </c>
      <c r="D255" s="17" t="s">
        <v>4738</v>
      </c>
      <c r="E255" s="17" t="s">
        <v>4396</v>
      </c>
      <c r="F255" s="17" t="s">
        <v>96</v>
      </c>
      <c r="G255" s="18" t="s">
        <v>4739</v>
      </c>
      <c r="H255" s="18" t="s">
        <v>98</v>
      </c>
      <c r="I255" s="17" t="s">
        <v>5974</v>
      </c>
      <c r="J255" s="17">
        <v>1</v>
      </c>
      <c r="K255" s="17">
        <v>0</v>
      </c>
      <c r="L255" s="17" t="s">
        <v>5975</v>
      </c>
      <c r="M255" s="19" t="s">
        <v>101</v>
      </c>
      <c r="N255" s="17" t="s">
        <v>5585</v>
      </c>
      <c r="O255" s="17" t="s">
        <v>5976</v>
      </c>
      <c r="P255" s="17" t="str">
        <f>HYPERLINK("https://dexscreener.com/solana/HHXLehamQT94qDBL3K6tmHVbw8QQTK5TCrkaQJQ1DjAz", "View")</f>
        <v>View</v>
      </c>
    </row>
    <row r="256" spans="1:16" x14ac:dyDescent="0.25">
      <c r="A256" s="13" t="s">
        <v>3971</v>
      </c>
      <c r="B256" s="14">
        <v>157972</v>
      </c>
      <c r="C256" s="14">
        <v>0</v>
      </c>
      <c r="D256" s="14" t="s">
        <v>4738</v>
      </c>
      <c r="E256" s="14" t="s">
        <v>4396</v>
      </c>
      <c r="F256" s="14" t="s">
        <v>96</v>
      </c>
      <c r="G256" s="18" t="s">
        <v>4739</v>
      </c>
      <c r="H256" s="18" t="s">
        <v>98</v>
      </c>
      <c r="I256" s="14" t="s">
        <v>5977</v>
      </c>
      <c r="J256" s="14">
        <v>1</v>
      </c>
      <c r="K256" s="14">
        <v>0</v>
      </c>
      <c r="L256" s="14" t="s">
        <v>5978</v>
      </c>
      <c r="M256" s="19" t="s">
        <v>101</v>
      </c>
      <c r="N256" s="14" t="s">
        <v>5979</v>
      </c>
      <c r="O256" s="14" t="s">
        <v>5980</v>
      </c>
      <c r="P256" s="14" t="str">
        <f>HYPERLINK("https://dexscreener.com/solana/B43WbANTe76SSdNj6VWRGgz6fouhsXXbwFNSXb9tpump", "View")</f>
        <v>View</v>
      </c>
    </row>
    <row r="257" spans="1:16" x14ac:dyDescent="0.25">
      <c r="A257" s="16" t="s">
        <v>5981</v>
      </c>
      <c r="B257" s="17">
        <v>574655</v>
      </c>
      <c r="C257" s="17">
        <v>574655</v>
      </c>
      <c r="D257" s="17" t="s">
        <v>5668</v>
      </c>
      <c r="E257" s="17" t="s">
        <v>4665</v>
      </c>
      <c r="F257" s="17" t="s">
        <v>5982</v>
      </c>
      <c r="G257" s="21" t="s">
        <v>5983</v>
      </c>
      <c r="H257" s="21" t="s">
        <v>5984</v>
      </c>
      <c r="I257" s="17" t="s">
        <v>88</v>
      </c>
      <c r="J257" s="17">
        <v>2</v>
      </c>
      <c r="K257" s="17">
        <v>3</v>
      </c>
      <c r="L257" s="17" t="s">
        <v>5985</v>
      </c>
      <c r="M257" s="17" t="s">
        <v>132</v>
      </c>
      <c r="N257" s="17" t="s">
        <v>5986</v>
      </c>
      <c r="O257" s="17" t="s">
        <v>5987</v>
      </c>
      <c r="P257" s="17" t="str">
        <f>HYPERLINK("https://dexscreener.com/solana/AnLQDZ8jAuFCohsPWisgWqkfkG5iw7zUfBC7imrdpump", "View")</f>
        <v>View</v>
      </c>
    </row>
    <row r="258" spans="1:16" x14ac:dyDescent="0.25">
      <c r="A258" s="13" t="s">
        <v>5988</v>
      </c>
      <c r="B258" s="14">
        <v>176005</v>
      </c>
      <c r="C258" s="14">
        <v>0</v>
      </c>
      <c r="D258" s="14" t="s">
        <v>4738</v>
      </c>
      <c r="E258" s="14" t="s">
        <v>4396</v>
      </c>
      <c r="F258" s="14" t="s">
        <v>96</v>
      </c>
      <c r="G258" s="18" t="s">
        <v>4739</v>
      </c>
      <c r="H258" s="18" t="s">
        <v>98</v>
      </c>
      <c r="I258" s="14" t="s">
        <v>5989</v>
      </c>
      <c r="J258" s="14">
        <v>1</v>
      </c>
      <c r="K258" s="14">
        <v>0</v>
      </c>
      <c r="L258" s="14" t="s">
        <v>5990</v>
      </c>
      <c r="M258" s="19" t="s">
        <v>101</v>
      </c>
      <c r="N258" s="14" t="s">
        <v>5991</v>
      </c>
      <c r="O258" s="14" t="s">
        <v>5992</v>
      </c>
      <c r="P258" s="14" t="str">
        <f>HYPERLINK("https://dexscreener.com/solana/2Q4CYvXNooY1QNtGJVRkokYrBow2mHsRP4EQ3j2Npump", "View")</f>
        <v>View</v>
      </c>
    </row>
    <row r="259" spans="1:16" x14ac:dyDescent="0.25">
      <c r="A259" s="16" t="s">
        <v>5993</v>
      </c>
      <c r="B259" s="17">
        <v>221802</v>
      </c>
      <c r="C259" s="17">
        <v>88721</v>
      </c>
      <c r="D259" s="17" t="s">
        <v>4754</v>
      </c>
      <c r="E259" s="17" t="s">
        <v>4396</v>
      </c>
      <c r="F259" s="17" t="s">
        <v>1884</v>
      </c>
      <c r="G259" s="20" t="s">
        <v>2863</v>
      </c>
      <c r="H259" s="20" t="s">
        <v>5994</v>
      </c>
      <c r="I259" s="17" t="s">
        <v>88</v>
      </c>
      <c r="J259" s="17">
        <v>1</v>
      </c>
      <c r="K259" s="17">
        <v>1</v>
      </c>
      <c r="L259" s="17" t="s">
        <v>5995</v>
      </c>
      <c r="M259" s="17" t="s">
        <v>680</v>
      </c>
      <c r="N259" s="17" t="s">
        <v>5996</v>
      </c>
      <c r="O259" s="17" t="s">
        <v>5997</v>
      </c>
      <c r="P259" s="17" t="str">
        <f>HYPERLINK("https://dexscreener.com/solana/5sb2VHyP9bawbg4xp9stVGxr2MyP5jhKamTQgzwHpump", "View")</f>
        <v>View</v>
      </c>
    </row>
    <row r="260" spans="1:16" x14ac:dyDescent="0.25">
      <c r="A260" s="13" t="s">
        <v>5998</v>
      </c>
      <c r="B260" s="14">
        <v>185104</v>
      </c>
      <c r="C260" s="14">
        <v>92552</v>
      </c>
      <c r="D260" s="14" t="s">
        <v>4754</v>
      </c>
      <c r="E260" s="14" t="s">
        <v>4396</v>
      </c>
      <c r="F260" s="14" t="s">
        <v>4660</v>
      </c>
      <c r="G260" s="22" t="s">
        <v>5843</v>
      </c>
      <c r="H260" s="22" t="s">
        <v>5999</v>
      </c>
      <c r="I260" s="14" t="s">
        <v>88</v>
      </c>
      <c r="J260" s="14">
        <v>1</v>
      </c>
      <c r="K260" s="14">
        <v>1</v>
      </c>
      <c r="L260" s="14" t="s">
        <v>6000</v>
      </c>
      <c r="M260" s="14" t="s">
        <v>2047</v>
      </c>
      <c r="N260" s="14" t="s">
        <v>6001</v>
      </c>
      <c r="O260" s="14" t="s">
        <v>6002</v>
      </c>
      <c r="P260" s="14" t="str">
        <f>HYPERLINK("https://dexscreener.com/solana/2UqCZ7w3LM9rcgaqqMWG5RbpUFNVDevxRh1gJHHRpump", "View")</f>
        <v>View</v>
      </c>
    </row>
    <row r="261" spans="1:16" x14ac:dyDescent="0.25">
      <c r="A261" s="16" t="s">
        <v>6003</v>
      </c>
      <c r="B261" s="17">
        <v>181212</v>
      </c>
      <c r="C261" s="17">
        <v>181212</v>
      </c>
      <c r="D261" s="17" t="s">
        <v>4754</v>
      </c>
      <c r="E261" s="17" t="s">
        <v>4396</v>
      </c>
      <c r="F261" s="17" t="s">
        <v>4217</v>
      </c>
      <c r="G261" s="20" t="s">
        <v>5031</v>
      </c>
      <c r="H261" s="20" t="s">
        <v>6004</v>
      </c>
      <c r="I261" s="17" t="s">
        <v>88</v>
      </c>
      <c r="J261" s="17">
        <v>1</v>
      </c>
      <c r="K261" s="17">
        <v>1</v>
      </c>
      <c r="L261" s="17" t="s">
        <v>6005</v>
      </c>
      <c r="M261" s="17" t="s">
        <v>1434</v>
      </c>
      <c r="N261" s="17" t="s">
        <v>6006</v>
      </c>
      <c r="O261" s="17" t="s">
        <v>6007</v>
      </c>
      <c r="P261" s="17" t="str">
        <f>HYPERLINK("https://dexscreener.com/solana/Gk26fwqc9eVyYodEMteRF1Cac7h1hkur9DXAgPVepump", "View")</f>
        <v>View</v>
      </c>
    </row>
    <row r="262" spans="1:16" x14ac:dyDescent="0.25">
      <c r="A262" s="13" t="s">
        <v>6008</v>
      </c>
      <c r="B262" s="14">
        <v>218857</v>
      </c>
      <c r="C262" s="14">
        <v>218857</v>
      </c>
      <c r="D262" s="14" t="s">
        <v>4754</v>
      </c>
      <c r="E262" s="14" t="s">
        <v>4396</v>
      </c>
      <c r="F262" s="14" t="s">
        <v>5065</v>
      </c>
      <c r="G262" s="20" t="s">
        <v>6009</v>
      </c>
      <c r="H262" s="20" t="s">
        <v>6010</v>
      </c>
      <c r="I262" s="14" t="s">
        <v>88</v>
      </c>
      <c r="J262" s="14">
        <v>1</v>
      </c>
      <c r="K262" s="14">
        <v>1</v>
      </c>
      <c r="L262" s="14" t="s">
        <v>6011</v>
      </c>
      <c r="M262" s="14" t="s">
        <v>2047</v>
      </c>
      <c r="N262" s="14" t="s">
        <v>6012</v>
      </c>
      <c r="O262" s="14" t="s">
        <v>6013</v>
      </c>
      <c r="P262" s="14" t="str">
        <f>HYPERLINK("https://dexscreener.com/solana/6qfu4eTUHCyjpTooFaasHXZsUbLapRWPWXP2igpepump", "View")</f>
        <v>View</v>
      </c>
    </row>
    <row r="263" spans="1:16" x14ac:dyDescent="0.25">
      <c r="A263" s="16" t="s">
        <v>6014</v>
      </c>
      <c r="B263" s="17">
        <v>104044</v>
      </c>
      <c r="C263" s="17">
        <v>0</v>
      </c>
      <c r="D263" s="17" t="s">
        <v>4738</v>
      </c>
      <c r="E263" s="17" t="s">
        <v>4396</v>
      </c>
      <c r="F263" s="17" t="s">
        <v>96</v>
      </c>
      <c r="G263" s="18" t="s">
        <v>4739</v>
      </c>
      <c r="H263" s="18" t="s">
        <v>98</v>
      </c>
      <c r="I263" s="17" t="s">
        <v>6015</v>
      </c>
      <c r="J263" s="17">
        <v>1</v>
      </c>
      <c r="K263" s="17">
        <v>0</v>
      </c>
      <c r="L263" s="17" t="s">
        <v>6016</v>
      </c>
      <c r="M263" s="19" t="s">
        <v>101</v>
      </c>
      <c r="N263" s="17" t="s">
        <v>6017</v>
      </c>
      <c r="O263" s="17" t="s">
        <v>6018</v>
      </c>
      <c r="P263" s="17" t="str">
        <f>HYPERLINK("https://dexscreener.com/solana/7f9DEetSYKkRx5sLmVduaCdH1Qpyqxv3AJzJW8GGpump", "View")</f>
        <v>View</v>
      </c>
    </row>
    <row r="264" spans="1:16" x14ac:dyDescent="0.25">
      <c r="A264" s="13" t="s">
        <v>6019</v>
      </c>
      <c r="B264" s="14">
        <v>443418</v>
      </c>
      <c r="C264" s="14">
        <v>0</v>
      </c>
      <c r="D264" s="14" t="s">
        <v>4738</v>
      </c>
      <c r="E264" s="14" t="s">
        <v>4396</v>
      </c>
      <c r="F264" s="14" t="s">
        <v>96</v>
      </c>
      <c r="G264" s="18" t="s">
        <v>4739</v>
      </c>
      <c r="H264" s="18" t="s">
        <v>98</v>
      </c>
      <c r="I264" s="14" t="s">
        <v>6020</v>
      </c>
      <c r="J264" s="14">
        <v>1</v>
      </c>
      <c r="K264" s="14">
        <v>0</v>
      </c>
      <c r="L264" s="14" t="s">
        <v>6021</v>
      </c>
      <c r="M264" s="19" t="s">
        <v>101</v>
      </c>
      <c r="N264" s="14" t="s">
        <v>799</v>
      </c>
      <c r="O264" s="14" t="s">
        <v>6022</v>
      </c>
      <c r="P264" s="14" t="str">
        <f>HYPERLINK("https://dexscreener.com/solana/5zmrqBV8hCBnnahyUt89DG15P67PB2gPyuDQDsJKpump", "View")</f>
        <v>View</v>
      </c>
    </row>
    <row r="265" spans="1:16" x14ac:dyDescent="0.25">
      <c r="A265" s="16" t="s">
        <v>6023</v>
      </c>
      <c r="B265" s="17">
        <v>125204</v>
      </c>
      <c r="C265" s="17">
        <v>0</v>
      </c>
      <c r="D265" s="17" t="s">
        <v>4738</v>
      </c>
      <c r="E265" s="17" t="s">
        <v>4396</v>
      </c>
      <c r="F265" s="17" t="s">
        <v>96</v>
      </c>
      <c r="G265" s="18" t="s">
        <v>4739</v>
      </c>
      <c r="H265" s="18" t="s">
        <v>98</v>
      </c>
      <c r="I265" s="17" t="s">
        <v>6024</v>
      </c>
      <c r="J265" s="17">
        <v>1</v>
      </c>
      <c r="K265" s="17">
        <v>0</v>
      </c>
      <c r="L265" s="17" t="s">
        <v>6025</v>
      </c>
      <c r="M265" s="19" t="s">
        <v>101</v>
      </c>
      <c r="N265" s="17" t="s">
        <v>6026</v>
      </c>
      <c r="O265" s="17" t="s">
        <v>6027</v>
      </c>
      <c r="P265" s="17" t="str">
        <f>HYPERLINK("https://dexscreener.com/solana/EN8YG7UW8r1gt2UXecStgVyjigm9neDAJnBBXoX5pump", "View")</f>
        <v>View</v>
      </c>
    </row>
    <row r="266" spans="1:16" x14ac:dyDescent="0.25">
      <c r="A266" s="13" t="s">
        <v>6028</v>
      </c>
      <c r="B266" s="14">
        <v>160535</v>
      </c>
      <c r="C266" s="14">
        <v>160535</v>
      </c>
      <c r="D266" s="14" t="s">
        <v>4782</v>
      </c>
      <c r="E266" s="14" t="s">
        <v>4396</v>
      </c>
      <c r="F266" s="14" t="s">
        <v>6029</v>
      </c>
      <c r="G266" s="21" t="s">
        <v>6030</v>
      </c>
      <c r="H266" s="21" t="s">
        <v>6031</v>
      </c>
      <c r="I266" s="14" t="s">
        <v>88</v>
      </c>
      <c r="J266" s="14">
        <v>1</v>
      </c>
      <c r="K266" s="14">
        <v>2</v>
      </c>
      <c r="L266" s="14" t="s">
        <v>6032</v>
      </c>
      <c r="M266" s="14" t="s">
        <v>132</v>
      </c>
      <c r="N266" s="14" t="s">
        <v>6033</v>
      </c>
      <c r="O266" s="14" t="s">
        <v>6034</v>
      </c>
      <c r="P266" s="14" t="str">
        <f>HYPERLINK("https://dexscreener.com/solana/3ytQ1uY1XVJMuXcA5ndjpjA1aQ7etcHQCyqzuZxupump", "View")</f>
        <v>View</v>
      </c>
    </row>
    <row r="267" spans="1:16" x14ac:dyDescent="0.25">
      <c r="A267" s="16" t="s">
        <v>6035</v>
      </c>
      <c r="B267" s="17">
        <v>111899</v>
      </c>
      <c r="C267" s="17">
        <v>111899</v>
      </c>
      <c r="D267" s="17" t="s">
        <v>4805</v>
      </c>
      <c r="E267" s="17" t="s">
        <v>4396</v>
      </c>
      <c r="F267" s="17" t="s">
        <v>6036</v>
      </c>
      <c r="G267" s="21" t="s">
        <v>6037</v>
      </c>
      <c r="H267" s="21" t="s">
        <v>6038</v>
      </c>
      <c r="I267" s="17" t="s">
        <v>88</v>
      </c>
      <c r="J267" s="17">
        <v>1</v>
      </c>
      <c r="K267" s="17">
        <v>3</v>
      </c>
      <c r="L267" s="17" t="s">
        <v>6039</v>
      </c>
      <c r="M267" s="17" t="s">
        <v>414</v>
      </c>
      <c r="N267" s="17" t="s">
        <v>6040</v>
      </c>
      <c r="O267" s="17" t="s">
        <v>6041</v>
      </c>
      <c r="P267" s="17" t="str">
        <f>HYPERLINK("https://dexscreener.com/solana/5NSLkhKomR9YUE99W9i9xbxwuoCvqEXwEhAAeN2mpump", "View")</f>
        <v>View</v>
      </c>
    </row>
    <row r="268" spans="1:16" x14ac:dyDescent="0.25">
      <c r="A268" s="13" t="s">
        <v>6042</v>
      </c>
      <c r="B268" s="14">
        <v>165204</v>
      </c>
      <c r="C268" s="14">
        <v>0</v>
      </c>
      <c r="D268" s="14" t="s">
        <v>4738</v>
      </c>
      <c r="E268" s="14" t="s">
        <v>4396</v>
      </c>
      <c r="F268" s="14" t="s">
        <v>96</v>
      </c>
      <c r="G268" s="18" t="s">
        <v>4739</v>
      </c>
      <c r="H268" s="18" t="s">
        <v>98</v>
      </c>
      <c r="I268" s="14" t="s">
        <v>6043</v>
      </c>
      <c r="J268" s="14">
        <v>1</v>
      </c>
      <c r="K268" s="14">
        <v>0</v>
      </c>
      <c r="L268" s="14" t="s">
        <v>6044</v>
      </c>
      <c r="M268" s="19" t="s">
        <v>101</v>
      </c>
      <c r="N268" s="14" t="s">
        <v>6045</v>
      </c>
      <c r="O268" s="14" t="s">
        <v>6046</v>
      </c>
      <c r="P268" s="14" t="str">
        <f>HYPERLINK("https://dexscreener.com/solana/9MRoXj6wRvfgaWeQcJgAk3MvfFJSURi6N6YueUVopump", "View")</f>
        <v>View</v>
      </c>
    </row>
    <row r="269" spans="1:16" x14ac:dyDescent="0.25">
      <c r="A269" s="16" t="s">
        <v>6047</v>
      </c>
      <c r="B269" s="17">
        <v>145169</v>
      </c>
      <c r="C269" s="17">
        <v>0</v>
      </c>
      <c r="D269" s="17" t="s">
        <v>4738</v>
      </c>
      <c r="E269" s="17" t="s">
        <v>4396</v>
      </c>
      <c r="F269" s="17" t="s">
        <v>96</v>
      </c>
      <c r="G269" s="18" t="s">
        <v>4739</v>
      </c>
      <c r="H269" s="18" t="s">
        <v>98</v>
      </c>
      <c r="I269" s="17" t="s">
        <v>6048</v>
      </c>
      <c r="J269" s="17">
        <v>1</v>
      </c>
      <c r="K269" s="17">
        <v>0</v>
      </c>
      <c r="L269" s="17" t="s">
        <v>6049</v>
      </c>
      <c r="M269" s="19" t="s">
        <v>101</v>
      </c>
      <c r="N269" s="17" t="s">
        <v>6050</v>
      </c>
      <c r="O269" s="17" t="s">
        <v>6051</v>
      </c>
      <c r="P269" s="17" t="str">
        <f>HYPERLINK("https://dexscreener.com/solana/8PEX9dovL3RGocHDr6Q2HNzyrN2VJXFi9YDJUFtdpump", "View")</f>
        <v>View</v>
      </c>
    </row>
    <row r="270" spans="1:16" x14ac:dyDescent="0.25">
      <c r="A270" s="13" t="s">
        <v>6052</v>
      </c>
      <c r="B270" s="14">
        <v>111638</v>
      </c>
      <c r="C270" s="14">
        <v>0</v>
      </c>
      <c r="D270" s="14" t="s">
        <v>4738</v>
      </c>
      <c r="E270" s="14" t="s">
        <v>4396</v>
      </c>
      <c r="F270" s="14" t="s">
        <v>96</v>
      </c>
      <c r="G270" s="18" t="s">
        <v>4739</v>
      </c>
      <c r="H270" s="18" t="s">
        <v>98</v>
      </c>
      <c r="I270" s="14" t="s">
        <v>6053</v>
      </c>
      <c r="J270" s="14">
        <v>1</v>
      </c>
      <c r="K270" s="14">
        <v>0</v>
      </c>
      <c r="L270" s="14" t="s">
        <v>6054</v>
      </c>
      <c r="M270" s="19" t="s">
        <v>101</v>
      </c>
      <c r="N270" s="14" t="s">
        <v>6055</v>
      </c>
      <c r="O270" s="14" t="s">
        <v>6056</v>
      </c>
      <c r="P270" s="14" t="str">
        <f>HYPERLINK("https://dexscreener.com/solana/DWKScU3qJvo3he2qtuULDHWq726aEhvCuuCu266opump", "View")</f>
        <v>View</v>
      </c>
    </row>
    <row r="271" spans="1:16" x14ac:dyDescent="0.25">
      <c r="A271" s="16" t="s">
        <v>6057</v>
      </c>
      <c r="B271" s="17">
        <v>155959</v>
      </c>
      <c r="C271" s="17">
        <v>77979</v>
      </c>
      <c r="D271" s="17" t="s">
        <v>4754</v>
      </c>
      <c r="E271" s="17" t="s">
        <v>4396</v>
      </c>
      <c r="F271" s="17" t="s">
        <v>3275</v>
      </c>
      <c r="G271" s="22" t="s">
        <v>6058</v>
      </c>
      <c r="H271" s="22" t="s">
        <v>6059</v>
      </c>
      <c r="I271" s="17" t="s">
        <v>88</v>
      </c>
      <c r="J271" s="17">
        <v>1</v>
      </c>
      <c r="K271" s="17">
        <v>1</v>
      </c>
      <c r="L271" s="17" t="s">
        <v>6060</v>
      </c>
      <c r="M271" s="17" t="s">
        <v>379</v>
      </c>
      <c r="N271" s="17" t="s">
        <v>6061</v>
      </c>
      <c r="O271" s="17" t="s">
        <v>6062</v>
      </c>
      <c r="P271" s="17" t="str">
        <f>HYPERLINK("https://dexscreener.com/solana/qriANWB3NHrsEBXwYbkkNFaZUMf9K1ef4HZ5Xg4pump", "View")</f>
        <v>View</v>
      </c>
    </row>
    <row r="272" spans="1:16" x14ac:dyDescent="0.25">
      <c r="A272" s="13" t="s">
        <v>6063</v>
      </c>
      <c r="B272" s="14">
        <v>292297</v>
      </c>
      <c r="C272" s="14">
        <v>0</v>
      </c>
      <c r="D272" s="14" t="s">
        <v>4738</v>
      </c>
      <c r="E272" s="14" t="s">
        <v>4919</v>
      </c>
      <c r="F272" s="14" t="s">
        <v>96</v>
      </c>
      <c r="G272" s="18" t="s">
        <v>5299</v>
      </c>
      <c r="H272" s="18" t="s">
        <v>98</v>
      </c>
      <c r="I272" s="14" t="s">
        <v>6064</v>
      </c>
      <c r="J272" s="14">
        <v>1</v>
      </c>
      <c r="K272" s="14">
        <v>0</v>
      </c>
      <c r="L272" s="14" t="s">
        <v>6065</v>
      </c>
      <c r="M272" s="19" t="s">
        <v>101</v>
      </c>
      <c r="N272" s="14" t="s">
        <v>507</v>
      </c>
      <c r="O272" s="14" t="s">
        <v>6066</v>
      </c>
      <c r="P272" s="14" t="str">
        <f>HYPERLINK("https://photon-sol.tinyastro.io/en/lp/CMFhy8pTV8tDV4pjhUz2EH6cNVRPwjLi5gjZEMMqump?handle=676050794bc1b1657a56b", "View")</f>
        <v>View</v>
      </c>
    </row>
    <row r="273" spans="1:16" x14ac:dyDescent="0.25">
      <c r="A273" s="16" t="s">
        <v>6067</v>
      </c>
      <c r="B273" s="17">
        <v>195490</v>
      </c>
      <c r="C273" s="17">
        <v>0</v>
      </c>
      <c r="D273" s="17" t="s">
        <v>4738</v>
      </c>
      <c r="E273" s="17" t="s">
        <v>4396</v>
      </c>
      <c r="F273" s="17" t="s">
        <v>96</v>
      </c>
      <c r="G273" s="18" t="s">
        <v>4739</v>
      </c>
      <c r="H273" s="18" t="s">
        <v>98</v>
      </c>
      <c r="I273" s="17" t="s">
        <v>6068</v>
      </c>
      <c r="J273" s="17">
        <v>1</v>
      </c>
      <c r="K273" s="17">
        <v>0</v>
      </c>
      <c r="L273" s="17" t="s">
        <v>6069</v>
      </c>
      <c r="M273" s="19" t="s">
        <v>101</v>
      </c>
      <c r="N273" s="17" t="s">
        <v>6070</v>
      </c>
      <c r="O273" s="17" t="s">
        <v>6071</v>
      </c>
      <c r="P273" s="17" t="str">
        <f>HYPERLINK("https://dexscreener.com/solana/48PVXhpm46eQSSQcXjwVBeeSkML28FpYs9vWirSnpump", "View")</f>
        <v>View</v>
      </c>
    </row>
    <row r="274" spans="1:16" x14ac:dyDescent="0.25">
      <c r="A274" s="13" t="s">
        <v>6072</v>
      </c>
      <c r="B274" s="14">
        <v>176680</v>
      </c>
      <c r="C274" s="14">
        <v>0</v>
      </c>
      <c r="D274" s="14" t="s">
        <v>4738</v>
      </c>
      <c r="E274" s="14" t="s">
        <v>4396</v>
      </c>
      <c r="F274" s="14" t="s">
        <v>96</v>
      </c>
      <c r="G274" s="18" t="s">
        <v>4739</v>
      </c>
      <c r="H274" s="18" t="s">
        <v>98</v>
      </c>
      <c r="I274" s="14" t="s">
        <v>6073</v>
      </c>
      <c r="J274" s="14">
        <v>1</v>
      </c>
      <c r="K274" s="14">
        <v>0</v>
      </c>
      <c r="L274" s="14" t="s">
        <v>6074</v>
      </c>
      <c r="M274" s="19" t="s">
        <v>101</v>
      </c>
      <c r="N274" s="14" t="s">
        <v>6075</v>
      </c>
      <c r="O274" s="14" t="s">
        <v>6076</v>
      </c>
      <c r="P274" s="14" t="str">
        <f>HYPERLINK("https://dexscreener.com/solana/bhoXRxtgM9ozxjqepkdJPmRFaN1e145JCgTUMfkpump", "View")</f>
        <v>View</v>
      </c>
    </row>
    <row r="275" spans="1:16" x14ac:dyDescent="0.25">
      <c r="A275" s="16" t="s">
        <v>6077</v>
      </c>
      <c r="B275" s="17">
        <v>62489</v>
      </c>
      <c r="C275" s="17">
        <v>0</v>
      </c>
      <c r="D275" s="17" t="s">
        <v>4738</v>
      </c>
      <c r="E275" s="17" t="s">
        <v>4396</v>
      </c>
      <c r="F275" s="17" t="s">
        <v>96</v>
      </c>
      <c r="G275" s="18" t="s">
        <v>4739</v>
      </c>
      <c r="H275" s="18" t="s">
        <v>98</v>
      </c>
      <c r="I275" s="17" t="s">
        <v>6078</v>
      </c>
      <c r="J275" s="17">
        <v>1</v>
      </c>
      <c r="K275" s="17">
        <v>0</v>
      </c>
      <c r="L275" s="17" t="s">
        <v>6079</v>
      </c>
      <c r="M275" s="19" t="s">
        <v>101</v>
      </c>
      <c r="N275" s="17" t="s">
        <v>6080</v>
      </c>
      <c r="O275" s="17" t="s">
        <v>6081</v>
      </c>
      <c r="P275" s="17" t="str">
        <f>HYPERLINK("https://dexscreener.com/solana/B2PstkcpxLNT7FmpFrSpnmXn2Dy4q9MZ21erqus4pump", "View")</f>
        <v>View</v>
      </c>
    </row>
    <row r="276" spans="1:16" x14ac:dyDescent="0.25">
      <c r="A276" s="13" t="s">
        <v>6082</v>
      </c>
      <c r="B276" s="14">
        <v>201623</v>
      </c>
      <c r="C276" s="14">
        <v>0</v>
      </c>
      <c r="D276" s="14" t="s">
        <v>4738</v>
      </c>
      <c r="E276" s="14" t="s">
        <v>4396</v>
      </c>
      <c r="F276" s="14" t="s">
        <v>96</v>
      </c>
      <c r="G276" s="18" t="s">
        <v>4739</v>
      </c>
      <c r="H276" s="18" t="s">
        <v>98</v>
      </c>
      <c r="I276" s="14" t="s">
        <v>6083</v>
      </c>
      <c r="J276" s="14">
        <v>1</v>
      </c>
      <c r="K276" s="14">
        <v>0</v>
      </c>
      <c r="L276" s="14" t="s">
        <v>6084</v>
      </c>
      <c r="M276" s="19" t="s">
        <v>101</v>
      </c>
      <c r="N276" s="14" t="s">
        <v>4986</v>
      </c>
      <c r="O276" s="14" t="s">
        <v>6085</v>
      </c>
      <c r="P276" s="14" t="str">
        <f>HYPERLINK("https://dexscreener.com/solana/H6naGfqfo4gMv6TfVrzH3S7konVNf3ToE5CCVXP1pump", "View")</f>
        <v>View</v>
      </c>
    </row>
    <row r="277" spans="1:16" x14ac:dyDescent="0.25">
      <c r="A277" s="16" t="s">
        <v>6086</v>
      </c>
      <c r="B277" s="17">
        <v>170861</v>
      </c>
      <c r="C277" s="17">
        <v>170861</v>
      </c>
      <c r="D277" s="17" t="s">
        <v>4805</v>
      </c>
      <c r="E277" s="17" t="s">
        <v>4396</v>
      </c>
      <c r="F277" s="17" t="s">
        <v>6087</v>
      </c>
      <c r="G277" s="21" t="s">
        <v>3387</v>
      </c>
      <c r="H277" s="21" t="s">
        <v>6088</v>
      </c>
      <c r="I277" s="17" t="s">
        <v>88</v>
      </c>
      <c r="J277" s="17">
        <v>1</v>
      </c>
      <c r="K277" s="17">
        <v>3</v>
      </c>
      <c r="L277" s="17" t="s">
        <v>6089</v>
      </c>
      <c r="M277" s="17" t="s">
        <v>414</v>
      </c>
      <c r="N277" s="17" t="s">
        <v>6090</v>
      </c>
      <c r="O277" s="17" t="s">
        <v>6091</v>
      </c>
      <c r="P277" s="17" t="str">
        <f>HYPERLINK("https://dexscreener.com/solana/J8xQyfH2pG7jQod18a1KsAqXGmBWtn3VmGMEuGqCpump", "View")</f>
        <v>View</v>
      </c>
    </row>
    <row r="278" spans="1:16" x14ac:dyDescent="0.25">
      <c r="A278" s="13" t="s">
        <v>6092</v>
      </c>
      <c r="B278" s="14">
        <v>331741</v>
      </c>
      <c r="C278" s="14">
        <v>0</v>
      </c>
      <c r="D278" s="14" t="s">
        <v>4738</v>
      </c>
      <c r="E278" s="14" t="s">
        <v>4396</v>
      </c>
      <c r="F278" s="14" t="s">
        <v>96</v>
      </c>
      <c r="G278" s="18" t="s">
        <v>4739</v>
      </c>
      <c r="H278" s="18" t="s">
        <v>98</v>
      </c>
      <c r="I278" s="14" t="s">
        <v>6093</v>
      </c>
      <c r="J278" s="14">
        <v>1</v>
      </c>
      <c r="K278" s="14">
        <v>0</v>
      </c>
      <c r="L278" s="14" t="s">
        <v>6094</v>
      </c>
      <c r="M278" s="19" t="s">
        <v>101</v>
      </c>
      <c r="N278" s="14" t="s">
        <v>5278</v>
      </c>
      <c r="O278" s="14" t="s">
        <v>6095</v>
      </c>
      <c r="P278" s="14" t="str">
        <f>HYPERLINK("https://dexscreener.com/solana/8B7jitEP6p926H3CvBrcBJsLZzkhNqESC2ebyaiWpump", "View")</f>
        <v>View</v>
      </c>
    </row>
    <row r="279" spans="1:16" x14ac:dyDescent="0.25">
      <c r="A279" s="16" t="s">
        <v>6096</v>
      </c>
      <c r="B279" s="17">
        <v>179178</v>
      </c>
      <c r="C279" s="17">
        <v>0</v>
      </c>
      <c r="D279" s="17" t="s">
        <v>4738</v>
      </c>
      <c r="E279" s="17" t="s">
        <v>4396</v>
      </c>
      <c r="F279" s="17" t="s">
        <v>96</v>
      </c>
      <c r="G279" s="18" t="s">
        <v>4739</v>
      </c>
      <c r="H279" s="18" t="s">
        <v>98</v>
      </c>
      <c r="I279" s="17" t="s">
        <v>6097</v>
      </c>
      <c r="J279" s="17">
        <v>1</v>
      </c>
      <c r="K279" s="17">
        <v>0</v>
      </c>
      <c r="L279" s="17" t="s">
        <v>6098</v>
      </c>
      <c r="M279" s="19" t="s">
        <v>101</v>
      </c>
      <c r="N279" s="17" t="s">
        <v>6099</v>
      </c>
      <c r="O279" s="17" t="s">
        <v>6100</v>
      </c>
      <c r="P279" s="17" t="str">
        <f>HYPERLINK("https://dexscreener.com/solana/HKjAzdghQxo5fRb7n8RAwoEgoSgQFiuDMdFCd1s6pump", "View")</f>
        <v>View</v>
      </c>
    </row>
    <row r="280" spans="1:16" x14ac:dyDescent="0.25">
      <c r="A280" s="13" t="s">
        <v>6101</v>
      </c>
      <c r="B280" s="14">
        <v>155034</v>
      </c>
      <c r="C280" s="14">
        <v>0</v>
      </c>
      <c r="D280" s="14" t="s">
        <v>4738</v>
      </c>
      <c r="E280" s="14" t="s">
        <v>4396</v>
      </c>
      <c r="F280" s="14" t="s">
        <v>96</v>
      </c>
      <c r="G280" s="18" t="s">
        <v>4739</v>
      </c>
      <c r="H280" s="18" t="s">
        <v>98</v>
      </c>
      <c r="I280" s="14" t="s">
        <v>6102</v>
      </c>
      <c r="J280" s="14">
        <v>1</v>
      </c>
      <c r="K280" s="14">
        <v>0</v>
      </c>
      <c r="L280" s="14" t="s">
        <v>6103</v>
      </c>
      <c r="M280" s="19" t="s">
        <v>101</v>
      </c>
      <c r="N280" s="14" t="s">
        <v>6104</v>
      </c>
      <c r="O280" s="14" t="s">
        <v>6105</v>
      </c>
      <c r="P280" s="14" t="str">
        <f>HYPERLINK("https://dexscreener.com/solana/6Vg95p4aHXfa7oZes5ACWeGH2oLmr26cavTRJu1Jpump", "View")</f>
        <v>View</v>
      </c>
    </row>
    <row r="281" spans="1:16" x14ac:dyDescent="0.25">
      <c r="A281" s="16" t="s">
        <v>6106</v>
      </c>
      <c r="B281" s="17">
        <v>4380978</v>
      </c>
      <c r="C281" s="17">
        <v>4380978</v>
      </c>
      <c r="D281" s="17" t="s">
        <v>4754</v>
      </c>
      <c r="E281" s="17" t="s">
        <v>5472</v>
      </c>
      <c r="F281" s="17" t="s">
        <v>6107</v>
      </c>
      <c r="G281" s="20" t="s">
        <v>5305</v>
      </c>
      <c r="H281" s="20" t="s">
        <v>2409</v>
      </c>
      <c r="I281" s="17" t="s">
        <v>88</v>
      </c>
      <c r="J281" s="17">
        <v>1</v>
      </c>
      <c r="K281" s="17">
        <v>1</v>
      </c>
      <c r="L281" s="17" t="s">
        <v>6108</v>
      </c>
      <c r="M281" s="17" t="s">
        <v>680</v>
      </c>
      <c r="N281" s="17" t="s">
        <v>507</v>
      </c>
      <c r="O281" s="17" t="s">
        <v>6109</v>
      </c>
      <c r="P281" s="17" t="str">
        <f>HYPERLINK("https://photon-sol.tinyastro.io/en/lp/2by9PprEcB6cXV3FdwvEtkxztHYAZuat2crbDTAmpump?handle=676050794bc1b1657a56b", "View")</f>
        <v>View</v>
      </c>
    </row>
    <row r="282" spans="1:16" x14ac:dyDescent="0.25">
      <c r="A282" s="13" t="s">
        <v>6110</v>
      </c>
      <c r="B282" s="14">
        <v>400808</v>
      </c>
      <c r="C282" s="14">
        <v>400808</v>
      </c>
      <c r="D282" s="14" t="s">
        <v>4754</v>
      </c>
      <c r="E282" s="14" t="s">
        <v>4919</v>
      </c>
      <c r="F282" s="14" t="s">
        <v>6111</v>
      </c>
      <c r="G282" s="20" t="s">
        <v>1616</v>
      </c>
      <c r="H282" s="20" t="s">
        <v>6112</v>
      </c>
      <c r="I282" s="14" t="s">
        <v>88</v>
      </c>
      <c r="J282" s="14">
        <v>1</v>
      </c>
      <c r="K282" s="14">
        <v>1</v>
      </c>
      <c r="L282" s="14" t="s">
        <v>6113</v>
      </c>
      <c r="M282" s="14" t="s">
        <v>3171</v>
      </c>
      <c r="N282" s="14" t="s">
        <v>507</v>
      </c>
      <c r="O282" s="14" t="s">
        <v>6114</v>
      </c>
      <c r="P282" s="14" t="str">
        <f>HYPERLINK("https://photon-sol.tinyastro.io/en/lp/DL4FC8fcAZKVGG7XMmqTWaYdPAVRKpbvoYntmVvJpump?handle=676050794bc1b1657a56b", "View")</f>
        <v>View</v>
      </c>
    </row>
    <row r="283" spans="1:16" x14ac:dyDescent="0.25">
      <c r="A283" s="16" t="s">
        <v>6115</v>
      </c>
      <c r="B283" s="17">
        <v>368146</v>
      </c>
      <c r="C283" s="17">
        <v>368146</v>
      </c>
      <c r="D283" s="17" t="s">
        <v>4754</v>
      </c>
      <c r="E283" s="17" t="s">
        <v>5058</v>
      </c>
      <c r="F283" s="17" t="s">
        <v>5588</v>
      </c>
      <c r="G283" s="20" t="s">
        <v>5692</v>
      </c>
      <c r="H283" s="20" t="s">
        <v>6116</v>
      </c>
      <c r="I283" s="17" t="s">
        <v>88</v>
      </c>
      <c r="J283" s="17">
        <v>1</v>
      </c>
      <c r="K283" s="17">
        <v>1</v>
      </c>
      <c r="L283" s="17" t="s">
        <v>6117</v>
      </c>
      <c r="M283" s="17" t="s">
        <v>1610</v>
      </c>
      <c r="N283" s="17" t="s">
        <v>507</v>
      </c>
      <c r="O283" s="17" t="s">
        <v>6118</v>
      </c>
      <c r="P283" s="17" t="str">
        <f>HYPERLINK("https://photon-sol.tinyastro.io/en/lp/AXTRHYbtdWtBwsAg2NY8ZMmwGJw5JNUcBGR3K4sVpump?handle=676050794bc1b1657a56b", "View")</f>
        <v>View</v>
      </c>
    </row>
    <row r="284" spans="1:16" x14ac:dyDescent="0.25">
      <c r="A284" s="13" t="s">
        <v>6119</v>
      </c>
      <c r="B284" s="14">
        <v>466619</v>
      </c>
      <c r="C284" s="14">
        <v>466619</v>
      </c>
      <c r="D284" s="14" t="s">
        <v>4754</v>
      </c>
      <c r="E284" s="14" t="s">
        <v>4919</v>
      </c>
      <c r="F284" s="14" t="s">
        <v>4482</v>
      </c>
      <c r="G284" s="20" t="s">
        <v>5692</v>
      </c>
      <c r="H284" s="20" t="s">
        <v>6120</v>
      </c>
      <c r="I284" s="14" t="s">
        <v>88</v>
      </c>
      <c r="J284" s="14">
        <v>1</v>
      </c>
      <c r="K284" s="14">
        <v>1</v>
      </c>
      <c r="L284" s="14" t="s">
        <v>6121</v>
      </c>
      <c r="M284" s="14" t="s">
        <v>3180</v>
      </c>
      <c r="N284" s="14" t="s">
        <v>6122</v>
      </c>
      <c r="O284" s="14" t="s">
        <v>6123</v>
      </c>
      <c r="P284" s="14" t="str">
        <f>HYPERLINK("https://photon-sol.tinyastro.io/en/lp/7Mpe737ffdYsKAc2GqU1X4TWs249yYMypsbGfxthpump?handle=676050794bc1b1657a56b", "View")</f>
        <v>View</v>
      </c>
    </row>
    <row r="285" spans="1:16" x14ac:dyDescent="0.25">
      <c r="A285" s="16" t="s">
        <v>6124</v>
      </c>
      <c r="B285" s="17">
        <v>497746</v>
      </c>
      <c r="C285" s="17">
        <v>497746</v>
      </c>
      <c r="D285" s="17" t="s">
        <v>5668</v>
      </c>
      <c r="E285" s="17" t="s">
        <v>4665</v>
      </c>
      <c r="F285" s="17" t="s">
        <v>6125</v>
      </c>
      <c r="G285" s="21" t="s">
        <v>3965</v>
      </c>
      <c r="H285" s="21" t="s">
        <v>6126</v>
      </c>
      <c r="I285" s="17" t="s">
        <v>88</v>
      </c>
      <c r="J285" s="17">
        <v>2</v>
      </c>
      <c r="K285" s="17">
        <v>3</v>
      </c>
      <c r="L285" s="17" t="s">
        <v>6127</v>
      </c>
      <c r="M285" s="17" t="s">
        <v>414</v>
      </c>
      <c r="N285" s="17" t="s">
        <v>6128</v>
      </c>
      <c r="O285" s="17" t="s">
        <v>6129</v>
      </c>
      <c r="P285" s="17" t="str">
        <f>HYPERLINK("https://dexscreener.com/solana/7J3FRKz5PSzQS1uUBATgBY6qtfNwBQwyRmZZFC7Tpump", "View")</f>
        <v>View</v>
      </c>
    </row>
    <row r="286" spans="1:16" x14ac:dyDescent="0.25">
      <c r="A286" s="13" t="s">
        <v>6130</v>
      </c>
      <c r="B286" s="14">
        <v>744932</v>
      </c>
      <c r="C286" s="14">
        <v>744932</v>
      </c>
      <c r="D286" s="14" t="s">
        <v>4754</v>
      </c>
      <c r="E286" s="14" t="s">
        <v>4919</v>
      </c>
      <c r="F286" s="14" t="s">
        <v>5024</v>
      </c>
      <c r="G286" s="15" t="s">
        <v>6131</v>
      </c>
      <c r="H286" s="15" t="s">
        <v>6132</v>
      </c>
      <c r="I286" s="14" t="s">
        <v>88</v>
      </c>
      <c r="J286" s="14">
        <v>1</v>
      </c>
      <c r="K286" s="14">
        <v>1</v>
      </c>
      <c r="L286" s="14" t="s">
        <v>6133</v>
      </c>
      <c r="M286" s="14" t="s">
        <v>414</v>
      </c>
      <c r="N286" s="14" t="s">
        <v>6134</v>
      </c>
      <c r="O286" s="14" t="s">
        <v>6135</v>
      </c>
      <c r="P286" s="14" t="str">
        <f>HYPERLINK("https://photon-sol.tinyastro.io/en/lp/3xzqBcfS48mtQbgLaiNovQerGNuRySmjK6tr2F2Fpump?handle=676050794bc1b1657a56b", "View")</f>
        <v>View</v>
      </c>
    </row>
    <row r="287" spans="1:16" x14ac:dyDescent="0.25">
      <c r="A287" s="16" t="s">
        <v>6136</v>
      </c>
      <c r="B287" s="17">
        <v>776575</v>
      </c>
      <c r="C287" s="17">
        <v>776575</v>
      </c>
      <c r="D287" s="17" t="s">
        <v>4754</v>
      </c>
      <c r="E287" s="17" t="s">
        <v>3320</v>
      </c>
      <c r="F287" s="17" t="s">
        <v>6137</v>
      </c>
      <c r="G287" s="15" t="s">
        <v>6131</v>
      </c>
      <c r="H287" s="15" t="s">
        <v>6138</v>
      </c>
      <c r="I287" s="17" t="s">
        <v>88</v>
      </c>
      <c r="J287" s="17">
        <v>1</v>
      </c>
      <c r="K287" s="17">
        <v>1</v>
      </c>
      <c r="L287" s="17" t="s">
        <v>6139</v>
      </c>
      <c r="M287" s="17" t="s">
        <v>132</v>
      </c>
      <c r="N287" s="17" t="s">
        <v>507</v>
      </c>
      <c r="O287" s="17" t="s">
        <v>6140</v>
      </c>
      <c r="P287" s="17" t="str">
        <f>HYPERLINK("https://photon-sol.tinyastro.io/en/lp/7zK9p57m8zgJocuYjFmbukkeq2HAq3j4abRNQnX4pump?handle=676050794bc1b1657a56b", "View")</f>
        <v>View</v>
      </c>
    </row>
    <row r="288" spans="1:16" x14ac:dyDescent="0.25">
      <c r="A288" s="13" t="s">
        <v>6141</v>
      </c>
      <c r="B288" s="14">
        <v>877688</v>
      </c>
      <c r="C288" s="14">
        <v>877688</v>
      </c>
      <c r="D288" s="14" t="s">
        <v>4754</v>
      </c>
      <c r="E288" s="14" t="s">
        <v>5058</v>
      </c>
      <c r="F288" s="14" t="s">
        <v>2236</v>
      </c>
      <c r="G288" s="15" t="s">
        <v>6142</v>
      </c>
      <c r="H288" s="15" t="s">
        <v>6143</v>
      </c>
      <c r="I288" s="14" t="s">
        <v>88</v>
      </c>
      <c r="J288" s="14">
        <v>1</v>
      </c>
      <c r="K288" s="14">
        <v>1</v>
      </c>
      <c r="L288" s="14" t="s">
        <v>6144</v>
      </c>
      <c r="M288" s="14" t="s">
        <v>414</v>
      </c>
      <c r="N288" s="14" t="s">
        <v>507</v>
      </c>
      <c r="O288" s="14" t="s">
        <v>6145</v>
      </c>
      <c r="P288" s="14" t="str">
        <f>HYPERLINK("https://photon-sol.tinyastro.io/en/lp/FdahSjYcs2mzRsSe3S4G7ChNe4i5UBuFnUtGqnJdpump?handle=676050794bc1b1657a56b", "View")</f>
        <v>View</v>
      </c>
    </row>
    <row r="289" spans="1:16" x14ac:dyDescent="0.25">
      <c r="A289" s="16" t="s">
        <v>6146</v>
      </c>
      <c r="B289" s="17">
        <v>804259</v>
      </c>
      <c r="C289" s="17">
        <v>804259</v>
      </c>
      <c r="D289" s="17" t="s">
        <v>4754</v>
      </c>
      <c r="E289" s="17" t="s">
        <v>4919</v>
      </c>
      <c r="F289" s="17" t="s">
        <v>5552</v>
      </c>
      <c r="G289" s="15" t="s">
        <v>3676</v>
      </c>
      <c r="H289" s="15" t="s">
        <v>6147</v>
      </c>
      <c r="I289" s="17" t="s">
        <v>88</v>
      </c>
      <c r="J289" s="17">
        <v>1</v>
      </c>
      <c r="K289" s="17">
        <v>1</v>
      </c>
      <c r="L289" s="17" t="s">
        <v>6148</v>
      </c>
      <c r="M289" s="17" t="s">
        <v>699</v>
      </c>
      <c r="N289" s="17" t="s">
        <v>507</v>
      </c>
      <c r="O289" s="17" t="s">
        <v>6149</v>
      </c>
      <c r="P289" s="17" t="str">
        <f>HYPERLINK("https://photon-sol.tinyastro.io/en/lp/FKg6tyeBcWmEaEs5TT1SHQS2fQe6BPbqM2j9AuZ3pump?handle=676050794bc1b1657a56b", "View")</f>
        <v>View</v>
      </c>
    </row>
    <row r="290" spans="1:16" x14ac:dyDescent="0.25">
      <c r="A290" s="13" t="s">
        <v>6150</v>
      </c>
      <c r="B290" s="14">
        <v>662000</v>
      </c>
      <c r="C290" s="14">
        <v>662000</v>
      </c>
      <c r="D290" s="14" t="s">
        <v>4754</v>
      </c>
      <c r="E290" s="14" t="s">
        <v>4919</v>
      </c>
      <c r="F290" s="14" t="s">
        <v>6151</v>
      </c>
      <c r="G290" s="15" t="s">
        <v>2172</v>
      </c>
      <c r="H290" s="15" t="s">
        <v>6152</v>
      </c>
      <c r="I290" s="14" t="s">
        <v>88</v>
      </c>
      <c r="J290" s="14">
        <v>1</v>
      </c>
      <c r="K290" s="14">
        <v>1</v>
      </c>
      <c r="L290" s="14" t="s">
        <v>6153</v>
      </c>
      <c r="M290" s="14" t="s">
        <v>132</v>
      </c>
      <c r="N290" s="14" t="s">
        <v>507</v>
      </c>
      <c r="O290" s="14" t="s">
        <v>6154</v>
      </c>
      <c r="P290" s="14" t="str">
        <f>HYPERLINK("https://photon-sol.tinyastro.io/en/lp/gqh3suBHo21HFH8kEeBiBoe6qDWyCNUZKjPYcuLpump?handle=676050794bc1b1657a56b", "View")</f>
        <v>View</v>
      </c>
    </row>
    <row r="291" spans="1:16" x14ac:dyDescent="0.25">
      <c r="A291" s="16" t="s">
        <v>6155</v>
      </c>
      <c r="B291" s="17">
        <v>1541742</v>
      </c>
      <c r="C291" s="17">
        <v>1541742</v>
      </c>
      <c r="D291" s="17" t="s">
        <v>4754</v>
      </c>
      <c r="E291" s="17" t="s">
        <v>4919</v>
      </c>
      <c r="F291" s="17" t="s">
        <v>6156</v>
      </c>
      <c r="G291" s="15" t="s">
        <v>4649</v>
      </c>
      <c r="H291" s="15" t="s">
        <v>6157</v>
      </c>
      <c r="I291" s="17" t="s">
        <v>88</v>
      </c>
      <c r="J291" s="17">
        <v>1</v>
      </c>
      <c r="K291" s="17">
        <v>1</v>
      </c>
      <c r="L291" s="17" t="s">
        <v>6158</v>
      </c>
      <c r="M291" s="17" t="s">
        <v>699</v>
      </c>
      <c r="N291" s="17" t="s">
        <v>507</v>
      </c>
      <c r="O291" s="17" t="s">
        <v>6159</v>
      </c>
      <c r="P291" s="17" t="str">
        <f>HYPERLINK("https://photon-sol.tinyastro.io/en/lp/DyhmS4ebJd8zDWLYwwtyvKbCAL6rvZDj83GvW1SBpump?handle=676050794bc1b1657a56b", "View")</f>
        <v>View</v>
      </c>
    </row>
    <row r="292" spans="1:16" x14ac:dyDescent="0.25">
      <c r="A292" s="13" t="s">
        <v>6160</v>
      </c>
      <c r="B292" s="14">
        <v>809658</v>
      </c>
      <c r="C292" s="14">
        <v>809658</v>
      </c>
      <c r="D292" s="14" t="s">
        <v>4754</v>
      </c>
      <c r="E292" s="14" t="s">
        <v>4919</v>
      </c>
      <c r="F292" s="14" t="s">
        <v>6161</v>
      </c>
      <c r="G292" s="15" t="s">
        <v>3676</v>
      </c>
      <c r="H292" s="15" t="s">
        <v>6162</v>
      </c>
      <c r="I292" s="14" t="s">
        <v>88</v>
      </c>
      <c r="J292" s="14">
        <v>1</v>
      </c>
      <c r="K292" s="14">
        <v>1</v>
      </c>
      <c r="L292" s="14" t="s">
        <v>6163</v>
      </c>
      <c r="M292" s="14" t="s">
        <v>287</v>
      </c>
      <c r="N292" s="14" t="s">
        <v>507</v>
      </c>
      <c r="O292" s="14" t="s">
        <v>6164</v>
      </c>
      <c r="P292" s="14" t="str">
        <f>HYPERLINK("https://photon-sol.tinyastro.io/en/lp/7K54c1JbC4dR2Sy72avpSFV29HJhKDLPUDQj2aTLoLs?handle=676050794bc1b1657a56b", "View")</f>
        <v>View</v>
      </c>
    </row>
    <row r="293" spans="1:16" x14ac:dyDescent="0.25">
      <c r="A293" s="16" t="s">
        <v>6165</v>
      </c>
      <c r="B293" s="17">
        <v>3042395</v>
      </c>
      <c r="C293" s="17">
        <v>3042395</v>
      </c>
      <c r="D293" s="17" t="s">
        <v>4754</v>
      </c>
      <c r="E293" s="17" t="s">
        <v>4919</v>
      </c>
      <c r="F293" s="17" t="s">
        <v>5226</v>
      </c>
      <c r="G293" s="20" t="s">
        <v>5589</v>
      </c>
      <c r="H293" s="20" t="s">
        <v>6166</v>
      </c>
      <c r="I293" s="17" t="s">
        <v>88</v>
      </c>
      <c r="J293" s="17">
        <v>1</v>
      </c>
      <c r="K293" s="17">
        <v>1</v>
      </c>
      <c r="L293" s="17" t="s">
        <v>6167</v>
      </c>
      <c r="M293" s="17" t="s">
        <v>132</v>
      </c>
      <c r="N293" s="17" t="s">
        <v>507</v>
      </c>
      <c r="O293" s="17" t="s">
        <v>6168</v>
      </c>
      <c r="P293" s="17" t="str">
        <f>HYPERLINK("https://photon-sol.tinyastro.io/en/lp/4aKDnx889jwZhSLSZV6N8PV5pQ7WU6n4ZR8sFut6A4cw?handle=676050794bc1b1657a56b", "View")</f>
        <v>View</v>
      </c>
    </row>
    <row r="294" spans="1:16" x14ac:dyDescent="0.25">
      <c r="A294" s="13" t="s">
        <v>6169</v>
      </c>
      <c r="B294" s="14">
        <v>3401248</v>
      </c>
      <c r="C294" s="14">
        <v>3401248</v>
      </c>
      <c r="D294" s="14" t="s">
        <v>4754</v>
      </c>
      <c r="E294" s="14" t="s">
        <v>4919</v>
      </c>
      <c r="F294" s="14" t="s">
        <v>5534</v>
      </c>
      <c r="G294" s="20" t="s">
        <v>4799</v>
      </c>
      <c r="H294" s="20" t="s">
        <v>6170</v>
      </c>
      <c r="I294" s="14" t="s">
        <v>88</v>
      </c>
      <c r="J294" s="14">
        <v>1</v>
      </c>
      <c r="K294" s="14">
        <v>1</v>
      </c>
      <c r="L294" s="14" t="s">
        <v>6171</v>
      </c>
      <c r="M294" s="14" t="s">
        <v>3136</v>
      </c>
      <c r="N294" s="14" t="s">
        <v>507</v>
      </c>
      <c r="O294" s="14" t="s">
        <v>6172</v>
      </c>
      <c r="P294" s="14" t="str">
        <f>HYPERLINK("https://photon-sol.tinyastro.io/en/lp/GYW7C5tUjF8xrw7mURKmySXp3GSRNgDcuqi3F6R1jNKh?handle=676050794bc1b1657a56b", "View")</f>
        <v>View</v>
      </c>
    </row>
    <row r="295" spans="1:16" x14ac:dyDescent="0.25">
      <c r="A295" s="16" t="s">
        <v>6173</v>
      </c>
      <c r="B295" s="17">
        <v>288539</v>
      </c>
      <c r="C295" s="17">
        <v>288539</v>
      </c>
      <c r="D295" s="17" t="s">
        <v>4782</v>
      </c>
      <c r="E295" s="17" t="s">
        <v>4919</v>
      </c>
      <c r="F295" s="17" t="s">
        <v>5675</v>
      </c>
      <c r="G295" s="22" t="s">
        <v>2554</v>
      </c>
      <c r="H295" s="22" t="s">
        <v>6174</v>
      </c>
      <c r="I295" s="17" t="s">
        <v>88</v>
      </c>
      <c r="J295" s="17">
        <v>1</v>
      </c>
      <c r="K295" s="17">
        <v>2</v>
      </c>
      <c r="L295" s="17" t="s">
        <v>6175</v>
      </c>
      <c r="M295" s="17" t="s">
        <v>132</v>
      </c>
      <c r="N295" s="17" t="s">
        <v>6176</v>
      </c>
      <c r="O295" s="17" t="s">
        <v>6177</v>
      </c>
      <c r="P295" s="17" t="str">
        <f>HYPERLINK("https://photon-sol.tinyastro.io/en/lp/2PwBPoJuFueNwvUEC9PZwtM5wvbtCoxhFbecurxjpump?handle=676050794bc1b1657a56b", "View")</f>
        <v>View</v>
      </c>
    </row>
    <row r="296" spans="1:16" x14ac:dyDescent="0.25">
      <c r="A296" s="13" t="s">
        <v>6178</v>
      </c>
      <c r="B296" s="14">
        <v>650444</v>
      </c>
      <c r="C296" s="14">
        <v>650444</v>
      </c>
      <c r="D296" s="14" t="s">
        <v>4754</v>
      </c>
      <c r="E296" s="14" t="s">
        <v>4919</v>
      </c>
      <c r="F296" s="14" t="s">
        <v>6179</v>
      </c>
      <c r="G296" s="21" t="s">
        <v>6180</v>
      </c>
      <c r="H296" s="21" t="s">
        <v>6181</v>
      </c>
      <c r="I296" s="14" t="s">
        <v>88</v>
      </c>
      <c r="J296" s="14">
        <v>1</v>
      </c>
      <c r="K296" s="14">
        <v>1</v>
      </c>
      <c r="L296" s="14" t="s">
        <v>6182</v>
      </c>
      <c r="M296" s="14" t="s">
        <v>6183</v>
      </c>
      <c r="N296" s="14" t="s">
        <v>6184</v>
      </c>
      <c r="O296" s="14" t="s">
        <v>6185</v>
      </c>
      <c r="P296" s="14" t="str">
        <f>HYPERLINK("https://photon-sol.tinyastro.io/en/lp/Dm7NbpSnjHM4JebxjvPeon29i1GH7ED2mfjiqQgepump?handle=676050794bc1b1657a56b", "View")</f>
        <v>View</v>
      </c>
    </row>
    <row r="297" spans="1:16" x14ac:dyDescent="0.25">
      <c r="A297" s="16" t="s">
        <v>6186</v>
      </c>
      <c r="B297" s="17">
        <v>827069</v>
      </c>
      <c r="C297" s="17">
        <v>827069</v>
      </c>
      <c r="D297" s="17" t="s">
        <v>4754</v>
      </c>
      <c r="E297" s="17" t="s">
        <v>5675</v>
      </c>
      <c r="F297" s="17" t="s">
        <v>2605</v>
      </c>
      <c r="G297" s="21" t="s">
        <v>5425</v>
      </c>
      <c r="H297" s="21" t="s">
        <v>6187</v>
      </c>
      <c r="I297" s="17" t="s">
        <v>88</v>
      </c>
      <c r="J297" s="17">
        <v>1</v>
      </c>
      <c r="K297" s="17">
        <v>1</v>
      </c>
      <c r="L297" s="17" t="s">
        <v>6188</v>
      </c>
      <c r="M297" s="17" t="s">
        <v>3136</v>
      </c>
      <c r="N297" s="17" t="s">
        <v>6189</v>
      </c>
      <c r="O297" s="17" t="s">
        <v>6190</v>
      </c>
      <c r="P297" s="17" t="str">
        <f>HYPERLINK("https://photon-sol.tinyastro.io/en/lp/2kwFRwLwD5asTtURjDj2TruJ3jy5KoMQS5gVS6nHpump?handle=676050794bc1b1657a56b", "View")</f>
        <v>View</v>
      </c>
    </row>
    <row r="298" spans="1:16" x14ac:dyDescent="0.25">
      <c r="A298" s="13" t="s">
        <v>6191</v>
      </c>
      <c r="B298" s="14">
        <v>343738</v>
      </c>
      <c r="C298" s="14">
        <v>0</v>
      </c>
      <c r="D298" s="14" t="s">
        <v>4738</v>
      </c>
      <c r="E298" s="14" t="s">
        <v>4919</v>
      </c>
      <c r="F298" s="14" t="s">
        <v>96</v>
      </c>
      <c r="G298" s="18" t="s">
        <v>5299</v>
      </c>
      <c r="H298" s="18" t="s">
        <v>98</v>
      </c>
      <c r="I298" s="14" t="s">
        <v>6192</v>
      </c>
      <c r="J298" s="14">
        <v>1</v>
      </c>
      <c r="K298" s="14">
        <v>0</v>
      </c>
      <c r="L298" s="14" t="s">
        <v>6193</v>
      </c>
      <c r="M298" s="19" t="s">
        <v>101</v>
      </c>
      <c r="N298" s="14" t="s">
        <v>507</v>
      </c>
      <c r="O298" s="14" t="s">
        <v>6194</v>
      </c>
      <c r="P298" s="14" t="str">
        <f>HYPERLINK("https://photon-sol.tinyastro.io/en/lp/8zasFf83gLpuLz9QoKMwwgN34pcQUpzpNzXvbnmfpump?handle=676050794bc1b1657a56b", "View")</f>
        <v>View</v>
      </c>
    </row>
    <row r="299" spans="1:16" x14ac:dyDescent="0.25">
      <c r="A299" s="16" t="s">
        <v>6195</v>
      </c>
      <c r="B299" s="17">
        <v>353477</v>
      </c>
      <c r="C299" s="17">
        <v>0</v>
      </c>
      <c r="D299" s="17" t="s">
        <v>4738</v>
      </c>
      <c r="E299" s="17" t="s">
        <v>4919</v>
      </c>
      <c r="F299" s="17" t="s">
        <v>96</v>
      </c>
      <c r="G299" s="18" t="s">
        <v>5299</v>
      </c>
      <c r="H299" s="18" t="s">
        <v>98</v>
      </c>
      <c r="I299" s="17" t="s">
        <v>6196</v>
      </c>
      <c r="J299" s="17">
        <v>1</v>
      </c>
      <c r="K299" s="17">
        <v>0</v>
      </c>
      <c r="L299" s="17" t="s">
        <v>6197</v>
      </c>
      <c r="M299" s="19" t="s">
        <v>101</v>
      </c>
      <c r="N299" s="17" t="s">
        <v>6198</v>
      </c>
      <c r="O299" s="17" t="s">
        <v>6199</v>
      </c>
      <c r="P299" s="17" t="str">
        <f>HYPERLINK("https://photon-sol.tinyastro.io/en/lp/7XjWdZcp7MKAMQZPgYPcjYq5SwLBCD42qTgMerNhpump?handle=676050794bc1b1657a56b", "View")</f>
        <v>View</v>
      </c>
    </row>
    <row r="300" spans="1:16" x14ac:dyDescent="0.25">
      <c r="A300" s="13" t="s">
        <v>6200</v>
      </c>
      <c r="B300" s="14">
        <v>326165</v>
      </c>
      <c r="C300" s="14">
        <v>0</v>
      </c>
      <c r="D300" s="14" t="s">
        <v>4738</v>
      </c>
      <c r="E300" s="14" t="s">
        <v>5534</v>
      </c>
      <c r="F300" s="14" t="s">
        <v>96</v>
      </c>
      <c r="G300" s="18" t="s">
        <v>6201</v>
      </c>
      <c r="H300" s="18" t="s">
        <v>98</v>
      </c>
      <c r="I300" s="14" t="s">
        <v>6202</v>
      </c>
      <c r="J300" s="14">
        <v>1</v>
      </c>
      <c r="K300" s="14">
        <v>0</v>
      </c>
      <c r="L300" s="14" t="s">
        <v>6203</v>
      </c>
      <c r="M300" s="19" t="s">
        <v>101</v>
      </c>
      <c r="N300" s="14" t="s">
        <v>507</v>
      </c>
      <c r="O300" s="14" t="s">
        <v>6204</v>
      </c>
      <c r="P300" s="14" t="str">
        <f>HYPERLINK("https://photon-sol.tinyastro.io/en/lp/Esw5SgDiweTfKGTtAsG1TaaihhXzDP6MGWdeSE73pump?handle=676050794bc1b1657a56b", "View")</f>
        <v>View</v>
      </c>
    </row>
    <row r="301" spans="1:16" x14ac:dyDescent="0.25">
      <c r="A301" s="16" t="s">
        <v>6205</v>
      </c>
      <c r="B301" s="17">
        <v>387338</v>
      </c>
      <c r="C301" s="17">
        <v>387338</v>
      </c>
      <c r="D301" s="17" t="s">
        <v>4782</v>
      </c>
      <c r="E301" s="17" t="s">
        <v>6206</v>
      </c>
      <c r="F301" s="17" t="s">
        <v>4380</v>
      </c>
      <c r="G301" s="21" t="s">
        <v>4700</v>
      </c>
      <c r="H301" s="21" t="s">
        <v>6207</v>
      </c>
      <c r="I301" s="17" t="s">
        <v>88</v>
      </c>
      <c r="J301" s="17">
        <v>1</v>
      </c>
      <c r="K301" s="17">
        <v>2</v>
      </c>
      <c r="L301" s="17" t="s">
        <v>6208</v>
      </c>
      <c r="M301" s="17" t="s">
        <v>680</v>
      </c>
      <c r="N301" s="17" t="s">
        <v>6209</v>
      </c>
      <c r="O301" s="17" t="s">
        <v>6210</v>
      </c>
      <c r="P301" s="17" t="str">
        <f>HYPERLINK("https://photon-sol.tinyastro.io/en/lp/EgxEnP82FzkeokZKh11WqLwS2zE9Zj7M8FKGvMSKpump?handle=676050794bc1b1657a56b", "View")</f>
        <v>View</v>
      </c>
    </row>
    <row r="302" spans="1:16" x14ac:dyDescent="0.25">
      <c r="A302" s="13" t="s">
        <v>6211</v>
      </c>
      <c r="B302" s="14">
        <v>593491</v>
      </c>
      <c r="C302" s="14">
        <v>296745</v>
      </c>
      <c r="D302" s="14" t="s">
        <v>4754</v>
      </c>
      <c r="E302" s="14" t="s">
        <v>4919</v>
      </c>
      <c r="F302" s="14" t="s">
        <v>6212</v>
      </c>
      <c r="G302" s="20" t="s">
        <v>3611</v>
      </c>
      <c r="H302" s="20" t="s">
        <v>6213</v>
      </c>
      <c r="I302" s="14" t="s">
        <v>88</v>
      </c>
      <c r="J302" s="14">
        <v>1</v>
      </c>
      <c r="K302" s="14">
        <v>1</v>
      </c>
      <c r="L302" s="14" t="s">
        <v>6214</v>
      </c>
      <c r="M302" s="14" t="s">
        <v>117</v>
      </c>
      <c r="N302" s="14" t="s">
        <v>6215</v>
      </c>
      <c r="O302" s="14" t="s">
        <v>6216</v>
      </c>
      <c r="P302" s="14" t="str">
        <f>HYPERLINK("https://photon-sol.tinyastro.io/en/lp/9oViXX8qGRShJNYao1hpssjFL36fqG53Nqj2Pt2Spump?handle=676050794bc1b1657a56b", "View")</f>
        <v>View</v>
      </c>
    </row>
    <row r="303" spans="1:16" x14ac:dyDescent="0.25">
      <c r="A303" s="16" t="s">
        <v>6217</v>
      </c>
      <c r="B303" s="17">
        <v>1949967</v>
      </c>
      <c r="C303" s="17">
        <v>0</v>
      </c>
      <c r="D303" s="17" t="s">
        <v>4738</v>
      </c>
      <c r="E303" s="17" t="s">
        <v>4919</v>
      </c>
      <c r="F303" s="17" t="s">
        <v>96</v>
      </c>
      <c r="G303" s="18" t="s">
        <v>5299</v>
      </c>
      <c r="H303" s="18" t="s">
        <v>98</v>
      </c>
      <c r="I303" s="17" t="s">
        <v>6218</v>
      </c>
      <c r="J303" s="17">
        <v>1</v>
      </c>
      <c r="K303" s="17">
        <v>0</v>
      </c>
      <c r="L303" s="17" t="s">
        <v>6219</v>
      </c>
      <c r="M303" s="19" t="s">
        <v>101</v>
      </c>
      <c r="N303" s="17" t="s">
        <v>507</v>
      </c>
      <c r="O303" s="17" t="s">
        <v>6220</v>
      </c>
      <c r="P303" s="17" t="str">
        <f>HYPERLINK("https://photon-sol.tinyastro.io/en/lp/9NCip6dBDUgTF6WoqoHaJsDq4kTRNLHcn1zA6T3Epump?handle=676050794bc1b1657a56b", "View")</f>
        <v>View</v>
      </c>
    </row>
    <row r="304" spans="1:16" x14ac:dyDescent="0.25">
      <c r="A304" s="13" t="s">
        <v>6221</v>
      </c>
      <c r="B304" s="14">
        <v>641298</v>
      </c>
      <c r="C304" s="14">
        <v>0</v>
      </c>
      <c r="D304" s="14" t="s">
        <v>4738</v>
      </c>
      <c r="E304" s="14" t="s">
        <v>4660</v>
      </c>
      <c r="F304" s="14" t="s">
        <v>96</v>
      </c>
      <c r="G304" s="18" t="s">
        <v>3793</v>
      </c>
      <c r="H304" s="18" t="s">
        <v>98</v>
      </c>
      <c r="I304" s="14" t="s">
        <v>6222</v>
      </c>
      <c r="J304" s="14">
        <v>1</v>
      </c>
      <c r="K304" s="14">
        <v>0</v>
      </c>
      <c r="L304" s="14" t="s">
        <v>6223</v>
      </c>
      <c r="M304" s="19" t="s">
        <v>101</v>
      </c>
      <c r="N304" s="14" t="s">
        <v>507</v>
      </c>
      <c r="O304" s="14" t="s">
        <v>6224</v>
      </c>
      <c r="P304" s="14" t="str">
        <f>HYPERLINK("https://photon-sol.tinyastro.io/en/lp/3pp3vAeJcp51AkaVVCkBi51x9wtZZXtWn1ewBvf8x6pS?handle=676050794bc1b1657a56b", "View")</f>
        <v>View</v>
      </c>
    </row>
    <row r="305" spans="1:16" x14ac:dyDescent="0.25">
      <c r="A305" s="16" t="s">
        <v>6225</v>
      </c>
      <c r="B305" s="17">
        <v>249241</v>
      </c>
      <c r="C305" s="17">
        <v>249241</v>
      </c>
      <c r="D305" s="17" t="s">
        <v>4805</v>
      </c>
      <c r="E305" s="17" t="s">
        <v>4396</v>
      </c>
      <c r="F305" s="17" t="s">
        <v>6226</v>
      </c>
      <c r="G305" s="21" t="s">
        <v>6227</v>
      </c>
      <c r="H305" s="21" t="s">
        <v>6228</v>
      </c>
      <c r="I305" s="17" t="s">
        <v>88</v>
      </c>
      <c r="J305" s="17">
        <v>1</v>
      </c>
      <c r="K305" s="17">
        <v>3</v>
      </c>
      <c r="L305" s="17" t="s">
        <v>6229</v>
      </c>
      <c r="M305" s="17" t="s">
        <v>745</v>
      </c>
      <c r="N305" s="17" t="s">
        <v>6230</v>
      </c>
      <c r="O305" s="17" t="s">
        <v>6231</v>
      </c>
      <c r="P305" s="17" t="str">
        <f>HYPERLINK("https://dexscreener.com/solana/2YR72Qtd4Z4odM9TNXLbdJRCsyYQj13p7FcfNBR8pump", "View")</f>
        <v>View</v>
      </c>
    </row>
    <row r="306" spans="1:16" x14ac:dyDescent="0.25">
      <c r="A306" s="13" t="s">
        <v>6232</v>
      </c>
      <c r="B306" s="14">
        <v>575941</v>
      </c>
      <c r="C306" s="14">
        <v>287971</v>
      </c>
      <c r="D306" s="14" t="s">
        <v>4754</v>
      </c>
      <c r="E306" s="14" t="s">
        <v>4919</v>
      </c>
      <c r="F306" s="14" t="s">
        <v>5425</v>
      </c>
      <c r="G306" s="20" t="s">
        <v>4880</v>
      </c>
      <c r="H306" s="20" t="s">
        <v>6233</v>
      </c>
      <c r="I306" s="14" t="s">
        <v>88</v>
      </c>
      <c r="J306" s="14">
        <v>1</v>
      </c>
      <c r="K306" s="14">
        <v>1</v>
      </c>
      <c r="L306" s="14" t="s">
        <v>6234</v>
      </c>
      <c r="M306" s="14" t="s">
        <v>6235</v>
      </c>
      <c r="N306" s="14" t="s">
        <v>507</v>
      </c>
      <c r="O306" s="14" t="s">
        <v>6236</v>
      </c>
      <c r="P306" s="14" t="str">
        <f>HYPERLINK("https://photon-sol.tinyastro.io/en/lp/6iBaDX9R9W6ZySntWsnp429HcqfqAC1VJmEbxEW3pump?handle=676050794bc1b1657a56b", "View")</f>
        <v>View</v>
      </c>
    </row>
    <row r="307" spans="1:16" x14ac:dyDescent="0.25">
      <c r="A307" s="16" t="s">
        <v>6237</v>
      </c>
      <c r="B307" s="17">
        <v>198223</v>
      </c>
      <c r="C307" s="17">
        <v>0</v>
      </c>
      <c r="D307" s="17" t="s">
        <v>4738</v>
      </c>
      <c r="E307" s="17" t="s">
        <v>4396</v>
      </c>
      <c r="F307" s="17" t="s">
        <v>96</v>
      </c>
      <c r="G307" s="18" t="s">
        <v>4739</v>
      </c>
      <c r="H307" s="18" t="s">
        <v>98</v>
      </c>
      <c r="I307" s="17" t="s">
        <v>6238</v>
      </c>
      <c r="J307" s="17">
        <v>1</v>
      </c>
      <c r="K307" s="17">
        <v>0</v>
      </c>
      <c r="L307" s="17" t="s">
        <v>6239</v>
      </c>
      <c r="M307" s="19" t="s">
        <v>101</v>
      </c>
      <c r="N307" s="17" t="s">
        <v>6240</v>
      </c>
      <c r="O307" s="17" t="s">
        <v>6241</v>
      </c>
      <c r="P307" s="17" t="str">
        <f>HYPERLINK("https://dexscreener.com/solana/H8LW3afnmHYhvhLydBPsFNfUF1JTPpNt6VoeYzutpump", "View")</f>
        <v>View</v>
      </c>
    </row>
    <row r="308" spans="1:16" x14ac:dyDescent="0.25">
      <c r="A308" s="13" t="s">
        <v>6242</v>
      </c>
      <c r="B308" s="14">
        <v>183232</v>
      </c>
      <c r="C308" s="14">
        <v>0</v>
      </c>
      <c r="D308" s="14" t="s">
        <v>4738</v>
      </c>
      <c r="E308" s="14" t="s">
        <v>4396</v>
      </c>
      <c r="F308" s="14" t="s">
        <v>96</v>
      </c>
      <c r="G308" s="18" t="s">
        <v>4739</v>
      </c>
      <c r="H308" s="18" t="s">
        <v>98</v>
      </c>
      <c r="I308" s="14" t="s">
        <v>6243</v>
      </c>
      <c r="J308" s="14">
        <v>1</v>
      </c>
      <c r="K308" s="14">
        <v>0</v>
      </c>
      <c r="L308" s="14" t="s">
        <v>6244</v>
      </c>
      <c r="M308" s="19" t="s">
        <v>101</v>
      </c>
      <c r="N308" s="14" t="s">
        <v>6245</v>
      </c>
      <c r="O308" s="14" t="s">
        <v>6246</v>
      </c>
      <c r="P308" s="14" t="str">
        <f>HYPERLINK("https://dexscreener.com/solana/EXMWcgM2HqhLTC7TR11rgLmtdtLPu6dNfPntbJGYpump", "View")</f>
        <v>View</v>
      </c>
    </row>
    <row r="309" spans="1:16" x14ac:dyDescent="0.25">
      <c r="A309" s="16" t="s">
        <v>6247</v>
      </c>
      <c r="B309" s="17">
        <v>286467</v>
      </c>
      <c r="C309" s="17">
        <v>286467</v>
      </c>
      <c r="D309" s="17" t="s">
        <v>4754</v>
      </c>
      <c r="E309" s="17" t="s">
        <v>4396</v>
      </c>
      <c r="F309" s="17" t="s">
        <v>6248</v>
      </c>
      <c r="G309" s="15" t="s">
        <v>6249</v>
      </c>
      <c r="H309" s="15" t="s">
        <v>6250</v>
      </c>
      <c r="I309" s="17" t="s">
        <v>88</v>
      </c>
      <c r="J309" s="17">
        <v>1</v>
      </c>
      <c r="K309" s="17">
        <v>1</v>
      </c>
      <c r="L309" s="17" t="s">
        <v>6251</v>
      </c>
      <c r="M309" s="17" t="s">
        <v>4719</v>
      </c>
      <c r="N309" s="17" t="s">
        <v>6252</v>
      </c>
      <c r="O309" s="17" t="s">
        <v>6253</v>
      </c>
      <c r="P309" s="17" t="str">
        <f>HYPERLINK("https://dexscreener.com/solana/91ayhZzF7wvJEqkodNJrDabUzUTQzojjoyyWfzBykxEt", "View")</f>
        <v>View</v>
      </c>
    </row>
    <row r="310" spans="1:16" x14ac:dyDescent="0.25">
      <c r="A310" s="13" t="s">
        <v>6254</v>
      </c>
      <c r="B310" s="14">
        <v>313232</v>
      </c>
      <c r="C310" s="14">
        <v>313232</v>
      </c>
      <c r="D310" s="14" t="s">
        <v>4754</v>
      </c>
      <c r="E310" s="14" t="s">
        <v>4396</v>
      </c>
      <c r="F310" s="14" t="s">
        <v>5018</v>
      </c>
      <c r="G310" s="20" t="s">
        <v>3652</v>
      </c>
      <c r="H310" s="20" t="s">
        <v>6255</v>
      </c>
      <c r="I310" s="14" t="s">
        <v>88</v>
      </c>
      <c r="J310" s="14">
        <v>1</v>
      </c>
      <c r="K310" s="14">
        <v>1</v>
      </c>
      <c r="L310" s="14" t="s">
        <v>6256</v>
      </c>
      <c r="M310" s="14" t="s">
        <v>6257</v>
      </c>
      <c r="N310" s="14" t="s">
        <v>6258</v>
      </c>
      <c r="O310" s="14" t="s">
        <v>6259</v>
      </c>
      <c r="P310" s="14" t="str">
        <f>HYPERLINK("https://dexscreener.com/solana/CZAYiTHWfHWjh4Ag7JcZPPMKFeEdkpLNYtELRyxdpump", "View")</f>
        <v>View</v>
      </c>
    </row>
    <row r="311" spans="1:16" x14ac:dyDescent="0.25">
      <c r="A311" s="16" t="s">
        <v>6260</v>
      </c>
      <c r="B311" s="17">
        <v>212030</v>
      </c>
      <c r="C311" s="17">
        <v>212030</v>
      </c>
      <c r="D311" s="17" t="s">
        <v>4782</v>
      </c>
      <c r="E311" s="17" t="s">
        <v>4396</v>
      </c>
      <c r="F311" s="17" t="s">
        <v>5358</v>
      </c>
      <c r="G311" s="21" t="s">
        <v>6261</v>
      </c>
      <c r="H311" s="21" t="s">
        <v>6262</v>
      </c>
      <c r="I311" s="17" t="s">
        <v>88</v>
      </c>
      <c r="J311" s="17">
        <v>1</v>
      </c>
      <c r="K311" s="17">
        <v>2</v>
      </c>
      <c r="L311" s="17" t="s">
        <v>6263</v>
      </c>
      <c r="M311" s="17" t="s">
        <v>160</v>
      </c>
      <c r="N311" s="17" t="s">
        <v>6264</v>
      </c>
      <c r="O311" s="17" t="s">
        <v>6265</v>
      </c>
      <c r="P311" s="17" t="str">
        <f>HYPERLINK("https://dexscreener.com/solana/28QTTGj9yV32xu9HWzzAHd2RiQmeQztyQUytX7krpump", "View")</f>
        <v>View</v>
      </c>
    </row>
    <row r="312" spans="1:16" x14ac:dyDescent="0.25">
      <c r="A312" s="13" t="s">
        <v>6266</v>
      </c>
      <c r="B312" s="14">
        <v>231001</v>
      </c>
      <c r="C312" s="14">
        <v>173251</v>
      </c>
      <c r="D312" s="14" t="s">
        <v>6267</v>
      </c>
      <c r="E312" s="14" t="s">
        <v>4396</v>
      </c>
      <c r="F312" s="14" t="s">
        <v>6268</v>
      </c>
      <c r="G312" s="21" t="s">
        <v>6269</v>
      </c>
      <c r="H312" s="21" t="s">
        <v>6270</v>
      </c>
      <c r="I312" s="14" t="s">
        <v>88</v>
      </c>
      <c r="J312" s="14">
        <v>1</v>
      </c>
      <c r="K312" s="14">
        <v>2</v>
      </c>
      <c r="L312" s="14" t="s">
        <v>6271</v>
      </c>
      <c r="M312" s="14" t="s">
        <v>1705</v>
      </c>
      <c r="N312" s="14" t="s">
        <v>6272</v>
      </c>
      <c r="O312" s="14" t="s">
        <v>6273</v>
      </c>
      <c r="P312" s="14" t="str">
        <f>HYPERLINK("https://dexscreener.com/solana/BW2CTev9vM821NsEZYZifbdyMMY122eq827xr6G8pump", "View")</f>
        <v>View</v>
      </c>
    </row>
    <row r="313" spans="1:16" x14ac:dyDescent="0.25">
      <c r="A313" s="16" t="s">
        <v>6274</v>
      </c>
      <c r="B313" s="17">
        <v>284269</v>
      </c>
      <c r="C313" s="17">
        <v>142135</v>
      </c>
      <c r="D313" s="17" t="s">
        <v>6275</v>
      </c>
      <c r="E313" s="17" t="s">
        <v>4396</v>
      </c>
      <c r="F313" s="17" t="s">
        <v>2275</v>
      </c>
      <c r="G313" s="22" t="s">
        <v>4924</v>
      </c>
      <c r="H313" s="22" t="s">
        <v>6276</v>
      </c>
      <c r="I313" s="17" t="s">
        <v>88</v>
      </c>
      <c r="J313" s="17">
        <v>1</v>
      </c>
      <c r="K313" s="17">
        <v>1</v>
      </c>
      <c r="L313" s="17" t="s">
        <v>6277</v>
      </c>
      <c r="M313" s="17" t="s">
        <v>1705</v>
      </c>
      <c r="N313" s="17" t="s">
        <v>6278</v>
      </c>
      <c r="O313" s="17" t="s">
        <v>6279</v>
      </c>
      <c r="P313" s="17" t="str">
        <f>HYPERLINK("https://dexscreener.com/solana/BmRh5KG7varzXM5KEzPYS7h6Ymon8efkcgsefhDFpump", "View")</f>
        <v>View</v>
      </c>
    </row>
    <row r="314" spans="1:16" x14ac:dyDescent="0.25">
      <c r="A314" s="13" t="s">
        <v>6280</v>
      </c>
      <c r="B314" s="14">
        <v>198703</v>
      </c>
      <c r="C314" s="14">
        <v>198703</v>
      </c>
      <c r="D314" s="14" t="s">
        <v>6267</v>
      </c>
      <c r="E314" s="14" t="s">
        <v>4396</v>
      </c>
      <c r="F314" s="14" t="s">
        <v>6281</v>
      </c>
      <c r="G314" s="21" t="s">
        <v>6282</v>
      </c>
      <c r="H314" s="21" t="s">
        <v>6283</v>
      </c>
      <c r="I314" s="14" t="s">
        <v>88</v>
      </c>
      <c r="J314" s="14">
        <v>1</v>
      </c>
      <c r="K314" s="14">
        <v>2</v>
      </c>
      <c r="L314" s="14" t="s">
        <v>6284</v>
      </c>
      <c r="M314" s="14" t="s">
        <v>5702</v>
      </c>
      <c r="N314" s="14" t="s">
        <v>6285</v>
      </c>
      <c r="O314" s="14" t="s">
        <v>6286</v>
      </c>
      <c r="P314" s="14" t="str">
        <f>HYPERLINK("https://dexscreener.com/solana/FNLK4bSwHNrVCeCXCKjY5y6ZCbYM25saKLD6cHhBpump", "View")</f>
        <v>View</v>
      </c>
    </row>
    <row r="315" spans="1:16" x14ac:dyDescent="0.25">
      <c r="A315" s="16" t="s">
        <v>6287</v>
      </c>
      <c r="B315" s="17">
        <v>55760</v>
      </c>
      <c r="C315" s="17">
        <v>55760</v>
      </c>
      <c r="D315" s="17" t="s">
        <v>4782</v>
      </c>
      <c r="E315" s="17" t="s">
        <v>4396</v>
      </c>
      <c r="F315" s="17" t="s">
        <v>5076</v>
      </c>
      <c r="G315" s="21" t="s">
        <v>5077</v>
      </c>
      <c r="H315" s="21" t="s">
        <v>6288</v>
      </c>
      <c r="I315" s="17" t="s">
        <v>88</v>
      </c>
      <c r="J315" s="17">
        <v>1</v>
      </c>
      <c r="K315" s="17">
        <v>2</v>
      </c>
      <c r="L315" s="17" t="s">
        <v>6289</v>
      </c>
      <c r="M315" s="17" t="s">
        <v>937</v>
      </c>
      <c r="N315" s="17" t="s">
        <v>6290</v>
      </c>
      <c r="O315" s="17" t="s">
        <v>6291</v>
      </c>
      <c r="P315" s="17" t="str">
        <f>HYPERLINK("https://dexscreener.com/solana/11W8vakvavnP9aryEK8jmDDsdeWE6S6SGu8Fjkipump", "View")</f>
        <v>View</v>
      </c>
    </row>
    <row r="316" spans="1:16" x14ac:dyDescent="0.25">
      <c r="A316" s="13" t="s">
        <v>6292</v>
      </c>
      <c r="B316" s="14">
        <v>194498</v>
      </c>
      <c r="C316" s="14">
        <v>0</v>
      </c>
      <c r="D316" s="14" t="s">
        <v>4738</v>
      </c>
      <c r="E316" s="14" t="s">
        <v>4396</v>
      </c>
      <c r="F316" s="14" t="s">
        <v>96</v>
      </c>
      <c r="G316" s="18" t="s">
        <v>4739</v>
      </c>
      <c r="H316" s="18" t="s">
        <v>98</v>
      </c>
      <c r="I316" s="14" t="s">
        <v>6293</v>
      </c>
      <c r="J316" s="14">
        <v>1</v>
      </c>
      <c r="K316" s="14">
        <v>0</v>
      </c>
      <c r="L316" s="14" t="s">
        <v>6294</v>
      </c>
      <c r="M316" s="19" t="s">
        <v>101</v>
      </c>
      <c r="N316" s="14" t="s">
        <v>6070</v>
      </c>
      <c r="O316" s="14" t="s">
        <v>6295</v>
      </c>
      <c r="P316" s="14" t="str">
        <f>HYPERLINK("https://dexscreener.com/solana/EiXzPeaVRggVERLuXgbM919tHVfo3MKKuUnWT9Nppump", "View")</f>
        <v>View</v>
      </c>
    </row>
    <row r="317" spans="1:16" x14ac:dyDescent="0.25">
      <c r="A317" s="16" t="s">
        <v>6296</v>
      </c>
      <c r="B317" s="17">
        <v>303955</v>
      </c>
      <c r="C317" s="17">
        <v>303955</v>
      </c>
      <c r="D317" s="17" t="s">
        <v>4754</v>
      </c>
      <c r="E317" s="17" t="s">
        <v>4919</v>
      </c>
      <c r="F317" s="17" t="s">
        <v>5837</v>
      </c>
      <c r="G317" s="20" t="s">
        <v>6297</v>
      </c>
      <c r="H317" s="20" t="s">
        <v>6298</v>
      </c>
      <c r="I317" s="17" t="s">
        <v>88</v>
      </c>
      <c r="J317" s="17">
        <v>1</v>
      </c>
      <c r="K317" s="17">
        <v>1</v>
      </c>
      <c r="L317" s="17" t="s">
        <v>6299</v>
      </c>
      <c r="M317" s="17" t="s">
        <v>2715</v>
      </c>
      <c r="N317" s="17" t="s">
        <v>6300</v>
      </c>
      <c r="O317" s="17" t="s">
        <v>6301</v>
      </c>
      <c r="P317" s="17" t="str">
        <f>HYPERLINK("https://photon-sol.tinyastro.io/en/lp/BmFJfcX69jFkVqsyLeNkSaBJzmss2uWw9CEKyZNfpump?handle=676050794bc1b1657a56b", "View")</f>
        <v>View</v>
      </c>
    </row>
    <row r="318" spans="1:16" x14ac:dyDescent="0.25">
      <c r="A318" s="13" t="s">
        <v>6302</v>
      </c>
      <c r="B318" s="14">
        <v>145915</v>
      </c>
      <c r="C318" s="14">
        <v>0</v>
      </c>
      <c r="D318" s="14" t="s">
        <v>4738</v>
      </c>
      <c r="E318" s="14" t="s">
        <v>4396</v>
      </c>
      <c r="F318" s="14" t="s">
        <v>96</v>
      </c>
      <c r="G318" s="18" t="s">
        <v>4739</v>
      </c>
      <c r="H318" s="18" t="s">
        <v>98</v>
      </c>
      <c r="I318" s="14" t="s">
        <v>6303</v>
      </c>
      <c r="J318" s="14">
        <v>1</v>
      </c>
      <c r="K318" s="14">
        <v>0</v>
      </c>
      <c r="L318" s="14" t="s">
        <v>6304</v>
      </c>
      <c r="M318" s="19" t="s">
        <v>101</v>
      </c>
      <c r="N318" s="14" t="s">
        <v>6305</v>
      </c>
      <c r="O318" s="14" t="s">
        <v>6306</v>
      </c>
      <c r="P318" s="14" t="str">
        <f>HYPERLINK("https://dexscreener.com/solana/H7pRPRmbg7YkUUJ2AakDUKuVRvZ5aEdvcyrgBG9Tpump", "View")</f>
        <v>View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DE8F-A1A9-4CDB-B0C0-5449191CA896}">
  <dimension ref="A1:P2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HYPERLINK("https://gmgn.ai/sol/address/6X1jSkx7uDssCkm2PfXAWpvqT7s8ydt4663HF6YNLVZN", "GMGN")</f>
        <v>GMGN</v>
      </c>
    </row>
    <row r="2" spans="1:14" x14ac:dyDescent="0.25">
      <c r="A2" s="3" t="s">
        <v>29581</v>
      </c>
      <c r="B2" s="3" t="s">
        <v>29582</v>
      </c>
      <c r="C2" s="3" t="s">
        <v>19651</v>
      </c>
      <c r="D2" s="3" t="s">
        <v>29583</v>
      </c>
      <c r="E2" s="3" t="s">
        <v>21657</v>
      </c>
      <c r="F2" s="3" t="s">
        <v>18</v>
      </c>
      <c r="G2" s="3" t="s">
        <v>18</v>
      </c>
      <c r="H2" s="3">
        <v>8</v>
      </c>
      <c r="I2" s="3">
        <v>0</v>
      </c>
      <c r="J2" s="3" t="s">
        <v>132</v>
      </c>
      <c r="K2" s="3" t="s">
        <v>3180</v>
      </c>
      <c r="L2" s="3">
        <v>8</v>
      </c>
      <c r="M2" s="3">
        <v>2</v>
      </c>
      <c r="N2" s="3" t="str">
        <f>HYPERLINK("https://solscan.io/account/6X1jSkx7uDssCkm2PfXAWpvqT7s8ydt4663HF6YNLVZN", "Solscan")</f>
        <v>Solscan</v>
      </c>
    </row>
    <row r="3" spans="1:14" x14ac:dyDescent="0.25">
      <c r="A3" s="1" t="s">
        <v>21</v>
      </c>
      <c r="B3" s="23" t="s">
        <v>29584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HYPERLINK("https://birdeye.so/profile/6X1jSkx7uDssCkm2PfXAWpvqT7s8ydt4663HF6YNLVZN", "Birdeye")</f>
        <v>Birdeye</v>
      </c>
    </row>
    <row r="4" spans="1:14" x14ac:dyDescent="0.25">
      <c r="A4" s="1" t="s">
        <v>25</v>
      </c>
      <c r="B4" s="3" t="s">
        <v>16590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1570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32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1</v>
      </c>
      <c r="E10" s="1">
        <v>2</v>
      </c>
      <c r="F10" s="1">
        <v>2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17854</v>
      </c>
      <c r="C11" s="1" t="s">
        <v>17854</v>
      </c>
      <c r="D11" s="1" t="s">
        <v>17854</v>
      </c>
      <c r="E11" s="1" t="s">
        <v>24242</v>
      </c>
      <c r="F11" s="1" t="s">
        <v>24242</v>
      </c>
      <c r="G11" s="1" t="s">
        <v>17854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29450</v>
      </c>
      <c r="C12" s="1" t="s">
        <v>4730</v>
      </c>
      <c r="D12" s="1" t="s">
        <v>4129</v>
      </c>
      <c r="E12" s="1" t="s">
        <v>20034</v>
      </c>
      <c r="F12" s="1" t="s">
        <v>15659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27588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26987</v>
      </c>
      <c r="B20" s="14">
        <v>8984506</v>
      </c>
      <c r="C20" s="14">
        <v>8984506</v>
      </c>
      <c r="D20" s="14" t="s">
        <v>1813</v>
      </c>
      <c r="E20" s="14" t="s">
        <v>13085</v>
      </c>
      <c r="F20" s="14" t="s">
        <v>24387</v>
      </c>
      <c r="G20" s="22" t="s">
        <v>10636</v>
      </c>
      <c r="H20" s="22" t="s">
        <v>29585</v>
      </c>
      <c r="I20" s="14" t="s">
        <v>88</v>
      </c>
      <c r="J20" s="14">
        <v>1</v>
      </c>
      <c r="K20" s="14">
        <v>1</v>
      </c>
      <c r="L20" s="14" t="s">
        <v>27033</v>
      </c>
      <c r="M20" s="14" t="s">
        <v>602</v>
      </c>
      <c r="N20" s="14" t="s">
        <v>2130</v>
      </c>
      <c r="O20" s="14" t="s">
        <v>26990</v>
      </c>
      <c r="P20" s="14" t="str">
        <f>HYPERLINK("https://photon-sol.tinyastro.io/en/lp/DZqXyNkK52FpPHGN73EmvvLoSZNXskpNvtL1GMjLpump?handle=676050794bc1b1657a56b", "View")</f>
        <v>View</v>
      </c>
    </row>
    <row r="21" spans="1:16" x14ac:dyDescent="0.25">
      <c r="A21" s="16" t="s">
        <v>26991</v>
      </c>
      <c r="B21" s="17">
        <v>8959841</v>
      </c>
      <c r="C21" s="17">
        <v>8959841</v>
      </c>
      <c r="D21" s="17" t="s">
        <v>27561</v>
      </c>
      <c r="E21" s="17" t="s">
        <v>10564</v>
      </c>
      <c r="F21" s="17" t="s">
        <v>29472</v>
      </c>
      <c r="G21" s="21" t="s">
        <v>18416</v>
      </c>
      <c r="H21" s="21" t="s">
        <v>29586</v>
      </c>
      <c r="I21" s="17" t="s">
        <v>88</v>
      </c>
      <c r="J21" s="17">
        <v>1</v>
      </c>
      <c r="K21" s="17">
        <v>18</v>
      </c>
      <c r="L21" s="17" t="s">
        <v>26995</v>
      </c>
      <c r="M21" s="17" t="s">
        <v>1566</v>
      </c>
      <c r="N21" s="17" t="s">
        <v>1980</v>
      </c>
      <c r="O21" s="17" t="s">
        <v>26996</v>
      </c>
      <c r="P21" s="17" t="str">
        <f>HYPERLINK("https://photon-sol.tinyastro.io/en/lp/CqBmg5ZUoaPg5Yx5uAKYzpyRcXme2UpVmZ8U5iotpump?handle=676050794bc1b1657a56b", "View")</f>
        <v>View</v>
      </c>
    </row>
    <row r="22" spans="1:16" x14ac:dyDescent="0.25">
      <c r="A22" s="13" t="s">
        <v>19027</v>
      </c>
      <c r="B22" s="14">
        <v>8831328</v>
      </c>
      <c r="C22" s="14">
        <v>8831328</v>
      </c>
      <c r="D22" s="14" t="s">
        <v>27566</v>
      </c>
      <c r="E22" s="14" t="s">
        <v>29587</v>
      </c>
      <c r="F22" s="14" t="s">
        <v>29588</v>
      </c>
      <c r="G22" s="21" t="s">
        <v>29589</v>
      </c>
      <c r="H22" s="21" t="s">
        <v>29590</v>
      </c>
      <c r="I22" s="14" t="s">
        <v>88</v>
      </c>
      <c r="J22" s="14">
        <v>1</v>
      </c>
      <c r="K22" s="14">
        <v>60</v>
      </c>
      <c r="L22" s="14" t="s">
        <v>27001</v>
      </c>
      <c r="M22" s="14" t="s">
        <v>3180</v>
      </c>
      <c r="N22" s="14" t="s">
        <v>29591</v>
      </c>
      <c r="O22" s="14" t="s">
        <v>19033</v>
      </c>
      <c r="P22" s="14" t="str">
        <f>HYPERLINK("https://photon-sol.tinyastro.io/en/lp/ALKTKLRTyF3P83KMCAvGEtY4CsoMzvh1k38uixCgpump?handle=676050794bc1b1657a56b", "View")</f>
        <v>View</v>
      </c>
    </row>
    <row r="23" spans="1:16" x14ac:dyDescent="0.25">
      <c r="A23" s="16" t="s">
        <v>27003</v>
      </c>
      <c r="B23" s="17">
        <v>7929767</v>
      </c>
      <c r="C23" s="17">
        <v>7929767</v>
      </c>
      <c r="D23" s="17" t="s">
        <v>1813</v>
      </c>
      <c r="E23" s="17" t="s">
        <v>17565</v>
      </c>
      <c r="F23" s="17" t="s">
        <v>15066</v>
      </c>
      <c r="G23" s="22" t="s">
        <v>5097</v>
      </c>
      <c r="H23" s="22" t="s">
        <v>29592</v>
      </c>
      <c r="I23" s="17" t="s">
        <v>88</v>
      </c>
      <c r="J23" s="17">
        <v>1</v>
      </c>
      <c r="K23" s="17">
        <v>1</v>
      </c>
      <c r="L23" s="17" t="s">
        <v>27572</v>
      </c>
      <c r="M23" s="17" t="s">
        <v>3180</v>
      </c>
      <c r="N23" s="17" t="s">
        <v>29593</v>
      </c>
      <c r="O23" s="17" t="s">
        <v>27007</v>
      </c>
      <c r="P23" s="17" t="str">
        <f>HYPERLINK("https://photon-sol.tinyastro.io/en/lp/BFc3G2JaqZA3eCJzWiSMhGZp7aXwonXETtr2Nudppump?handle=676050794bc1b1657a56b", "View")</f>
        <v>View</v>
      </c>
    </row>
    <row r="24" spans="1:16" x14ac:dyDescent="0.25">
      <c r="A24" s="13" t="s">
        <v>27008</v>
      </c>
      <c r="B24" s="14">
        <v>11778199</v>
      </c>
      <c r="C24" s="14">
        <v>11778199</v>
      </c>
      <c r="D24" s="14" t="s">
        <v>1813</v>
      </c>
      <c r="E24" s="14" t="s">
        <v>11098</v>
      </c>
      <c r="F24" s="14" t="s">
        <v>3502</v>
      </c>
      <c r="G24" s="20" t="s">
        <v>18257</v>
      </c>
      <c r="H24" s="20" t="s">
        <v>29594</v>
      </c>
      <c r="I24" s="14" t="s">
        <v>88</v>
      </c>
      <c r="J24" s="14">
        <v>1</v>
      </c>
      <c r="K24" s="14">
        <v>1</v>
      </c>
      <c r="L24" s="14" t="s">
        <v>27047</v>
      </c>
      <c r="M24" s="14" t="s">
        <v>1566</v>
      </c>
      <c r="N24" s="14" t="s">
        <v>14412</v>
      </c>
      <c r="O24" s="14" t="s">
        <v>27013</v>
      </c>
      <c r="P24" s="14" t="str">
        <f>HYPERLINK("https://photon-sol.tinyastro.io/en/lp/CDkwBE7pPovZLJC2KxM7jvWXkyygR1Y1u2R7f6hmpump?handle=676050794bc1b1657a56b", "View")</f>
        <v>View</v>
      </c>
    </row>
    <row r="25" spans="1:16" x14ac:dyDescent="0.25">
      <c r="A25" s="16" t="s">
        <v>4867</v>
      </c>
      <c r="B25" s="17">
        <v>1793028</v>
      </c>
      <c r="C25" s="17">
        <v>1793028</v>
      </c>
      <c r="D25" s="17" t="s">
        <v>20279</v>
      </c>
      <c r="E25" s="17" t="s">
        <v>13085</v>
      </c>
      <c r="F25" s="17" t="s">
        <v>9609</v>
      </c>
      <c r="G25" s="20" t="s">
        <v>14914</v>
      </c>
      <c r="H25" s="20" t="s">
        <v>29595</v>
      </c>
      <c r="I25" s="17" t="s">
        <v>88</v>
      </c>
      <c r="J25" s="17">
        <v>2</v>
      </c>
      <c r="K25" s="17">
        <v>2</v>
      </c>
      <c r="L25" s="17" t="s">
        <v>27049</v>
      </c>
      <c r="M25" s="17" t="s">
        <v>1705</v>
      </c>
      <c r="N25" s="17" t="s">
        <v>27487</v>
      </c>
      <c r="O25" s="17" t="s">
        <v>27016</v>
      </c>
      <c r="P25" s="17" t="str">
        <f>HYPERLINK("https://photon-sol.tinyastro.io/en/lp/BPFXTGBjoARa89gbSvbp7Dy6cQwgGc7efW1jE8nTpump?handle=676050794bc1b1657a56b", "View")</f>
        <v>View</v>
      </c>
    </row>
    <row r="26" spans="1:16" x14ac:dyDescent="0.25">
      <c r="A26" s="13" t="s">
        <v>27017</v>
      </c>
      <c r="B26" s="14">
        <v>11384893</v>
      </c>
      <c r="C26" s="14">
        <v>11384893</v>
      </c>
      <c r="D26" s="14" t="s">
        <v>27018</v>
      </c>
      <c r="E26" s="14" t="s">
        <v>29596</v>
      </c>
      <c r="F26" s="14" t="s">
        <v>14881</v>
      </c>
      <c r="G26" s="21" t="s">
        <v>19949</v>
      </c>
      <c r="H26" s="21" t="s">
        <v>29597</v>
      </c>
      <c r="I26" s="14" t="s">
        <v>88</v>
      </c>
      <c r="J26" s="14">
        <v>1</v>
      </c>
      <c r="K26" s="14">
        <v>31</v>
      </c>
      <c r="L26" s="14" t="s">
        <v>29465</v>
      </c>
      <c r="M26" s="14" t="s">
        <v>1705</v>
      </c>
      <c r="N26" s="14" t="s">
        <v>12453</v>
      </c>
      <c r="O26" s="14" t="s">
        <v>27021</v>
      </c>
      <c r="P26" s="14" t="str">
        <f>HYPERLINK("https://photon-sol.tinyastro.io/en/lp/DirQ7FDi1C5SZCy8ai1GTSvnm9o8MDf9s4C4cExzpump?handle=676050794bc1b1657a56b", "View")</f>
        <v>View</v>
      </c>
    </row>
    <row r="27" spans="1:16" x14ac:dyDescent="0.25">
      <c r="A27" s="16" t="s">
        <v>27017</v>
      </c>
      <c r="B27" s="17">
        <v>585788</v>
      </c>
      <c r="C27" s="17">
        <v>585788</v>
      </c>
      <c r="D27" s="17" t="s">
        <v>27022</v>
      </c>
      <c r="E27" s="17" t="s">
        <v>2597</v>
      </c>
      <c r="F27" s="17" t="s">
        <v>17627</v>
      </c>
      <c r="G27" s="15" t="s">
        <v>3638</v>
      </c>
      <c r="H27" s="15" t="s">
        <v>29598</v>
      </c>
      <c r="I27" s="17" t="s">
        <v>88</v>
      </c>
      <c r="J27" s="17">
        <v>1</v>
      </c>
      <c r="K27" s="17">
        <v>1</v>
      </c>
      <c r="L27" s="17" t="s">
        <v>27609</v>
      </c>
      <c r="M27" s="17" t="s">
        <v>2047</v>
      </c>
      <c r="N27" s="17" t="s">
        <v>23380</v>
      </c>
      <c r="O27" s="17" t="s">
        <v>27025</v>
      </c>
      <c r="P27" s="17" t="str">
        <f>HYPERLINK("https://photon-sol.tinyastro.io/en/lp/CsT44i2W2MWp23WQ2EqjorxZVVzuN4niw1cj1Qr5pump?handle=676050794bc1b1657a56b", "View")</f>
        <v>View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A516-AF26-485D-A222-40ED4594E07F}">
  <dimension ref="A1:P28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HYPERLINK("https://gmgn.ai/sol/address/9UHGG5A73zsxE5uB5ZB67wc3p7zoNEer8assxVpJ7w3t", "GMGN")</f>
        <v>GMGN</v>
      </c>
    </row>
    <row r="2" spans="1:14" x14ac:dyDescent="0.25">
      <c r="A2" s="3" t="s">
        <v>29599</v>
      </c>
      <c r="B2" s="3" t="s">
        <v>29600</v>
      </c>
      <c r="C2" s="3" t="s">
        <v>27464</v>
      </c>
      <c r="D2" s="3" t="s">
        <v>29601</v>
      </c>
      <c r="E2" s="3" t="s">
        <v>29602</v>
      </c>
      <c r="F2" s="3" t="s">
        <v>18</v>
      </c>
      <c r="G2" s="3" t="s">
        <v>18</v>
      </c>
      <c r="H2" s="3">
        <v>9</v>
      </c>
      <c r="I2" s="3">
        <v>0</v>
      </c>
      <c r="J2" s="3" t="s">
        <v>699</v>
      </c>
      <c r="K2" s="3" t="s">
        <v>1566</v>
      </c>
      <c r="L2" s="3">
        <v>9</v>
      </c>
      <c r="M2" s="3">
        <v>2</v>
      </c>
      <c r="N2" s="3" t="str">
        <f>HYPERLINK("https://solscan.io/account/9UHGG5A73zsxE5uB5ZB67wc3p7zoNEer8assxVpJ7w3t", "Solscan")</f>
        <v>Solscan</v>
      </c>
    </row>
    <row r="3" spans="1:14" x14ac:dyDescent="0.25">
      <c r="A3" s="1" t="s">
        <v>21</v>
      </c>
      <c r="B3" s="23" t="s">
        <v>29603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HYPERLINK("https://birdeye.so/profile/9UHGG5A73zsxE5uB5ZB67wc3p7zoNEer8assxVpJ7w3t", "Birdeye")</f>
        <v>Birdeye</v>
      </c>
    </row>
    <row r="4" spans="1:14" x14ac:dyDescent="0.25">
      <c r="A4" s="1" t="s">
        <v>25</v>
      </c>
      <c r="B4" s="23" t="s">
        <v>4264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1583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3</v>
      </c>
      <c r="D10" s="1">
        <v>1</v>
      </c>
      <c r="E10" s="1">
        <v>1</v>
      </c>
      <c r="F10" s="1">
        <v>2</v>
      </c>
      <c r="G10" s="1">
        <v>2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9642</v>
      </c>
      <c r="D11" s="1" t="s">
        <v>4275</v>
      </c>
      <c r="E11" s="1" t="s">
        <v>4275</v>
      </c>
      <c r="F11" s="1" t="s">
        <v>4274</v>
      </c>
      <c r="G11" s="1" t="s">
        <v>4274</v>
      </c>
      <c r="H11" s="3"/>
      <c r="I11" s="3" t="s">
        <v>50</v>
      </c>
      <c r="J11" s="3" t="s">
        <v>1777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29604</v>
      </c>
      <c r="D12" s="1" t="s">
        <v>1778</v>
      </c>
      <c r="E12" s="1" t="s">
        <v>15658</v>
      </c>
      <c r="F12" s="1" t="s">
        <v>8334</v>
      </c>
      <c r="G12" s="1" t="s">
        <v>8465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29605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16472</v>
      </c>
      <c r="B20" s="14">
        <v>7921667</v>
      </c>
      <c r="C20" s="14">
        <v>7921667</v>
      </c>
      <c r="D20" s="14" t="s">
        <v>14207</v>
      </c>
      <c r="E20" s="14" t="s">
        <v>16128</v>
      </c>
      <c r="F20" s="14" t="s">
        <v>3757</v>
      </c>
      <c r="G20" s="20" t="s">
        <v>5436</v>
      </c>
      <c r="H20" s="20" t="s">
        <v>29606</v>
      </c>
      <c r="I20" s="14" t="s">
        <v>88</v>
      </c>
      <c r="J20" s="14">
        <v>1</v>
      </c>
      <c r="K20" s="14">
        <v>1</v>
      </c>
      <c r="L20" s="14" t="s">
        <v>6392</v>
      </c>
      <c r="M20" s="14" t="s">
        <v>602</v>
      </c>
      <c r="N20" s="14" t="s">
        <v>4104</v>
      </c>
      <c r="O20" s="14" t="s">
        <v>29607</v>
      </c>
      <c r="P20" s="14" t="str">
        <f>HYPERLINK("https://photon-sol.tinyastro.io/en/lp/7WzjS8eRhoVb495GKwJZEKkTCP3v7Ymjh4yCy3rVpump?handle=676050794bc1b1657a56b", "View")</f>
        <v>View</v>
      </c>
    </row>
    <row r="21" spans="1:16" x14ac:dyDescent="0.25">
      <c r="A21" s="16" t="s">
        <v>27497</v>
      </c>
      <c r="B21" s="17">
        <v>9438978</v>
      </c>
      <c r="C21" s="17">
        <v>9438978</v>
      </c>
      <c r="D21" s="17" t="s">
        <v>29417</v>
      </c>
      <c r="E21" s="17" t="s">
        <v>23848</v>
      </c>
      <c r="F21" s="17" t="s">
        <v>29608</v>
      </c>
      <c r="G21" s="22" t="s">
        <v>5674</v>
      </c>
      <c r="H21" s="22" t="s">
        <v>29603</v>
      </c>
      <c r="I21" s="17" t="s">
        <v>88</v>
      </c>
      <c r="J21" s="17">
        <v>1</v>
      </c>
      <c r="K21" s="17">
        <v>1</v>
      </c>
      <c r="L21" s="17" t="s">
        <v>29609</v>
      </c>
      <c r="M21" s="17" t="s">
        <v>602</v>
      </c>
      <c r="N21" s="17" t="s">
        <v>507</v>
      </c>
      <c r="O21" s="17" t="s">
        <v>27501</v>
      </c>
      <c r="P21" s="17" t="str">
        <f>HYPERLINK("https://photon-sol.tinyastro.io/en/lp/4KdmmBF845nJknS1DpWWdL8CsjKExFoUmiEnzHrtpump?handle=676050794bc1b1657a56b", "View")</f>
        <v>View</v>
      </c>
    </row>
    <row r="22" spans="1:16" x14ac:dyDescent="0.25">
      <c r="A22" s="13" t="s">
        <v>27502</v>
      </c>
      <c r="B22" s="14">
        <v>4834750</v>
      </c>
      <c r="C22" s="14">
        <v>4834750</v>
      </c>
      <c r="D22" s="14" t="s">
        <v>27498</v>
      </c>
      <c r="E22" s="14" t="s">
        <v>28066</v>
      </c>
      <c r="F22" s="14" t="s">
        <v>3772</v>
      </c>
      <c r="G22" s="15" t="s">
        <v>9365</v>
      </c>
      <c r="H22" s="15" t="s">
        <v>29610</v>
      </c>
      <c r="I22" s="14" t="s">
        <v>88</v>
      </c>
      <c r="J22" s="14">
        <v>1</v>
      </c>
      <c r="K22" s="14">
        <v>2</v>
      </c>
      <c r="L22" s="14" t="s">
        <v>29611</v>
      </c>
      <c r="M22" s="14" t="s">
        <v>1434</v>
      </c>
      <c r="N22" s="14" t="s">
        <v>29612</v>
      </c>
      <c r="O22" s="14" t="s">
        <v>27505</v>
      </c>
      <c r="P22" s="14" t="str">
        <f>HYPERLINK("https://photon-sol.tinyastro.io/en/lp/ChhFGDYQ5n6UkCcsX3NDXHfdgoFbjBMn1msye5HDpump?handle=676050794bc1b1657a56b", "View")</f>
        <v>View</v>
      </c>
    </row>
    <row r="23" spans="1:16" x14ac:dyDescent="0.25">
      <c r="A23" s="16" t="s">
        <v>27506</v>
      </c>
      <c r="B23" s="17">
        <v>8410960</v>
      </c>
      <c r="C23" s="17">
        <v>8410960</v>
      </c>
      <c r="D23" s="17" t="s">
        <v>29417</v>
      </c>
      <c r="E23" s="17" t="s">
        <v>11303</v>
      </c>
      <c r="F23" s="17" t="s">
        <v>29613</v>
      </c>
      <c r="G23" s="21" t="s">
        <v>29614</v>
      </c>
      <c r="H23" s="21" t="s">
        <v>29615</v>
      </c>
      <c r="I23" s="17" t="s">
        <v>88</v>
      </c>
      <c r="J23" s="17">
        <v>1</v>
      </c>
      <c r="K23" s="17">
        <v>1</v>
      </c>
      <c r="L23" s="17" t="s">
        <v>29616</v>
      </c>
      <c r="M23" s="17" t="s">
        <v>602</v>
      </c>
      <c r="N23" s="17" t="s">
        <v>794</v>
      </c>
      <c r="O23" s="17" t="s">
        <v>27510</v>
      </c>
      <c r="P23" s="17" t="str">
        <f>HYPERLINK("https://photon-sol.tinyastro.io/en/lp/DSMBxacyzGiqNgmadjZPMMGY2EEjRriH4HMbFDbRpump?handle=676050794bc1b1657a56b", "View")</f>
        <v>View</v>
      </c>
    </row>
    <row r="24" spans="1:16" x14ac:dyDescent="0.25">
      <c r="A24" s="13" t="s">
        <v>29617</v>
      </c>
      <c r="B24" s="14">
        <v>8026445</v>
      </c>
      <c r="C24" s="14">
        <v>8026445</v>
      </c>
      <c r="D24" s="14" t="s">
        <v>29417</v>
      </c>
      <c r="E24" s="14" t="s">
        <v>27438</v>
      </c>
      <c r="F24" s="14" t="s">
        <v>2677</v>
      </c>
      <c r="G24" s="15" t="s">
        <v>6462</v>
      </c>
      <c r="H24" s="15" t="s">
        <v>29618</v>
      </c>
      <c r="I24" s="14" t="s">
        <v>88</v>
      </c>
      <c r="J24" s="14">
        <v>1</v>
      </c>
      <c r="K24" s="14">
        <v>1</v>
      </c>
      <c r="L24" s="14" t="s">
        <v>29619</v>
      </c>
      <c r="M24" s="14" t="s">
        <v>1566</v>
      </c>
      <c r="N24" s="14" t="s">
        <v>3115</v>
      </c>
      <c r="O24" s="14" t="s">
        <v>29620</v>
      </c>
      <c r="P24" s="14" t="str">
        <f>HYPERLINK("https://photon-sol.tinyastro.io/en/lp/H6WfFZ5EjUDmJoGvJpsChUZTiRuNGuMr3xoSRssEpump?handle=676050794bc1b1657a56b", "View")</f>
        <v>View</v>
      </c>
    </row>
    <row r="25" spans="1:16" x14ac:dyDescent="0.25">
      <c r="A25" s="16" t="s">
        <v>4867</v>
      </c>
      <c r="B25" s="17">
        <v>9915954</v>
      </c>
      <c r="C25" s="17">
        <v>9915954</v>
      </c>
      <c r="D25" s="17" t="s">
        <v>29417</v>
      </c>
      <c r="E25" s="17" t="s">
        <v>23164</v>
      </c>
      <c r="F25" s="17" t="s">
        <v>2552</v>
      </c>
      <c r="G25" s="20" t="s">
        <v>20418</v>
      </c>
      <c r="H25" s="20" t="s">
        <v>20599</v>
      </c>
      <c r="I25" s="17" t="s">
        <v>88</v>
      </c>
      <c r="J25" s="17">
        <v>1</v>
      </c>
      <c r="K25" s="17">
        <v>1</v>
      </c>
      <c r="L25" s="17" t="s">
        <v>29621</v>
      </c>
      <c r="M25" s="17" t="s">
        <v>3171</v>
      </c>
      <c r="N25" s="17" t="s">
        <v>29622</v>
      </c>
      <c r="O25" s="17" t="s">
        <v>27016</v>
      </c>
      <c r="P25" s="17" t="str">
        <f>HYPERLINK("https://photon-sol.tinyastro.io/en/lp/BPFXTGBjoARa89gbSvbp7Dy6cQwgGc7efW1jE8nTpump?handle=676050794bc1b1657a56b", "View")</f>
        <v>View</v>
      </c>
    </row>
    <row r="26" spans="1:16" x14ac:dyDescent="0.25">
      <c r="A26" s="13" t="s">
        <v>27524</v>
      </c>
      <c r="B26" s="14">
        <v>9598011</v>
      </c>
      <c r="C26" s="14">
        <v>9598011</v>
      </c>
      <c r="D26" s="14" t="s">
        <v>27498</v>
      </c>
      <c r="E26" s="14" t="s">
        <v>4216</v>
      </c>
      <c r="F26" s="14" t="s">
        <v>14153</v>
      </c>
      <c r="G26" s="21" t="s">
        <v>13197</v>
      </c>
      <c r="H26" s="21" t="s">
        <v>29623</v>
      </c>
      <c r="I26" s="14" t="s">
        <v>88</v>
      </c>
      <c r="J26" s="14">
        <v>1</v>
      </c>
      <c r="K26" s="14">
        <v>2</v>
      </c>
      <c r="L26" s="14" t="s">
        <v>29624</v>
      </c>
      <c r="M26" s="14" t="s">
        <v>1566</v>
      </c>
      <c r="N26" s="14" t="s">
        <v>29625</v>
      </c>
      <c r="O26" s="14" t="s">
        <v>27528</v>
      </c>
      <c r="P26" s="14" t="str">
        <f>HYPERLINK("https://photon-sol.tinyastro.io/en/lp/GeHMGsBk1SfZSmRccWiUxoGd9ZpYHhTYYqMn95Hapump?handle=676050794bc1b1657a56b", "View")</f>
        <v>View</v>
      </c>
    </row>
    <row r="27" spans="1:16" x14ac:dyDescent="0.25">
      <c r="A27" s="16" t="s">
        <v>17919</v>
      </c>
      <c r="B27" s="17">
        <v>6499962</v>
      </c>
      <c r="C27" s="17">
        <v>6499962</v>
      </c>
      <c r="D27" s="17" t="s">
        <v>29626</v>
      </c>
      <c r="E27" s="17" t="s">
        <v>3828</v>
      </c>
      <c r="F27" s="17" t="s">
        <v>29627</v>
      </c>
      <c r="G27" s="21" t="s">
        <v>29628</v>
      </c>
      <c r="H27" s="21" t="s">
        <v>29629</v>
      </c>
      <c r="I27" s="17" t="s">
        <v>88</v>
      </c>
      <c r="J27" s="17">
        <v>1</v>
      </c>
      <c r="K27" s="17">
        <v>3</v>
      </c>
      <c r="L27" s="17" t="s">
        <v>29630</v>
      </c>
      <c r="M27" s="17" t="s">
        <v>788</v>
      </c>
      <c r="N27" s="17" t="s">
        <v>29631</v>
      </c>
      <c r="O27" s="17" t="s">
        <v>17925</v>
      </c>
      <c r="P27" s="17" t="str">
        <f>HYPERLINK("https://photon-sol.tinyastro.io/en/lp/BxaRiJpUwPkiUfwUe7bXqMZV5EG8Xx5BZaY6QM3Jpump?handle=676050794bc1b1657a56b", "View")</f>
        <v>View</v>
      </c>
    </row>
    <row r="28" spans="1:16" x14ac:dyDescent="0.25">
      <c r="A28" s="13" t="s">
        <v>9071</v>
      </c>
      <c r="B28" s="14">
        <v>5906762</v>
      </c>
      <c r="C28" s="14">
        <v>5906762</v>
      </c>
      <c r="D28" s="14" t="s">
        <v>29632</v>
      </c>
      <c r="E28" s="14" t="s">
        <v>2353</v>
      </c>
      <c r="F28" s="14" t="s">
        <v>29633</v>
      </c>
      <c r="G28" s="21" t="s">
        <v>19319</v>
      </c>
      <c r="H28" s="21" t="s">
        <v>29634</v>
      </c>
      <c r="I28" s="14" t="s">
        <v>88</v>
      </c>
      <c r="J28" s="14">
        <v>1</v>
      </c>
      <c r="K28" s="14">
        <v>4</v>
      </c>
      <c r="L28" s="14" t="s">
        <v>29635</v>
      </c>
      <c r="M28" s="14" t="s">
        <v>3355</v>
      </c>
      <c r="N28" s="14" t="s">
        <v>29636</v>
      </c>
      <c r="O28" s="14" t="s">
        <v>9078</v>
      </c>
      <c r="P28" s="14" t="str">
        <f>HYPERLINK("https://photon-sol.tinyastro.io/en/lp/7FisD5QTeFBCd2vbAVs5PQ89vefLqz9Qhaqja6XRpump?handle=676050794bc1b1657a56b", "View")</f>
        <v>View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C590-F6BC-4A47-8EA8-37FF5D1AA7F0}">
  <dimension ref="A1:P26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HYPERLINK("https://gmgn.ai/sol/address/5Y5gmTQe5fKs4VFBAPSDtAxqUehBq7WURcF1gt762LMb", "GMGN")</f>
        <v>GMGN</v>
      </c>
    </row>
    <row r="2" spans="1:14" x14ac:dyDescent="0.25">
      <c r="A2" s="3" t="s">
        <v>29637</v>
      </c>
      <c r="B2" s="3" t="s">
        <v>29638</v>
      </c>
      <c r="C2" s="3" t="s">
        <v>29639</v>
      </c>
      <c r="D2" s="3" t="s">
        <v>27321</v>
      </c>
      <c r="E2" s="3" t="s">
        <v>29640</v>
      </c>
      <c r="F2" s="3" t="s">
        <v>18</v>
      </c>
      <c r="G2" s="3" t="s">
        <v>18</v>
      </c>
      <c r="H2" s="3">
        <v>7</v>
      </c>
      <c r="I2" s="3">
        <v>0</v>
      </c>
      <c r="J2" s="3" t="s">
        <v>150</v>
      </c>
      <c r="K2" s="3" t="s">
        <v>23491</v>
      </c>
      <c r="L2" s="3">
        <v>1</v>
      </c>
      <c r="M2" s="3">
        <v>12</v>
      </c>
      <c r="N2" s="3" t="str">
        <f>HYPERLINK("https://solscan.io/account/5Y5gmTQe5fKs4VFBAPSDtAxqUehBq7WURcF1gt762LMb", "Solscan")</f>
        <v>Solscan</v>
      </c>
    </row>
    <row r="3" spans="1:14" x14ac:dyDescent="0.25">
      <c r="A3" s="1" t="s">
        <v>21</v>
      </c>
      <c r="B3" s="23" t="s">
        <v>29641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HYPERLINK("https://birdeye.so/profile/5Y5gmTQe5fKs4VFBAPSDtAxqUehBq7WURcF1gt762LMb", "Birdeye")</f>
        <v>Birdeye</v>
      </c>
    </row>
    <row r="4" spans="1:14" x14ac:dyDescent="0.25">
      <c r="A4" s="1" t="s">
        <v>25</v>
      </c>
      <c r="B4" s="3" t="s">
        <v>11184</v>
      </c>
      <c r="C4" s="3"/>
      <c r="D4" s="3" t="s">
        <v>18969</v>
      </c>
      <c r="E4" s="3" t="s">
        <v>29642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12318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7498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3</v>
      </c>
      <c r="E10" s="1">
        <v>0</v>
      </c>
      <c r="F10" s="1">
        <v>1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21272</v>
      </c>
      <c r="C11" s="1" t="s">
        <v>21272</v>
      </c>
      <c r="D11" s="1" t="s">
        <v>29643</v>
      </c>
      <c r="E11" s="1" t="s">
        <v>1779</v>
      </c>
      <c r="F11" s="1" t="s">
        <v>21272</v>
      </c>
      <c r="G11" s="1" t="s">
        <v>21272</v>
      </c>
      <c r="H11" s="3"/>
      <c r="I11" s="3" t="s">
        <v>50</v>
      </c>
      <c r="J11" s="3" t="s">
        <v>43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4730</v>
      </c>
      <c r="C12" s="1" t="s">
        <v>15567</v>
      </c>
      <c r="D12" s="1" t="s">
        <v>4730</v>
      </c>
      <c r="E12" s="1" t="s">
        <v>1786</v>
      </c>
      <c r="F12" s="1" t="s">
        <v>4279</v>
      </c>
      <c r="G12" s="1" t="s">
        <v>20573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43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1792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29644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9814</v>
      </c>
      <c r="B20" s="14">
        <v>4416642</v>
      </c>
      <c r="C20" s="14">
        <v>3187417</v>
      </c>
      <c r="D20" s="14" t="s">
        <v>24352</v>
      </c>
      <c r="E20" s="14" t="s">
        <v>3931</v>
      </c>
      <c r="F20" s="14" t="s">
        <v>29645</v>
      </c>
      <c r="G20" s="21" t="s">
        <v>5498</v>
      </c>
      <c r="H20" s="21" t="s">
        <v>29646</v>
      </c>
      <c r="I20" s="14" t="s">
        <v>88</v>
      </c>
      <c r="J20" s="14">
        <v>2</v>
      </c>
      <c r="K20" s="14">
        <v>1</v>
      </c>
      <c r="L20" s="14" t="s">
        <v>29647</v>
      </c>
      <c r="M20" s="14" t="s">
        <v>160</v>
      </c>
      <c r="N20" s="14" t="s">
        <v>29648</v>
      </c>
      <c r="O20" s="14" t="s">
        <v>9819</v>
      </c>
      <c r="P20" s="14" t="str">
        <f>HYPERLINK("https://photon-sol.tinyastro.io/en/lp/HAhiXodNYcpQU2EvvxdUpkP3EdbDpZiP4G3jrGeFmKhZ?handle=676050794bc1b1657a56b", "View")</f>
        <v>View</v>
      </c>
    </row>
    <row r="21" spans="1:16" x14ac:dyDescent="0.25">
      <c r="A21" s="16" t="s">
        <v>125</v>
      </c>
      <c r="B21" s="17">
        <v>5374</v>
      </c>
      <c r="C21" s="17">
        <v>5374</v>
      </c>
      <c r="D21" s="17" t="s">
        <v>29649</v>
      </c>
      <c r="E21" s="17" t="s">
        <v>16533</v>
      </c>
      <c r="F21" s="17" t="s">
        <v>29650</v>
      </c>
      <c r="G21" s="21" t="s">
        <v>2530</v>
      </c>
      <c r="H21" s="21" t="s">
        <v>29651</v>
      </c>
      <c r="I21" s="17" t="s">
        <v>88</v>
      </c>
      <c r="J21" s="17">
        <v>3</v>
      </c>
      <c r="K21" s="17">
        <v>1</v>
      </c>
      <c r="L21" s="17" t="s">
        <v>29652</v>
      </c>
      <c r="M21" s="17" t="s">
        <v>132</v>
      </c>
      <c r="N21" s="17" t="s">
        <v>29653</v>
      </c>
      <c r="O21" s="17" t="s">
        <v>134</v>
      </c>
      <c r="P21" s="17" t="str">
        <f>HYPERLINK("https://dexscreener.com/solana/CBdCxKo9QavR9hfShgpEBG3zekorAeD7W1jfq2o3pump", "View")</f>
        <v>View</v>
      </c>
    </row>
    <row r="22" spans="1:16" x14ac:dyDescent="0.25">
      <c r="A22" s="13" t="s">
        <v>29654</v>
      </c>
      <c r="B22" s="14">
        <v>149965</v>
      </c>
      <c r="C22" s="14">
        <v>149965</v>
      </c>
      <c r="D22" s="14" t="s">
        <v>16443</v>
      </c>
      <c r="E22" s="14" t="s">
        <v>2490</v>
      </c>
      <c r="F22" s="14" t="s">
        <v>8822</v>
      </c>
      <c r="G22" s="20" t="s">
        <v>3683</v>
      </c>
      <c r="H22" s="20" t="s">
        <v>29655</v>
      </c>
      <c r="I22" s="14" t="s">
        <v>88</v>
      </c>
      <c r="J22" s="14">
        <v>2</v>
      </c>
      <c r="K22" s="14">
        <v>3</v>
      </c>
      <c r="L22" s="14" t="s">
        <v>29656</v>
      </c>
      <c r="M22" s="14" t="s">
        <v>602</v>
      </c>
      <c r="N22" s="14" t="s">
        <v>29657</v>
      </c>
      <c r="O22" s="14" t="s">
        <v>29658</v>
      </c>
      <c r="P22" s="14" t="str">
        <f>HYPERLINK("https://dexscreener.com/solana/Fm6hFGBsyeV5NJMumTkJNSZ8zKKwqdwUBzrkm6ccEUyj", "View")</f>
        <v>View</v>
      </c>
    </row>
    <row r="23" spans="1:16" x14ac:dyDescent="0.25">
      <c r="A23" s="16" t="s">
        <v>5561</v>
      </c>
      <c r="B23" s="17">
        <v>14363</v>
      </c>
      <c r="C23" s="17">
        <v>14363</v>
      </c>
      <c r="D23" s="17" t="s">
        <v>17332</v>
      </c>
      <c r="E23" s="17" t="s">
        <v>9894</v>
      </c>
      <c r="F23" s="17" t="s">
        <v>2821</v>
      </c>
      <c r="G23" s="21" t="s">
        <v>12706</v>
      </c>
      <c r="H23" s="21" t="s">
        <v>29659</v>
      </c>
      <c r="I23" s="17" t="s">
        <v>88</v>
      </c>
      <c r="J23" s="17">
        <v>1</v>
      </c>
      <c r="K23" s="17">
        <v>1</v>
      </c>
      <c r="L23" s="17" t="s">
        <v>29660</v>
      </c>
      <c r="M23" s="17" t="s">
        <v>179</v>
      </c>
      <c r="N23" s="17" t="s">
        <v>29661</v>
      </c>
      <c r="O23" s="17" t="s">
        <v>18242</v>
      </c>
      <c r="P23" s="17" t="str">
        <f>HYPERLINK("https://dexscreener.com/solana/CefZxozhhxK88XPJoeWBczYSaBPd35tsKnziTH6Cpump", "View")</f>
        <v>View</v>
      </c>
    </row>
    <row r="24" spans="1:16" x14ac:dyDescent="0.25">
      <c r="A24" s="13" t="s">
        <v>9583</v>
      </c>
      <c r="B24" s="14">
        <v>5069</v>
      </c>
      <c r="C24" s="14">
        <v>5069</v>
      </c>
      <c r="D24" s="14" t="s">
        <v>24352</v>
      </c>
      <c r="E24" s="14" t="s">
        <v>5459</v>
      </c>
      <c r="F24" s="14" t="s">
        <v>27966</v>
      </c>
      <c r="G24" s="21" t="s">
        <v>7541</v>
      </c>
      <c r="H24" s="21" t="s">
        <v>29641</v>
      </c>
      <c r="I24" s="14" t="s">
        <v>88</v>
      </c>
      <c r="J24" s="14">
        <v>2</v>
      </c>
      <c r="K24" s="14">
        <v>1</v>
      </c>
      <c r="L24" s="14" t="s">
        <v>29662</v>
      </c>
      <c r="M24" s="14" t="s">
        <v>231</v>
      </c>
      <c r="N24" s="14" t="s">
        <v>29663</v>
      </c>
      <c r="O24" s="14" t="s">
        <v>9588</v>
      </c>
      <c r="P24" s="14" t="str">
        <f>HYPERLINK("https://dexscreener.com/solana/Gu3LDkn7Vx3bmCzLafYNKcDxv2mH7YN44NJZFXnypump", "View")</f>
        <v>View</v>
      </c>
    </row>
    <row r="25" spans="1:16" x14ac:dyDescent="0.25">
      <c r="A25" s="16" t="s">
        <v>29664</v>
      </c>
      <c r="B25" s="17">
        <v>251232</v>
      </c>
      <c r="C25" s="17">
        <v>251232</v>
      </c>
      <c r="D25" s="17" t="s">
        <v>17332</v>
      </c>
      <c r="E25" s="17" t="s">
        <v>14402</v>
      </c>
      <c r="F25" s="17" t="s">
        <v>29665</v>
      </c>
      <c r="G25" s="21" t="s">
        <v>27606</v>
      </c>
      <c r="H25" s="21" t="s">
        <v>29666</v>
      </c>
      <c r="I25" s="17" t="s">
        <v>88</v>
      </c>
      <c r="J25" s="17">
        <v>1</v>
      </c>
      <c r="K25" s="17">
        <v>1</v>
      </c>
      <c r="L25" s="17" t="s">
        <v>29667</v>
      </c>
      <c r="M25" s="17" t="s">
        <v>5501</v>
      </c>
      <c r="N25" s="17" t="s">
        <v>29668</v>
      </c>
      <c r="O25" s="17" t="s">
        <v>29669</v>
      </c>
      <c r="P25" s="17" t="str">
        <f>HYPERLINK("https://dexscreener.com/solana/3ougYPdtSunmDvxkFb4ZEnahEomRGr936HuNqFoopump", "View")</f>
        <v>View</v>
      </c>
    </row>
    <row r="26" spans="1:16" x14ac:dyDescent="0.25">
      <c r="A26" s="13" t="s">
        <v>29670</v>
      </c>
      <c r="B26" s="14">
        <v>54199</v>
      </c>
      <c r="C26" s="14">
        <v>54199</v>
      </c>
      <c r="D26" s="14" t="s">
        <v>17332</v>
      </c>
      <c r="E26" s="14" t="s">
        <v>14402</v>
      </c>
      <c r="F26" s="14" t="s">
        <v>5753</v>
      </c>
      <c r="G26" s="15" t="s">
        <v>3671</v>
      </c>
      <c r="H26" s="15" t="s">
        <v>29671</v>
      </c>
      <c r="I26" s="14" t="s">
        <v>88</v>
      </c>
      <c r="J26" s="14">
        <v>1</v>
      </c>
      <c r="K26" s="14">
        <v>1</v>
      </c>
      <c r="L26" s="14" t="s">
        <v>29672</v>
      </c>
      <c r="M26" s="14" t="s">
        <v>680</v>
      </c>
      <c r="N26" s="14" t="s">
        <v>29673</v>
      </c>
      <c r="O26" s="14" t="s">
        <v>29674</v>
      </c>
      <c r="P26" s="14" t="str">
        <f>HYPERLINK("https://dexscreener.com/solana/9CA4oDuvnP5oULiechySPf6FxnNS7JmG1VL19X5spump", "View")</f>
        <v>View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3BF-982A-495A-A019-E60211D8E2DE}">
  <dimension ref="A1:P52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HYPERLINK("https://gmgn.ai/sol/address/8H3xT8L4hHkkVv5B861nVfr81vgw1RuYcbnufBsgxwyk", "GMGN")</f>
        <v>GMGN</v>
      </c>
    </row>
    <row r="2" spans="1:14" x14ac:dyDescent="0.25">
      <c r="A2" s="3" t="s">
        <v>29675</v>
      </c>
      <c r="B2" s="3" t="s">
        <v>29676</v>
      </c>
      <c r="C2" s="3" t="s">
        <v>27</v>
      </c>
      <c r="D2" s="3" t="s">
        <v>17986</v>
      </c>
      <c r="E2" s="3" t="s">
        <v>29677</v>
      </c>
      <c r="F2" s="3" t="s">
        <v>29678</v>
      </c>
      <c r="G2" s="3" t="s">
        <v>18</v>
      </c>
      <c r="H2" s="3">
        <v>33</v>
      </c>
      <c r="I2" s="3">
        <v>0</v>
      </c>
      <c r="J2" s="3" t="s">
        <v>2145</v>
      </c>
      <c r="K2" s="3" t="s">
        <v>788</v>
      </c>
      <c r="L2" s="3">
        <v>24</v>
      </c>
      <c r="M2" s="3">
        <v>34</v>
      </c>
      <c r="N2" s="3" t="str">
        <f>HYPERLINK("https://solscan.io/account/8H3xT8L4hHkkVv5B861nVfr81vgw1RuYcbnufBsgxwyk", "Solscan")</f>
        <v>Solscan</v>
      </c>
    </row>
    <row r="3" spans="1:14" x14ac:dyDescent="0.25">
      <c r="A3" s="1" t="s">
        <v>21</v>
      </c>
      <c r="B3" s="4" t="s">
        <v>29679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HYPERLINK("https://birdeye.so/profile/8H3xT8L4hHkkVv5B861nVfr81vgw1RuYcbnufBsgxwyk", "Birdeye")</f>
        <v>Birdeye</v>
      </c>
    </row>
    <row r="4" spans="1:14" x14ac:dyDescent="0.25">
      <c r="A4" s="1" t="s">
        <v>25</v>
      </c>
      <c r="B4" s="3" t="s">
        <v>13981</v>
      </c>
      <c r="C4" s="3"/>
      <c r="D4" s="3" t="s">
        <v>8324</v>
      </c>
      <c r="E4" s="3" t="s">
        <v>8327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1777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7498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5</v>
      </c>
      <c r="D10" s="1">
        <v>3</v>
      </c>
      <c r="E10" s="1">
        <v>7</v>
      </c>
      <c r="F10" s="1">
        <v>10</v>
      </c>
      <c r="G10" s="1">
        <v>8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20571</v>
      </c>
      <c r="D11" s="1" t="s">
        <v>9489</v>
      </c>
      <c r="E11" s="1" t="s">
        <v>20032</v>
      </c>
      <c r="F11" s="1" t="s">
        <v>22387</v>
      </c>
      <c r="G11" s="1" t="s">
        <v>20570</v>
      </c>
      <c r="H11" s="3"/>
      <c r="I11" s="3" t="s">
        <v>50</v>
      </c>
      <c r="J11" s="3" t="s">
        <v>15661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8333</v>
      </c>
      <c r="D12" s="1" t="s">
        <v>1778</v>
      </c>
      <c r="E12" s="1" t="s">
        <v>21497</v>
      </c>
      <c r="F12" s="1" t="s">
        <v>15659</v>
      </c>
      <c r="G12" s="1" t="s">
        <v>8465</v>
      </c>
      <c r="H12" s="3"/>
      <c r="I12" s="3" t="s">
        <v>59</v>
      </c>
      <c r="J12" s="3" t="s">
        <v>15564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8326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2024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2090</v>
      </c>
      <c r="B20" s="14">
        <v>15199914</v>
      </c>
      <c r="C20" s="14">
        <v>9847309</v>
      </c>
      <c r="D20" s="14" t="s">
        <v>11301</v>
      </c>
      <c r="E20" s="14" t="s">
        <v>27009</v>
      </c>
      <c r="F20" s="14" t="s">
        <v>22482</v>
      </c>
      <c r="G20" s="21" t="s">
        <v>3259</v>
      </c>
      <c r="H20" s="21" t="s">
        <v>29680</v>
      </c>
      <c r="I20" s="14" t="s">
        <v>88</v>
      </c>
      <c r="J20" s="14">
        <v>2</v>
      </c>
      <c r="K20" s="14">
        <v>4</v>
      </c>
      <c r="L20" s="14" t="s">
        <v>29681</v>
      </c>
      <c r="M20" s="14" t="s">
        <v>2695</v>
      </c>
      <c r="N20" s="14" t="s">
        <v>29682</v>
      </c>
      <c r="O20" s="14" t="s">
        <v>2097</v>
      </c>
      <c r="P20" s="14" t="str">
        <f>HYPERLINK("https://photon-sol.tinyastro.io/en/lp/FP8KVrhyWKTAZwiKRPqZyUrErh96qyyeqxjgdyMUpump?handle=676050794bc1b1657a56b", "View")</f>
        <v>View</v>
      </c>
    </row>
    <row r="21" spans="1:16" x14ac:dyDescent="0.25">
      <c r="A21" s="16" t="s">
        <v>29683</v>
      </c>
      <c r="B21" s="17">
        <v>36131519</v>
      </c>
      <c r="C21" s="17">
        <v>34587460</v>
      </c>
      <c r="D21" s="17" t="s">
        <v>29684</v>
      </c>
      <c r="E21" s="17" t="s">
        <v>29685</v>
      </c>
      <c r="F21" s="17" t="s">
        <v>29686</v>
      </c>
      <c r="G21" s="22" t="s">
        <v>4059</v>
      </c>
      <c r="H21" s="22" t="s">
        <v>29687</v>
      </c>
      <c r="I21" s="17" t="s">
        <v>88</v>
      </c>
      <c r="J21" s="17">
        <v>7</v>
      </c>
      <c r="K21" s="17">
        <v>2</v>
      </c>
      <c r="L21" s="17" t="s">
        <v>29688</v>
      </c>
      <c r="M21" s="17" t="s">
        <v>699</v>
      </c>
      <c r="N21" s="17" t="s">
        <v>29689</v>
      </c>
      <c r="O21" s="17" t="s">
        <v>29690</v>
      </c>
      <c r="P21" s="17" t="str">
        <f>HYPERLINK("https://photon-sol.tinyastro.io/en/lp/3qhdDQ8BuMXtcWTrULFfofoJcqCMbE6aDH5WoF34pump?handle=676050794bc1b1657a56b", "View")</f>
        <v>View</v>
      </c>
    </row>
    <row r="22" spans="1:16" x14ac:dyDescent="0.25">
      <c r="A22" s="13" t="s">
        <v>6878</v>
      </c>
      <c r="B22" s="14">
        <v>257055</v>
      </c>
      <c r="C22" s="14">
        <v>257055</v>
      </c>
      <c r="D22" s="14" t="s">
        <v>1813</v>
      </c>
      <c r="E22" s="14" t="s">
        <v>4396</v>
      </c>
      <c r="F22" s="14" t="s">
        <v>4660</v>
      </c>
      <c r="G22" s="20" t="s">
        <v>4252</v>
      </c>
      <c r="H22" s="20" t="s">
        <v>29679</v>
      </c>
      <c r="I22" s="14" t="s">
        <v>88</v>
      </c>
      <c r="J22" s="14">
        <v>1</v>
      </c>
      <c r="K22" s="14">
        <v>1</v>
      </c>
      <c r="L22" s="14" t="s">
        <v>29691</v>
      </c>
      <c r="M22" s="14" t="s">
        <v>1448</v>
      </c>
      <c r="N22" s="14" t="s">
        <v>29692</v>
      </c>
      <c r="O22" s="14" t="s">
        <v>29693</v>
      </c>
      <c r="P22" s="14" t="str">
        <f>HYPERLINK("https://dexscreener.com/solana/2oVm46bBPHqFfB8YALSdZh6k38t2Xj2Js69fmX6spump", "View")</f>
        <v>View</v>
      </c>
    </row>
    <row r="23" spans="1:16" x14ac:dyDescent="0.25">
      <c r="A23" s="16" t="s">
        <v>9763</v>
      </c>
      <c r="B23" s="17">
        <v>241937</v>
      </c>
      <c r="C23" s="17">
        <v>241937</v>
      </c>
      <c r="D23" s="17" t="s">
        <v>1813</v>
      </c>
      <c r="E23" s="17" t="s">
        <v>4396</v>
      </c>
      <c r="F23" s="17" t="s">
        <v>4086</v>
      </c>
      <c r="G23" s="15" t="s">
        <v>3496</v>
      </c>
      <c r="H23" s="15" t="s">
        <v>29694</v>
      </c>
      <c r="I23" s="17" t="s">
        <v>88</v>
      </c>
      <c r="J23" s="17">
        <v>1</v>
      </c>
      <c r="K23" s="17">
        <v>1</v>
      </c>
      <c r="L23" s="17" t="s">
        <v>29695</v>
      </c>
      <c r="M23" s="17" t="s">
        <v>1566</v>
      </c>
      <c r="N23" s="17" t="s">
        <v>29696</v>
      </c>
      <c r="O23" s="17" t="s">
        <v>9768</v>
      </c>
      <c r="P23" s="17" t="str">
        <f>HYPERLINK("https://dexscreener.com/solana/S3K1pSwyavRze7uQksNHp4N9w9BqncvFq8SncQ5pump", "View")</f>
        <v>View</v>
      </c>
    </row>
    <row r="24" spans="1:16" x14ac:dyDescent="0.25">
      <c r="A24" s="13" t="s">
        <v>29697</v>
      </c>
      <c r="B24" s="14">
        <v>379247</v>
      </c>
      <c r="C24" s="14">
        <v>0</v>
      </c>
      <c r="D24" s="14" t="s">
        <v>1813</v>
      </c>
      <c r="E24" s="14" t="s">
        <v>2200</v>
      </c>
      <c r="F24" s="14" t="s">
        <v>96</v>
      </c>
      <c r="G24" s="18" t="s">
        <v>4464</v>
      </c>
      <c r="H24" s="18" t="s">
        <v>98</v>
      </c>
      <c r="I24" s="14" t="s">
        <v>29698</v>
      </c>
      <c r="J24" s="14">
        <v>2</v>
      </c>
      <c r="K24" s="14">
        <v>0</v>
      </c>
      <c r="L24" s="14" t="s">
        <v>29699</v>
      </c>
      <c r="M24" s="14" t="s">
        <v>745</v>
      </c>
      <c r="N24" s="14" t="s">
        <v>29700</v>
      </c>
      <c r="O24" s="14" t="s">
        <v>29701</v>
      </c>
      <c r="P24" s="14" t="str">
        <f>HYPERLINK("https://dexscreener.com/solana/hoUht5a7Ci8G3dZvjEHN9MdEfmTBhny2JKmUFEEpump", "View")</f>
        <v>View</v>
      </c>
    </row>
    <row r="25" spans="1:16" x14ac:dyDescent="0.25">
      <c r="A25" s="16" t="s">
        <v>4282</v>
      </c>
      <c r="B25" s="17">
        <v>4801969</v>
      </c>
      <c r="C25" s="17">
        <v>4801969</v>
      </c>
      <c r="D25" s="17" t="s">
        <v>7092</v>
      </c>
      <c r="E25" s="17" t="s">
        <v>2965</v>
      </c>
      <c r="F25" s="17" t="s">
        <v>5460</v>
      </c>
      <c r="G25" s="15" t="s">
        <v>2726</v>
      </c>
      <c r="H25" s="15" t="s">
        <v>27023</v>
      </c>
      <c r="I25" s="17" t="s">
        <v>88</v>
      </c>
      <c r="J25" s="17">
        <v>1</v>
      </c>
      <c r="K25" s="17">
        <v>3</v>
      </c>
      <c r="L25" s="17" t="s">
        <v>29702</v>
      </c>
      <c r="M25" s="17" t="s">
        <v>8522</v>
      </c>
      <c r="N25" s="17" t="s">
        <v>2069</v>
      </c>
      <c r="O25" s="17" t="s">
        <v>29703</v>
      </c>
      <c r="P25" s="17" t="str">
        <f>HYPERLINK("https://photon-sol.tinyastro.io/en/lp/8db618UgRSoWUJVNY4n6DJNGqMXDcWsQyZsH9TUipump?handle=676050794bc1b1657a56b", "View")</f>
        <v>View</v>
      </c>
    </row>
    <row r="26" spans="1:16" x14ac:dyDescent="0.25">
      <c r="A26" s="13" t="s">
        <v>29704</v>
      </c>
      <c r="B26" s="14">
        <v>2014055</v>
      </c>
      <c r="C26" s="14">
        <v>2014055</v>
      </c>
      <c r="D26" s="14" t="s">
        <v>1813</v>
      </c>
      <c r="E26" s="14" t="s">
        <v>4458</v>
      </c>
      <c r="F26" s="14" t="s">
        <v>3316</v>
      </c>
      <c r="G26" s="15" t="s">
        <v>4066</v>
      </c>
      <c r="H26" s="15" t="s">
        <v>29705</v>
      </c>
      <c r="I26" s="14" t="s">
        <v>88</v>
      </c>
      <c r="J26" s="14">
        <v>1</v>
      </c>
      <c r="K26" s="14">
        <v>1</v>
      </c>
      <c r="L26" s="14" t="s">
        <v>29706</v>
      </c>
      <c r="M26" s="14" t="s">
        <v>602</v>
      </c>
      <c r="N26" s="14" t="s">
        <v>5809</v>
      </c>
      <c r="O26" s="14" t="s">
        <v>29707</v>
      </c>
      <c r="P26" s="14" t="str">
        <f>HYPERLINK("https://photon-sol.tinyastro.io/en/lp/GRXsMfL65XnSk5Ps4Zj8ToBvWg2gQrGW9KPXKy5mpump?handle=676050794bc1b1657a56b", "View")</f>
        <v>View</v>
      </c>
    </row>
    <row r="27" spans="1:16" x14ac:dyDescent="0.25">
      <c r="A27" s="16" t="s">
        <v>3071</v>
      </c>
      <c r="B27" s="17">
        <v>422209</v>
      </c>
      <c r="C27" s="17">
        <v>422209</v>
      </c>
      <c r="D27" s="17" t="s">
        <v>1813</v>
      </c>
      <c r="E27" s="17" t="s">
        <v>10049</v>
      </c>
      <c r="F27" s="17" t="s">
        <v>5077</v>
      </c>
      <c r="G27" s="20" t="s">
        <v>7875</v>
      </c>
      <c r="H27" s="20" t="s">
        <v>4991</v>
      </c>
      <c r="I27" s="17" t="s">
        <v>88</v>
      </c>
      <c r="J27" s="17">
        <v>1</v>
      </c>
      <c r="K27" s="17">
        <v>1</v>
      </c>
      <c r="L27" s="17" t="s">
        <v>29708</v>
      </c>
      <c r="M27" s="19" t="s">
        <v>2479</v>
      </c>
      <c r="N27" s="17" t="s">
        <v>29709</v>
      </c>
      <c r="O27" s="17" t="s">
        <v>29710</v>
      </c>
      <c r="P27" s="17" t="str">
        <f>HYPERLINK("https://photon-sol.tinyastro.io/en/lp/92Y2uhYSRBFfHBjK27RfsksejUT9YZW7yhszUmexpump?handle=676050794bc1b1657a56b", "View")</f>
        <v>View</v>
      </c>
    </row>
    <row r="28" spans="1:16" x14ac:dyDescent="0.25">
      <c r="A28" s="13" t="s">
        <v>22024</v>
      </c>
      <c r="B28" s="14">
        <v>243758</v>
      </c>
      <c r="C28" s="14">
        <v>243758</v>
      </c>
      <c r="D28" s="14" t="s">
        <v>9569</v>
      </c>
      <c r="E28" s="14" t="s">
        <v>5919</v>
      </c>
      <c r="F28" s="14" t="s">
        <v>3979</v>
      </c>
      <c r="G28" s="20" t="s">
        <v>4252</v>
      </c>
      <c r="H28" s="20" t="s">
        <v>29711</v>
      </c>
      <c r="I28" s="14" t="s">
        <v>88</v>
      </c>
      <c r="J28" s="14">
        <v>1</v>
      </c>
      <c r="K28" s="14">
        <v>2</v>
      </c>
      <c r="L28" s="14" t="s">
        <v>29712</v>
      </c>
      <c r="M28" s="14" t="s">
        <v>788</v>
      </c>
      <c r="N28" s="14" t="s">
        <v>29713</v>
      </c>
      <c r="O28" s="14" t="s">
        <v>22027</v>
      </c>
      <c r="P28" s="14" t="str">
        <f>HYPERLINK("https://dexscreener.com/solana/55mboDZnLzV5uFsH8egLcW2Q6Yh5UUeM86DndJcbpump", "View")</f>
        <v>View</v>
      </c>
    </row>
    <row r="29" spans="1:16" x14ac:dyDescent="0.25">
      <c r="A29" s="16" t="s">
        <v>29714</v>
      </c>
      <c r="B29" s="17">
        <v>6503069</v>
      </c>
      <c r="C29" s="17">
        <v>6503069</v>
      </c>
      <c r="D29" s="17" t="s">
        <v>9569</v>
      </c>
      <c r="E29" s="17" t="s">
        <v>7541</v>
      </c>
      <c r="F29" s="17" t="s">
        <v>15490</v>
      </c>
      <c r="G29" s="20" t="s">
        <v>4066</v>
      </c>
      <c r="H29" s="20" t="s">
        <v>29715</v>
      </c>
      <c r="I29" s="17" t="s">
        <v>88</v>
      </c>
      <c r="J29" s="17">
        <v>1</v>
      </c>
      <c r="K29" s="17">
        <v>2</v>
      </c>
      <c r="L29" s="17" t="s">
        <v>29716</v>
      </c>
      <c r="M29" s="17" t="s">
        <v>1448</v>
      </c>
      <c r="N29" s="17" t="s">
        <v>2585</v>
      </c>
      <c r="O29" s="17" t="s">
        <v>29717</v>
      </c>
      <c r="P29" s="17" t="str">
        <f>HYPERLINK("https://photon-sol.tinyastro.io/en/lp/EG4YVeJSbYd9R6ZfLy23UGBiGQV3vWYcvGpUZkWRpump?handle=676050794bc1b1657a56b", "View")</f>
        <v>View</v>
      </c>
    </row>
    <row r="30" spans="1:16" x14ac:dyDescent="0.25">
      <c r="A30" s="13" t="s">
        <v>29718</v>
      </c>
      <c r="B30" s="14">
        <v>5046036</v>
      </c>
      <c r="C30" s="14">
        <v>5046036</v>
      </c>
      <c r="D30" s="14" t="s">
        <v>1813</v>
      </c>
      <c r="E30" s="14" t="s">
        <v>2569</v>
      </c>
      <c r="F30" s="14" t="s">
        <v>6261</v>
      </c>
      <c r="G30" s="15" t="s">
        <v>12889</v>
      </c>
      <c r="H30" s="15" t="s">
        <v>16948</v>
      </c>
      <c r="I30" s="14" t="s">
        <v>88</v>
      </c>
      <c r="J30" s="14">
        <v>1</v>
      </c>
      <c r="K30" s="14">
        <v>1</v>
      </c>
      <c r="L30" s="14" t="s">
        <v>29719</v>
      </c>
      <c r="M30" s="14" t="s">
        <v>1448</v>
      </c>
      <c r="N30" s="14" t="s">
        <v>5809</v>
      </c>
      <c r="O30" s="14" t="s">
        <v>29720</v>
      </c>
      <c r="P30" s="14" t="str">
        <f>HYPERLINK("https://photon-sol.tinyastro.io/en/lp/8DVSrutFAxHhMnwyqCf1EJeZGrNBgaqP1oa3G9Zhpump?handle=676050794bc1b1657a56b", "View")</f>
        <v>View</v>
      </c>
    </row>
    <row r="31" spans="1:16" x14ac:dyDescent="0.25">
      <c r="A31" s="16" t="s">
        <v>29721</v>
      </c>
      <c r="B31" s="17">
        <v>7701898</v>
      </c>
      <c r="C31" s="17">
        <v>7701898</v>
      </c>
      <c r="D31" s="17" t="s">
        <v>7092</v>
      </c>
      <c r="E31" s="17" t="s">
        <v>5860</v>
      </c>
      <c r="F31" s="17" t="s">
        <v>2118</v>
      </c>
      <c r="G31" s="21" t="s">
        <v>5219</v>
      </c>
      <c r="H31" s="21" t="s">
        <v>29722</v>
      </c>
      <c r="I31" s="17" t="s">
        <v>88</v>
      </c>
      <c r="J31" s="17">
        <v>1</v>
      </c>
      <c r="K31" s="17">
        <v>3</v>
      </c>
      <c r="L31" s="17" t="s">
        <v>29723</v>
      </c>
      <c r="M31" s="17" t="s">
        <v>788</v>
      </c>
      <c r="N31" s="17" t="s">
        <v>2316</v>
      </c>
      <c r="O31" s="17" t="s">
        <v>29724</v>
      </c>
      <c r="P31" s="17" t="str">
        <f>HYPERLINK("https://photon-sol.tinyastro.io/en/lp/Cnv6aoMJBignHDpsXrjdtiNAD7QAwfVgrke6RVXVpump?handle=676050794bc1b1657a56b", "View")</f>
        <v>View</v>
      </c>
    </row>
    <row r="32" spans="1:16" x14ac:dyDescent="0.25">
      <c r="A32" s="13" t="s">
        <v>29725</v>
      </c>
      <c r="B32" s="14">
        <v>6203651</v>
      </c>
      <c r="C32" s="14">
        <v>6203651</v>
      </c>
      <c r="D32" s="14" t="s">
        <v>11301</v>
      </c>
      <c r="E32" s="14" t="s">
        <v>12856</v>
      </c>
      <c r="F32" s="14" t="s">
        <v>11453</v>
      </c>
      <c r="G32" s="22" t="s">
        <v>2809</v>
      </c>
      <c r="H32" s="22" t="s">
        <v>15367</v>
      </c>
      <c r="I32" s="14" t="s">
        <v>88</v>
      </c>
      <c r="J32" s="14">
        <v>2</v>
      </c>
      <c r="K32" s="14">
        <v>4</v>
      </c>
      <c r="L32" s="14" t="s">
        <v>29726</v>
      </c>
      <c r="M32" s="14" t="s">
        <v>1526</v>
      </c>
      <c r="N32" s="14" t="s">
        <v>26374</v>
      </c>
      <c r="O32" s="14" t="s">
        <v>29727</v>
      </c>
      <c r="P32" s="14" t="str">
        <f>HYPERLINK("https://photon-sol.tinyastro.io/en/lp/HXjDCr5ZCmVCTTgsA55tuNC5Nyq73AsiUWcgNJRzpump?handle=676050794bc1b1657a56b", "View")</f>
        <v>View</v>
      </c>
    </row>
    <row r="33" spans="1:16" x14ac:dyDescent="0.25">
      <c r="A33" s="16" t="s">
        <v>29728</v>
      </c>
      <c r="B33" s="17">
        <v>18043381</v>
      </c>
      <c r="C33" s="17">
        <v>16854176</v>
      </c>
      <c r="D33" s="17" t="s">
        <v>11337</v>
      </c>
      <c r="E33" s="17" t="s">
        <v>14057</v>
      </c>
      <c r="F33" s="17" t="s">
        <v>2415</v>
      </c>
      <c r="G33" s="21" t="s">
        <v>2614</v>
      </c>
      <c r="H33" s="21" t="s">
        <v>29729</v>
      </c>
      <c r="I33" s="17" t="s">
        <v>88</v>
      </c>
      <c r="J33" s="17">
        <v>3</v>
      </c>
      <c r="K33" s="17">
        <v>4</v>
      </c>
      <c r="L33" s="17" t="s">
        <v>29730</v>
      </c>
      <c r="M33" s="17" t="s">
        <v>304</v>
      </c>
      <c r="N33" s="17" t="s">
        <v>29731</v>
      </c>
      <c r="O33" s="17" t="s">
        <v>29732</v>
      </c>
      <c r="P33" s="17" t="str">
        <f>HYPERLINK("https://photon-sol.tinyastro.io/en/lp/L2zhY3yhdw4CQAP6iT3xZy1eH598AHkSEQtmSQVpump?handle=676050794bc1b1657a56b", "View")</f>
        <v>View</v>
      </c>
    </row>
    <row r="34" spans="1:16" x14ac:dyDescent="0.25">
      <c r="A34" s="13" t="s">
        <v>889</v>
      </c>
      <c r="B34" s="14">
        <v>1179936</v>
      </c>
      <c r="C34" s="14">
        <v>0</v>
      </c>
      <c r="D34" s="14" t="s">
        <v>1882</v>
      </c>
      <c r="E34" s="14" t="s">
        <v>4665</v>
      </c>
      <c r="F34" s="14" t="s">
        <v>96</v>
      </c>
      <c r="G34" s="18" t="s">
        <v>3866</v>
      </c>
      <c r="H34" s="18" t="s">
        <v>98</v>
      </c>
      <c r="I34" s="14" t="s">
        <v>29733</v>
      </c>
      <c r="J34" s="14">
        <v>1</v>
      </c>
      <c r="K34" s="14">
        <v>0</v>
      </c>
      <c r="L34" s="14" t="s">
        <v>29734</v>
      </c>
      <c r="M34" s="19" t="s">
        <v>101</v>
      </c>
      <c r="N34" s="14" t="s">
        <v>29735</v>
      </c>
      <c r="O34" s="14" t="s">
        <v>894</v>
      </c>
      <c r="P34" s="14" t="str">
        <f>HYPERLINK("https://dexscreener.com/solana/A1mvjhm4nTxGSHuW1EYqpkSMfQxjdTapbcVHLgm1pump", "View")</f>
        <v>View</v>
      </c>
    </row>
    <row r="35" spans="1:16" x14ac:dyDescent="0.25">
      <c r="A35" s="16" t="s">
        <v>29736</v>
      </c>
      <c r="B35" s="17">
        <v>28135272</v>
      </c>
      <c r="C35" s="17">
        <v>25286904</v>
      </c>
      <c r="D35" s="17" t="s">
        <v>21937</v>
      </c>
      <c r="E35" s="17" t="s">
        <v>29737</v>
      </c>
      <c r="F35" s="17" t="s">
        <v>29738</v>
      </c>
      <c r="G35" s="21" t="s">
        <v>12930</v>
      </c>
      <c r="H35" s="21" t="s">
        <v>29739</v>
      </c>
      <c r="I35" s="17" t="s">
        <v>88</v>
      </c>
      <c r="J35" s="17">
        <v>5</v>
      </c>
      <c r="K35" s="17">
        <v>7</v>
      </c>
      <c r="L35" s="17" t="s">
        <v>29740</v>
      </c>
      <c r="M35" s="17" t="s">
        <v>1809</v>
      </c>
      <c r="N35" s="17" t="s">
        <v>29741</v>
      </c>
      <c r="O35" s="17" t="s">
        <v>29742</v>
      </c>
      <c r="P35" s="17" t="str">
        <f>HYPERLINK("https://photon-sol.tinyastro.io/en/lp/2QEjZVKEj2MhDr2JFUNZ6gmaufqYYt2aPeL31nFVpump?handle=676050794bc1b1657a56b", "View")</f>
        <v>View</v>
      </c>
    </row>
    <row r="36" spans="1:16" x14ac:dyDescent="0.25">
      <c r="A36" s="13" t="s">
        <v>11438</v>
      </c>
      <c r="B36" s="14">
        <v>4628430</v>
      </c>
      <c r="C36" s="14">
        <v>4628430</v>
      </c>
      <c r="D36" s="14" t="s">
        <v>1813</v>
      </c>
      <c r="E36" s="14" t="s">
        <v>4665</v>
      </c>
      <c r="F36" s="14" t="s">
        <v>3126</v>
      </c>
      <c r="G36" s="20" t="s">
        <v>3721</v>
      </c>
      <c r="H36" s="20" t="s">
        <v>29743</v>
      </c>
      <c r="I36" s="14" t="s">
        <v>88</v>
      </c>
      <c r="J36" s="14">
        <v>1</v>
      </c>
      <c r="K36" s="14">
        <v>1</v>
      </c>
      <c r="L36" s="14" t="s">
        <v>29744</v>
      </c>
      <c r="M36" s="14" t="s">
        <v>1610</v>
      </c>
      <c r="N36" s="14" t="s">
        <v>2585</v>
      </c>
      <c r="O36" s="14" t="s">
        <v>11442</v>
      </c>
      <c r="P36" s="14" t="str">
        <f>HYPERLINK("https://dexscreener.com/solana/HRnfcWw8xJY369fxU8yYaHqiLHRFWsAX4MbEWGpfpump", "View")</f>
        <v>View</v>
      </c>
    </row>
    <row r="37" spans="1:16" x14ac:dyDescent="0.25">
      <c r="A37" s="16" t="s">
        <v>29745</v>
      </c>
      <c r="B37" s="17">
        <v>2454443</v>
      </c>
      <c r="C37" s="17">
        <v>441155</v>
      </c>
      <c r="D37" s="17" t="s">
        <v>9569</v>
      </c>
      <c r="E37" s="17" t="s">
        <v>4665</v>
      </c>
      <c r="F37" s="17" t="s">
        <v>3142</v>
      </c>
      <c r="G37" s="15" t="s">
        <v>3073</v>
      </c>
      <c r="H37" s="15" t="s">
        <v>29746</v>
      </c>
      <c r="I37" s="17" t="s">
        <v>88</v>
      </c>
      <c r="J37" s="17">
        <v>2</v>
      </c>
      <c r="K37" s="17">
        <v>1</v>
      </c>
      <c r="L37" s="17" t="s">
        <v>29747</v>
      </c>
      <c r="M37" s="17" t="s">
        <v>132</v>
      </c>
      <c r="N37" s="17" t="s">
        <v>29748</v>
      </c>
      <c r="O37" s="17" t="s">
        <v>29749</v>
      </c>
      <c r="P37" s="17" t="str">
        <f>HYPERLINK("https://dexscreener.com/solana/H6YMhP828m4i9UmxCh7HVovktM92qZEY3DMDwtvRpump", "View")</f>
        <v>View</v>
      </c>
    </row>
    <row r="38" spans="1:16" x14ac:dyDescent="0.25">
      <c r="A38" s="13" t="s">
        <v>29750</v>
      </c>
      <c r="B38" s="14">
        <v>10876920</v>
      </c>
      <c r="C38" s="14">
        <v>10876920</v>
      </c>
      <c r="D38" s="14" t="s">
        <v>9569</v>
      </c>
      <c r="E38" s="14" t="s">
        <v>29751</v>
      </c>
      <c r="F38" s="14" t="s">
        <v>1867</v>
      </c>
      <c r="G38" s="22" t="s">
        <v>5687</v>
      </c>
      <c r="H38" s="22" t="s">
        <v>29752</v>
      </c>
      <c r="I38" s="14" t="s">
        <v>88</v>
      </c>
      <c r="J38" s="14">
        <v>1</v>
      </c>
      <c r="K38" s="14">
        <v>2</v>
      </c>
      <c r="L38" s="14" t="s">
        <v>29753</v>
      </c>
      <c r="M38" s="14" t="s">
        <v>1434</v>
      </c>
      <c r="N38" s="14" t="s">
        <v>21757</v>
      </c>
      <c r="O38" s="14" t="s">
        <v>29754</v>
      </c>
      <c r="P38" s="14" t="str">
        <f>HYPERLINK("https://photon-sol.tinyastro.io/en/lp/5huXvAYpEsuoMfWFr6AER4yAmXQCteRioKkVwKkHpump?handle=676050794bc1b1657a56b", "View")</f>
        <v>View</v>
      </c>
    </row>
    <row r="39" spans="1:16" x14ac:dyDescent="0.25">
      <c r="A39" s="16" t="s">
        <v>29755</v>
      </c>
      <c r="B39" s="17">
        <v>13775184</v>
      </c>
      <c r="C39" s="17">
        <v>13775184</v>
      </c>
      <c r="D39" s="17" t="s">
        <v>9537</v>
      </c>
      <c r="E39" s="17" t="s">
        <v>2553</v>
      </c>
      <c r="F39" s="17" t="s">
        <v>29756</v>
      </c>
      <c r="G39" s="21" t="s">
        <v>24528</v>
      </c>
      <c r="H39" s="21" t="s">
        <v>29757</v>
      </c>
      <c r="I39" s="17" t="s">
        <v>88</v>
      </c>
      <c r="J39" s="17">
        <v>1</v>
      </c>
      <c r="K39" s="17">
        <v>4</v>
      </c>
      <c r="L39" s="17" t="s">
        <v>29758</v>
      </c>
      <c r="M39" s="17" t="s">
        <v>2047</v>
      </c>
      <c r="N39" s="17" t="s">
        <v>29759</v>
      </c>
      <c r="O39" s="17" t="s">
        <v>29760</v>
      </c>
      <c r="P39" s="17" t="str">
        <f>HYPERLINK("https://photon-sol.tinyastro.io/en/lp/E2keFx7gBh1L51XRrQ9AefJQpvffvk4KCJUxvPL3pump?handle=676050794bc1b1657a56b", "View")</f>
        <v>View</v>
      </c>
    </row>
    <row r="40" spans="1:16" x14ac:dyDescent="0.25">
      <c r="A40" s="13" t="s">
        <v>29761</v>
      </c>
      <c r="B40" s="14">
        <v>472164</v>
      </c>
      <c r="C40" s="14">
        <v>472164</v>
      </c>
      <c r="D40" s="14" t="s">
        <v>9569</v>
      </c>
      <c r="E40" s="14" t="s">
        <v>3275</v>
      </c>
      <c r="F40" s="14" t="s">
        <v>11161</v>
      </c>
      <c r="G40" s="22" t="s">
        <v>5036</v>
      </c>
      <c r="H40" s="22" t="s">
        <v>29762</v>
      </c>
      <c r="I40" s="14" t="s">
        <v>88</v>
      </c>
      <c r="J40" s="14">
        <v>1</v>
      </c>
      <c r="K40" s="14">
        <v>2</v>
      </c>
      <c r="L40" s="14" t="s">
        <v>29763</v>
      </c>
      <c r="M40" s="14" t="s">
        <v>937</v>
      </c>
      <c r="N40" s="14" t="s">
        <v>8567</v>
      </c>
      <c r="O40" s="14" t="s">
        <v>29764</v>
      </c>
      <c r="P40" s="14" t="str">
        <f>HYPERLINK("https://photon-sol.tinyastro.io/en/lp/DKS6ZUNX6BhFxvkpp88T5vxBrFf5K2xQoq7GdX99pump?handle=676050794bc1b1657a56b", "View")</f>
        <v>View</v>
      </c>
    </row>
    <row r="41" spans="1:16" x14ac:dyDescent="0.25">
      <c r="A41" s="16" t="s">
        <v>6670</v>
      </c>
      <c r="B41" s="17">
        <v>11057545</v>
      </c>
      <c r="C41" s="17">
        <v>11057545</v>
      </c>
      <c r="D41" s="17" t="s">
        <v>24430</v>
      </c>
      <c r="E41" s="17" t="s">
        <v>6581</v>
      </c>
      <c r="F41" s="17" t="s">
        <v>29765</v>
      </c>
      <c r="G41" s="22" t="s">
        <v>2890</v>
      </c>
      <c r="H41" s="22" t="s">
        <v>29766</v>
      </c>
      <c r="I41" s="17" t="s">
        <v>88</v>
      </c>
      <c r="J41" s="17">
        <v>7</v>
      </c>
      <c r="K41" s="17">
        <v>6</v>
      </c>
      <c r="L41" s="17" t="s">
        <v>29767</v>
      </c>
      <c r="M41" s="17" t="s">
        <v>132</v>
      </c>
      <c r="N41" s="17" t="s">
        <v>29768</v>
      </c>
      <c r="O41" s="17" t="s">
        <v>6676</v>
      </c>
      <c r="P41" s="17" t="str">
        <f>HYPERLINK("https://photon-sol.tinyastro.io/en/lp/5htRq8A33EaivheAGtuBTWwM6UA18NR9JL3MjkfLpump?handle=676050794bc1b1657a56b", "View")</f>
        <v>View</v>
      </c>
    </row>
    <row r="42" spans="1:16" x14ac:dyDescent="0.25">
      <c r="A42" s="13" t="s">
        <v>29769</v>
      </c>
      <c r="B42" s="14">
        <v>8955877</v>
      </c>
      <c r="C42" s="14">
        <v>8955877</v>
      </c>
      <c r="D42" s="14" t="s">
        <v>11301</v>
      </c>
      <c r="E42" s="14" t="s">
        <v>17225</v>
      </c>
      <c r="F42" s="14" t="s">
        <v>29770</v>
      </c>
      <c r="G42" s="21" t="s">
        <v>3785</v>
      </c>
      <c r="H42" s="21" t="s">
        <v>29771</v>
      </c>
      <c r="I42" s="14" t="s">
        <v>88</v>
      </c>
      <c r="J42" s="14">
        <v>1</v>
      </c>
      <c r="K42" s="14">
        <v>5</v>
      </c>
      <c r="L42" s="14" t="s">
        <v>29772</v>
      </c>
      <c r="M42" s="14" t="s">
        <v>398</v>
      </c>
      <c r="N42" s="14" t="s">
        <v>29773</v>
      </c>
      <c r="O42" s="14" t="s">
        <v>29774</v>
      </c>
      <c r="P42" s="14" t="str">
        <f>HYPERLINK("https://photon-sol.tinyastro.io/en/lp/7LaQQ3ahWeHR59B7eDzDhHkeMa3rLHxF7eb1ZmHPpump?handle=676050794bc1b1657a56b", "View")</f>
        <v>View</v>
      </c>
    </row>
    <row r="43" spans="1:16" x14ac:dyDescent="0.25">
      <c r="A43" s="16" t="s">
        <v>3279</v>
      </c>
      <c r="B43" s="17">
        <v>10991631</v>
      </c>
      <c r="C43" s="17">
        <v>10991631</v>
      </c>
      <c r="D43" s="17" t="s">
        <v>9537</v>
      </c>
      <c r="E43" s="17" t="s">
        <v>3636</v>
      </c>
      <c r="F43" s="17" t="s">
        <v>21767</v>
      </c>
      <c r="G43" s="21" t="s">
        <v>14496</v>
      </c>
      <c r="H43" s="21" t="s">
        <v>29775</v>
      </c>
      <c r="I43" s="17" t="s">
        <v>88</v>
      </c>
      <c r="J43" s="17">
        <v>1</v>
      </c>
      <c r="K43" s="17">
        <v>4</v>
      </c>
      <c r="L43" s="17" t="s">
        <v>29776</v>
      </c>
      <c r="M43" s="17" t="s">
        <v>179</v>
      </c>
      <c r="N43" s="17" t="s">
        <v>29777</v>
      </c>
      <c r="O43" s="17" t="s">
        <v>3285</v>
      </c>
      <c r="P43" s="17" t="str">
        <f>HYPERLINK("https://photon-sol.tinyastro.io/en/lp/FN8sbVRP7obTaX6bEwuTY5zVvpmwFBBKNheu5kN2pump?handle=676050794bc1b1657a56b", "View")</f>
        <v>View</v>
      </c>
    </row>
    <row r="44" spans="1:16" x14ac:dyDescent="0.25">
      <c r="A44" s="13" t="s">
        <v>29778</v>
      </c>
      <c r="B44" s="14">
        <v>1247084</v>
      </c>
      <c r="C44" s="14">
        <v>1247084</v>
      </c>
      <c r="D44" s="14" t="s">
        <v>9569</v>
      </c>
      <c r="E44" s="14" t="s">
        <v>5006</v>
      </c>
      <c r="F44" s="14" t="s">
        <v>3659</v>
      </c>
      <c r="G44" s="20" t="s">
        <v>5867</v>
      </c>
      <c r="H44" s="20" t="s">
        <v>29779</v>
      </c>
      <c r="I44" s="14" t="s">
        <v>88</v>
      </c>
      <c r="J44" s="14">
        <v>1</v>
      </c>
      <c r="K44" s="14">
        <v>2</v>
      </c>
      <c r="L44" s="14" t="s">
        <v>29780</v>
      </c>
      <c r="M44" s="14" t="s">
        <v>1957</v>
      </c>
      <c r="N44" s="14" t="s">
        <v>19159</v>
      </c>
      <c r="O44" s="14" t="s">
        <v>29781</v>
      </c>
      <c r="P44" s="14" t="str">
        <f>HYPERLINK("https://photon-sol.tinyastro.io/en/lp/F1YVsxXSpQYF38PmVSZkyqCGj3EfeDyRber8Q2zrpump?handle=676050794bc1b1657a56b", "View")</f>
        <v>View</v>
      </c>
    </row>
    <row r="45" spans="1:16" x14ac:dyDescent="0.25">
      <c r="A45" s="16" t="s">
        <v>29782</v>
      </c>
      <c r="B45" s="17">
        <v>2747173</v>
      </c>
      <c r="C45" s="17">
        <v>2747173</v>
      </c>
      <c r="D45" s="17" t="s">
        <v>1813</v>
      </c>
      <c r="E45" s="17" t="s">
        <v>5635</v>
      </c>
      <c r="F45" s="17" t="s">
        <v>5346</v>
      </c>
      <c r="G45" s="20" t="s">
        <v>4904</v>
      </c>
      <c r="H45" s="20" t="s">
        <v>29783</v>
      </c>
      <c r="I45" s="17" t="s">
        <v>88</v>
      </c>
      <c r="J45" s="17">
        <v>1</v>
      </c>
      <c r="K45" s="17">
        <v>1</v>
      </c>
      <c r="L45" s="17" t="s">
        <v>29784</v>
      </c>
      <c r="M45" s="17" t="s">
        <v>1566</v>
      </c>
      <c r="N45" s="17" t="s">
        <v>2585</v>
      </c>
      <c r="O45" s="17" t="s">
        <v>29785</v>
      </c>
      <c r="P45" s="17" t="str">
        <f>HYPERLINK("https://photon-sol.tinyastro.io/en/lp/FVEq1XcQwwd74DkVFpUpdUJw49VNJtUmVvNU26TMpump?handle=676050794bc1b1657a56b", "View")</f>
        <v>View</v>
      </c>
    </row>
    <row r="46" spans="1:16" x14ac:dyDescent="0.25">
      <c r="A46" s="13" t="s">
        <v>29786</v>
      </c>
      <c r="B46" s="14">
        <v>2389692</v>
      </c>
      <c r="C46" s="14">
        <v>2389692</v>
      </c>
      <c r="D46" s="14" t="s">
        <v>1813</v>
      </c>
      <c r="E46" s="14" t="s">
        <v>3845</v>
      </c>
      <c r="F46" s="14" t="s">
        <v>5140</v>
      </c>
      <c r="G46" s="15" t="s">
        <v>5614</v>
      </c>
      <c r="H46" s="15" t="s">
        <v>29787</v>
      </c>
      <c r="I46" s="14" t="s">
        <v>88</v>
      </c>
      <c r="J46" s="14">
        <v>1</v>
      </c>
      <c r="K46" s="14">
        <v>1</v>
      </c>
      <c r="L46" s="14" t="s">
        <v>29788</v>
      </c>
      <c r="M46" s="14" t="s">
        <v>3180</v>
      </c>
      <c r="N46" s="14" t="s">
        <v>23289</v>
      </c>
      <c r="O46" s="14" t="s">
        <v>29789</v>
      </c>
      <c r="P46" s="14" t="str">
        <f>HYPERLINK("https://photon-sol.tinyastro.io/en/lp/BbiUNtykVPb3K9sqt2mUVAGuC1FTeB9WbYtnbu5kpump?handle=676050794bc1b1657a56b", "View")</f>
        <v>View</v>
      </c>
    </row>
    <row r="47" spans="1:16" x14ac:dyDescent="0.25">
      <c r="A47" s="16" t="s">
        <v>575</v>
      </c>
      <c r="B47" s="17">
        <v>6388</v>
      </c>
      <c r="C47" s="17">
        <v>6388</v>
      </c>
      <c r="D47" s="17" t="s">
        <v>1813</v>
      </c>
      <c r="E47" s="17" t="s">
        <v>4665</v>
      </c>
      <c r="F47" s="17" t="s">
        <v>1816</v>
      </c>
      <c r="G47" s="20" t="s">
        <v>5706</v>
      </c>
      <c r="H47" s="20" t="s">
        <v>29790</v>
      </c>
      <c r="I47" s="17" t="s">
        <v>88</v>
      </c>
      <c r="J47" s="17">
        <v>1</v>
      </c>
      <c r="K47" s="17">
        <v>1</v>
      </c>
      <c r="L47" s="17" t="s">
        <v>29791</v>
      </c>
      <c r="M47" s="17" t="s">
        <v>1434</v>
      </c>
      <c r="N47" s="17" t="s">
        <v>29792</v>
      </c>
      <c r="O47" s="17" t="s">
        <v>583</v>
      </c>
      <c r="P47" s="17" t="str">
        <f>HYPERLINK("https://dexscreener.com/solana/9PR7nCP9DpcUotnDPVLUBUZKu5WAYkwrCUx9wDnSpump", "View")</f>
        <v>View</v>
      </c>
    </row>
    <row r="48" spans="1:16" x14ac:dyDescent="0.25">
      <c r="A48" s="13" t="s">
        <v>11387</v>
      </c>
      <c r="B48" s="14">
        <v>52815</v>
      </c>
      <c r="C48" s="14">
        <v>52815</v>
      </c>
      <c r="D48" s="14" t="s">
        <v>1813</v>
      </c>
      <c r="E48" s="14" t="s">
        <v>2200</v>
      </c>
      <c r="F48" s="14" t="s">
        <v>17252</v>
      </c>
      <c r="G48" s="20" t="s">
        <v>11022</v>
      </c>
      <c r="H48" s="20" t="s">
        <v>29793</v>
      </c>
      <c r="I48" s="14" t="s">
        <v>88</v>
      </c>
      <c r="J48" s="14">
        <v>1</v>
      </c>
      <c r="K48" s="14">
        <v>1</v>
      </c>
      <c r="L48" s="14" t="s">
        <v>29794</v>
      </c>
      <c r="M48" s="14" t="s">
        <v>179</v>
      </c>
      <c r="N48" s="14" t="s">
        <v>29795</v>
      </c>
      <c r="O48" s="14" t="s">
        <v>11391</v>
      </c>
      <c r="P48" s="14" t="str">
        <f>HYPERLINK("https://dexscreener.com/solana/4B3NXEKgsT9hsadpCKNEwSXj6aDqwR7iqe5GzvgKpump", "View")</f>
        <v>View</v>
      </c>
    </row>
    <row r="49" spans="1:16" x14ac:dyDescent="0.25">
      <c r="A49" s="16" t="s">
        <v>29796</v>
      </c>
      <c r="B49" s="17">
        <v>18115588</v>
      </c>
      <c r="C49" s="17">
        <v>18115588</v>
      </c>
      <c r="D49" s="17" t="s">
        <v>1813</v>
      </c>
      <c r="E49" s="17" t="s">
        <v>29797</v>
      </c>
      <c r="F49" s="17" t="s">
        <v>29798</v>
      </c>
      <c r="G49" s="21" t="s">
        <v>4060</v>
      </c>
      <c r="H49" s="21" t="s">
        <v>29799</v>
      </c>
      <c r="I49" s="17" t="s">
        <v>88</v>
      </c>
      <c r="J49" s="17">
        <v>1</v>
      </c>
      <c r="K49" s="17">
        <v>1</v>
      </c>
      <c r="L49" s="17" t="s">
        <v>29800</v>
      </c>
      <c r="M49" s="17" t="s">
        <v>1448</v>
      </c>
      <c r="N49" s="17" t="s">
        <v>14328</v>
      </c>
      <c r="O49" s="17" t="s">
        <v>29801</v>
      </c>
      <c r="P49" s="17" t="str">
        <f>HYPERLINK("https://photon-sol.tinyastro.io/en/lp/FC8sbvpmuSbb58fexUwZuJ7f4V9VLQgtffesvrMNpump?handle=676050794bc1b1657a56b", "View")</f>
        <v>View</v>
      </c>
    </row>
    <row r="50" spans="1:16" x14ac:dyDescent="0.25">
      <c r="A50" s="13" t="s">
        <v>29802</v>
      </c>
      <c r="B50" s="14">
        <v>18395634</v>
      </c>
      <c r="C50" s="14">
        <v>18395634</v>
      </c>
      <c r="D50" s="14" t="s">
        <v>1813</v>
      </c>
      <c r="E50" s="14" t="s">
        <v>7792</v>
      </c>
      <c r="F50" s="14" t="s">
        <v>28483</v>
      </c>
      <c r="G50" s="20" t="s">
        <v>3549</v>
      </c>
      <c r="H50" s="20" t="s">
        <v>29803</v>
      </c>
      <c r="I50" s="14" t="s">
        <v>88</v>
      </c>
      <c r="J50" s="14">
        <v>1</v>
      </c>
      <c r="K50" s="14">
        <v>1</v>
      </c>
      <c r="L50" s="14" t="s">
        <v>29804</v>
      </c>
      <c r="M50" s="14" t="s">
        <v>602</v>
      </c>
      <c r="N50" s="14" t="s">
        <v>27139</v>
      </c>
      <c r="O50" s="14" t="s">
        <v>29805</v>
      </c>
      <c r="P50" s="14" t="str">
        <f>HYPERLINK("https://photon-sol.tinyastro.io/en/lp/CsiY9A46Aq7KWUqZsoV1uegM8y5KkVv6E9qs6Phspump?handle=676050794bc1b1657a56b", "View")</f>
        <v>View</v>
      </c>
    </row>
    <row r="51" spans="1:16" x14ac:dyDescent="0.25">
      <c r="A51" s="16" t="s">
        <v>29806</v>
      </c>
      <c r="B51" s="17">
        <v>15845279</v>
      </c>
      <c r="C51" s="17">
        <v>15845279</v>
      </c>
      <c r="D51" s="17" t="s">
        <v>9569</v>
      </c>
      <c r="E51" s="17" t="s">
        <v>3280</v>
      </c>
      <c r="F51" s="17" t="s">
        <v>29807</v>
      </c>
      <c r="G51" s="22" t="s">
        <v>4667</v>
      </c>
      <c r="H51" s="22" t="s">
        <v>4087</v>
      </c>
      <c r="I51" s="17" t="s">
        <v>88</v>
      </c>
      <c r="J51" s="17">
        <v>1</v>
      </c>
      <c r="K51" s="17">
        <v>2</v>
      </c>
      <c r="L51" s="17" t="s">
        <v>29808</v>
      </c>
      <c r="M51" s="17" t="s">
        <v>788</v>
      </c>
      <c r="N51" s="17" t="s">
        <v>2585</v>
      </c>
      <c r="O51" s="17" t="s">
        <v>29809</v>
      </c>
      <c r="P51" s="17" t="str">
        <f>HYPERLINK("https://photon-sol.tinyastro.io/en/lp/5Vm2kfMXWZ2BnyKYTU2hMy1CTMHJZZT6B9m54Dtnpump?handle=676050794bc1b1657a56b", "View")</f>
        <v>View</v>
      </c>
    </row>
    <row r="52" spans="1:16" x14ac:dyDescent="0.25">
      <c r="A52" s="13" t="s">
        <v>29810</v>
      </c>
      <c r="B52" s="14">
        <v>2804244</v>
      </c>
      <c r="C52" s="14">
        <v>2804244</v>
      </c>
      <c r="D52" s="14" t="s">
        <v>1813</v>
      </c>
      <c r="E52" s="14" t="s">
        <v>3658</v>
      </c>
      <c r="F52" s="14" t="s">
        <v>12509</v>
      </c>
      <c r="G52" s="22" t="s">
        <v>3556</v>
      </c>
      <c r="H52" s="22" t="s">
        <v>29811</v>
      </c>
      <c r="I52" s="14" t="s">
        <v>88</v>
      </c>
      <c r="J52" s="14">
        <v>1</v>
      </c>
      <c r="K52" s="14">
        <v>1</v>
      </c>
      <c r="L52" s="14" t="s">
        <v>29812</v>
      </c>
      <c r="M52" s="14" t="s">
        <v>1434</v>
      </c>
      <c r="N52" s="14" t="s">
        <v>23386</v>
      </c>
      <c r="O52" s="14" t="s">
        <v>29813</v>
      </c>
      <c r="P52" s="14" t="str">
        <f>HYPERLINK("https://photon-sol.tinyastro.io/en/lp/J9825UTXkKoqXE8g7671YoPYML1MuSRkESo1EgFppump?handle=676050794bc1b1657a56b", "View")</f>
        <v>View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9053-CFFB-4C60-A2F4-136B49C81455}">
  <dimension ref="A1:P47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HYPERLINK("https://gmgn.ai/sol/address/8GC8KU7bZVAevvSCF3JqTuG6iZbT4FKttjAwdxqEw8zM", "GMGN")</f>
        <v>GMGN</v>
      </c>
    </row>
    <row r="2" spans="1:14" x14ac:dyDescent="0.25">
      <c r="A2" s="3" t="s">
        <v>29814</v>
      </c>
      <c r="B2" s="3" t="s">
        <v>20722</v>
      </c>
      <c r="C2" s="3" t="s">
        <v>1771</v>
      </c>
      <c r="D2" s="3" t="s">
        <v>20470</v>
      </c>
      <c r="E2" s="3" t="s">
        <v>29815</v>
      </c>
      <c r="F2" s="3" t="s">
        <v>29816</v>
      </c>
      <c r="G2" s="3" t="s">
        <v>18</v>
      </c>
      <c r="H2" s="3">
        <v>28</v>
      </c>
      <c r="I2" s="3">
        <v>0</v>
      </c>
      <c r="J2" s="3" t="s">
        <v>690</v>
      </c>
      <c r="K2" s="3" t="s">
        <v>2993</v>
      </c>
      <c r="L2" s="3">
        <v>14</v>
      </c>
      <c r="M2" s="3">
        <v>31</v>
      </c>
      <c r="N2" s="3" t="str">
        <f>HYPERLINK("https://solscan.io/account/8GC8KU7bZVAevvSCF3JqTuG6iZbT4FKttjAwdxqEw8zM", "Solscan")</f>
        <v>Solscan</v>
      </c>
    </row>
    <row r="3" spans="1:14" x14ac:dyDescent="0.25">
      <c r="A3" s="1" t="s">
        <v>21</v>
      </c>
      <c r="B3" s="23" t="s">
        <v>29817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HYPERLINK("https://birdeye.so/profile/8GC8KU7bZVAevvSCF3JqTuG6iZbT4FKttjAwdxqEw8zM", "Birdeye")</f>
        <v>Birdeye</v>
      </c>
    </row>
    <row r="4" spans="1:14" x14ac:dyDescent="0.25">
      <c r="A4" s="1" t="s">
        <v>25</v>
      </c>
      <c r="B4" s="3" t="s">
        <v>19655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4368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4122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1</v>
      </c>
      <c r="D10" s="1">
        <v>7</v>
      </c>
      <c r="E10" s="1">
        <v>12</v>
      </c>
      <c r="F10" s="1">
        <v>7</v>
      </c>
      <c r="G10" s="1">
        <v>0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15653</v>
      </c>
      <c r="C11" s="1" t="s">
        <v>15653</v>
      </c>
      <c r="D11" s="1" t="s">
        <v>24242</v>
      </c>
      <c r="E11" s="1" t="s">
        <v>29643</v>
      </c>
      <c r="F11" s="1" t="s">
        <v>24242</v>
      </c>
      <c r="G11" s="1" t="s">
        <v>1779</v>
      </c>
      <c r="H11" s="3"/>
      <c r="I11" s="3" t="s">
        <v>50</v>
      </c>
      <c r="J11" s="3" t="s">
        <v>4368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23134</v>
      </c>
      <c r="C12" s="1" t="s">
        <v>29818</v>
      </c>
      <c r="D12" s="1" t="s">
        <v>29819</v>
      </c>
      <c r="E12" s="1" t="s">
        <v>29820</v>
      </c>
      <c r="F12" s="1" t="s">
        <v>1790</v>
      </c>
      <c r="G12" s="1" t="s">
        <v>1786</v>
      </c>
      <c r="H12" s="3"/>
      <c r="I12" s="3" t="s">
        <v>59</v>
      </c>
      <c r="J12" s="3" t="s">
        <v>9497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8326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1777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23135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29821</v>
      </c>
      <c r="B20" s="14">
        <v>24998838</v>
      </c>
      <c r="C20" s="14">
        <v>24998838</v>
      </c>
      <c r="D20" s="14" t="s">
        <v>29822</v>
      </c>
      <c r="E20" s="14" t="s">
        <v>29823</v>
      </c>
      <c r="F20" s="14" t="s">
        <v>29824</v>
      </c>
      <c r="G20" s="21" t="s">
        <v>29825</v>
      </c>
      <c r="H20" s="21" t="s">
        <v>29826</v>
      </c>
      <c r="I20" s="14" t="s">
        <v>88</v>
      </c>
      <c r="J20" s="14">
        <v>1</v>
      </c>
      <c r="K20" s="14">
        <v>1</v>
      </c>
      <c r="L20" s="14" t="s">
        <v>29827</v>
      </c>
      <c r="M20" s="19" t="s">
        <v>3076</v>
      </c>
      <c r="N20" s="14" t="s">
        <v>29828</v>
      </c>
      <c r="O20" s="14" t="s">
        <v>29829</v>
      </c>
      <c r="P20" s="14" t="str">
        <f>HYPERLINK("https://photon-sol.tinyastro.io/en/lp/FbU2Bxn4ptQtE58SCKTFK49JneCxkb36VyYDPpfDpump?handle=676050794bc1b1657a56b", "View")</f>
        <v>View</v>
      </c>
    </row>
    <row r="21" spans="1:16" x14ac:dyDescent="0.25">
      <c r="A21" s="16" t="s">
        <v>29830</v>
      </c>
      <c r="B21" s="17">
        <v>41644552</v>
      </c>
      <c r="C21" s="17">
        <v>41644552</v>
      </c>
      <c r="D21" s="17" t="s">
        <v>29822</v>
      </c>
      <c r="E21" s="17" t="s">
        <v>29831</v>
      </c>
      <c r="F21" s="17" t="s">
        <v>29832</v>
      </c>
      <c r="G21" s="22" t="s">
        <v>9960</v>
      </c>
      <c r="H21" s="22" t="s">
        <v>29833</v>
      </c>
      <c r="I21" s="17" t="s">
        <v>88</v>
      </c>
      <c r="J21" s="17">
        <v>1</v>
      </c>
      <c r="K21" s="17">
        <v>1</v>
      </c>
      <c r="L21" s="17" t="s">
        <v>29834</v>
      </c>
      <c r="M21" s="19" t="s">
        <v>2937</v>
      </c>
      <c r="N21" s="17" t="s">
        <v>23236</v>
      </c>
      <c r="O21" s="17" t="s">
        <v>29835</v>
      </c>
      <c r="P21" s="17" t="str">
        <f>HYPERLINK("https://photon-sol.tinyastro.io/en/lp/AegmnEikPdzToUAxM9UQ1cjonUAKKzccYKLeYZqs8txU?handle=676050794bc1b1657a56b", "View")</f>
        <v>View</v>
      </c>
    </row>
    <row r="22" spans="1:16" x14ac:dyDescent="0.25">
      <c r="A22" s="13" t="s">
        <v>6416</v>
      </c>
      <c r="B22" s="14">
        <v>18907175</v>
      </c>
      <c r="C22" s="14">
        <v>18907175</v>
      </c>
      <c r="D22" s="14" t="s">
        <v>29822</v>
      </c>
      <c r="E22" s="14" t="s">
        <v>29836</v>
      </c>
      <c r="F22" s="14" t="s">
        <v>29837</v>
      </c>
      <c r="G22" s="22" t="s">
        <v>13085</v>
      </c>
      <c r="H22" s="22" t="s">
        <v>29838</v>
      </c>
      <c r="I22" s="14" t="s">
        <v>88</v>
      </c>
      <c r="J22" s="14">
        <v>1</v>
      </c>
      <c r="K22" s="14">
        <v>1</v>
      </c>
      <c r="L22" s="14" t="s">
        <v>29839</v>
      </c>
      <c r="M22" s="19" t="s">
        <v>3158</v>
      </c>
      <c r="N22" s="14" t="s">
        <v>29840</v>
      </c>
      <c r="O22" s="14" t="s">
        <v>6422</v>
      </c>
      <c r="P22" s="14" t="str">
        <f>HYPERLINK("https://photon-sol.tinyastro.io/en/lp/3XbtXJTwrApeEy9kthjpwBaR158ydaGgHnyEE1bipump?handle=676050794bc1b1657a56b", "View")</f>
        <v>View</v>
      </c>
    </row>
    <row r="23" spans="1:16" x14ac:dyDescent="0.25">
      <c r="A23" s="16" t="s">
        <v>29841</v>
      </c>
      <c r="B23" s="17">
        <v>18521884</v>
      </c>
      <c r="C23" s="17">
        <v>18521884</v>
      </c>
      <c r="D23" s="17" t="s">
        <v>29822</v>
      </c>
      <c r="E23" s="17" t="s">
        <v>29842</v>
      </c>
      <c r="F23" s="17" t="s">
        <v>29843</v>
      </c>
      <c r="G23" s="20" t="s">
        <v>29844</v>
      </c>
      <c r="H23" s="20" t="s">
        <v>14203</v>
      </c>
      <c r="I23" s="17" t="s">
        <v>88</v>
      </c>
      <c r="J23" s="17">
        <v>1</v>
      </c>
      <c r="K23" s="17">
        <v>1</v>
      </c>
      <c r="L23" s="17" t="s">
        <v>29845</v>
      </c>
      <c r="M23" s="19" t="s">
        <v>2937</v>
      </c>
      <c r="N23" s="17" t="s">
        <v>29846</v>
      </c>
      <c r="O23" s="17" t="s">
        <v>29847</v>
      </c>
      <c r="P23" s="17" t="str">
        <f>HYPERLINK("https://photon-sol.tinyastro.io/en/lp/FEtRDsRPrKnbh73BmxKf62FacjHgbhneRBzT8RRRpump?handle=676050794bc1b1657a56b", "View")</f>
        <v>View</v>
      </c>
    </row>
    <row r="24" spans="1:16" x14ac:dyDescent="0.25">
      <c r="A24" s="13" t="s">
        <v>2519</v>
      </c>
      <c r="B24" s="14">
        <v>1047704</v>
      </c>
      <c r="C24" s="14">
        <v>1047704</v>
      </c>
      <c r="D24" s="14" t="s">
        <v>29822</v>
      </c>
      <c r="E24" s="14" t="s">
        <v>29848</v>
      </c>
      <c r="F24" s="14" t="s">
        <v>18277</v>
      </c>
      <c r="G24" s="20" t="s">
        <v>2201</v>
      </c>
      <c r="H24" s="20" t="s">
        <v>29849</v>
      </c>
      <c r="I24" s="14" t="s">
        <v>88</v>
      </c>
      <c r="J24" s="14">
        <v>1</v>
      </c>
      <c r="K24" s="14">
        <v>1</v>
      </c>
      <c r="L24" s="14" t="s">
        <v>29850</v>
      </c>
      <c r="M24" s="19" t="s">
        <v>2486</v>
      </c>
      <c r="N24" s="14" t="s">
        <v>29851</v>
      </c>
      <c r="O24" s="14" t="s">
        <v>27834</v>
      </c>
      <c r="P24" s="14" t="str">
        <f>HYPERLINK("https://dexscreener.com/solana/5DoGHVxbcQgLgPx3uKMDK8ft97shHC3gfoQBdTMapump", "View")</f>
        <v>View</v>
      </c>
    </row>
    <row r="25" spans="1:16" x14ac:dyDescent="0.25">
      <c r="A25" s="16" t="s">
        <v>6449</v>
      </c>
      <c r="B25" s="17">
        <v>2780151</v>
      </c>
      <c r="C25" s="17">
        <v>2780151</v>
      </c>
      <c r="D25" s="17" t="s">
        <v>29822</v>
      </c>
      <c r="E25" s="17" t="s">
        <v>29852</v>
      </c>
      <c r="F25" s="17" t="s">
        <v>29853</v>
      </c>
      <c r="G25" s="22" t="s">
        <v>7155</v>
      </c>
      <c r="H25" s="22" t="s">
        <v>29854</v>
      </c>
      <c r="I25" s="17" t="s">
        <v>88</v>
      </c>
      <c r="J25" s="17">
        <v>1</v>
      </c>
      <c r="K25" s="17">
        <v>1</v>
      </c>
      <c r="L25" s="17" t="s">
        <v>29855</v>
      </c>
      <c r="M25" s="19" t="s">
        <v>3069</v>
      </c>
      <c r="N25" s="17" t="s">
        <v>29856</v>
      </c>
      <c r="O25" s="17" t="s">
        <v>6457</v>
      </c>
      <c r="P25" s="17" t="str">
        <f>HYPERLINK("https://dexscreener.com/solana/6qocE7eQhug7pE7CggAvdNJJMtkHjKaVYRSND7Bwpump", "View")</f>
        <v>View</v>
      </c>
    </row>
    <row r="26" spans="1:16" x14ac:dyDescent="0.25">
      <c r="A26" s="13" t="s">
        <v>2730</v>
      </c>
      <c r="B26" s="14">
        <v>15100648</v>
      </c>
      <c r="C26" s="14">
        <v>15100648</v>
      </c>
      <c r="D26" s="14" t="s">
        <v>29822</v>
      </c>
      <c r="E26" s="14" t="s">
        <v>29857</v>
      </c>
      <c r="F26" s="14" t="s">
        <v>29858</v>
      </c>
      <c r="G26" s="20" t="s">
        <v>21839</v>
      </c>
      <c r="H26" s="20" t="s">
        <v>29859</v>
      </c>
      <c r="I26" s="14" t="s">
        <v>88</v>
      </c>
      <c r="J26" s="14">
        <v>1</v>
      </c>
      <c r="K26" s="14">
        <v>1</v>
      </c>
      <c r="L26" s="14" t="s">
        <v>29860</v>
      </c>
      <c r="M26" s="19" t="s">
        <v>2955</v>
      </c>
      <c r="N26" s="14" t="s">
        <v>29861</v>
      </c>
      <c r="O26" s="14" t="s">
        <v>29862</v>
      </c>
      <c r="P26" s="14" t="str">
        <f>HYPERLINK("https://photon-sol.tinyastro.io/en/lp/HZ6NmDPXL26gxAvzFWam3CpHr2hUumNCNAFU6jMkpump?handle=676050794bc1b1657a56b", "View")</f>
        <v>View</v>
      </c>
    </row>
    <row r="27" spans="1:16" x14ac:dyDescent="0.25">
      <c r="A27" s="16" t="s">
        <v>29830</v>
      </c>
      <c r="B27" s="17">
        <v>84273823</v>
      </c>
      <c r="C27" s="17">
        <v>84273823</v>
      </c>
      <c r="D27" s="17" t="s">
        <v>29822</v>
      </c>
      <c r="E27" s="17" t="s">
        <v>29863</v>
      </c>
      <c r="F27" s="17" t="s">
        <v>29864</v>
      </c>
      <c r="G27" s="21" t="s">
        <v>29865</v>
      </c>
      <c r="H27" s="21" t="s">
        <v>29866</v>
      </c>
      <c r="I27" s="17" t="s">
        <v>88</v>
      </c>
      <c r="J27" s="17">
        <v>1</v>
      </c>
      <c r="K27" s="17">
        <v>1</v>
      </c>
      <c r="L27" s="17" t="s">
        <v>29867</v>
      </c>
      <c r="M27" s="19" t="s">
        <v>2955</v>
      </c>
      <c r="N27" s="17" t="s">
        <v>1819</v>
      </c>
      <c r="O27" s="17" t="s">
        <v>29868</v>
      </c>
      <c r="P27" s="17" t="str">
        <f>HYPERLINK("https://photon-sol.tinyastro.io/en/lp/6PMCGMvp5esDTcc2kvZwfKLKpiDsAjwJBWwXv8CMpump?handle=676050794bc1b1657a56b", "View")</f>
        <v>View</v>
      </c>
    </row>
    <row r="28" spans="1:16" x14ac:dyDescent="0.25">
      <c r="A28" s="13" t="s">
        <v>27238</v>
      </c>
      <c r="B28" s="14">
        <v>6793088</v>
      </c>
      <c r="C28" s="14">
        <v>6793088</v>
      </c>
      <c r="D28" s="14" t="s">
        <v>14207</v>
      </c>
      <c r="E28" s="14" t="s">
        <v>27546</v>
      </c>
      <c r="F28" s="14" t="s">
        <v>29869</v>
      </c>
      <c r="G28" s="21" t="s">
        <v>29870</v>
      </c>
      <c r="H28" s="21" t="s">
        <v>29871</v>
      </c>
      <c r="I28" s="14" t="s">
        <v>88</v>
      </c>
      <c r="J28" s="14">
        <v>1</v>
      </c>
      <c r="K28" s="14">
        <v>1</v>
      </c>
      <c r="L28" s="14" t="s">
        <v>29872</v>
      </c>
      <c r="M28" s="19" t="s">
        <v>2993</v>
      </c>
      <c r="N28" s="14" t="s">
        <v>29873</v>
      </c>
      <c r="O28" s="14" t="s">
        <v>27241</v>
      </c>
      <c r="P28" s="14" t="str">
        <f>HYPERLINK("https://dexscreener.com/solana/43m2NMQXobysHVjtSAL7x8sBcyxLrZW7tUr3YXf7pump", "View")</f>
        <v>View</v>
      </c>
    </row>
    <row r="29" spans="1:16" x14ac:dyDescent="0.25">
      <c r="A29" s="16" t="s">
        <v>29874</v>
      </c>
      <c r="B29" s="17">
        <v>91674997</v>
      </c>
      <c r="C29" s="17">
        <v>91674997</v>
      </c>
      <c r="D29" s="17" t="s">
        <v>14207</v>
      </c>
      <c r="E29" s="17" t="s">
        <v>29875</v>
      </c>
      <c r="F29" s="17" t="s">
        <v>29876</v>
      </c>
      <c r="G29" s="21" t="s">
        <v>29877</v>
      </c>
      <c r="H29" s="21" t="s">
        <v>29878</v>
      </c>
      <c r="I29" s="17" t="s">
        <v>88</v>
      </c>
      <c r="J29" s="17">
        <v>1</v>
      </c>
      <c r="K29" s="17">
        <v>1</v>
      </c>
      <c r="L29" s="17" t="s">
        <v>29879</v>
      </c>
      <c r="M29" s="19" t="s">
        <v>3069</v>
      </c>
      <c r="N29" s="17" t="s">
        <v>3197</v>
      </c>
      <c r="O29" s="17" t="s">
        <v>29880</v>
      </c>
      <c r="P29" s="17" t="str">
        <f>HYPERLINK("https://photon-sol.tinyastro.io/en/lp/xSq3fM5bHdsGdYsDtJgkJQdHyWbjzmorNo8E8fjpump?handle=676050794bc1b1657a56b", "View")</f>
        <v>View</v>
      </c>
    </row>
    <row r="30" spans="1:16" x14ac:dyDescent="0.25">
      <c r="A30" s="13" t="s">
        <v>25029</v>
      </c>
      <c r="B30" s="14">
        <v>14653283</v>
      </c>
      <c r="C30" s="14">
        <v>14653283</v>
      </c>
      <c r="D30" s="14" t="s">
        <v>14207</v>
      </c>
      <c r="E30" s="14" t="s">
        <v>29881</v>
      </c>
      <c r="F30" s="14" t="s">
        <v>15625</v>
      </c>
      <c r="G30" s="22" t="s">
        <v>16479</v>
      </c>
      <c r="H30" s="22" t="s">
        <v>29882</v>
      </c>
      <c r="I30" s="14" t="s">
        <v>88</v>
      </c>
      <c r="J30" s="14">
        <v>1</v>
      </c>
      <c r="K30" s="14">
        <v>1</v>
      </c>
      <c r="L30" s="14" t="s">
        <v>29883</v>
      </c>
      <c r="M30" s="19" t="s">
        <v>2993</v>
      </c>
      <c r="N30" s="14" t="s">
        <v>29884</v>
      </c>
      <c r="O30" s="14" t="s">
        <v>25034</v>
      </c>
      <c r="P30" s="14" t="str">
        <f>HYPERLINK("https://photon-sol.tinyastro.io/en/lp/D8xDLMFNyf3ZGSh9JLCwvQfwhASG6Tmycen3ZNNEBULA?handle=676050794bc1b1657a56b", "View")</f>
        <v>View</v>
      </c>
    </row>
    <row r="31" spans="1:16" x14ac:dyDescent="0.25">
      <c r="A31" s="16" t="s">
        <v>29885</v>
      </c>
      <c r="B31" s="17">
        <v>62808676</v>
      </c>
      <c r="C31" s="17">
        <v>62808676</v>
      </c>
      <c r="D31" s="17" t="s">
        <v>14207</v>
      </c>
      <c r="E31" s="17" t="s">
        <v>29886</v>
      </c>
      <c r="F31" s="17" t="s">
        <v>29887</v>
      </c>
      <c r="G31" s="21" t="s">
        <v>29888</v>
      </c>
      <c r="H31" s="21" t="s">
        <v>29889</v>
      </c>
      <c r="I31" s="17" t="s">
        <v>88</v>
      </c>
      <c r="J31" s="17">
        <v>1</v>
      </c>
      <c r="K31" s="17">
        <v>1</v>
      </c>
      <c r="L31" s="17" t="s">
        <v>29890</v>
      </c>
      <c r="M31" s="19" t="s">
        <v>2937</v>
      </c>
      <c r="N31" s="17" t="s">
        <v>29891</v>
      </c>
      <c r="O31" s="17" t="s">
        <v>29892</v>
      </c>
      <c r="P31" s="17" t="str">
        <f>HYPERLINK("https://photon-sol.tinyastro.io/en/lp/BYoJv3HvxvqonFvDkQDW9CGdey2EFVdnyj3J8jq2pump?handle=676050794bc1b1657a56b", "View")</f>
        <v>View</v>
      </c>
    </row>
    <row r="32" spans="1:16" x14ac:dyDescent="0.25">
      <c r="A32" s="13" t="s">
        <v>10074</v>
      </c>
      <c r="B32" s="14">
        <v>221393</v>
      </c>
      <c r="C32" s="14">
        <v>221393</v>
      </c>
      <c r="D32" s="14" t="s">
        <v>14207</v>
      </c>
      <c r="E32" s="14" t="s">
        <v>4342</v>
      </c>
      <c r="F32" s="14" t="s">
        <v>29893</v>
      </c>
      <c r="G32" s="22" t="s">
        <v>29894</v>
      </c>
      <c r="H32" s="22" t="s">
        <v>29895</v>
      </c>
      <c r="I32" s="14" t="s">
        <v>88</v>
      </c>
      <c r="J32" s="14">
        <v>1</v>
      </c>
      <c r="K32" s="14">
        <v>1</v>
      </c>
      <c r="L32" s="14" t="s">
        <v>29896</v>
      </c>
      <c r="M32" s="19" t="s">
        <v>1849</v>
      </c>
      <c r="N32" s="14" t="s">
        <v>29897</v>
      </c>
      <c r="O32" s="14" t="s">
        <v>10080</v>
      </c>
      <c r="P32" s="14" t="str">
        <f>HYPERLINK("https://dexscreener.com/solana/H6QvmSwAEfpG2r7K7PJK7yCM2b42oWnWte7jZP6cpump", "View")</f>
        <v>View</v>
      </c>
    </row>
    <row r="33" spans="1:16" x14ac:dyDescent="0.25">
      <c r="A33" s="16" t="s">
        <v>558</v>
      </c>
      <c r="B33" s="17">
        <v>235563</v>
      </c>
      <c r="C33" s="17">
        <v>235563</v>
      </c>
      <c r="D33" s="17" t="s">
        <v>14207</v>
      </c>
      <c r="E33" s="17" t="s">
        <v>29898</v>
      </c>
      <c r="F33" s="17" t="s">
        <v>22598</v>
      </c>
      <c r="G33" s="20" t="s">
        <v>13284</v>
      </c>
      <c r="H33" s="20" t="s">
        <v>29899</v>
      </c>
      <c r="I33" s="17" t="s">
        <v>88</v>
      </c>
      <c r="J33" s="17">
        <v>1</v>
      </c>
      <c r="K33" s="17">
        <v>1</v>
      </c>
      <c r="L33" s="17" t="s">
        <v>29900</v>
      </c>
      <c r="M33" s="19" t="s">
        <v>2853</v>
      </c>
      <c r="N33" s="17" t="s">
        <v>25063</v>
      </c>
      <c r="O33" s="17" t="s">
        <v>25064</v>
      </c>
      <c r="P33" s="17" t="str">
        <f>HYPERLINK("https://dexscreener.com/solana/451zhKaaoX9jt68s5rWpmSKp8uKSu9LZwNmsj5XLpump", "View")</f>
        <v>View</v>
      </c>
    </row>
    <row r="34" spans="1:16" x14ac:dyDescent="0.25">
      <c r="A34" s="13" t="s">
        <v>7942</v>
      </c>
      <c r="B34" s="14">
        <v>5131149</v>
      </c>
      <c r="C34" s="14">
        <v>5131149</v>
      </c>
      <c r="D34" s="14" t="s">
        <v>14207</v>
      </c>
      <c r="E34" s="14" t="s">
        <v>19123</v>
      </c>
      <c r="F34" s="14" t="s">
        <v>29901</v>
      </c>
      <c r="G34" s="20" t="s">
        <v>14418</v>
      </c>
      <c r="H34" s="20" t="s">
        <v>29902</v>
      </c>
      <c r="I34" s="14" t="s">
        <v>88</v>
      </c>
      <c r="J34" s="14">
        <v>1</v>
      </c>
      <c r="K34" s="14">
        <v>1</v>
      </c>
      <c r="L34" s="14" t="s">
        <v>29903</v>
      </c>
      <c r="M34" s="19" t="s">
        <v>2955</v>
      </c>
      <c r="N34" s="14" t="s">
        <v>29904</v>
      </c>
      <c r="O34" s="14" t="s">
        <v>7946</v>
      </c>
      <c r="P34" s="14" t="str">
        <f>HYPERLINK("https://dexscreener.com/solana/ARygRrYJhXq7srvGyNV5ZKqH3VK3Yybce2Z6nreBpump", "View")</f>
        <v>View</v>
      </c>
    </row>
    <row r="35" spans="1:16" x14ac:dyDescent="0.25">
      <c r="A35" s="16" t="s">
        <v>15071</v>
      </c>
      <c r="B35" s="17">
        <v>5084</v>
      </c>
      <c r="C35" s="17">
        <v>5084</v>
      </c>
      <c r="D35" s="17" t="s">
        <v>14207</v>
      </c>
      <c r="E35" s="17" t="s">
        <v>29905</v>
      </c>
      <c r="F35" s="17" t="s">
        <v>29906</v>
      </c>
      <c r="G35" s="20" t="s">
        <v>5614</v>
      </c>
      <c r="H35" s="20" t="s">
        <v>29907</v>
      </c>
      <c r="I35" s="17" t="s">
        <v>88</v>
      </c>
      <c r="J35" s="17">
        <v>1</v>
      </c>
      <c r="K35" s="17">
        <v>1</v>
      </c>
      <c r="L35" s="17" t="s">
        <v>29908</v>
      </c>
      <c r="M35" s="19" t="s">
        <v>2525</v>
      </c>
      <c r="N35" s="17" t="s">
        <v>29909</v>
      </c>
      <c r="O35" s="17" t="s">
        <v>15079</v>
      </c>
      <c r="P35" s="17" t="str">
        <f>HYPERLINK("https://dexscreener.com/solana/HeJUFDxfJSzYFUuHLxkMqCgytU31G6mjP4wKviwqpump", "View")</f>
        <v>View</v>
      </c>
    </row>
    <row r="36" spans="1:16" x14ac:dyDescent="0.25">
      <c r="A36" s="13" t="s">
        <v>22794</v>
      </c>
      <c r="B36" s="14">
        <v>14005446</v>
      </c>
      <c r="C36" s="14">
        <v>14005446</v>
      </c>
      <c r="D36" s="14" t="s">
        <v>14207</v>
      </c>
      <c r="E36" s="14" t="s">
        <v>29910</v>
      </c>
      <c r="F36" s="14" t="s">
        <v>29911</v>
      </c>
      <c r="G36" s="21" t="s">
        <v>8951</v>
      </c>
      <c r="H36" s="21" t="s">
        <v>29912</v>
      </c>
      <c r="I36" s="14" t="s">
        <v>88</v>
      </c>
      <c r="J36" s="14">
        <v>1</v>
      </c>
      <c r="K36" s="14">
        <v>1</v>
      </c>
      <c r="L36" s="14" t="s">
        <v>29913</v>
      </c>
      <c r="M36" s="19" t="s">
        <v>2379</v>
      </c>
      <c r="N36" s="14" t="s">
        <v>29914</v>
      </c>
      <c r="O36" s="14" t="s">
        <v>22798</v>
      </c>
      <c r="P36" s="14" t="str">
        <f>HYPERLINK("https://dexscreener.com/solana/5ExkyeCgCu2Hrmq3cnwA9rtfVTajxVLofirykpqSpump", "View")</f>
        <v>View</v>
      </c>
    </row>
    <row r="37" spans="1:16" x14ac:dyDescent="0.25">
      <c r="A37" s="16" t="s">
        <v>29915</v>
      </c>
      <c r="B37" s="17">
        <v>39773015</v>
      </c>
      <c r="C37" s="17">
        <v>39773015</v>
      </c>
      <c r="D37" s="17" t="s">
        <v>14207</v>
      </c>
      <c r="E37" s="17" t="s">
        <v>29916</v>
      </c>
      <c r="F37" s="17" t="s">
        <v>9160</v>
      </c>
      <c r="G37" s="22" t="s">
        <v>29480</v>
      </c>
      <c r="H37" s="22" t="s">
        <v>29917</v>
      </c>
      <c r="I37" s="17" t="s">
        <v>88</v>
      </c>
      <c r="J37" s="17">
        <v>1</v>
      </c>
      <c r="K37" s="17">
        <v>1</v>
      </c>
      <c r="L37" s="17" t="s">
        <v>29918</v>
      </c>
      <c r="M37" s="19" t="s">
        <v>1827</v>
      </c>
      <c r="N37" s="17" t="s">
        <v>23236</v>
      </c>
      <c r="O37" s="17" t="s">
        <v>29919</v>
      </c>
      <c r="P37" s="17" t="str">
        <f>HYPERLINK("https://photon-sol.tinyastro.io/en/lp/CDacJQZDQuRLV8xyugT79Utt76d2DTypUxCAcdp2pump?handle=676050794bc1b1657a56b", "View")</f>
        <v>View</v>
      </c>
    </row>
    <row r="38" spans="1:16" x14ac:dyDescent="0.25">
      <c r="A38" s="13" t="s">
        <v>29920</v>
      </c>
      <c r="B38" s="14">
        <v>6577059</v>
      </c>
      <c r="C38" s="14">
        <v>6577059</v>
      </c>
      <c r="D38" s="14" t="s">
        <v>14207</v>
      </c>
      <c r="E38" s="14" t="s">
        <v>29921</v>
      </c>
      <c r="F38" s="14" t="s">
        <v>29922</v>
      </c>
      <c r="G38" s="22" t="s">
        <v>4020</v>
      </c>
      <c r="H38" s="22" t="s">
        <v>29437</v>
      </c>
      <c r="I38" s="14" t="s">
        <v>88</v>
      </c>
      <c r="J38" s="14">
        <v>1</v>
      </c>
      <c r="K38" s="14">
        <v>1</v>
      </c>
      <c r="L38" s="14" t="s">
        <v>29923</v>
      </c>
      <c r="M38" s="19" t="s">
        <v>2993</v>
      </c>
      <c r="N38" s="14" t="s">
        <v>29924</v>
      </c>
      <c r="O38" s="14" t="s">
        <v>29925</v>
      </c>
      <c r="P38" s="14" t="str">
        <f>HYPERLINK("https://dexscreener.com/solana/Dkbq6yYX7mQHwv6FTSXY891xsNkBQmSHgNiUyzuq2Qp7", "View")</f>
        <v>View</v>
      </c>
    </row>
    <row r="39" spans="1:16" x14ac:dyDescent="0.25">
      <c r="A39" s="16" t="s">
        <v>29926</v>
      </c>
      <c r="B39" s="17">
        <v>15916469</v>
      </c>
      <c r="C39" s="17">
        <v>15916469</v>
      </c>
      <c r="D39" s="17" t="s">
        <v>14435</v>
      </c>
      <c r="E39" s="17" t="s">
        <v>7034</v>
      </c>
      <c r="F39" s="17" t="s">
        <v>29927</v>
      </c>
      <c r="G39" s="21" t="s">
        <v>29928</v>
      </c>
      <c r="H39" s="21" t="s">
        <v>29929</v>
      </c>
      <c r="I39" s="17" t="s">
        <v>88</v>
      </c>
      <c r="J39" s="17">
        <v>1</v>
      </c>
      <c r="K39" s="17">
        <v>5</v>
      </c>
      <c r="L39" s="17" t="s">
        <v>29930</v>
      </c>
      <c r="M39" s="17" t="s">
        <v>1566</v>
      </c>
      <c r="N39" s="17" t="s">
        <v>29931</v>
      </c>
      <c r="O39" s="17" t="s">
        <v>29932</v>
      </c>
      <c r="P39" s="17" t="str">
        <f>HYPERLINK("https://photon-sol.tinyastro.io/en/lp/8z7CWj4uc8GcCo9WoznGvU9m24d6SSTtMdr3buQ4pump?handle=676050794bc1b1657a56b", "View")</f>
        <v>View</v>
      </c>
    </row>
    <row r="40" spans="1:16" x14ac:dyDescent="0.25">
      <c r="A40" s="13" t="s">
        <v>29933</v>
      </c>
      <c r="B40" s="14">
        <v>19565711</v>
      </c>
      <c r="C40" s="14">
        <v>19565711</v>
      </c>
      <c r="D40" s="14" t="s">
        <v>14207</v>
      </c>
      <c r="E40" s="14" t="s">
        <v>12862</v>
      </c>
      <c r="F40" s="14" t="s">
        <v>1423</v>
      </c>
      <c r="G40" s="21" t="s">
        <v>13413</v>
      </c>
      <c r="H40" s="21" t="s">
        <v>29934</v>
      </c>
      <c r="I40" s="14" t="s">
        <v>88</v>
      </c>
      <c r="J40" s="14">
        <v>1</v>
      </c>
      <c r="K40" s="14">
        <v>1</v>
      </c>
      <c r="L40" s="14" t="s">
        <v>29935</v>
      </c>
      <c r="M40" s="19" t="s">
        <v>3000</v>
      </c>
      <c r="N40" s="14" t="s">
        <v>29936</v>
      </c>
      <c r="O40" s="14" t="s">
        <v>29937</v>
      </c>
      <c r="P40" s="14" t="str">
        <f>HYPERLINK("https://dexscreener.com/solana/558hASfoVRYZz3KzCYeNTqodfdLhxFQMEn49Yh38pump", "View")</f>
        <v>View</v>
      </c>
    </row>
    <row r="41" spans="1:16" x14ac:dyDescent="0.25">
      <c r="A41" s="16" t="s">
        <v>22413</v>
      </c>
      <c r="B41" s="17">
        <v>32630342</v>
      </c>
      <c r="C41" s="17">
        <v>32630342</v>
      </c>
      <c r="D41" s="17" t="s">
        <v>14207</v>
      </c>
      <c r="E41" s="17" t="s">
        <v>7943</v>
      </c>
      <c r="F41" s="17" t="s">
        <v>22230</v>
      </c>
      <c r="G41" s="22" t="s">
        <v>4687</v>
      </c>
      <c r="H41" s="22" t="s">
        <v>6779</v>
      </c>
      <c r="I41" s="17" t="s">
        <v>88</v>
      </c>
      <c r="J41" s="17">
        <v>1</v>
      </c>
      <c r="K41" s="17">
        <v>1</v>
      </c>
      <c r="L41" s="17" t="s">
        <v>29938</v>
      </c>
      <c r="M41" s="19" t="s">
        <v>2993</v>
      </c>
      <c r="N41" s="17" t="s">
        <v>23322</v>
      </c>
      <c r="O41" s="17" t="s">
        <v>29939</v>
      </c>
      <c r="P41" s="17" t="str">
        <f>HYPERLINK("https://photon-sol.tinyastro.io/en/lp/H1ApzvQ8zDU6s8R3JKnPRb1nMHZDyrMtECzMA8U4pump?handle=676050794bc1b1657a56b", "View")</f>
        <v>View</v>
      </c>
    </row>
    <row r="42" spans="1:16" x14ac:dyDescent="0.25">
      <c r="A42" s="13" t="s">
        <v>29940</v>
      </c>
      <c r="B42" s="14">
        <v>31934532</v>
      </c>
      <c r="C42" s="14">
        <v>31934532</v>
      </c>
      <c r="D42" s="14" t="s">
        <v>14207</v>
      </c>
      <c r="E42" s="14" t="s">
        <v>29941</v>
      </c>
      <c r="F42" s="14" t="s">
        <v>29942</v>
      </c>
      <c r="G42" s="22" t="s">
        <v>27934</v>
      </c>
      <c r="H42" s="22" t="s">
        <v>29943</v>
      </c>
      <c r="I42" s="14" t="s">
        <v>88</v>
      </c>
      <c r="J42" s="14">
        <v>1</v>
      </c>
      <c r="K42" s="14">
        <v>1</v>
      </c>
      <c r="L42" s="14" t="s">
        <v>29944</v>
      </c>
      <c r="M42" s="19" t="s">
        <v>2955</v>
      </c>
      <c r="N42" s="14" t="s">
        <v>29945</v>
      </c>
      <c r="O42" s="14" t="s">
        <v>29946</v>
      </c>
      <c r="P42" s="14" t="str">
        <f>HYPERLINK("https://photon-sol.tinyastro.io/en/lp/CHZyQWifZt5ypEiDAJ5Je7HP4DLVLDPardqkF48Zpump?handle=676050794bc1b1657a56b", "View")</f>
        <v>View</v>
      </c>
    </row>
    <row r="43" spans="1:16" x14ac:dyDescent="0.25">
      <c r="A43" s="16" t="s">
        <v>29947</v>
      </c>
      <c r="B43" s="17">
        <v>1338196</v>
      </c>
      <c r="C43" s="17">
        <v>1338196</v>
      </c>
      <c r="D43" s="17" t="s">
        <v>14207</v>
      </c>
      <c r="E43" s="17" t="s">
        <v>29948</v>
      </c>
      <c r="F43" s="17" t="s">
        <v>29949</v>
      </c>
      <c r="G43" s="22" t="s">
        <v>9656</v>
      </c>
      <c r="H43" s="22" t="s">
        <v>29950</v>
      </c>
      <c r="I43" s="17" t="s">
        <v>88</v>
      </c>
      <c r="J43" s="17">
        <v>1</v>
      </c>
      <c r="K43" s="17">
        <v>1</v>
      </c>
      <c r="L43" s="17" t="s">
        <v>29951</v>
      </c>
      <c r="M43" s="19" t="s">
        <v>2955</v>
      </c>
      <c r="N43" s="17" t="s">
        <v>29952</v>
      </c>
      <c r="O43" s="17" t="s">
        <v>29953</v>
      </c>
      <c r="P43" s="17" t="str">
        <f>HYPERLINK("https://dexscreener.com/solana/9vqsBhx1jPoKokZfCY8JMU7ob5ZFm7XtkwY3T2hapump", "View")</f>
        <v>View</v>
      </c>
    </row>
    <row r="44" spans="1:16" x14ac:dyDescent="0.25">
      <c r="A44" s="13" t="s">
        <v>7935</v>
      </c>
      <c r="B44" s="14">
        <v>34733560</v>
      </c>
      <c r="C44" s="14">
        <v>34733560</v>
      </c>
      <c r="D44" s="14" t="s">
        <v>14207</v>
      </c>
      <c r="E44" s="14" t="s">
        <v>29954</v>
      </c>
      <c r="F44" s="14" t="s">
        <v>20976</v>
      </c>
      <c r="G44" s="21" t="s">
        <v>29955</v>
      </c>
      <c r="H44" s="21" t="s">
        <v>29956</v>
      </c>
      <c r="I44" s="14" t="s">
        <v>88</v>
      </c>
      <c r="J44" s="14">
        <v>1</v>
      </c>
      <c r="K44" s="14">
        <v>1</v>
      </c>
      <c r="L44" s="14" t="s">
        <v>29957</v>
      </c>
      <c r="M44" s="19" t="s">
        <v>2955</v>
      </c>
      <c r="N44" s="14" t="s">
        <v>29958</v>
      </c>
      <c r="O44" s="14" t="s">
        <v>19910</v>
      </c>
      <c r="P44" s="14" t="str">
        <f>HYPERLINK("https://dexscreener.com/solana/BjNjvabyz9N3qa5KFScViafHXzYytJF6eA3HRsSRpump", "View")</f>
        <v>View</v>
      </c>
    </row>
    <row r="45" spans="1:16" x14ac:dyDescent="0.25">
      <c r="A45" s="16" t="s">
        <v>7265</v>
      </c>
      <c r="B45" s="17">
        <v>5443800</v>
      </c>
      <c r="C45" s="17">
        <v>5443800</v>
      </c>
      <c r="D45" s="17" t="s">
        <v>14207</v>
      </c>
      <c r="E45" s="17" t="s">
        <v>11086</v>
      </c>
      <c r="F45" s="17" t="s">
        <v>29959</v>
      </c>
      <c r="G45" s="22" t="s">
        <v>29960</v>
      </c>
      <c r="H45" s="22" t="s">
        <v>29961</v>
      </c>
      <c r="I45" s="17" t="s">
        <v>88</v>
      </c>
      <c r="J45" s="17">
        <v>1</v>
      </c>
      <c r="K45" s="17">
        <v>1</v>
      </c>
      <c r="L45" s="17" t="s">
        <v>29962</v>
      </c>
      <c r="M45" s="19" t="s">
        <v>3076</v>
      </c>
      <c r="N45" s="17" t="s">
        <v>29963</v>
      </c>
      <c r="O45" s="17" t="s">
        <v>7272</v>
      </c>
      <c r="P45" s="17" t="str">
        <f>HYPERLINK("https://dexscreener.com/solana/2Bvd4cNBFfmvEMGDz9bW2NrCaFpyAFEh4HGmMrm5pump", "View")</f>
        <v>View</v>
      </c>
    </row>
    <row r="46" spans="1:16" x14ac:dyDescent="0.25">
      <c r="A46" s="13" t="s">
        <v>3851</v>
      </c>
      <c r="B46" s="14">
        <v>54604582</v>
      </c>
      <c r="C46" s="14">
        <v>54604582</v>
      </c>
      <c r="D46" s="14" t="s">
        <v>14207</v>
      </c>
      <c r="E46" s="14" t="s">
        <v>29964</v>
      </c>
      <c r="F46" s="14" t="s">
        <v>29253</v>
      </c>
      <c r="G46" s="22" t="s">
        <v>12602</v>
      </c>
      <c r="H46" s="22" t="s">
        <v>29965</v>
      </c>
      <c r="I46" s="14" t="s">
        <v>88</v>
      </c>
      <c r="J46" s="14">
        <v>1</v>
      </c>
      <c r="K46" s="14">
        <v>1</v>
      </c>
      <c r="L46" s="14" t="s">
        <v>29966</v>
      </c>
      <c r="M46" s="19" t="s">
        <v>2955</v>
      </c>
      <c r="N46" s="14" t="s">
        <v>8275</v>
      </c>
      <c r="O46" s="14" t="s">
        <v>29967</v>
      </c>
      <c r="P46" s="14" t="str">
        <f>HYPERLINK("https://photon-sol.tinyastro.io/en/lp/C6GFrzeEbZppNqD85vYJhiNfBFFtWrLTDw1ZQq5opump?handle=676050794bc1b1657a56b", "View")</f>
        <v>View</v>
      </c>
    </row>
    <row r="47" spans="1:16" x14ac:dyDescent="0.25">
      <c r="A47" s="16" t="s">
        <v>716</v>
      </c>
      <c r="B47" s="17">
        <v>175348</v>
      </c>
      <c r="C47" s="17">
        <v>175348</v>
      </c>
      <c r="D47" s="17" t="s">
        <v>14207</v>
      </c>
      <c r="E47" s="17" t="s">
        <v>2505</v>
      </c>
      <c r="F47" s="17" t="s">
        <v>9449</v>
      </c>
      <c r="G47" s="20" t="s">
        <v>22563</v>
      </c>
      <c r="H47" s="20" t="s">
        <v>7839</v>
      </c>
      <c r="I47" s="17" t="s">
        <v>88</v>
      </c>
      <c r="J47" s="17">
        <v>1</v>
      </c>
      <c r="K47" s="17">
        <v>1</v>
      </c>
      <c r="L47" s="17" t="s">
        <v>29968</v>
      </c>
      <c r="M47" s="19" t="s">
        <v>3076</v>
      </c>
      <c r="N47" s="17" t="s">
        <v>29969</v>
      </c>
      <c r="O47" s="17" t="s">
        <v>723</v>
      </c>
      <c r="P47" s="17" t="str">
        <f>HYPERLINK("https://dexscreener.com/solana/8QLTsTnPN4XxTP4ZU7osE4j5XpTmJWRDNQmjLzncpump", "View")</f>
        <v>View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1AA7-7747-456D-9FD9-E1BAB23BF64E}">
  <dimension ref="A1:P2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HYPERLINK("https://gmgn.ai/sol/address/DAvFwQyaHCUhnVKWgykeB1aJeCX2JeRRMZebqmiozpWx", "GMGN")</f>
        <v>GMGN</v>
      </c>
    </row>
    <row r="2" spans="1:14" x14ac:dyDescent="0.25">
      <c r="A2" s="3" t="s">
        <v>29970</v>
      </c>
      <c r="B2" s="3" t="s">
        <v>29971</v>
      </c>
      <c r="C2" s="3" t="s">
        <v>18117</v>
      </c>
      <c r="D2" s="3" t="s">
        <v>29972</v>
      </c>
      <c r="E2" s="3" t="s">
        <v>29973</v>
      </c>
      <c r="F2" s="3" t="s">
        <v>29974</v>
      </c>
      <c r="G2" s="3" t="s">
        <v>18</v>
      </c>
      <c r="H2" s="3">
        <v>5</v>
      </c>
      <c r="I2" s="3">
        <v>0</v>
      </c>
      <c r="J2" s="3" t="s">
        <v>240</v>
      </c>
      <c r="K2" s="3" t="s">
        <v>2047</v>
      </c>
      <c r="L2" s="3">
        <v>3</v>
      </c>
      <c r="M2" s="3">
        <v>31</v>
      </c>
      <c r="N2" s="3" t="str">
        <f>HYPERLINK("https://solscan.io/account/DAvFwQyaHCUhnVKWgykeB1aJeCX2JeRRMZebqmiozpWx", "Solscan")</f>
        <v>Solscan</v>
      </c>
    </row>
    <row r="3" spans="1:14" x14ac:dyDescent="0.25">
      <c r="A3" s="1" t="s">
        <v>21</v>
      </c>
      <c r="B3" s="23" t="s">
        <v>29975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HYPERLINK("https://birdeye.so/profile/DAvFwQyaHCUhnVKWgykeB1aJeCX2JeRRMZebqmiozpWx", "Birdeye")</f>
        <v>Birdeye</v>
      </c>
    </row>
    <row r="4" spans="1:14" x14ac:dyDescent="0.25">
      <c r="A4" s="1" t="s">
        <v>25</v>
      </c>
      <c r="B4" s="23" t="s">
        <v>15652</v>
      </c>
      <c r="C4" s="3"/>
      <c r="D4" s="3" t="s">
        <v>29976</v>
      </c>
      <c r="E4" s="3" t="s">
        <v>29977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29978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8327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0</v>
      </c>
      <c r="C10" s="1">
        <v>2</v>
      </c>
      <c r="D10" s="1">
        <v>1</v>
      </c>
      <c r="E10" s="1">
        <v>1</v>
      </c>
      <c r="F10" s="1">
        <v>0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1779</v>
      </c>
      <c r="C11" s="1" t="s">
        <v>27327</v>
      </c>
      <c r="D11" s="1" t="s">
        <v>21196</v>
      </c>
      <c r="E11" s="1" t="s">
        <v>21196</v>
      </c>
      <c r="F11" s="1" t="s">
        <v>1779</v>
      </c>
      <c r="G11" s="1" t="s">
        <v>21196</v>
      </c>
      <c r="H11" s="3"/>
      <c r="I11" s="3" t="s">
        <v>50</v>
      </c>
      <c r="J11" s="3" t="s">
        <v>1570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1786</v>
      </c>
      <c r="C12" s="1" t="s">
        <v>29979</v>
      </c>
      <c r="D12" s="1" t="s">
        <v>29980</v>
      </c>
      <c r="E12" s="1" t="s">
        <v>4278</v>
      </c>
      <c r="F12" s="1" t="s">
        <v>1786</v>
      </c>
      <c r="G12" s="1" t="s">
        <v>29981</v>
      </c>
      <c r="H12" s="3"/>
      <c r="I12" s="3" t="s">
        <v>59</v>
      </c>
      <c r="J12" s="3" t="s">
        <v>8326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29982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26733</v>
      </c>
      <c r="B20" s="14">
        <v>44387448</v>
      </c>
      <c r="C20" s="14">
        <v>44387447</v>
      </c>
      <c r="D20" s="14" t="s">
        <v>15855</v>
      </c>
      <c r="E20" s="14" t="s">
        <v>17932</v>
      </c>
      <c r="F20" s="14" t="s">
        <v>29983</v>
      </c>
      <c r="G20" s="21" t="s">
        <v>8856</v>
      </c>
      <c r="H20" s="21" t="s">
        <v>29984</v>
      </c>
      <c r="I20" s="14" t="s">
        <v>88</v>
      </c>
      <c r="J20" s="14">
        <v>1</v>
      </c>
      <c r="K20" s="14">
        <v>1</v>
      </c>
      <c r="L20" s="14" t="s">
        <v>29985</v>
      </c>
      <c r="M20" s="19" t="s">
        <v>2292</v>
      </c>
      <c r="N20" s="14" t="s">
        <v>29986</v>
      </c>
      <c r="O20" s="14" t="s">
        <v>26737</v>
      </c>
      <c r="P20" s="14" t="str">
        <f>HYPERLINK("https://photon-sol.tinyastro.io/en/lp/B8V1VEFZp1GHTGM4D8zJTFWM8g6mofJRrK2JSUZepump?handle=676050794bc1b1657a56b", "View")</f>
        <v>View</v>
      </c>
    </row>
    <row r="21" spans="1:16" x14ac:dyDescent="0.25">
      <c r="A21" s="16" t="s">
        <v>29987</v>
      </c>
      <c r="B21" s="17">
        <v>19951714</v>
      </c>
      <c r="C21" s="17">
        <v>0</v>
      </c>
      <c r="D21" s="17" t="s">
        <v>883</v>
      </c>
      <c r="E21" s="17" t="s">
        <v>29988</v>
      </c>
      <c r="F21" s="17" t="s">
        <v>96</v>
      </c>
      <c r="G21" s="18" t="s">
        <v>29989</v>
      </c>
      <c r="H21" s="18" t="s">
        <v>98</v>
      </c>
      <c r="I21" s="17" t="s">
        <v>29990</v>
      </c>
      <c r="J21" s="17">
        <v>1</v>
      </c>
      <c r="K21" s="17">
        <v>0</v>
      </c>
      <c r="L21" s="17" t="s">
        <v>29991</v>
      </c>
      <c r="M21" s="19" t="s">
        <v>101</v>
      </c>
      <c r="N21" s="17" t="s">
        <v>29992</v>
      </c>
      <c r="O21" s="17" t="s">
        <v>29993</v>
      </c>
      <c r="P21" s="17" t="str">
        <f>HYPERLINK("https://photon-sol.tinyastro.io/en/lp/31i89o54vwDmsFTGuTVUcgkRntiJfz9znRnyG7P3pump?handle=676050794bc1b1657a56b", "View")</f>
        <v>View</v>
      </c>
    </row>
    <row r="22" spans="1:16" x14ac:dyDescent="0.25">
      <c r="A22" s="13" t="s">
        <v>1803</v>
      </c>
      <c r="B22" s="14">
        <v>8665223</v>
      </c>
      <c r="C22" s="14">
        <v>8665223</v>
      </c>
      <c r="D22" s="14" t="s">
        <v>10987</v>
      </c>
      <c r="E22" s="14" t="s">
        <v>340</v>
      </c>
      <c r="F22" s="14" t="s">
        <v>29994</v>
      </c>
      <c r="G22" s="21" t="s">
        <v>29911</v>
      </c>
      <c r="H22" s="21" t="s">
        <v>29975</v>
      </c>
      <c r="I22" s="14" t="s">
        <v>88</v>
      </c>
      <c r="J22" s="14">
        <v>1</v>
      </c>
      <c r="K22" s="14">
        <v>2</v>
      </c>
      <c r="L22" s="14" t="s">
        <v>29995</v>
      </c>
      <c r="M22" s="14" t="s">
        <v>2047</v>
      </c>
      <c r="N22" s="14" t="s">
        <v>29996</v>
      </c>
      <c r="O22" s="14" t="s">
        <v>1811</v>
      </c>
      <c r="P22" s="14" t="str">
        <f>HYPERLINK("https://dexscreener.com/solana/GxQoXUBMwPbJm46vcWV59in6QAzGDufYug6D56Jopump", "View")</f>
        <v>View</v>
      </c>
    </row>
    <row r="23" spans="1:16" x14ac:dyDescent="0.25">
      <c r="A23" s="16" t="s">
        <v>732</v>
      </c>
      <c r="B23" s="17">
        <v>2328797</v>
      </c>
      <c r="C23" s="17">
        <v>1348194</v>
      </c>
      <c r="D23" s="17" t="s">
        <v>29997</v>
      </c>
      <c r="E23" s="17" t="s">
        <v>174</v>
      </c>
      <c r="F23" s="17" t="s">
        <v>29998</v>
      </c>
      <c r="G23" s="21" t="s">
        <v>29999</v>
      </c>
      <c r="H23" s="21" t="s">
        <v>30000</v>
      </c>
      <c r="I23" s="17" t="s">
        <v>88</v>
      </c>
      <c r="J23" s="17">
        <v>2</v>
      </c>
      <c r="K23" s="17">
        <v>4</v>
      </c>
      <c r="L23" s="17" t="s">
        <v>30001</v>
      </c>
      <c r="M23" s="17" t="s">
        <v>231</v>
      </c>
      <c r="N23" s="17" t="s">
        <v>30002</v>
      </c>
      <c r="O23" s="17" t="s">
        <v>739</v>
      </c>
      <c r="P23" s="17" t="str">
        <f>HYPERLINK("https://dexscreener.com/solana/39qibQxVzemuZTEvjSB7NePhw9WyyHdQCqP8xmBMpump", "View")</f>
        <v>View</v>
      </c>
    </row>
    <row r="24" spans="1:16" x14ac:dyDescent="0.25">
      <c r="A24" s="13" t="s">
        <v>30003</v>
      </c>
      <c r="B24" s="14">
        <v>26307855</v>
      </c>
      <c r="C24" s="14">
        <v>26307854</v>
      </c>
      <c r="D24" s="14" t="s">
        <v>913</v>
      </c>
      <c r="E24" s="14" t="s">
        <v>30004</v>
      </c>
      <c r="F24" s="14" t="s">
        <v>30005</v>
      </c>
      <c r="G24" s="22" t="s">
        <v>12902</v>
      </c>
      <c r="H24" s="22" t="s">
        <v>30006</v>
      </c>
      <c r="I24" s="14" t="s">
        <v>88</v>
      </c>
      <c r="J24" s="14">
        <v>1</v>
      </c>
      <c r="K24" s="14">
        <v>1</v>
      </c>
      <c r="L24" s="14" t="s">
        <v>30007</v>
      </c>
      <c r="M24" s="14" t="s">
        <v>1610</v>
      </c>
      <c r="N24" s="14" t="s">
        <v>30008</v>
      </c>
      <c r="O24" s="14" t="s">
        <v>30009</v>
      </c>
      <c r="P24" s="14" t="str">
        <f>HYPERLINK("https://photon-sol.tinyastro.io/en/lp/3RtNJqfL56PhHn8q4hfrfCop9rKmLrVjCdvBRkxspump?handle=676050794bc1b1657a56b", "View")</f>
        <v>View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80C4-BA80-4EB7-99E7-8AA326EB1853}">
  <dimension ref="A1:P181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HYPERLINK("https://gmgn.ai/sol/address/4DzbUe9RJ254JPVnknx6uLvXzJZhRgYeB3bER1HmDvk2", "GMGN")</f>
        <v>GMGN</v>
      </c>
    </row>
    <row r="2" spans="1:14" x14ac:dyDescent="0.25">
      <c r="A2" s="3" t="s">
        <v>30010</v>
      </c>
      <c r="B2" s="3" t="s">
        <v>30011</v>
      </c>
      <c r="C2" s="3" t="s">
        <v>18969</v>
      </c>
      <c r="D2" s="3" t="s">
        <v>30012</v>
      </c>
      <c r="E2" s="3" t="s">
        <v>30013</v>
      </c>
      <c r="F2" s="3" t="s">
        <v>18</v>
      </c>
      <c r="G2" s="3" t="s">
        <v>18</v>
      </c>
      <c r="H2" s="3">
        <v>162</v>
      </c>
      <c r="I2" s="3">
        <v>39</v>
      </c>
      <c r="J2" s="3" t="s">
        <v>4558</v>
      </c>
      <c r="K2" s="3" t="s">
        <v>8295</v>
      </c>
      <c r="L2" s="3">
        <v>27</v>
      </c>
      <c r="M2" s="3">
        <v>69</v>
      </c>
      <c r="N2" s="3" t="str">
        <f>HYPERLINK("https://solscan.io/account/4DzbUe9RJ254JPVnknx6uLvXzJZhRgYeB3bER1HmDvk2", "Solscan")</f>
        <v>Solscan</v>
      </c>
    </row>
    <row r="3" spans="1:14" x14ac:dyDescent="0.25">
      <c r="A3" s="1" t="s">
        <v>21</v>
      </c>
      <c r="B3" s="4" t="s">
        <v>22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HYPERLINK("https://birdeye.so/profile/4DzbUe9RJ254JPVnknx6uLvXzJZhRgYeB3bER1HmDvk2", "Birdeye")</f>
        <v>Birdeye</v>
      </c>
    </row>
    <row r="4" spans="1:14" x14ac:dyDescent="0.25">
      <c r="A4" s="1" t="s">
        <v>25</v>
      </c>
      <c r="B4" s="3" t="s">
        <v>8594</v>
      </c>
      <c r="C4" s="3"/>
      <c r="D4" s="3" t="s">
        <v>30014</v>
      </c>
      <c r="E4" s="3" t="s">
        <v>30015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19667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3</v>
      </c>
      <c r="C10" s="1">
        <v>2</v>
      </c>
      <c r="D10" s="1">
        <v>1</v>
      </c>
      <c r="E10" s="1">
        <v>1</v>
      </c>
      <c r="F10" s="1">
        <v>3</v>
      </c>
      <c r="G10" s="1">
        <v>152</v>
      </c>
      <c r="H10" s="3"/>
      <c r="I10" s="3" t="s">
        <v>42</v>
      </c>
      <c r="J10" s="3" t="s">
        <v>1570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4361</v>
      </c>
      <c r="C11" s="1" t="s">
        <v>30016</v>
      </c>
      <c r="D11" s="1" t="s">
        <v>30017</v>
      </c>
      <c r="E11" s="1" t="s">
        <v>30017</v>
      </c>
      <c r="F11" s="1" t="s">
        <v>4361</v>
      </c>
      <c r="G11" s="1" t="s">
        <v>30018</v>
      </c>
      <c r="H11" s="3"/>
      <c r="I11" s="3" t="s">
        <v>50</v>
      </c>
      <c r="J11" s="3" t="s">
        <v>11197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30019</v>
      </c>
      <c r="C12" s="1" t="s">
        <v>30020</v>
      </c>
      <c r="D12" s="1" t="s">
        <v>30021</v>
      </c>
      <c r="E12" s="1" t="s">
        <v>20034</v>
      </c>
      <c r="F12" s="1" t="s">
        <v>30022</v>
      </c>
      <c r="G12" s="1" t="s">
        <v>30023</v>
      </c>
      <c r="H12" s="3"/>
      <c r="I12" s="3" t="s">
        <v>59</v>
      </c>
      <c r="J12" s="3" t="s">
        <v>23176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30024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4369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30025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9814</v>
      </c>
      <c r="B20" s="14">
        <v>7244873</v>
      </c>
      <c r="C20" s="14">
        <v>0</v>
      </c>
      <c r="D20" s="14" t="s">
        <v>4738</v>
      </c>
      <c r="E20" s="14" t="s">
        <v>219</v>
      </c>
      <c r="F20" s="14" t="s">
        <v>96</v>
      </c>
      <c r="G20" s="18" t="s">
        <v>871</v>
      </c>
      <c r="H20" s="18" t="s">
        <v>98</v>
      </c>
      <c r="I20" s="14" t="s">
        <v>30026</v>
      </c>
      <c r="J20" s="14">
        <v>1</v>
      </c>
      <c r="K20" s="14">
        <v>0</v>
      </c>
      <c r="L20" s="14" t="s">
        <v>30027</v>
      </c>
      <c r="M20" s="19" t="s">
        <v>101</v>
      </c>
      <c r="N20" s="14" t="s">
        <v>30028</v>
      </c>
      <c r="O20" s="14" t="s">
        <v>9819</v>
      </c>
      <c r="P20" s="14" t="str">
        <f>HYPERLINK("https://dexscreener.com/solana/HAhiXodNYcpQU2EvvxdUpkP3EdbDpZiP4G3jrGeFmKhZ", "View")</f>
        <v>View</v>
      </c>
    </row>
    <row r="21" spans="1:16" x14ac:dyDescent="0.25">
      <c r="A21" s="16" t="s">
        <v>211</v>
      </c>
      <c r="B21" s="17">
        <v>9741663</v>
      </c>
      <c r="C21" s="17">
        <v>0</v>
      </c>
      <c r="D21" s="17" t="s">
        <v>4738</v>
      </c>
      <c r="E21" s="17" t="s">
        <v>2390</v>
      </c>
      <c r="F21" s="17" t="s">
        <v>96</v>
      </c>
      <c r="G21" s="18" t="s">
        <v>30029</v>
      </c>
      <c r="H21" s="18" t="s">
        <v>98</v>
      </c>
      <c r="I21" s="17" t="s">
        <v>30030</v>
      </c>
      <c r="J21" s="17">
        <v>1</v>
      </c>
      <c r="K21" s="17">
        <v>0</v>
      </c>
      <c r="L21" s="17" t="s">
        <v>30031</v>
      </c>
      <c r="M21" s="19" t="s">
        <v>101</v>
      </c>
      <c r="N21" s="17" t="s">
        <v>30032</v>
      </c>
      <c r="O21" s="17" t="s">
        <v>217</v>
      </c>
      <c r="P21" s="17" t="str">
        <f>HYPERLINK("https://dexscreener.com/solana/36FN7NGmULKqSy4PoSRUBFQ7XBVxNMmWLhXohKmypump", "View")</f>
        <v>View</v>
      </c>
    </row>
    <row r="22" spans="1:16" x14ac:dyDescent="0.25">
      <c r="A22" s="13" t="s">
        <v>30033</v>
      </c>
      <c r="B22" s="14">
        <v>4617605</v>
      </c>
      <c r="C22" s="14">
        <v>0</v>
      </c>
      <c r="D22" s="14" t="s">
        <v>4782</v>
      </c>
      <c r="E22" s="14" t="s">
        <v>1267</v>
      </c>
      <c r="F22" s="14" t="s">
        <v>96</v>
      </c>
      <c r="G22" s="18" t="s">
        <v>1268</v>
      </c>
      <c r="H22" s="18" t="s">
        <v>98</v>
      </c>
      <c r="I22" s="14" t="s">
        <v>30034</v>
      </c>
      <c r="J22" s="14">
        <v>3</v>
      </c>
      <c r="K22" s="14">
        <v>0</v>
      </c>
      <c r="L22" s="14" t="s">
        <v>30035</v>
      </c>
      <c r="M22" s="14" t="s">
        <v>2047</v>
      </c>
      <c r="N22" s="14" t="s">
        <v>30036</v>
      </c>
      <c r="O22" s="14" t="s">
        <v>30037</v>
      </c>
      <c r="P22" s="14" t="str">
        <f>HYPERLINK("https://dexscreener.com/solana/EYzLaZ7Xqtg96wSvs3G2vU96JoVQTtsdAKZx6kXGNrXq", "View")</f>
        <v>View</v>
      </c>
    </row>
    <row r="23" spans="1:16" x14ac:dyDescent="0.25">
      <c r="A23" s="16" t="s">
        <v>28578</v>
      </c>
      <c r="B23" s="17">
        <v>418116</v>
      </c>
      <c r="C23" s="17">
        <v>0</v>
      </c>
      <c r="D23" s="17" t="s">
        <v>4754</v>
      </c>
      <c r="E23" s="17" t="s">
        <v>1267</v>
      </c>
      <c r="F23" s="17" t="s">
        <v>96</v>
      </c>
      <c r="G23" s="18" t="s">
        <v>1268</v>
      </c>
      <c r="H23" s="18" t="s">
        <v>98</v>
      </c>
      <c r="I23" s="17" t="s">
        <v>30038</v>
      </c>
      <c r="J23" s="17">
        <v>2</v>
      </c>
      <c r="K23" s="17">
        <v>0</v>
      </c>
      <c r="L23" s="17" t="s">
        <v>30039</v>
      </c>
      <c r="M23" s="19" t="s">
        <v>2379</v>
      </c>
      <c r="N23" s="17" t="s">
        <v>30040</v>
      </c>
      <c r="O23" s="17" t="s">
        <v>28582</v>
      </c>
      <c r="P23" s="17" t="str">
        <f>HYPERLINK("https://dexscreener.com/solana/AYhFJk9ZyKN5aCRwrG78iTvuxnrrLp5q4fGfyBM7pump", "View")</f>
        <v>View</v>
      </c>
    </row>
    <row r="24" spans="1:16" x14ac:dyDescent="0.25">
      <c r="A24" s="13" t="s">
        <v>30041</v>
      </c>
      <c r="B24" s="14">
        <v>15665695</v>
      </c>
      <c r="C24" s="14">
        <v>0</v>
      </c>
      <c r="D24" s="14" t="s">
        <v>4738</v>
      </c>
      <c r="E24" s="14" t="s">
        <v>2390</v>
      </c>
      <c r="F24" s="14" t="s">
        <v>96</v>
      </c>
      <c r="G24" s="18" t="s">
        <v>30029</v>
      </c>
      <c r="H24" s="18" t="s">
        <v>98</v>
      </c>
      <c r="I24" s="14" t="s">
        <v>30042</v>
      </c>
      <c r="J24" s="14">
        <v>1</v>
      </c>
      <c r="K24" s="14">
        <v>0</v>
      </c>
      <c r="L24" s="14" t="s">
        <v>30043</v>
      </c>
      <c r="M24" s="19" t="s">
        <v>101</v>
      </c>
      <c r="N24" s="14" t="s">
        <v>30044</v>
      </c>
      <c r="O24" s="14" t="s">
        <v>30045</v>
      </c>
      <c r="P24" s="14" t="str">
        <f>HYPERLINK("https://dexscreener.com/solana/CTFUdw7GKfHesysSsTr6TCy7WNiszAwXduhoLTtF9PZP", "View")</f>
        <v>View</v>
      </c>
    </row>
    <row r="25" spans="1:16" x14ac:dyDescent="0.25">
      <c r="A25" s="16" t="s">
        <v>30046</v>
      </c>
      <c r="B25" s="17">
        <v>5319850</v>
      </c>
      <c r="C25" s="17">
        <v>0</v>
      </c>
      <c r="D25" s="17" t="s">
        <v>4754</v>
      </c>
      <c r="E25" s="17" t="s">
        <v>2390</v>
      </c>
      <c r="F25" s="17" t="s">
        <v>96</v>
      </c>
      <c r="G25" s="18" t="s">
        <v>30029</v>
      </c>
      <c r="H25" s="18" t="s">
        <v>98</v>
      </c>
      <c r="I25" s="17" t="s">
        <v>30047</v>
      </c>
      <c r="J25" s="17">
        <v>2</v>
      </c>
      <c r="K25" s="17">
        <v>0</v>
      </c>
      <c r="L25" s="17" t="s">
        <v>30048</v>
      </c>
      <c r="M25" s="17" t="s">
        <v>788</v>
      </c>
      <c r="N25" s="17" t="s">
        <v>30049</v>
      </c>
      <c r="O25" s="17" t="s">
        <v>30050</v>
      </c>
      <c r="P25" s="17" t="str">
        <f>HYPERLINK("https://dexscreener.com/solana/7WZzc9gh1gDW51zKT9Qso2hPUzwuporXqdbGQgtH2FqP", "View")</f>
        <v>View</v>
      </c>
    </row>
    <row r="26" spans="1:16" x14ac:dyDescent="0.25">
      <c r="A26" s="13" t="s">
        <v>16659</v>
      </c>
      <c r="B26" s="14">
        <v>260938</v>
      </c>
      <c r="C26" s="14">
        <v>0</v>
      </c>
      <c r="D26" s="14" t="s">
        <v>4754</v>
      </c>
      <c r="E26" s="14" t="s">
        <v>2390</v>
      </c>
      <c r="F26" s="14" t="s">
        <v>96</v>
      </c>
      <c r="G26" s="18" t="s">
        <v>30029</v>
      </c>
      <c r="H26" s="18" t="s">
        <v>98</v>
      </c>
      <c r="I26" s="14" t="s">
        <v>30051</v>
      </c>
      <c r="J26" s="14">
        <v>2</v>
      </c>
      <c r="K26" s="14">
        <v>0</v>
      </c>
      <c r="L26" s="14" t="s">
        <v>30052</v>
      </c>
      <c r="M26" s="14" t="s">
        <v>1610</v>
      </c>
      <c r="N26" s="14" t="s">
        <v>30053</v>
      </c>
      <c r="O26" s="14" t="s">
        <v>16664</v>
      </c>
      <c r="P26" s="14" t="str">
        <f>HYPERLINK("https://dexscreener.com/solana/DqWbfzoFmZPrrQP7MdqYvwZbCkBNu2fSSaJqUrqEVYyX", "View")</f>
        <v>View</v>
      </c>
    </row>
    <row r="27" spans="1:16" x14ac:dyDescent="0.25">
      <c r="A27" s="16" t="s">
        <v>30054</v>
      </c>
      <c r="B27" s="17">
        <v>2586811880</v>
      </c>
      <c r="C27" s="17">
        <v>0</v>
      </c>
      <c r="D27" s="17" t="s">
        <v>4738</v>
      </c>
      <c r="E27" s="17" t="s">
        <v>1457</v>
      </c>
      <c r="F27" s="17" t="s">
        <v>96</v>
      </c>
      <c r="G27" s="18" t="s">
        <v>1458</v>
      </c>
      <c r="H27" s="18" t="s">
        <v>98</v>
      </c>
      <c r="I27" s="17" t="s">
        <v>30055</v>
      </c>
      <c r="J27" s="17">
        <v>1</v>
      </c>
      <c r="K27" s="17">
        <v>0</v>
      </c>
      <c r="L27" s="17" t="s">
        <v>30056</v>
      </c>
      <c r="M27" s="19" t="s">
        <v>101</v>
      </c>
      <c r="N27" s="17" t="s">
        <v>30057</v>
      </c>
      <c r="O27" s="17" t="s">
        <v>30058</v>
      </c>
      <c r="P27" s="17" t="str">
        <f>HYPERLINK("https://dexscreener.com/solana/J8UjmiSJASyKLTgwcvB6kTZyF9xDkvBEmU8yyNr12oh9", "View")</f>
        <v>View</v>
      </c>
    </row>
    <row r="28" spans="1:16" x14ac:dyDescent="0.25">
      <c r="A28" s="13" t="s">
        <v>18512</v>
      </c>
      <c r="B28" s="14">
        <v>8572540</v>
      </c>
      <c r="C28" s="14">
        <v>0</v>
      </c>
      <c r="D28" s="14" t="s">
        <v>4738</v>
      </c>
      <c r="E28" s="14" t="s">
        <v>2108</v>
      </c>
      <c r="F28" s="14" t="s">
        <v>96</v>
      </c>
      <c r="G28" s="18" t="s">
        <v>30059</v>
      </c>
      <c r="H28" s="18" t="s">
        <v>98</v>
      </c>
      <c r="I28" s="14" t="s">
        <v>30060</v>
      </c>
      <c r="J28" s="14">
        <v>1</v>
      </c>
      <c r="K28" s="14">
        <v>0</v>
      </c>
      <c r="L28" s="14" t="s">
        <v>30061</v>
      </c>
      <c r="M28" s="19" t="s">
        <v>101</v>
      </c>
      <c r="N28" s="14" t="s">
        <v>29347</v>
      </c>
      <c r="O28" s="14" t="s">
        <v>30062</v>
      </c>
      <c r="P28" s="14" t="str">
        <f>HYPERLINK("https://photon-sol.tinyastro.io/en/lp/DsPbs8hMR74nFk7HmenvvFxSj8iiekT5wLwZ5672pump?handle=676050794bc1b1657a56b", "View")</f>
        <v>View</v>
      </c>
    </row>
    <row r="29" spans="1:16" x14ac:dyDescent="0.25">
      <c r="A29" s="16" t="s">
        <v>30063</v>
      </c>
      <c r="B29" s="17">
        <v>3699907</v>
      </c>
      <c r="C29" s="17">
        <v>0</v>
      </c>
      <c r="D29" s="17" t="s">
        <v>4738</v>
      </c>
      <c r="E29" s="17" t="s">
        <v>1457</v>
      </c>
      <c r="F29" s="17" t="s">
        <v>96</v>
      </c>
      <c r="G29" s="18" t="s">
        <v>1458</v>
      </c>
      <c r="H29" s="18" t="s">
        <v>98</v>
      </c>
      <c r="I29" s="17" t="s">
        <v>30064</v>
      </c>
      <c r="J29" s="17">
        <v>1</v>
      </c>
      <c r="K29" s="17">
        <v>0</v>
      </c>
      <c r="L29" s="17" t="s">
        <v>30065</v>
      </c>
      <c r="M29" s="19" t="s">
        <v>101</v>
      </c>
      <c r="N29" s="17" t="s">
        <v>437</v>
      </c>
      <c r="O29" s="17" t="s">
        <v>30066</v>
      </c>
      <c r="P29" s="17" t="str">
        <f>HYPERLINK("https://dexscreener.com/solana/3AYpsSfxEeFyEUGJpzfrFTThJkJFS7iDZrWJ3riupump", "View")</f>
        <v>View</v>
      </c>
    </row>
    <row r="30" spans="1:16" x14ac:dyDescent="0.25">
      <c r="A30" s="13" t="s">
        <v>26387</v>
      </c>
      <c r="B30" s="14">
        <v>6022404</v>
      </c>
      <c r="C30" s="14">
        <v>0</v>
      </c>
      <c r="D30" s="14" t="s">
        <v>4805</v>
      </c>
      <c r="E30" s="14" t="s">
        <v>165</v>
      </c>
      <c r="F30" s="14" t="s">
        <v>96</v>
      </c>
      <c r="G30" s="18" t="s">
        <v>921</v>
      </c>
      <c r="H30" s="18" t="s">
        <v>98</v>
      </c>
      <c r="I30" s="14" t="s">
        <v>30067</v>
      </c>
      <c r="J30" s="14">
        <v>4</v>
      </c>
      <c r="K30" s="14">
        <v>0</v>
      </c>
      <c r="L30" s="14" t="s">
        <v>30068</v>
      </c>
      <c r="M30" s="14" t="s">
        <v>1448</v>
      </c>
      <c r="N30" s="14" t="s">
        <v>30069</v>
      </c>
      <c r="O30" s="14" t="s">
        <v>26391</v>
      </c>
      <c r="P30" s="14" t="str">
        <f>HYPERLINK("https://dexscreener.com/solana/6iB7vcB6bcB5BGVf2gFXTvH2DfUeCiaT4FE9VYBQpump", "View")</f>
        <v>View</v>
      </c>
    </row>
    <row r="31" spans="1:16" x14ac:dyDescent="0.25">
      <c r="A31" s="16" t="s">
        <v>25564</v>
      </c>
      <c r="B31" s="17">
        <v>5041967</v>
      </c>
      <c r="C31" s="17">
        <v>1097992</v>
      </c>
      <c r="D31" s="17" t="s">
        <v>8064</v>
      </c>
      <c r="E31" s="17" t="s">
        <v>105</v>
      </c>
      <c r="F31" s="17" t="s">
        <v>30070</v>
      </c>
      <c r="G31" s="21" t="s">
        <v>30071</v>
      </c>
      <c r="H31" s="21" t="s">
        <v>30072</v>
      </c>
      <c r="I31" s="17" t="s">
        <v>88</v>
      </c>
      <c r="J31" s="17">
        <v>2</v>
      </c>
      <c r="K31" s="17">
        <v>3</v>
      </c>
      <c r="L31" s="17" t="s">
        <v>30073</v>
      </c>
      <c r="M31" s="17" t="s">
        <v>538</v>
      </c>
      <c r="N31" s="17" t="s">
        <v>30074</v>
      </c>
      <c r="O31" s="17" t="s">
        <v>25567</v>
      </c>
      <c r="P31" s="17" t="str">
        <f>HYPERLINK("https://dexscreener.com/solana/6Rwcmkz9yiYVM5EzyMcr4JsQPGEAWhcUvLvfBperYnUt", "View")</f>
        <v>View</v>
      </c>
    </row>
    <row r="32" spans="1:16" x14ac:dyDescent="0.25">
      <c r="A32" s="13" t="s">
        <v>30075</v>
      </c>
      <c r="B32" s="14">
        <v>3989466</v>
      </c>
      <c r="C32" s="14">
        <v>0</v>
      </c>
      <c r="D32" s="14" t="s">
        <v>4738</v>
      </c>
      <c r="E32" s="14" t="s">
        <v>1007</v>
      </c>
      <c r="F32" s="14" t="s">
        <v>96</v>
      </c>
      <c r="G32" s="18" t="s">
        <v>1008</v>
      </c>
      <c r="H32" s="18" t="s">
        <v>98</v>
      </c>
      <c r="I32" s="14" t="s">
        <v>30076</v>
      </c>
      <c r="J32" s="14">
        <v>1</v>
      </c>
      <c r="K32" s="14">
        <v>0</v>
      </c>
      <c r="L32" s="14" t="s">
        <v>30077</v>
      </c>
      <c r="M32" s="19" t="s">
        <v>101</v>
      </c>
      <c r="N32" s="14" t="s">
        <v>30078</v>
      </c>
      <c r="O32" s="14" t="s">
        <v>30079</v>
      </c>
      <c r="P32" s="14" t="str">
        <f>HYPERLINK("https://dexscreener.com/solana/3sXfwhWq8ndBP97MiEKjb79Zr94Lpq46punboa5475Bx", "View")</f>
        <v>View</v>
      </c>
    </row>
    <row r="33" spans="1:16" x14ac:dyDescent="0.25">
      <c r="A33" s="16" t="s">
        <v>30080</v>
      </c>
      <c r="B33" s="17">
        <v>24192772</v>
      </c>
      <c r="C33" s="17">
        <v>0</v>
      </c>
      <c r="D33" s="17" t="s">
        <v>4754</v>
      </c>
      <c r="E33" s="17" t="s">
        <v>1267</v>
      </c>
      <c r="F33" s="17" t="s">
        <v>96</v>
      </c>
      <c r="G33" s="18" t="s">
        <v>1268</v>
      </c>
      <c r="H33" s="18" t="s">
        <v>98</v>
      </c>
      <c r="I33" s="17" t="s">
        <v>30081</v>
      </c>
      <c r="J33" s="17">
        <v>2</v>
      </c>
      <c r="K33" s="17">
        <v>0</v>
      </c>
      <c r="L33" s="17" t="s">
        <v>30082</v>
      </c>
      <c r="M33" s="17" t="s">
        <v>1448</v>
      </c>
      <c r="N33" s="17" t="s">
        <v>30083</v>
      </c>
      <c r="O33" s="17" t="s">
        <v>30084</v>
      </c>
      <c r="P33" s="17" t="str">
        <f>HYPERLINK("https://dexscreener.com/solana/7ij5esLPHU8zprHAMUHR1Bu8MEJX6cT5hzG1bBEcpump", "View")</f>
        <v>View</v>
      </c>
    </row>
    <row r="34" spans="1:16" x14ac:dyDescent="0.25">
      <c r="A34" s="13" t="s">
        <v>6473</v>
      </c>
      <c r="B34" s="14">
        <v>3100398</v>
      </c>
      <c r="C34" s="14">
        <v>0</v>
      </c>
      <c r="D34" s="14" t="s">
        <v>4754</v>
      </c>
      <c r="E34" s="14" t="s">
        <v>340</v>
      </c>
      <c r="F34" s="14" t="s">
        <v>96</v>
      </c>
      <c r="G34" s="18" t="s">
        <v>1211</v>
      </c>
      <c r="H34" s="18" t="s">
        <v>98</v>
      </c>
      <c r="I34" s="14" t="s">
        <v>30085</v>
      </c>
      <c r="J34" s="14">
        <v>2</v>
      </c>
      <c r="K34" s="14">
        <v>0</v>
      </c>
      <c r="L34" s="14" t="s">
        <v>30086</v>
      </c>
      <c r="M34" s="19" t="s">
        <v>3324</v>
      </c>
      <c r="N34" s="14" t="s">
        <v>30087</v>
      </c>
      <c r="O34" s="14" t="s">
        <v>6481</v>
      </c>
      <c r="P34" s="14" t="str">
        <f>HYPERLINK("https://dexscreener.com/solana/9FyvApf4t4BXhtT35LqHCeX2oewR1tcP2cNBbqkhpump", "View")</f>
        <v>View</v>
      </c>
    </row>
    <row r="35" spans="1:16" x14ac:dyDescent="0.25">
      <c r="A35" s="16" t="s">
        <v>30088</v>
      </c>
      <c r="B35" s="17">
        <v>5226867</v>
      </c>
      <c r="C35" s="17">
        <v>0</v>
      </c>
      <c r="D35" s="17" t="s">
        <v>4754</v>
      </c>
      <c r="E35" s="17" t="s">
        <v>2390</v>
      </c>
      <c r="F35" s="17" t="s">
        <v>96</v>
      </c>
      <c r="G35" s="18" t="s">
        <v>30029</v>
      </c>
      <c r="H35" s="18" t="s">
        <v>98</v>
      </c>
      <c r="I35" s="17" t="s">
        <v>30089</v>
      </c>
      <c r="J35" s="17">
        <v>2</v>
      </c>
      <c r="K35" s="17">
        <v>0</v>
      </c>
      <c r="L35" s="17" t="s">
        <v>30090</v>
      </c>
      <c r="M35" s="19" t="s">
        <v>1856</v>
      </c>
      <c r="N35" s="17" t="s">
        <v>30091</v>
      </c>
      <c r="O35" s="17" t="s">
        <v>30092</v>
      </c>
      <c r="P35" s="17" t="str">
        <f>HYPERLINK("https://dexscreener.com/solana/nYerK4wiMzsKxwMKM6KbubwSnMPrctTLN87EswRpump", "View")</f>
        <v>View</v>
      </c>
    </row>
    <row r="36" spans="1:16" x14ac:dyDescent="0.25">
      <c r="A36" s="13" t="s">
        <v>30093</v>
      </c>
      <c r="B36" s="14">
        <v>5231882</v>
      </c>
      <c r="C36" s="14">
        <v>0</v>
      </c>
      <c r="D36" s="14" t="s">
        <v>4738</v>
      </c>
      <c r="E36" s="14" t="s">
        <v>28588</v>
      </c>
      <c r="F36" s="14" t="s">
        <v>96</v>
      </c>
      <c r="G36" s="18" t="s">
        <v>28298</v>
      </c>
      <c r="H36" s="18" t="s">
        <v>98</v>
      </c>
      <c r="I36" s="14" t="s">
        <v>30094</v>
      </c>
      <c r="J36" s="14">
        <v>1</v>
      </c>
      <c r="K36" s="14">
        <v>0</v>
      </c>
      <c r="L36" s="14" t="s">
        <v>30095</v>
      </c>
      <c r="M36" s="19" t="s">
        <v>101</v>
      </c>
      <c r="N36" s="14" t="s">
        <v>29181</v>
      </c>
      <c r="O36" s="14" t="s">
        <v>30096</v>
      </c>
      <c r="P36" s="14" t="str">
        <f>HYPERLINK("https://photon-sol.tinyastro.io/en/lp/Ed4JMUsjzMJ2yDasRvzdAZ784NE6WcELzK47WobVpump?handle=676050794bc1b1657a56b", "View")</f>
        <v>View</v>
      </c>
    </row>
    <row r="37" spans="1:16" x14ac:dyDescent="0.25">
      <c r="A37" s="16" t="s">
        <v>6587</v>
      </c>
      <c r="B37" s="17">
        <v>2349104</v>
      </c>
      <c r="C37" s="17">
        <v>0</v>
      </c>
      <c r="D37" s="17" t="s">
        <v>4754</v>
      </c>
      <c r="E37" s="17" t="s">
        <v>2390</v>
      </c>
      <c r="F37" s="17" t="s">
        <v>96</v>
      </c>
      <c r="G37" s="18" t="s">
        <v>30029</v>
      </c>
      <c r="H37" s="18" t="s">
        <v>98</v>
      </c>
      <c r="I37" s="17" t="s">
        <v>30097</v>
      </c>
      <c r="J37" s="17">
        <v>2</v>
      </c>
      <c r="K37" s="17">
        <v>0</v>
      </c>
      <c r="L37" s="17" t="s">
        <v>30098</v>
      </c>
      <c r="M37" s="17" t="s">
        <v>788</v>
      </c>
      <c r="N37" s="17" t="s">
        <v>30099</v>
      </c>
      <c r="O37" s="17" t="s">
        <v>6595</v>
      </c>
      <c r="P37" s="17" t="str">
        <f>HYPERLINK("https://dexscreener.com/solana/Fof1DyVSYiQGCnT3uTbmq8kQMPdwL35x1bD82NaTs9mM", "View")</f>
        <v>View</v>
      </c>
    </row>
    <row r="38" spans="1:16" x14ac:dyDescent="0.25">
      <c r="A38" s="13" t="s">
        <v>26473</v>
      </c>
      <c r="B38" s="14">
        <v>17566233</v>
      </c>
      <c r="C38" s="14">
        <v>0</v>
      </c>
      <c r="D38" s="14" t="s">
        <v>4754</v>
      </c>
      <c r="E38" s="14" t="s">
        <v>569</v>
      </c>
      <c r="F38" s="14" t="s">
        <v>96</v>
      </c>
      <c r="G38" s="18" t="s">
        <v>877</v>
      </c>
      <c r="H38" s="18" t="s">
        <v>98</v>
      </c>
      <c r="I38" s="14" t="s">
        <v>30100</v>
      </c>
      <c r="J38" s="14">
        <v>2</v>
      </c>
      <c r="K38" s="14">
        <v>0</v>
      </c>
      <c r="L38" s="14" t="s">
        <v>30101</v>
      </c>
      <c r="M38" s="14" t="s">
        <v>1932</v>
      </c>
      <c r="N38" s="14" t="s">
        <v>30102</v>
      </c>
      <c r="O38" s="14" t="s">
        <v>30103</v>
      </c>
      <c r="P38" s="14" t="str">
        <f>HYPERLINK("https://dexscreener.com/solana/Bw5oXrdwFH8zmewejTVBa5364qFSyA7kskSg69LZpump", "View")</f>
        <v>View</v>
      </c>
    </row>
    <row r="39" spans="1:16" x14ac:dyDescent="0.25">
      <c r="A39" s="16" t="s">
        <v>28563</v>
      </c>
      <c r="B39" s="17">
        <v>7290257</v>
      </c>
      <c r="C39" s="17">
        <v>0</v>
      </c>
      <c r="D39" s="17" t="s">
        <v>4738</v>
      </c>
      <c r="E39" s="17" t="s">
        <v>1457</v>
      </c>
      <c r="F39" s="17" t="s">
        <v>96</v>
      </c>
      <c r="G39" s="18" t="s">
        <v>1458</v>
      </c>
      <c r="H39" s="18" t="s">
        <v>98</v>
      </c>
      <c r="I39" s="17" t="s">
        <v>30104</v>
      </c>
      <c r="J39" s="17">
        <v>1</v>
      </c>
      <c r="K39" s="17">
        <v>0</v>
      </c>
      <c r="L39" s="17" t="s">
        <v>30105</v>
      </c>
      <c r="M39" s="19" t="s">
        <v>101</v>
      </c>
      <c r="N39" s="17" t="s">
        <v>30106</v>
      </c>
      <c r="O39" s="17" t="s">
        <v>28566</v>
      </c>
      <c r="P39" s="17" t="str">
        <f>HYPERLINK("https://dexscreener.com/solana/4AyViLduWHAiR6MhS8upSTx6A9C4dvMUa1F9Krzgpump", "View")</f>
        <v>View</v>
      </c>
    </row>
    <row r="40" spans="1:16" x14ac:dyDescent="0.25">
      <c r="A40" s="13" t="s">
        <v>14975</v>
      </c>
      <c r="B40" s="14">
        <v>2320675</v>
      </c>
      <c r="C40" s="14">
        <v>0</v>
      </c>
      <c r="D40" s="14" t="s">
        <v>4738</v>
      </c>
      <c r="E40" s="14" t="s">
        <v>1457</v>
      </c>
      <c r="F40" s="14" t="s">
        <v>96</v>
      </c>
      <c r="G40" s="18" t="s">
        <v>1458</v>
      </c>
      <c r="H40" s="18" t="s">
        <v>98</v>
      </c>
      <c r="I40" s="14" t="s">
        <v>30107</v>
      </c>
      <c r="J40" s="14">
        <v>1</v>
      </c>
      <c r="K40" s="14">
        <v>0</v>
      </c>
      <c r="L40" s="14" t="s">
        <v>30108</v>
      </c>
      <c r="M40" s="19" t="s">
        <v>101</v>
      </c>
      <c r="N40" s="14" t="s">
        <v>30109</v>
      </c>
      <c r="O40" s="14" t="s">
        <v>16194</v>
      </c>
      <c r="P40" s="14" t="str">
        <f>HYPERLINK("https://dexscreener.com/solana/71gSnDo5vqite4mVpbKnaqoa6FsuXpamn8jCYZsApump", "View")</f>
        <v>View</v>
      </c>
    </row>
    <row r="41" spans="1:16" x14ac:dyDescent="0.25">
      <c r="A41" s="16" t="s">
        <v>14393</v>
      </c>
      <c r="B41" s="17">
        <v>3795187</v>
      </c>
      <c r="C41" s="17">
        <v>0</v>
      </c>
      <c r="D41" s="17" t="s">
        <v>4754</v>
      </c>
      <c r="E41" s="17" t="s">
        <v>569</v>
      </c>
      <c r="F41" s="17" t="s">
        <v>96</v>
      </c>
      <c r="G41" s="18" t="s">
        <v>877</v>
      </c>
      <c r="H41" s="18" t="s">
        <v>98</v>
      </c>
      <c r="I41" s="17" t="s">
        <v>30110</v>
      </c>
      <c r="J41" s="17">
        <v>2</v>
      </c>
      <c r="K41" s="17">
        <v>0</v>
      </c>
      <c r="L41" s="17" t="s">
        <v>30111</v>
      </c>
      <c r="M41" s="17" t="s">
        <v>179</v>
      </c>
      <c r="N41" s="17" t="s">
        <v>30112</v>
      </c>
      <c r="O41" s="17" t="s">
        <v>14398</v>
      </c>
      <c r="P41" s="17" t="str">
        <f>HYPERLINK("https://dexscreener.com/solana/9J7WDmBYY7ikgLi1mo6utpEPo5WEhkQsCxTvDPfnpump", "View")</f>
        <v>View</v>
      </c>
    </row>
    <row r="42" spans="1:16" x14ac:dyDescent="0.25">
      <c r="A42" s="13" t="s">
        <v>30113</v>
      </c>
      <c r="B42" s="14">
        <v>19942639</v>
      </c>
      <c r="C42" s="14">
        <v>0</v>
      </c>
      <c r="D42" s="14" t="s">
        <v>4754</v>
      </c>
      <c r="E42" s="14" t="s">
        <v>2390</v>
      </c>
      <c r="F42" s="14" t="s">
        <v>96</v>
      </c>
      <c r="G42" s="18" t="s">
        <v>30029</v>
      </c>
      <c r="H42" s="18" t="s">
        <v>98</v>
      </c>
      <c r="I42" s="14" t="s">
        <v>30114</v>
      </c>
      <c r="J42" s="14">
        <v>2</v>
      </c>
      <c r="K42" s="14">
        <v>0</v>
      </c>
      <c r="L42" s="14" t="s">
        <v>30115</v>
      </c>
      <c r="M42" s="14" t="s">
        <v>1448</v>
      </c>
      <c r="N42" s="14" t="s">
        <v>30116</v>
      </c>
      <c r="O42" s="14" t="s">
        <v>30117</v>
      </c>
      <c r="P42" s="14" t="str">
        <f>HYPERLINK("https://dexscreener.com/solana/EMFU6t7eFsTKVv6UkatPpyDt1bugmMqdfScb6jRipump", "View")</f>
        <v>View</v>
      </c>
    </row>
    <row r="43" spans="1:16" x14ac:dyDescent="0.25">
      <c r="A43" s="16" t="s">
        <v>15016</v>
      </c>
      <c r="B43" s="17">
        <v>10867147</v>
      </c>
      <c r="C43" s="17">
        <v>0</v>
      </c>
      <c r="D43" s="17" t="s">
        <v>4738</v>
      </c>
      <c r="E43" s="17" t="s">
        <v>569</v>
      </c>
      <c r="F43" s="17" t="s">
        <v>96</v>
      </c>
      <c r="G43" s="18" t="s">
        <v>877</v>
      </c>
      <c r="H43" s="18" t="s">
        <v>98</v>
      </c>
      <c r="I43" s="17" t="s">
        <v>30118</v>
      </c>
      <c r="J43" s="17">
        <v>1</v>
      </c>
      <c r="K43" s="17">
        <v>0</v>
      </c>
      <c r="L43" s="17" t="s">
        <v>30119</v>
      </c>
      <c r="M43" s="19" t="s">
        <v>101</v>
      </c>
      <c r="N43" s="17" t="s">
        <v>1652</v>
      </c>
      <c r="O43" s="17" t="s">
        <v>15019</v>
      </c>
      <c r="P43" s="17" t="str">
        <f>HYPERLINK("https://dexscreener.com/solana/4VYqw4taheRVmv2HqyQQiV99boYh6UbKx6zn4Afcpump", "View")</f>
        <v>View</v>
      </c>
    </row>
    <row r="44" spans="1:16" x14ac:dyDescent="0.25">
      <c r="A44" s="13" t="s">
        <v>509</v>
      </c>
      <c r="B44" s="14">
        <v>4124725</v>
      </c>
      <c r="C44" s="14">
        <v>0</v>
      </c>
      <c r="D44" s="14" t="s">
        <v>4738</v>
      </c>
      <c r="E44" s="14" t="s">
        <v>1007</v>
      </c>
      <c r="F44" s="14" t="s">
        <v>96</v>
      </c>
      <c r="G44" s="18" t="s">
        <v>1008</v>
      </c>
      <c r="H44" s="18" t="s">
        <v>98</v>
      </c>
      <c r="I44" s="14" t="s">
        <v>30120</v>
      </c>
      <c r="J44" s="14">
        <v>1</v>
      </c>
      <c r="K44" s="14">
        <v>0</v>
      </c>
      <c r="L44" s="14" t="s">
        <v>30121</v>
      </c>
      <c r="M44" s="19" t="s">
        <v>101</v>
      </c>
      <c r="N44" s="14" t="s">
        <v>5251</v>
      </c>
      <c r="O44" s="14" t="s">
        <v>513</v>
      </c>
      <c r="P44" s="14" t="str">
        <f>HYPERLINK("https://dexscreener.com/solana/3AYy1ZyfUbxhpAX5DRT6ss2u68TMSE8vqmAFXSPnpump", "View")</f>
        <v>View</v>
      </c>
    </row>
    <row r="45" spans="1:16" x14ac:dyDescent="0.25">
      <c r="A45" s="16" t="s">
        <v>334</v>
      </c>
      <c r="B45" s="17">
        <v>1153927</v>
      </c>
      <c r="C45" s="17">
        <v>0</v>
      </c>
      <c r="D45" s="17" t="s">
        <v>4738</v>
      </c>
      <c r="E45" s="17" t="s">
        <v>1007</v>
      </c>
      <c r="F45" s="17" t="s">
        <v>96</v>
      </c>
      <c r="G45" s="18" t="s">
        <v>1008</v>
      </c>
      <c r="H45" s="18" t="s">
        <v>98</v>
      </c>
      <c r="I45" s="17" t="s">
        <v>30122</v>
      </c>
      <c r="J45" s="17">
        <v>1</v>
      </c>
      <c r="K45" s="17">
        <v>0</v>
      </c>
      <c r="L45" s="17" t="s">
        <v>30123</v>
      </c>
      <c r="M45" s="19" t="s">
        <v>101</v>
      </c>
      <c r="N45" s="17" t="s">
        <v>10108</v>
      </c>
      <c r="O45" s="17" t="s">
        <v>30124</v>
      </c>
      <c r="P45" s="17" t="str">
        <f>HYPERLINK("https://dexscreener.com/solana/BmpF5awAZW6baUoSF1CMS3A2XbMU62VPPH58Trbkpump", "View")</f>
        <v>View</v>
      </c>
    </row>
    <row r="46" spans="1:16" x14ac:dyDescent="0.25">
      <c r="A46" s="13" t="s">
        <v>22408</v>
      </c>
      <c r="B46" s="14">
        <v>764492</v>
      </c>
      <c r="C46" s="14">
        <v>0</v>
      </c>
      <c r="D46" s="14" t="s">
        <v>4738</v>
      </c>
      <c r="E46" s="14" t="s">
        <v>1457</v>
      </c>
      <c r="F46" s="14" t="s">
        <v>96</v>
      </c>
      <c r="G46" s="18" t="s">
        <v>1458</v>
      </c>
      <c r="H46" s="18" t="s">
        <v>98</v>
      </c>
      <c r="I46" s="14" t="s">
        <v>30125</v>
      </c>
      <c r="J46" s="14">
        <v>1</v>
      </c>
      <c r="K46" s="14">
        <v>0</v>
      </c>
      <c r="L46" s="14" t="s">
        <v>30126</v>
      </c>
      <c r="M46" s="19" t="s">
        <v>101</v>
      </c>
      <c r="N46" s="14" t="s">
        <v>30127</v>
      </c>
      <c r="O46" s="14" t="s">
        <v>22412</v>
      </c>
      <c r="P46" s="14" t="str">
        <f>HYPERLINK("https://dexscreener.com/solana/E4PwDXy9p9dAfoV9xvWDSkHHDVPWFawxGhmkGbYfpump", "View")</f>
        <v>View</v>
      </c>
    </row>
    <row r="47" spans="1:16" x14ac:dyDescent="0.25">
      <c r="A47" s="16" t="s">
        <v>30128</v>
      </c>
      <c r="B47" s="17">
        <v>7729649</v>
      </c>
      <c r="C47" s="17">
        <v>0</v>
      </c>
      <c r="D47" s="17" t="s">
        <v>4738</v>
      </c>
      <c r="E47" s="17" t="s">
        <v>1007</v>
      </c>
      <c r="F47" s="17" t="s">
        <v>96</v>
      </c>
      <c r="G47" s="18" t="s">
        <v>1008</v>
      </c>
      <c r="H47" s="18" t="s">
        <v>98</v>
      </c>
      <c r="I47" s="17" t="s">
        <v>30129</v>
      </c>
      <c r="J47" s="17">
        <v>1</v>
      </c>
      <c r="K47" s="17">
        <v>0</v>
      </c>
      <c r="L47" s="17" t="s">
        <v>30130</v>
      </c>
      <c r="M47" s="19" t="s">
        <v>101</v>
      </c>
      <c r="N47" s="17" t="s">
        <v>880</v>
      </c>
      <c r="O47" s="17" t="s">
        <v>30131</v>
      </c>
      <c r="P47" s="17" t="str">
        <f>HYPERLINK("https://dexscreener.com/solana/5vuGNdsz1Zp4p43UuZfYFbZNWGYmpqVJEk3YQdCBpump", "View")</f>
        <v>View</v>
      </c>
    </row>
    <row r="48" spans="1:16" x14ac:dyDescent="0.25">
      <c r="A48" s="13" t="s">
        <v>30128</v>
      </c>
      <c r="B48" s="14">
        <v>15195262</v>
      </c>
      <c r="C48" s="14">
        <v>0</v>
      </c>
      <c r="D48" s="14" t="s">
        <v>4738</v>
      </c>
      <c r="E48" s="14" t="s">
        <v>1867</v>
      </c>
      <c r="F48" s="14" t="s">
        <v>96</v>
      </c>
      <c r="G48" s="18" t="s">
        <v>30132</v>
      </c>
      <c r="H48" s="18" t="s">
        <v>98</v>
      </c>
      <c r="I48" s="14" t="s">
        <v>30133</v>
      </c>
      <c r="J48" s="14">
        <v>1</v>
      </c>
      <c r="K48" s="14">
        <v>0</v>
      </c>
      <c r="L48" s="14" t="s">
        <v>30134</v>
      </c>
      <c r="M48" s="19" t="s">
        <v>101</v>
      </c>
      <c r="N48" s="14" t="s">
        <v>507</v>
      </c>
      <c r="O48" s="14" t="s">
        <v>30135</v>
      </c>
      <c r="P48" s="14" t="str">
        <f>HYPERLINK("https://photon-sol.tinyastro.io/en/lp/8kDaXw1K2mG5xbe6YCurRyEEhjgcimWwkdcKDfB4pump?handle=676050794bc1b1657a56b", "View")</f>
        <v>View</v>
      </c>
    </row>
    <row r="49" spans="1:16" x14ac:dyDescent="0.25">
      <c r="A49" s="16" t="s">
        <v>30136</v>
      </c>
      <c r="B49" s="17">
        <v>8930990</v>
      </c>
      <c r="C49" s="17">
        <v>0</v>
      </c>
      <c r="D49" s="17" t="s">
        <v>4754</v>
      </c>
      <c r="E49" s="17" t="s">
        <v>165</v>
      </c>
      <c r="F49" s="17" t="s">
        <v>96</v>
      </c>
      <c r="G49" s="18" t="s">
        <v>921</v>
      </c>
      <c r="H49" s="18" t="s">
        <v>98</v>
      </c>
      <c r="I49" s="17" t="s">
        <v>30137</v>
      </c>
      <c r="J49" s="17">
        <v>2</v>
      </c>
      <c r="K49" s="17">
        <v>0</v>
      </c>
      <c r="L49" s="17" t="s">
        <v>30138</v>
      </c>
      <c r="M49" s="19" t="s">
        <v>1940</v>
      </c>
      <c r="N49" s="17" t="s">
        <v>30139</v>
      </c>
      <c r="O49" s="17" t="s">
        <v>30140</v>
      </c>
      <c r="P49" s="17" t="str">
        <f>HYPERLINK("https://dexscreener.com/solana/5hQvD2F5DRNTcZGniDqU4HHZh4HZjapRg4aWAPFsRKmG", "View")</f>
        <v>View</v>
      </c>
    </row>
    <row r="50" spans="1:16" x14ac:dyDescent="0.25">
      <c r="A50" s="13" t="s">
        <v>30141</v>
      </c>
      <c r="B50" s="14">
        <v>7790734</v>
      </c>
      <c r="C50" s="14">
        <v>0</v>
      </c>
      <c r="D50" s="14" t="s">
        <v>4738</v>
      </c>
      <c r="E50" s="14" t="s">
        <v>1007</v>
      </c>
      <c r="F50" s="14" t="s">
        <v>96</v>
      </c>
      <c r="G50" s="18" t="s">
        <v>1008</v>
      </c>
      <c r="H50" s="18" t="s">
        <v>98</v>
      </c>
      <c r="I50" s="14" t="s">
        <v>30142</v>
      </c>
      <c r="J50" s="14">
        <v>1</v>
      </c>
      <c r="K50" s="14">
        <v>0</v>
      </c>
      <c r="L50" s="14" t="s">
        <v>30143</v>
      </c>
      <c r="M50" s="19" t="s">
        <v>101</v>
      </c>
      <c r="N50" s="14" t="s">
        <v>30144</v>
      </c>
      <c r="O50" s="14" t="s">
        <v>30145</v>
      </c>
      <c r="P50" s="14" t="str">
        <f>HYPERLINK("https://dexscreener.com/solana/CogJ4K7DXFJKhkhyxKayuZWrihoQzs5sksonimQYmP33", "View")</f>
        <v>View</v>
      </c>
    </row>
    <row r="51" spans="1:16" x14ac:dyDescent="0.25">
      <c r="A51" s="16" t="s">
        <v>14848</v>
      </c>
      <c r="B51" s="17">
        <v>376861</v>
      </c>
      <c r="C51" s="17">
        <v>0</v>
      </c>
      <c r="D51" s="17" t="s">
        <v>4738</v>
      </c>
      <c r="E51" s="17" t="s">
        <v>1457</v>
      </c>
      <c r="F51" s="17" t="s">
        <v>96</v>
      </c>
      <c r="G51" s="18" t="s">
        <v>1458</v>
      </c>
      <c r="H51" s="18" t="s">
        <v>98</v>
      </c>
      <c r="I51" s="17" t="s">
        <v>30146</v>
      </c>
      <c r="J51" s="17">
        <v>1</v>
      </c>
      <c r="K51" s="17">
        <v>0</v>
      </c>
      <c r="L51" s="17" t="s">
        <v>30147</v>
      </c>
      <c r="M51" s="19" t="s">
        <v>101</v>
      </c>
      <c r="N51" s="17" t="s">
        <v>30148</v>
      </c>
      <c r="O51" s="17" t="s">
        <v>14855</v>
      </c>
      <c r="P51" s="17" t="str">
        <f>HYPERLINK("https://dexscreener.com/solana/7rRfJ5tdUjFPCWZRyYM7UNnfrpK1dqwzfpMYDknspump", "View")</f>
        <v>View</v>
      </c>
    </row>
    <row r="52" spans="1:16" x14ac:dyDescent="0.25">
      <c r="A52" s="13" t="s">
        <v>30149</v>
      </c>
      <c r="B52" s="14">
        <v>4162387</v>
      </c>
      <c r="C52" s="14">
        <v>0</v>
      </c>
      <c r="D52" s="14" t="s">
        <v>4738</v>
      </c>
      <c r="E52" s="14" t="s">
        <v>569</v>
      </c>
      <c r="F52" s="14" t="s">
        <v>96</v>
      </c>
      <c r="G52" s="18" t="s">
        <v>877</v>
      </c>
      <c r="H52" s="18" t="s">
        <v>98</v>
      </c>
      <c r="I52" s="14" t="s">
        <v>30150</v>
      </c>
      <c r="J52" s="14">
        <v>1</v>
      </c>
      <c r="K52" s="14">
        <v>0</v>
      </c>
      <c r="L52" s="14" t="s">
        <v>30151</v>
      </c>
      <c r="M52" s="19" t="s">
        <v>101</v>
      </c>
      <c r="N52" s="14" t="s">
        <v>30152</v>
      </c>
      <c r="O52" s="14" t="s">
        <v>30153</v>
      </c>
      <c r="P52" s="14" t="str">
        <f>HYPERLINK("https://dexscreener.com/solana/FFqb9Cj4fSdDX3BFYUAH92mjP6Wqci6XqFq8u3Zqpump", "View")</f>
        <v>View</v>
      </c>
    </row>
    <row r="53" spans="1:16" x14ac:dyDescent="0.25">
      <c r="A53" s="16" t="s">
        <v>15494</v>
      </c>
      <c r="B53" s="17">
        <v>6258925</v>
      </c>
      <c r="C53" s="17">
        <v>0</v>
      </c>
      <c r="D53" s="17" t="s">
        <v>4738</v>
      </c>
      <c r="E53" s="17" t="s">
        <v>1457</v>
      </c>
      <c r="F53" s="17" t="s">
        <v>96</v>
      </c>
      <c r="G53" s="18" t="s">
        <v>1458</v>
      </c>
      <c r="H53" s="18" t="s">
        <v>98</v>
      </c>
      <c r="I53" s="17" t="s">
        <v>30154</v>
      </c>
      <c r="J53" s="17">
        <v>1</v>
      </c>
      <c r="K53" s="17">
        <v>0</v>
      </c>
      <c r="L53" s="17" t="s">
        <v>30155</v>
      </c>
      <c r="M53" s="19" t="s">
        <v>101</v>
      </c>
      <c r="N53" s="17" t="s">
        <v>30156</v>
      </c>
      <c r="O53" s="17" t="s">
        <v>15501</v>
      </c>
      <c r="P53" s="17" t="str">
        <f>HYPERLINK("https://dexscreener.com/solana/4BRummYdfvoEGQwYzTSmn5F6RyAFdrHUTFkeagobpump", "View")</f>
        <v>View</v>
      </c>
    </row>
    <row r="54" spans="1:16" x14ac:dyDescent="0.25">
      <c r="A54" s="13" t="s">
        <v>29664</v>
      </c>
      <c r="B54" s="14">
        <v>15699384</v>
      </c>
      <c r="C54" s="14">
        <v>0</v>
      </c>
      <c r="D54" s="14" t="s">
        <v>4754</v>
      </c>
      <c r="E54" s="14" t="s">
        <v>12855</v>
      </c>
      <c r="F54" s="14" t="s">
        <v>96</v>
      </c>
      <c r="G54" s="18" t="s">
        <v>30157</v>
      </c>
      <c r="H54" s="18" t="s">
        <v>98</v>
      </c>
      <c r="I54" s="14" t="s">
        <v>30158</v>
      </c>
      <c r="J54" s="14">
        <v>2</v>
      </c>
      <c r="K54" s="14">
        <v>0</v>
      </c>
      <c r="L54" s="14" t="s">
        <v>30159</v>
      </c>
      <c r="M54" s="14" t="s">
        <v>2047</v>
      </c>
      <c r="N54" s="14" t="s">
        <v>30160</v>
      </c>
      <c r="O54" s="14" t="s">
        <v>29669</v>
      </c>
      <c r="P54" s="14" t="str">
        <f>HYPERLINK("https://photon-sol.tinyastro.io/en/lp/3ougYPdtSunmDvxkFb4ZEnahEomRGr936HuNqFoopump?handle=676050794bc1b1657a56b", "View")</f>
        <v>View</v>
      </c>
    </row>
    <row r="55" spans="1:16" x14ac:dyDescent="0.25">
      <c r="A55" s="16" t="s">
        <v>18460</v>
      </c>
      <c r="B55" s="17">
        <v>23004733</v>
      </c>
      <c r="C55" s="17">
        <v>0</v>
      </c>
      <c r="D55" s="17" t="s">
        <v>4805</v>
      </c>
      <c r="E55" s="17" t="s">
        <v>7656</v>
      </c>
      <c r="F55" s="17" t="s">
        <v>96</v>
      </c>
      <c r="G55" s="18" t="s">
        <v>30161</v>
      </c>
      <c r="H55" s="18" t="s">
        <v>98</v>
      </c>
      <c r="I55" s="17" t="s">
        <v>30162</v>
      </c>
      <c r="J55" s="17">
        <v>4</v>
      </c>
      <c r="K55" s="17">
        <v>0</v>
      </c>
      <c r="L55" s="17" t="s">
        <v>30163</v>
      </c>
      <c r="M55" s="17" t="s">
        <v>179</v>
      </c>
      <c r="N55" s="17" t="s">
        <v>30164</v>
      </c>
      <c r="O55" s="17" t="s">
        <v>18464</v>
      </c>
      <c r="P55" s="17" t="str">
        <f>HYPERLINK("https://dexscreener.com/solana/6KsoyYgg2youiScXnpYP4rtHNHZwAiGN5bcB3iN3pump", "View")</f>
        <v>View</v>
      </c>
    </row>
    <row r="56" spans="1:16" x14ac:dyDescent="0.25">
      <c r="A56" s="13" t="s">
        <v>15494</v>
      </c>
      <c r="B56" s="14">
        <v>22521465</v>
      </c>
      <c r="C56" s="14">
        <v>0</v>
      </c>
      <c r="D56" s="14" t="s">
        <v>4738</v>
      </c>
      <c r="E56" s="14" t="s">
        <v>1457</v>
      </c>
      <c r="F56" s="14" t="s">
        <v>96</v>
      </c>
      <c r="G56" s="18" t="s">
        <v>1458</v>
      </c>
      <c r="H56" s="18" t="s">
        <v>98</v>
      </c>
      <c r="I56" s="14" t="s">
        <v>30165</v>
      </c>
      <c r="J56" s="14">
        <v>1</v>
      </c>
      <c r="K56" s="14">
        <v>0</v>
      </c>
      <c r="L56" s="14" t="s">
        <v>30166</v>
      </c>
      <c r="M56" s="19" t="s">
        <v>101</v>
      </c>
      <c r="N56" s="14" t="s">
        <v>794</v>
      </c>
      <c r="O56" s="14" t="s">
        <v>30167</v>
      </c>
      <c r="P56" s="14" t="str">
        <f>HYPERLINK("https://dexscreener.com/solana/69xYAEKLeX9Ph4rQdp1hkATvyX9cczVcABcYpuaT2W3C", "View")</f>
        <v>View</v>
      </c>
    </row>
    <row r="57" spans="1:16" x14ac:dyDescent="0.25">
      <c r="A57" s="16" t="s">
        <v>30168</v>
      </c>
      <c r="B57" s="17">
        <v>11177436</v>
      </c>
      <c r="C57" s="17">
        <v>0</v>
      </c>
      <c r="D57" s="17" t="s">
        <v>4738</v>
      </c>
      <c r="E57" s="17" t="s">
        <v>2644</v>
      </c>
      <c r="F57" s="17" t="s">
        <v>96</v>
      </c>
      <c r="G57" s="18" t="s">
        <v>29072</v>
      </c>
      <c r="H57" s="18" t="s">
        <v>98</v>
      </c>
      <c r="I57" s="17" t="s">
        <v>30169</v>
      </c>
      <c r="J57" s="17">
        <v>1</v>
      </c>
      <c r="K57" s="17">
        <v>0</v>
      </c>
      <c r="L57" s="17" t="s">
        <v>30170</v>
      </c>
      <c r="M57" s="19" t="s">
        <v>101</v>
      </c>
      <c r="N57" s="17" t="s">
        <v>11294</v>
      </c>
      <c r="O57" s="17" t="s">
        <v>30171</v>
      </c>
      <c r="P57" s="17" t="str">
        <f>HYPERLINK("https://photon-sol.tinyastro.io/en/lp/HWFgWPGymxBHcPz1kW9qVaPHQUhsP9UncPR1TG8Ypump?handle=676050794bc1b1657a56b", "View")</f>
        <v>View</v>
      </c>
    </row>
    <row r="58" spans="1:16" x14ac:dyDescent="0.25">
      <c r="A58" s="13" t="s">
        <v>30172</v>
      </c>
      <c r="B58" s="14">
        <v>18007876</v>
      </c>
      <c r="C58" s="14">
        <v>0</v>
      </c>
      <c r="D58" s="14" t="s">
        <v>4754</v>
      </c>
      <c r="E58" s="14" t="s">
        <v>30173</v>
      </c>
      <c r="F58" s="14" t="s">
        <v>96</v>
      </c>
      <c r="G58" s="18" t="s">
        <v>30174</v>
      </c>
      <c r="H58" s="18" t="s">
        <v>98</v>
      </c>
      <c r="I58" s="14" t="s">
        <v>30175</v>
      </c>
      <c r="J58" s="14">
        <v>2</v>
      </c>
      <c r="K58" s="14">
        <v>0</v>
      </c>
      <c r="L58" s="14" t="s">
        <v>30176</v>
      </c>
      <c r="M58" s="19" t="s">
        <v>2826</v>
      </c>
      <c r="N58" s="14" t="s">
        <v>30177</v>
      </c>
      <c r="O58" s="14" t="s">
        <v>30178</v>
      </c>
      <c r="P58" s="14" t="str">
        <f>HYPERLINK("https://photon-sol.tinyastro.io/en/lp/8ZjxAgY79krNRcySxo6cqd3DAPFBpi2xgPZTmM8Npump?handle=676050794bc1b1657a56b", "View")</f>
        <v>View</v>
      </c>
    </row>
    <row r="59" spans="1:16" x14ac:dyDescent="0.25">
      <c r="A59" s="16" t="s">
        <v>3431</v>
      </c>
      <c r="B59" s="17">
        <v>14962791</v>
      </c>
      <c r="C59" s="17">
        <v>0</v>
      </c>
      <c r="D59" s="17" t="s">
        <v>4738</v>
      </c>
      <c r="E59" s="17" t="s">
        <v>19426</v>
      </c>
      <c r="F59" s="17" t="s">
        <v>96</v>
      </c>
      <c r="G59" s="18" t="s">
        <v>30179</v>
      </c>
      <c r="H59" s="18" t="s">
        <v>98</v>
      </c>
      <c r="I59" s="17" t="s">
        <v>30180</v>
      </c>
      <c r="J59" s="17">
        <v>1</v>
      </c>
      <c r="K59" s="17">
        <v>0</v>
      </c>
      <c r="L59" s="17" t="s">
        <v>30181</v>
      </c>
      <c r="M59" s="19" t="s">
        <v>101</v>
      </c>
      <c r="N59" s="17" t="s">
        <v>507</v>
      </c>
      <c r="O59" s="17" t="s">
        <v>3436</v>
      </c>
      <c r="P59" s="17" t="str">
        <f>HYPERLINK("https://photon-sol.tinyastro.io/en/lp/FGyujPrqkRsmjrfZWSwgWaHio9yj4HdSr5XNmZJWYUv?handle=676050794bc1b1657a56b", "View")</f>
        <v>View</v>
      </c>
    </row>
    <row r="60" spans="1:16" x14ac:dyDescent="0.25">
      <c r="A60" s="13" t="s">
        <v>12728</v>
      </c>
      <c r="B60" s="14">
        <v>4091035</v>
      </c>
      <c r="C60" s="14">
        <v>2794689</v>
      </c>
      <c r="D60" s="14" t="s">
        <v>4805</v>
      </c>
      <c r="E60" s="14" t="s">
        <v>1457</v>
      </c>
      <c r="F60" s="14" t="s">
        <v>30182</v>
      </c>
      <c r="G60" s="21" t="s">
        <v>30183</v>
      </c>
      <c r="H60" s="21" t="s">
        <v>30184</v>
      </c>
      <c r="I60" s="14" t="s">
        <v>88</v>
      </c>
      <c r="J60" s="14">
        <v>1</v>
      </c>
      <c r="K60" s="14">
        <v>3</v>
      </c>
      <c r="L60" s="14" t="s">
        <v>30185</v>
      </c>
      <c r="M60" s="14" t="s">
        <v>4985</v>
      </c>
      <c r="N60" s="14" t="s">
        <v>30186</v>
      </c>
      <c r="O60" s="14" t="s">
        <v>12734</v>
      </c>
      <c r="P60" s="14" t="str">
        <f>HYPERLINK("https://dexscreener.com/solana/2cBwLnG1jwm4B6yFGJ13mKJcUFvuZS8v3bq6JwVmpump", "View")</f>
        <v>View</v>
      </c>
    </row>
    <row r="61" spans="1:16" x14ac:dyDescent="0.25">
      <c r="A61" s="16" t="s">
        <v>30187</v>
      </c>
      <c r="B61" s="17">
        <v>4122990</v>
      </c>
      <c r="C61" s="17">
        <v>0</v>
      </c>
      <c r="D61" s="17" t="s">
        <v>4738</v>
      </c>
      <c r="E61" s="17" t="s">
        <v>569</v>
      </c>
      <c r="F61" s="17" t="s">
        <v>96</v>
      </c>
      <c r="G61" s="18" t="s">
        <v>877</v>
      </c>
      <c r="H61" s="18" t="s">
        <v>98</v>
      </c>
      <c r="I61" s="17" t="s">
        <v>30188</v>
      </c>
      <c r="J61" s="17">
        <v>1</v>
      </c>
      <c r="K61" s="17">
        <v>0</v>
      </c>
      <c r="L61" s="17" t="s">
        <v>30189</v>
      </c>
      <c r="M61" s="19" t="s">
        <v>101</v>
      </c>
      <c r="N61" s="17" t="s">
        <v>30190</v>
      </c>
      <c r="O61" s="17" t="s">
        <v>30191</v>
      </c>
      <c r="P61" s="17" t="str">
        <f>HYPERLINK("https://dexscreener.com/solana/CoUxXvFyK8GEaTSfgTQn8ktiRCyXz33bmuk24Affcvzk", "View")</f>
        <v>View</v>
      </c>
    </row>
    <row r="62" spans="1:16" x14ac:dyDescent="0.25">
      <c r="A62" s="13" t="s">
        <v>30192</v>
      </c>
      <c r="B62" s="14">
        <v>1301013</v>
      </c>
      <c r="C62" s="14">
        <v>0</v>
      </c>
      <c r="D62" s="14" t="s">
        <v>4738</v>
      </c>
      <c r="E62" s="14" t="s">
        <v>569</v>
      </c>
      <c r="F62" s="14" t="s">
        <v>96</v>
      </c>
      <c r="G62" s="18" t="s">
        <v>877</v>
      </c>
      <c r="H62" s="18" t="s">
        <v>98</v>
      </c>
      <c r="I62" s="14" t="s">
        <v>30193</v>
      </c>
      <c r="J62" s="14">
        <v>1</v>
      </c>
      <c r="K62" s="14">
        <v>0</v>
      </c>
      <c r="L62" s="14" t="s">
        <v>30194</v>
      </c>
      <c r="M62" s="19" t="s">
        <v>101</v>
      </c>
      <c r="N62" s="14" t="s">
        <v>30195</v>
      </c>
      <c r="O62" s="14" t="s">
        <v>30196</v>
      </c>
      <c r="P62" s="14" t="str">
        <f>HYPERLINK("https://dexscreener.com/solana/8Yvgqo1F1hU7XRzLmw9PW7p6bK9NPUp7PTKsw9qXpump", "View")</f>
        <v>View</v>
      </c>
    </row>
    <row r="63" spans="1:16" x14ac:dyDescent="0.25">
      <c r="A63" s="16" t="s">
        <v>30197</v>
      </c>
      <c r="B63" s="17">
        <v>9076714</v>
      </c>
      <c r="C63" s="17">
        <v>0</v>
      </c>
      <c r="D63" s="17" t="s">
        <v>4738</v>
      </c>
      <c r="E63" s="17" t="s">
        <v>1457</v>
      </c>
      <c r="F63" s="17" t="s">
        <v>96</v>
      </c>
      <c r="G63" s="18" t="s">
        <v>1458</v>
      </c>
      <c r="H63" s="18" t="s">
        <v>98</v>
      </c>
      <c r="I63" s="17" t="s">
        <v>30198</v>
      </c>
      <c r="J63" s="17">
        <v>1</v>
      </c>
      <c r="K63" s="17">
        <v>0</v>
      </c>
      <c r="L63" s="17" t="s">
        <v>30199</v>
      </c>
      <c r="M63" s="19" t="s">
        <v>101</v>
      </c>
      <c r="N63" s="17" t="s">
        <v>30200</v>
      </c>
      <c r="O63" s="17" t="s">
        <v>30201</v>
      </c>
      <c r="P63" s="17" t="str">
        <f>HYPERLINK("https://dexscreener.com/solana/62hntRDMKf7TK5rPKZ4NDJbZ2tkYbh9RhXBwH2USpump", "View")</f>
        <v>View</v>
      </c>
    </row>
    <row r="64" spans="1:16" x14ac:dyDescent="0.25">
      <c r="A64" s="13" t="s">
        <v>30202</v>
      </c>
      <c r="B64" s="14">
        <v>11867638</v>
      </c>
      <c r="C64" s="14">
        <v>0</v>
      </c>
      <c r="D64" s="14" t="s">
        <v>4738</v>
      </c>
      <c r="E64" s="14" t="s">
        <v>7149</v>
      </c>
      <c r="F64" s="14" t="s">
        <v>96</v>
      </c>
      <c r="G64" s="18" t="s">
        <v>30203</v>
      </c>
      <c r="H64" s="18" t="s">
        <v>98</v>
      </c>
      <c r="I64" s="14" t="s">
        <v>30204</v>
      </c>
      <c r="J64" s="14">
        <v>1</v>
      </c>
      <c r="K64" s="14">
        <v>0</v>
      </c>
      <c r="L64" s="14" t="s">
        <v>30205</v>
      </c>
      <c r="M64" s="19" t="s">
        <v>101</v>
      </c>
      <c r="N64" s="14" t="s">
        <v>8551</v>
      </c>
      <c r="O64" s="14" t="s">
        <v>30206</v>
      </c>
      <c r="P64" s="14" t="str">
        <f>HYPERLINK("https://photon-sol.tinyastro.io/en/lp/FWqKnt2wK5c8jAu8YLq5dByToUcPaLZA89DuDKTvESnj?handle=676050794bc1b1657a56b", "View")</f>
        <v>View</v>
      </c>
    </row>
    <row r="65" spans="1:16" x14ac:dyDescent="0.25">
      <c r="A65" s="16" t="s">
        <v>10039</v>
      </c>
      <c r="B65" s="17">
        <v>5520461</v>
      </c>
      <c r="C65" s="17">
        <v>0</v>
      </c>
      <c r="D65" s="17" t="s">
        <v>4738</v>
      </c>
      <c r="E65" s="17" t="s">
        <v>13588</v>
      </c>
      <c r="F65" s="17" t="s">
        <v>96</v>
      </c>
      <c r="G65" s="18" t="s">
        <v>21830</v>
      </c>
      <c r="H65" s="18" t="s">
        <v>98</v>
      </c>
      <c r="I65" s="17" t="s">
        <v>30207</v>
      </c>
      <c r="J65" s="17">
        <v>1</v>
      </c>
      <c r="K65" s="17">
        <v>0</v>
      </c>
      <c r="L65" s="17" t="s">
        <v>30208</v>
      </c>
      <c r="M65" s="19" t="s">
        <v>101</v>
      </c>
      <c r="N65" s="17" t="s">
        <v>507</v>
      </c>
      <c r="O65" s="17" t="s">
        <v>30209</v>
      </c>
      <c r="P65" s="17" t="str">
        <f>HYPERLINK("https://photon-sol.tinyastro.io/en/lp/MZHnGJSYfq8GxD7RELn5qShfUg1K7nMFFDntvRmDDqp?handle=676050794bc1b1657a56b", "View")</f>
        <v>View</v>
      </c>
    </row>
    <row r="66" spans="1:16" x14ac:dyDescent="0.25">
      <c r="A66" s="13" t="s">
        <v>29524</v>
      </c>
      <c r="B66" s="14">
        <v>5338129</v>
      </c>
      <c r="C66" s="14">
        <v>0</v>
      </c>
      <c r="D66" s="14" t="s">
        <v>4738</v>
      </c>
      <c r="E66" s="14" t="s">
        <v>1457</v>
      </c>
      <c r="F66" s="14" t="s">
        <v>96</v>
      </c>
      <c r="G66" s="18" t="s">
        <v>1458</v>
      </c>
      <c r="H66" s="18" t="s">
        <v>98</v>
      </c>
      <c r="I66" s="14" t="s">
        <v>30210</v>
      </c>
      <c r="J66" s="14">
        <v>1</v>
      </c>
      <c r="K66" s="14">
        <v>0</v>
      </c>
      <c r="L66" s="14" t="s">
        <v>30211</v>
      </c>
      <c r="M66" s="19" t="s">
        <v>101</v>
      </c>
      <c r="N66" s="14" t="s">
        <v>6378</v>
      </c>
      <c r="O66" s="14" t="s">
        <v>30212</v>
      </c>
      <c r="P66" s="14" t="str">
        <f>HYPERLINK("https://dexscreener.com/solana/144e3uj6SVCgviVvhpmShTrZQABuFbcyci6661w3pump", "View")</f>
        <v>View</v>
      </c>
    </row>
    <row r="67" spans="1:16" x14ac:dyDescent="0.25">
      <c r="A67" s="16" t="s">
        <v>10092</v>
      </c>
      <c r="B67" s="17">
        <v>24411168</v>
      </c>
      <c r="C67" s="17">
        <v>0</v>
      </c>
      <c r="D67" s="17" t="s">
        <v>4738</v>
      </c>
      <c r="E67" s="17" t="s">
        <v>1267</v>
      </c>
      <c r="F67" s="17" t="s">
        <v>96</v>
      </c>
      <c r="G67" s="18" t="s">
        <v>1268</v>
      </c>
      <c r="H67" s="18" t="s">
        <v>98</v>
      </c>
      <c r="I67" s="17" t="s">
        <v>30213</v>
      </c>
      <c r="J67" s="17">
        <v>1</v>
      </c>
      <c r="K67" s="17">
        <v>0</v>
      </c>
      <c r="L67" s="17" t="s">
        <v>30214</v>
      </c>
      <c r="M67" s="19" t="s">
        <v>101</v>
      </c>
      <c r="N67" s="17" t="s">
        <v>10850</v>
      </c>
      <c r="O67" s="17" t="s">
        <v>10096</v>
      </c>
      <c r="P67" s="17" t="str">
        <f>HYPERLINK("https://dexscreener.com/solana/E9NsgUHspPfAhxAQrJacEm8GWi4KAoCYTDStDkvxpump", "View")</f>
        <v>View</v>
      </c>
    </row>
    <row r="68" spans="1:16" x14ac:dyDescent="0.25">
      <c r="A68" s="13" t="s">
        <v>30215</v>
      </c>
      <c r="B68" s="14">
        <v>12290070</v>
      </c>
      <c r="C68" s="14">
        <v>0</v>
      </c>
      <c r="D68" s="14" t="s">
        <v>4738</v>
      </c>
      <c r="E68" s="14" t="s">
        <v>30216</v>
      </c>
      <c r="F68" s="14" t="s">
        <v>96</v>
      </c>
      <c r="G68" s="18" t="s">
        <v>30217</v>
      </c>
      <c r="H68" s="18" t="s">
        <v>98</v>
      </c>
      <c r="I68" s="14" t="s">
        <v>30218</v>
      </c>
      <c r="J68" s="14">
        <v>1</v>
      </c>
      <c r="K68" s="14">
        <v>0</v>
      </c>
      <c r="L68" s="14" t="s">
        <v>30219</v>
      </c>
      <c r="M68" s="19" t="s">
        <v>101</v>
      </c>
      <c r="N68" s="14" t="s">
        <v>30220</v>
      </c>
      <c r="O68" s="14" t="s">
        <v>30221</v>
      </c>
      <c r="P68" s="14" t="str">
        <f>HYPERLINK("https://photon-sol.tinyastro.io/en/lp/A7FQ9TfiCnnZjFVAA3DWtMqoPR99CYJsGzUuLQbBpump?handle=676050794bc1b1657a56b", "View")</f>
        <v>View</v>
      </c>
    </row>
    <row r="69" spans="1:16" x14ac:dyDescent="0.25">
      <c r="A69" s="16" t="s">
        <v>25065</v>
      </c>
      <c r="B69" s="17">
        <v>1185516</v>
      </c>
      <c r="C69" s="17">
        <v>0</v>
      </c>
      <c r="D69" s="17" t="s">
        <v>4738</v>
      </c>
      <c r="E69" s="17" t="s">
        <v>1124</v>
      </c>
      <c r="F69" s="17" t="s">
        <v>96</v>
      </c>
      <c r="G69" s="18" t="s">
        <v>30222</v>
      </c>
      <c r="H69" s="18" t="s">
        <v>98</v>
      </c>
      <c r="I69" s="17" t="s">
        <v>30223</v>
      </c>
      <c r="J69" s="17">
        <v>1</v>
      </c>
      <c r="K69" s="17">
        <v>0</v>
      </c>
      <c r="L69" s="17" t="s">
        <v>30224</v>
      </c>
      <c r="M69" s="19" t="s">
        <v>101</v>
      </c>
      <c r="N69" s="17" t="s">
        <v>30225</v>
      </c>
      <c r="O69" s="17" t="s">
        <v>25069</v>
      </c>
      <c r="P69" s="17" t="str">
        <f>HYPERLINK("https://dexscreener.com/solana/ErRNM6LhrSLVHt42m1FpMdretssiMaN7j6YM4hKnWcVM", "View")</f>
        <v>View</v>
      </c>
    </row>
    <row r="70" spans="1:16" x14ac:dyDescent="0.25">
      <c r="A70" s="13" t="s">
        <v>30226</v>
      </c>
      <c r="B70" s="14">
        <v>7236480</v>
      </c>
      <c r="C70" s="14">
        <v>4631347</v>
      </c>
      <c r="D70" s="14" t="s">
        <v>30227</v>
      </c>
      <c r="E70" s="14" t="s">
        <v>212</v>
      </c>
      <c r="F70" s="14" t="s">
        <v>30228</v>
      </c>
      <c r="G70" s="21" t="s">
        <v>30229</v>
      </c>
      <c r="H70" s="21" t="s">
        <v>30230</v>
      </c>
      <c r="I70" s="14" t="s">
        <v>88</v>
      </c>
      <c r="J70" s="14">
        <v>4</v>
      </c>
      <c r="K70" s="14">
        <v>3</v>
      </c>
      <c r="L70" s="14" t="s">
        <v>30231</v>
      </c>
      <c r="M70" s="14" t="s">
        <v>9534</v>
      </c>
      <c r="N70" s="14" t="s">
        <v>30232</v>
      </c>
      <c r="O70" s="14" t="s">
        <v>30233</v>
      </c>
      <c r="P70" s="14" t="str">
        <f>HYPERLINK("https://dexscreener.com/solana/7LRwrLyztjtusMxCknD4UXMs9f8Cvn3GTobjH4ctt8AN", "View")</f>
        <v>View</v>
      </c>
    </row>
    <row r="71" spans="1:16" x14ac:dyDescent="0.25">
      <c r="A71" s="16" t="s">
        <v>19075</v>
      </c>
      <c r="B71" s="17">
        <v>16861255</v>
      </c>
      <c r="C71" s="17">
        <v>0</v>
      </c>
      <c r="D71" s="17" t="s">
        <v>4754</v>
      </c>
      <c r="E71" s="17" t="s">
        <v>7656</v>
      </c>
      <c r="F71" s="17" t="s">
        <v>96</v>
      </c>
      <c r="G71" s="18" t="s">
        <v>30161</v>
      </c>
      <c r="H71" s="18" t="s">
        <v>98</v>
      </c>
      <c r="I71" s="17" t="s">
        <v>30234</v>
      </c>
      <c r="J71" s="17">
        <v>2</v>
      </c>
      <c r="K71" s="17">
        <v>0</v>
      </c>
      <c r="L71" s="17" t="s">
        <v>30235</v>
      </c>
      <c r="M71" s="17" t="s">
        <v>1434</v>
      </c>
      <c r="N71" s="17" t="s">
        <v>30236</v>
      </c>
      <c r="O71" s="17" t="s">
        <v>30237</v>
      </c>
      <c r="P71" s="17" t="str">
        <f>HYPERLINK("https://dexscreener.com/solana/FUpSAr2f3HF5sQ4YEFw1mYcvXfqs8k7qHRNEtW9ysPY7", "View")</f>
        <v>View</v>
      </c>
    </row>
    <row r="72" spans="1:16" x14ac:dyDescent="0.25">
      <c r="A72" s="13" t="s">
        <v>30238</v>
      </c>
      <c r="B72" s="14">
        <v>3069854</v>
      </c>
      <c r="C72" s="14">
        <v>3069854</v>
      </c>
      <c r="D72" s="14" t="s">
        <v>4754</v>
      </c>
      <c r="E72" s="14" t="s">
        <v>219</v>
      </c>
      <c r="F72" s="14" t="s">
        <v>1348</v>
      </c>
      <c r="G72" s="22" t="s">
        <v>2575</v>
      </c>
      <c r="H72" s="22" t="s">
        <v>30239</v>
      </c>
      <c r="I72" s="14" t="s">
        <v>88</v>
      </c>
      <c r="J72" s="14">
        <v>1</v>
      </c>
      <c r="K72" s="14">
        <v>1</v>
      </c>
      <c r="L72" s="14" t="s">
        <v>30240</v>
      </c>
      <c r="M72" s="14" t="s">
        <v>1932</v>
      </c>
      <c r="N72" s="14" t="s">
        <v>30241</v>
      </c>
      <c r="O72" s="14" t="s">
        <v>30242</v>
      </c>
      <c r="P72" s="14" t="str">
        <f>HYPERLINK("https://dexscreener.com/solana/6rzxx5bCej7aB5WQnDsvTvPxgpo5LENimtkRy5FL5xKo", "View")</f>
        <v>View</v>
      </c>
    </row>
    <row r="73" spans="1:16" x14ac:dyDescent="0.25">
      <c r="A73" s="16" t="s">
        <v>13335</v>
      </c>
      <c r="B73" s="17">
        <v>942458</v>
      </c>
      <c r="C73" s="17">
        <v>0</v>
      </c>
      <c r="D73" s="17" t="s">
        <v>4738</v>
      </c>
      <c r="E73" s="17" t="s">
        <v>1457</v>
      </c>
      <c r="F73" s="17" t="s">
        <v>96</v>
      </c>
      <c r="G73" s="18" t="s">
        <v>1458</v>
      </c>
      <c r="H73" s="18" t="s">
        <v>98</v>
      </c>
      <c r="I73" s="17" t="s">
        <v>30243</v>
      </c>
      <c r="J73" s="17">
        <v>1</v>
      </c>
      <c r="K73" s="17">
        <v>0</v>
      </c>
      <c r="L73" s="17" t="s">
        <v>30244</v>
      </c>
      <c r="M73" s="19" t="s">
        <v>101</v>
      </c>
      <c r="N73" s="17" t="s">
        <v>30245</v>
      </c>
      <c r="O73" s="17" t="s">
        <v>18774</v>
      </c>
      <c r="P73" s="17" t="str">
        <f>HYPERLINK("https://dexscreener.com/solana/DHoadXCbf6TcadkcMGJ8kFRdDa2sXPQ1KrgodUDRpump", "View")</f>
        <v>View</v>
      </c>
    </row>
    <row r="74" spans="1:16" x14ac:dyDescent="0.25">
      <c r="A74" s="13" t="s">
        <v>30246</v>
      </c>
      <c r="B74" s="14">
        <v>7795531</v>
      </c>
      <c r="C74" s="14">
        <v>0</v>
      </c>
      <c r="D74" s="14" t="s">
        <v>4782</v>
      </c>
      <c r="E74" s="14" t="s">
        <v>2390</v>
      </c>
      <c r="F74" s="14" t="s">
        <v>96</v>
      </c>
      <c r="G74" s="18" t="s">
        <v>30029</v>
      </c>
      <c r="H74" s="18" t="s">
        <v>98</v>
      </c>
      <c r="I74" s="14" t="s">
        <v>30247</v>
      </c>
      <c r="J74" s="14">
        <v>3</v>
      </c>
      <c r="K74" s="14">
        <v>0</v>
      </c>
      <c r="L74" s="14" t="s">
        <v>30248</v>
      </c>
      <c r="M74" s="14" t="s">
        <v>4719</v>
      </c>
      <c r="N74" s="14" t="s">
        <v>30249</v>
      </c>
      <c r="O74" s="14" t="s">
        <v>30250</v>
      </c>
      <c r="P74" s="14" t="str">
        <f>HYPERLINK("https://dexscreener.com/solana/FdniK3BrfdcdBntCjDzBU4ikXdy1yH7hJJTF3eP2pump", "View")</f>
        <v>View</v>
      </c>
    </row>
    <row r="75" spans="1:16" x14ac:dyDescent="0.25">
      <c r="A75" s="16" t="s">
        <v>30251</v>
      </c>
      <c r="B75" s="17">
        <v>4788731</v>
      </c>
      <c r="C75" s="17">
        <v>0</v>
      </c>
      <c r="D75" s="17" t="s">
        <v>4738</v>
      </c>
      <c r="E75" s="17" t="s">
        <v>13588</v>
      </c>
      <c r="F75" s="17" t="s">
        <v>96</v>
      </c>
      <c r="G75" s="18" t="s">
        <v>21830</v>
      </c>
      <c r="H75" s="18" t="s">
        <v>98</v>
      </c>
      <c r="I75" s="17" t="s">
        <v>30252</v>
      </c>
      <c r="J75" s="17">
        <v>1</v>
      </c>
      <c r="K75" s="17">
        <v>0</v>
      </c>
      <c r="L75" s="17" t="s">
        <v>30253</v>
      </c>
      <c r="M75" s="19" t="s">
        <v>101</v>
      </c>
      <c r="N75" s="17" t="s">
        <v>30254</v>
      </c>
      <c r="O75" s="17" t="s">
        <v>30255</v>
      </c>
      <c r="P75" s="17" t="str">
        <f>HYPERLINK("https://photon-sol.tinyastro.io/en/lp/4aRVGE1TvAjxsPggECAbBSSaoxNXZDkci6fnDC5Cpump?handle=676050794bc1b1657a56b", "View")</f>
        <v>View</v>
      </c>
    </row>
    <row r="76" spans="1:16" x14ac:dyDescent="0.25">
      <c r="A76" s="13" t="s">
        <v>21145</v>
      </c>
      <c r="B76" s="14">
        <v>738684</v>
      </c>
      <c r="C76" s="14">
        <v>0</v>
      </c>
      <c r="D76" s="14" t="s">
        <v>4738</v>
      </c>
      <c r="E76" s="14" t="s">
        <v>1007</v>
      </c>
      <c r="F76" s="14" t="s">
        <v>96</v>
      </c>
      <c r="G76" s="18" t="s">
        <v>1008</v>
      </c>
      <c r="H76" s="18" t="s">
        <v>98</v>
      </c>
      <c r="I76" s="14" t="s">
        <v>30256</v>
      </c>
      <c r="J76" s="14">
        <v>1</v>
      </c>
      <c r="K76" s="14">
        <v>0</v>
      </c>
      <c r="L76" s="14" t="s">
        <v>30257</v>
      </c>
      <c r="M76" s="19" t="s">
        <v>101</v>
      </c>
      <c r="N76" s="14" t="s">
        <v>30258</v>
      </c>
      <c r="O76" s="14" t="s">
        <v>21594</v>
      </c>
      <c r="P76" s="14" t="str">
        <f>HYPERLINK("https://dexscreener.com/solana/ASYYqwd3opdXHmmK3KSDHrtB1gCmZzB8PA8QVbaB39Qx", "View")</f>
        <v>View</v>
      </c>
    </row>
    <row r="77" spans="1:16" x14ac:dyDescent="0.25">
      <c r="A77" s="16" t="s">
        <v>5566</v>
      </c>
      <c r="B77" s="17">
        <v>1623969</v>
      </c>
      <c r="C77" s="17">
        <v>0</v>
      </c>
      <c r="D77" s="17" t="s">
        <v>4738</v>
      </c>
      <c r="E77" s="17" t="s">
        <v>1457</v>
      </c>
      <c r="F77" s="17" t="s">
        <v>96</v>
      </c>
      <c r="G77" s="18" t="s">
        <v>1458</v>
      </c>
      <c r="H77" s="18" t="s">
        <v>98</v>
      </c>
      <c r="I77" s="17" t="s">
        <v>30259</v>
      </c>
      <c r="J77" s="17">
        <v>1</v>
      </c>
      <c r="K77" s="17">
        <v>0</v>
      </c>
      <c r="L77" s="17" t="s">
        <v>9197</v>
      </c>
      <c r="M77" s="19" t="s">
        <v>101</v>
      </c>
      <c r="N77" s="17" t="s">
        <v>30260</v>
      </c>
      <c r="O77" s="17" t="s">
        <v>5570</v>
      </c>
      <c r="P77" s="17" t="str">
        <f>HYPERLINK("https://dexscreener.com/solana/3qrEHV8zMR8BySfkQUCVQRnqjSDaCr9str6gRgRspump", "View")</f>
        <v>View</v>
      </c>
    </row>
    <row r="78" spans="1:16" x14ac:dyDescent="0.25">
      <c r="A78" s="13" t="s">
        <v>5571</v>
      </c>
      <c r="B78" s="14">
        <v>905103</v>
      </c>
      <c r="C78" s="14">
        <v>0</v>
      </c>
      <c r="D78" s="14" t="s">
        <v>4738</v>
      </c>
      <c r="E78" s="14" t="s">
        <v>1457</v>
      </c>
      <c r="F78" s="14" t="s">
        <v>96</v>
      </c>
      <c r="G78" s="18" t="s">
        <v>1458</v>
      </c>
      <c r="H78" s="18" t="s">
        <v>98</v>
      </c>
      <c r="I78" s="14" t="s">
        <v>30261</v>
      </c>
      <c r="J78" s="14">
        <v>1</v>
      </c>
      <c r="K78" s="14">
        <v>0</v>
      </c>
      <c r="L78" s="14" t="s">
        <v>30262</v>
      </c>
      <c r="M78" s="19" t="s">
        <v>101</v>
      </c>
      <c r="N78" s="14" t="s">
        <v>30263</v>
      </c>
      <c r="O78" s="14" t="s">
        <v>5577</v>
      </c>
      <c r="P78" s="14" t="str">
        <f>HYPERLINK("https://dexscreener.com/solana/2aPiXF1oruhA75AJUTUwPE8N5vW2a2sjnMvJdmpopump", "View")</f>
        <v>View</v>
      </c>
    </row>
    <row r="79" spans="1:16" x14ac:dyDescent="0.25">
      <c r="A79" s="16" t="s">
        <v>19384</v>
      </c>
      <c r="B79" s="17">
        <v>12405498</v>
      </c>
      <c r="C79" s="17">
        <v>0</v>
      </c>
      <c r="D79" s="17" t="s">
        <v>4738</v>
      </c>
      <c r="E79" s="17" t="s">
        <v>1457</v>
      </c>
      <c r="F79" s="17" t="s">
        <v>96</v>
      </c>
      <c r="G79" s="18" t="s">
        <v>1458</v>
      </c>
      <c r="H79" s="18" t="s">
        <v>98</v>
      </c>
      <c r="I79" s="17" t="s">
        <v>30264</v>
      </c>
      <c r="J79" s="17">
        <v>1</v>
      </c>
      <c r="K79" s="17">
        <v>0</v>
      </c>
      <c r="L79" s="17" t="s">
        <v>30265</v>
      </c>
      <c r="M79" s="19" t="s">
        <v>101</v>
      </c>
      <c r="N79" s="17" t="s">
        <v>30266</v>
      </c>
      <c r="O79" s="17" t="s">
        <v>19387</v>
      </c>
      <c r="P79" s="17" t="str">
        <f>HYPERLINK("https://dexscreener.com/solana/55kg2An8ucQzEzXpvNVpYXq9579dETmgkbYVud1vpump", "View")</f>
        <v>View</v>
      </c>
    </row>
    <row r="80" spans="1:16" x14ac:dyDescent="0.25">
      <c r="A80" s="13" t="s">
        <v>29670</v>
      </c>
      <c r="B80" s="14">
        <v>32136491</v>
      </c>
      <c r="C80" s="14">
        <v>0</v>
      </c>
      <c r="D80" s="14" t="s">
        <v>4805</v>
      </c>
      <c r="E80" s="14" t="s">
        <v>105</v>
      </c>
      <c r="F80" s="14" t="s">
        <v>96</v>
      </c>
      <c r="G80" s="18" t="s">
        <v>890</v>
      </c>
      <c r="H80" s="18" t="s">
        <v>98</v>
      </c>
      <c r="I80" s="14" t="s">
        <v>30267</v>
      </c>
      <c r="J80" s="14">
        <v>4</v>
      </c>
      <c r="K80" s="14">
        <v>0</v>
      </c>
      <c r="L80" s="14" t="s">
        <v>30268</v>
      </c>
      <c r="M80" s="14" t="s">
        <v>1705</v>
      </c>
      <c r="N80" s="14" t="s">
        <v>30269</v>
      </c>
      <c r="O80" s="14" t="s">
        <v>29674</v>
      </c>
      <c r="P80" s="14" t="str">
        <f>HYPERLINK("https://dexscreener.com/solana/9CA4oDuvnP5oULiechySPf6FxnNS7JmG1VL19X5spump", "View")</f>
        <v>View</v>
      </c>
    </row>
    <row r="81" spans="1:16" x14ac:dyDescent="0.25">
      <c r="A81" s="16" t="s">
        <v>13165</v>
      </c>
      <c r="B81" s="17">
        <v>16412295</v>
      </c>
      <c r="C81" s="17">
        <v>0</v>
      </c>
      <c r="D81" s="17" t="s">
        <v>4738</v>
      </c>
      <c r="E81" s="17" t="s">
        <v>1457</v>
      </c>
      <c r="F81" s="17" t="s">
        <v>96</v>
      </c>
      <c r="G81" s="18" t="s">
        <v>1458</v>
      </c>
      <c r="H81" s="18" t="s">
        <v>98</v>
      </c>
      <c r="I81" s="17" t="s">
        <v>30270</v>
      </c>
      <c r="J81" s="17">
        <v>1</v>
      </c>
      <c r="K81" s="17">
        <v>0</v>
      </c>
      <c r="L81" s="17" t="s">
        <v>30271</v>
      </c>
      <c r="M81" s="19" t="s">
        <v>101</v>
      </c>
      <c r="N81" s="17" t="s">
        <v>30272</v>
      </c>
      <c r="O81" s="17" t="s">
        <v>25454</v>
      </c>
      <c r="P81" s="17" t="str">
        <f>HYPERLINK("https://dexscreener.com/solana/4f9Nc1vPWvcbGP9Zfi6TWD9tApyMgBrqmXexNZnR4Wmo", "View")</f>
        <v>View</v>
      </c>
    </row>
    <row r="82" spans="1:16" x14ac:dyDescent="0.25">
      <c r="A82" s="13" t="s">
        <v>10184</v>
      </c>
      <c r="B82" s="14">
        <v>3517738</v>
      </c>
      <c r="C82" s="14">
        <v>1758869</v>
      </c>
      <c r="D82" s="14" t="s">
        <v>4754</v>
      </c>
      <c r="E82" s="14" t="s">
        <v>1124</v>
      </c>
      <c r="F82" s="14" t="s">
        <v>771</v>
      </c>
      <c r="G82" s="20" t="s">
        <v>30273</v>
      </c>
      <c r="H82" s="20" t="s">
        <v>30274</v>
      </c>
      <c r="I82" s="14" t="s">
        <v>88</v>
      </c>
      <c r="J82" s="14">
        <v>1</v>
      </c>
      <c r="K82" s="14">
        <v>1</v>
      </c>
      <c r="L82" s="14" t="s">
        <v>30275</v>
      </c>
      <c r="M82" s="14" t="s">
        <v>5702</v>
      </c>
      <c r="N82" s="14" t="s">
        <v>30276</v>
      </c>
      <c r="O82" s="14" t="s">
        <v>10188</v>
      </c>
      <c r="P82" s="14" t="str">
        <f>HYPERLINK("https://dexscreener.com/solana/FXPn4kM8M252tbRXV4mvdqSQvY6jrg3J5cuRCphXpump", "View")</f>
        <v>View</v>
      </c>
    </row>
    <row r="83" spans="1:16" x14ac:dyDescent="0.25">
      <c r="A83" s="16" t="s">
        <v>6954</v>
      </c>
      <c r="B83" s="17">
        <v>6851144</v>
      </c>
      <c r="C83" s="17">
        <v>0</v>
      </c>
      <c r="D83" s="17" t="s">
        <v>4754</v>
      </c>
      <c r="E83" s="17" t="s">
        <v>340</v>
      </c>
      <c r="F83" s="17" t="s">
        <v>96</v>
      </c>
      <c r="G83" s="18" t="s">
        <v>1211</v>
      </c>
      <c r="H83" s="18" t="s">
        <v>98</v>
      </c>
      <c r="I83" s="17" t="s">
        <v>30277</v>
      </c>
      <c r="J83" s="17">
        <v>2</v>
      </c>
      <c r="K83" s="17">
        <v>0</v>
      </c>
      <c r="L83" s="17" t="s">
        <v>30278</v>
      </c>
      <c r="M83" s="19" t="s">
        <v>2122</v>
      </c>
      <c r="N83" s="17" t="s">
        <v>30279</v>
      </c>
      <c r="O83" s="17" t="s">
        <v>6962</v>
      </c>
      <c r="P83" s="17" t="str">
        <f>HYPERLINK("https://dexscreener.com/solana/E5B5yyJWgNSQCHELcPWHsHPmpxj97rTnifNo28RXpump", "View")</f>
        <v>View</v>
      </c>
    </row>
    <row r="84" spans="1:16" x14ac:dyDescent="0.25">
      <c r="A84" s="13" t="s">
        <v>3719</v>
      </c>
      <c r="B84" s="14">
        <v>114638</v>
      </c>
      <c r="C84" s="14">
        <v>114638</v>
      </c>
      <c r="D84" s="14" t="s">
        <v>4754</v>
      </c>
      <c r="E84" s="14" t="s">
        <v>569</v>
      </c>
      <c r="F84" s="14" t="s">
        <v>30280</v>
      </c>
      <c r="G84" s="21" t="s">
        <v>30281</v>
      </c>
      <c r="H84" s="21" t="s">
        <v>30282</v>
      </c>
      <c r="I84" s="14" t="s">
        <v>88</v>
      </c>
      <c r="J84" s="14">
        <v>1</v>
      </c>
      <c r="K84" s="14">
        <v>1</v>
      </c>
      <c r="L84" s="14" t="s">
        <v>30283</v>
      </c>
      <c r="M84" s="14" t="s">
        <v>680</v>
      </c>
      <c r="N84" s="14" t="s">
        <v>30284</v>
      </c>
      <c r="O84" s="14" t="s">
        <v>3725</v>
      </c>
      <c r="P84" s="14" t="str">
        <f>HYPERLINK("https://dexscreener.com/solana/4TcqMXdZBjxirf2vtYikWt1ix3YoHJoFAZwrqe39pump", "View")</f>
        <v>View</v>
      </c>
    </row>
    <row r="85" spans="1:16" x14ac:dyDescent="0.25">
      <c r="A85" s="16" t="s">
        <v>3719</v>
      </c>
      <c r="B85" s="17">
        <v>24891189</v>
      </c>
      <c r="C85" s="17">
        <v>0</v>
      </c>
      <c r="D85" s="17" t="s">
        <v>4738</v>
      </c>
      <c r="E85" s="17" t="s">
        <v>1457</v>
      </c>
      <c r="F85" s="17" t="s">
        <v>96</v>
      </c>
      <c r="G85" s="18" t="s">
        <v>1458</v>
      </c>
      <c r="H85" s="18" t="s">
        <v>98</v>
      </c>
      <c r="I85" s="17" t="s">
        <v>30285</v>
      </c>
      <c r="J85" s="17">
        <v>1</v>
      </c>
      <c r="K85" s="17">
        <v>0</v>
      </c>
      <c r="L85" s="17" t="s">
        <v>30286</v>
      </c>
      <c r="M85" s="19" t="s">
        <v>101</v>
      </c>
      <c r="N85" s="17" t="s">
        <v>955</v>
      </c>
      <c r="O85" s="17" t="s">
        <v>30287</v>
      </c>
      <c r="P85" s="17" t="str">
        <f>HYPERLINK("https://dexscreener.com/solana/6rSjoegunjMh6aQR9XTgHnxtXGXPnw4dZ598e9BFpump", "View")</f>
        <v>View</v>
      </c>
    </row>
    <row r="86" spans="1:16" x14ac:dyDescent="0.25">
      <c r="A86" s="13" t="s">
        <v>30288</v>
      </c>
      <c r="B86" s="14">
        <v>2870727</v>
      </c>
      <c r="C86" s="14">
        <v>0</v>
      </c>
      <c r="D86" s="14" t="s">
        <v>4738</v>
      </c>
      <c r="E86" s="14" t="s">
        <v>1457</v>
      </c>
      <c r="F86" s="14" t="s">
        <v>96</v>
      </c>
      <c r="G86" s="18" t="s">
        <v>1458</v>
      </c>
      <c r="H86" s="18" t="s">
        <v>98</v>
      </c>
      <c r="I86" s="14" t="s">
        <v>30289</v>
      </c>
      <c r="J86" s="14">
        <v>1</v>
      </c>
      <c r="K86" s="14">
        <v>0</v>
      </c>
      <c r="L86" s="14" t="s">
        <v>30290</v>
      </c>
      <c r="M86" s="19" t="s">
        <v>101</v>
      </c>
      <c r="N86" s="14" t="s">
        <v>18869</v>
      </c>
      <c r="O86" s="14" t="s">
        <v>30291</v>
      </c>
      <c r="P86" s="14" t="str">
        <f>HYPERLINK("https://dexscreener.com/solana/qtcA7YoqGHybqFhBi8MjaU4rgppRepffxsPU167pump", "View")</f>
        <v>View</v>
      </c>
    </row>
    <row r="87" spans="1:16" x14ac:dyDescent="0.25">
      <c r="A87" s="16" t="s">
        <v>21628</v>
      </c>
      <c r="B87" s="17">
        <v>1276676</v>
      </c>
      <c r="C87" s="17">
        <v>0</v>
      </c>
      <c r="D87" s="17" t="s">
        <v>4754</v>
      </c>
      <c r="E87" s="17" t="s">
        <v>219</v>
      </c>
      <c r="F87" s="17" t="s">
        <v>96</v>
      </c>
      <c r="G87" s="18" t="s">
        <v>871</v>
      </c>
      <c r="H87" s="18" t="s">
        <v>98</v>
      </c>
      <c r="I87" s="17" t="s">
        <v>30292</v>
      </c>
      <c r="J87" s="17">
        <v>2</v>
      </c>
      <c r="K87" s="17">
        <v>0</v>
      </c>
      <c r="L87" s="17" t="s">
        <v>30293</v>
      </c>
      <c r="M87" s="17" t="s">
        <v>1566</v>
      </c>
      <c r="N87" s="17" t="s">
        <v>30294</v>
      </c>
      <c r="O87" s="17" t="s">
        <v>21632</v>
      </c>
      <c r="P87" s="17" t="str">
        <f>HYPERLINK("https://dexscreener.com/solana/2ho4cNvfFV9DWvw7DzCqrN2HMRdvzYJFHTR2Ts8Kpump", "View")</f>
        <v>View</v>
      </c>
    </row>
    <row r="88" spans="1:16" x14ac:dyDescent="0.25">
      <c r="A88" s="13" t="s">
        <v>21936</v>
      </c>
      <c r="B88" s="14">
        <v>16284981</v>
      </c>
      <c r="C88" s="14">
        <v>0</v>
      </c>
      <c r="D88" s="14" t="s">
        <v>4738</v>
      </c>
      <c r="E88" s="14" t="s">
        <v>1457</v>
      </c>
      <c r="F88" s="14" t="s">
        <v>96</v>
      </c>
      <c r="G88" s="18" t="s">
        <v>1458</v>
      </c>
      <c r="H88" s="18" t="s">
        <v>98</v>
      </c>
      <c r="I88" s="14" t="s">
        <v>30295</v>
      </c>
      <c r="J88" s="14">
        <v>1</v>
      </c>
      <c r="K88" s="14">
        <v>0</v>
      </c>
      <c r="L88" s="14" t="s">
        <v>30296</v>
      </c>
      <c r="M88" s="19" t="s">
        <v>101</v>
      </c>
      <c r="N88" s="14" t="s">
        <v>3962</v>
      </c>
      <c r="O88" s="14" t="s">
        <v>21943</v>
      </c>
      <c r="P88" s="14" t="str">
        <f>HYPERLINK("https://dexscreener.com/solana/DfFXNtqWf37ToztB3tKQqbcdA9rQCX8TU3WHPaYApump", "View")</f>
        <v>View</v>
      </c>
    </row>
    <row r="89" spans="1:16" x14ac:dyDescent="0.25">
      <c r="A89" s="16" t="s">
        <v>30297</v>
      </c>
      <c r="B89" s="17">
        <v>19476508</v>
      </c>
      <c r="C89" s="17">
        <v>0</v>
      </c>
      <c r="D89" s="17" t="s">
        <v>4738</v>
      </c>
      <c r="E89" s="17" t="s">
        <v>30298</v>
      </c>
      <c r="F89" s="17" t="s">
        <v>96</v>
      </c>
      <c r="G89" s="18" t="s">
        <v>10164</v>
      </c>
      <c r="H89" s="18" t="s">
        <v>98</v>
      </c>
      <c r="I89" s="17" t="s">
        <v>30299</v>
      </c>
      <c r="J89" s="17">
        <v>1</v>
      </c>
      <c r="K89" s="17">
        <v>0</v>
      </c>
      <c r="L89" s="17" t="s">
        <v>30300</v>
      </c>
      <c r="M89" s="19" t="s">
        <v>101</v>
      </c>
      <c r="N89" s="17" t="s">
        <v>556</v>
      </c>
      <c r="O89" s="17" t="s">
        <v>30301</v>
      </c>
      <c r="P89" s="17" t="str">
        <f>HYPERLINK("https://photon-sol.tinyastro.io/en/lp/2nVvcPoTDVKk7dqRzGwFGAPz3HGbP27v8vydtSsjpump?handle=676050794bc1b1657a56b", "View")</f>
        <v>View</v>
      </c>
    </row>
    <row r="90" spans="1:16" x14ac:dyDescent="0.25">
      <c r="A90" s="13" t="s">
        <v>5899</v>
      </c>
      <c r="B90" s="14">
        <v>1812534</v>
      </c>
      <c r="C90" s="14">
        <v>0</v>
      </c>
      <c r="D90" s="14" t="s">
        <v>4738</v>
      </c>
      <c r="E90" s="14" t="s">
        <v>569</v>
      </c>
      <c r="F90" s="14" t="s">
        <v>96</v>
      </c>
      <c r="G90" s="18" t="s">
        <v>877</v>
      </c>
      <c r="H90" s="18" t="s">
        <v>98</v>
      </c>
      <c r="I90" s="14" t="s">
        <v>30302</v>
      </c>
      <c r="J90" s="14">
        <v>1</v>
      </c>
      <c r="K90" s="14">
        <v>0</v>
      </c>
      <c r="L90" s="14" t="s">
        <v>30303</v>
      </c>
      <c r="M90" s="19" t="s">
        <v>101</v>
      </c>
      <c r="N90" s="14" t="s">
        <v>30304</v>
      </c>
      <c r="O90" s="14" t="s">
        <v>19287</v>
      </c>
      <c r="P90" s="14" t="str">
        <f>HYPERLINK("https://dexscreener.com/solana/GLz7XZbAuqakNKqpheYFZfkj7gcY3K3RxFLQPqFpump", "View")</f>
        <v>View</v>
      </c>
    </row>
    <row r="91" spans="1:16" x14ac:dyDescent="0.25">
      <c r="A91" s="16" t="s">
        <v>30305</v>
      </c>
      <c r="B91" s="17">
        <v>16943449</v>
      </c>
      <c r="C91" s="17">
        <v>0</v>
      </c>
      <c r="D91" s="17" t="s">
        <v>4754</v>
      </c>
      <c r="E91" s="17" t="s">
        <v>219</v>
      </c>
      <c r="F91" s="17" t="s">
        <v>96</v>
      </c>
      <c r="G91" s="18" t="s">
        <v>871</v>
      </c>
      <c r="H91" s="18" t="s">
        <v>98</v>
      </c>
      <c r="I91" s="17" t="s">
        <v>30306</v>
      </c>
      <c r="J91" s="17">
        <v>2</v>
      </c>
      <c r="K91" s="17">
        <v>0</v>
      </c>
      <c r="L91" s="17" t="s">
        <v>30307</v>
      </c>
      <c r="M91" s="19" t="s">
        <v>1752</v>
      </c>
      <c r="N91" s="17" t="s">
        <v>30308</v>
      </c>
      <c r="O91" s="17" t="s">
        <v>30309</v>
      </c>
      <c r="P91" s="17" t="str">
        <f>HYPERLINK("https://dexscreener.com/solana/BEGZpbEFqjkqwXYMU7iUknt7sW36J3bH2dKKZVVUpump", "View")</f>
        <v>View</v>
      </c>
    </row>
    <row r="92" spans="1:16" x14ac:dyDescent="0.25">
      <c r="A92" s="13" t="s">
        <v>30310</v>
      </c>
      <c r="B92" s="14">
        <v>11151296</v>
      </c>
      <c r="C92" s="14">
        <v>0</v>
      </c>
      <c r="D92" s="14" t="s">
        <v>4738</v>
      </c>
      <c r="E92" s="14" t="s">
        <v>2644</v>
      </c>
      <c r="F92" s="14" t="s">
        <v>96</v>
      </c>
      <c r="G92" s="18" t="s">
        <v>29072</v>
      </c>
      <c r="H92" s="18" t="s">
        <v>98</v>
      </c>
      <c r="I92" s="14" t="s">
        <v>30311</v>
      </c>
      <c r="J92" s="14">
        <v>1</v>
      </c>
      <c r="K92" s="14">
        <v>0</v>
      </c>
      <c r="L92" s="14" t="s">
        <v>30312</v>
      </c>
      <c r="M92" s="19" t="s">
        <v>101</v>
      </c>
      <c r="N92" s="14" t="s">
        <v>21867</v>
      </c>
      <c r="O92" s="14" t="s">
        <v>30313</v>
      </c>
      <c r="P92" s="14" t="str">
        <f>HYPERLINK("https://photon-sol.tinyastro.io/en/lp/ADVzHqPLrEhC4M1U4nbJTYaKHVoq2ZryNfePFPvfpump?handle=676050794bc1b1657a56b", "View")</f>
        <v>View</v>
      </c>
    </row>
    <row r="93" spans="1:16" x14ac:dyDescent="0.25">
      <c r="A93" s="16" t="s">
        <v>27691</v>
      </c>
      <c r="B93" s="17">
        <v>1056269</v>
      </c>
      <c r="C93" s="17">
        <v>0</v>
      </c>
      <c r="D93" s="17" t="s">
        <v>4738</v>
      </c>
      <c r="E93" s="17" t="s">
        <v>1457</v>
      </c>
      <c r="F93" s="17" t="s">
        <v>96</v>
      </c>
      <c r="G93" s="18" t="s">
        <v>1458</v>
      </c>
      <c r="H93" s="18" t="s">
        <v>98</v>
      </c>
      <c r="I93" s="17" t="s">
        <v>30314</v>
      </c>
      <c r="J93" s="17">
        <v>1</v>
      </c>
      <c r="K93" s="17">
        <v>0</v>
      </c>
      <c r="L93" s="17" t="s">
        <v>30315</v>
      </c>
      <c r="M93" s="19" t="s">
        <v>101</v>
      </c>
      <c r="N93" s="17" t="s">
        <v>30316</v>
      </c>
      <c r="O93" s="17" t="s">
        <v>27696</v>
      </c>
      <c r="P93" s="17" t="str">
        <f>HYPERLINK("https://dexscreener.com/solana/Ctkd5XNt9SAYVgdoD36BQw7cTktjMAUJ954kah1Hpump", "View")</f>
        <v>View</v>
      </c>
    </row>
    <row r="94" spans="1:16" x14ac:dyDescent="0.25">
      <c r="A94" s="13" t="s">
        <v>889</v>
      </c>
      <c r="B94" s="14">
        <v>1715140</v>
      </c>
      <c r="C94" s="14">
        <v>0</v>
      </c>
      <c r="D94" s="14" t="s">
        <v>4738</v>
      </c>
      <c r="E94" s="14" t="s">
        <v>1457</v>
      </c>
      <c r="F94" s="14" t="s">
        <v>96</v>
      </c>
      <c r="G94" s="18" t="s">
        <v>1458</v>
      </c>
      <c r="H94" s="18" t="s">
        <v>98</v>
      </c>
      <c r="I94" s="14" t="s">
        <v>30317</v>
      </c>
      <c r="J94" s="14">
        <v>1</v>
      </c>
      <c r="K94" s="14">
        <v>0</v>
      </c>
      <c r="L94" s="14" t="s">
        <v>30318</v>
      </c>
      <c r="M94" s="19" t="s">
        <v>101</v>
      </c>
      <c r="N94" s="14" t="s">
        <v>30319</v>
      </c>
      <c r="O94" s="14" t="s">
        <v>894</v>
      </c>
      <c r="P94" s="14" t="str">
        <f>HYPERLINK("https://dexscreener.com/solana/A1mvjhm4nTxGSHuW1EYqpkSMfQxjdTapbcVHLgm1pump", "View")</f>
        <v>View</v>
      </c>
    </row>
    <row r="95" spans="1:16" x14ac:dyDescent="0.25">
      <c r="A95" s="16" t="s">
        <v>30320</v>
      </c>
      <c r="B95" s="17">
        <v>25421381</v>
      </c>
      <c r="C95" s="17">
        <v>0</v>
      </c>
      <c r="D95" s="17" t="s">
        <v>4805</v>
      </c>
      <c r="E95" s="17" t="s">
        <v>174</v>
      </c>
      <c r="F95" s="17" t="s">
        <v>96</v>
      </c>
      <c r="G95" s="18" t="s">
        <v>907</v>
      </c>
      <c r="H95" s="18" t="s">
        <v>98</v>
      </c>
      <c r="I95" s="17" t="s">
        <v>30321</v>
      </c>
      <c r="J95" s="17">
        <v>4</v>
      </c>
      <c r="K95" s="17">
        <v>0</v>
      </c>
      <c r="L95" s="17" t="s">
        <v>30322</v>
      </c>
      <c r="M95" s="17" t="s">
        <v>1434</v>
      </c>
      <c r="N95" s="17" t="s">
        <v>30323</v>
      </c>
      <c r="O95" s="17" t="s">
        <v>30324</v>
      </c>
      <c r="P95" s="17" t="str">
        <f>HYPERLINK("https://dexscreener.com/solana/FPpUFFAr7pmwGA4sqhwRBFJ4oB5URjWensimfL3zpump", "View")</f>
        <v>View</v>
      </c>
    </row>
    <row r="96" spans="1:16" x14ac:dyDescent="0.25">
      <c r="A96" s="13" t="s">
        <v>30325</v>
      </c>
      <c r="B96" s="14">
        <v>3593167</v>
      </c>
      <c r="C96" s="14">
        <v>0</v>
      </c>
      <c r="D96" s="14" t="s">
        <v>4738</v>
      </c>
      <c r="E96" s="14" t="s">
        <v>219</v>
      </c>
      <c r="F96" s="14" t="s">
        <v>96</v>
      </c>
      <c r="G96" s="18" t="s">
        <v>871</v>
      </c>
      <c r="H96" s="18" t="s">
        <v>98</v>
      </c>
      <c r="I96" s="14" t="s">
        <v>30326</v>
      </c>
      <c r="J96" s="14">
        <v>1</v>
      </c>
      <c r="K96" s="14">
        <v>0</v>
      </c>
      <c r="L96" s="14" t="s">
        <v>30327</v>
      </c>
      <c r="M96" s="19" t="s">
        <v>101</v>
      </c>
      <c r="N96" s="14" t="s">
        <v>30328</v>
      </c>
      <c r="O96" s="14" t="s">
        <v>30329</v>
      </c>
      <c r="P96" s="14" t="str">
        <f>HYPERLINK("https://dexscreener.com/solana/5HvxUFGRRV5FhzJtHDYM5uhSTjWGPp9XQxLLjhMcj382", "View")</f>
        <v>View</v>
      </c>
    </row>
    <row r="97" spans="1:16" x14ac:dyDescent="0.25">
      <c r="A97" s="16" t="s">
        <v>12929</v>
      </c>
      <c r="B97" s="17">
        <v>13296292</v>
      </c>
      <c r="C97" s="17">
        <v>9972219</v>
      </c>
      <c r="D97" s="17" t="s">
        <v>4805</v>
      </c>
      <c r="E97" s="17" t="s">
        <v>533</v>
      </c>
      <c r="F97" s="17" t="s">
        <v>30330</v>
      </c>
      <c r="G97" s="20" t="s">
        <v>30331</v>
      </c>
      <c r="H97" s="20" t="s">
        <v>1719</v>
      </c>
      <c r="I97" s="17" t="s">
        <v>88</v>
      </c>
      <c r="J97" s="17">
        <v>2</v>
      </c>
      <c r="K97" s="17">
        <v>2</v>
      </c>
      <c r="L97" s="17" t="s">
        <v>30332</v>
      </c>
      <c r="M97" s="17" t="s">
        <v>1610</v>
      </c>
      <c r="N97" s="17" t="s">
        <v>30333</v>
      </c>
      <c r="O97" s="17" t="s">
        <v>12934</v>
      </c>
      <c r="P97" s="17" t="str">
        <f>HYPERLINK("https://dexscreener.com/solana/5Gw2SboaCeKWPE9YErGMkoJ9eETq13EkeFV3ee8rpump", "View")</f>
        <v>View</v>
      </c>
    </row>
    <row r="98" spans="1:16" x14ac:dyDescent="0.25">
      <c r="A98" s="13" t="s">
        <v>30334</v>
      </c>
      <c r="B98" s="14">
        <v>5545417</v>
      </c>
      <c r="C98" s="14">
        <v>0</v>
      </c>
      <c r="D98" s="14" t="s">
        <v>4738</v>
      </c>
      <c r="E98" s="14" t="s">
        <v>1457</v>
      </c>
      <c r="F98" s="14" t="s">
        <v>96</v>
      </c>
      <c r="G98" s="18" t="s">
        <v>1458</v>
      </c>
      <c r="H98" s="18" t="s">
        <v>98</v>
      </c>
      <c r="I98" s="14" t="s">
        <v>30335</v>
      </c>
      <c r="J98" s="14">
        <v>1</v>
      </c>
      <c r="K98" s="14">
        <v>0</v>
      </c>
      <c r="L98" s="14" t="s">
        <v>30336</v>
      </c>
      <c r="M98" s="19" t="s">
        <v>101</v>
      </c>
      <c r="N98" s="14" t="s">
        <v>9994</v>
      </c>
      <c r="O98" s="14" t="s">
        <v>30337</v>
      </c>
      <c r="P98" s="14" t="str">
        <f>HYPERLINK("https://dexscreener.com/solana/95H2EDxSvP2AFP7kHtu1BPRH1MHmnxrSTpz71Xcopump", "View")</f>
        <v>View</v>
      </c>
    </row>
    <row r="99" spans="1:16" x14ac:dyDescent="0.25">
      <c r="A99" s="16" t="s">
        <v>18603</v>
      </c>
      <c r="B99" s="17">
        <v>8808587</v>
      </c>
      <c r="C99" s="17">
        <v>0</v>
      </c>
      <c r="D99" s="17" t="s">
        <v>4754</v>
      </c>
      <c r="E99" s="17" t="s">
        <v>219</v>
      </c>
      <c r="F99" s="17" t="s">
        <v>96</v>
      </c>
      <c r="G99" s="18" t="s">
        <v>871</v>
      </c>
      <c r="H99" s="18" t="s">
        <v>98</v>
      </c>
      <c r="I99" s="17" t="s">
        <v>30338</v>
      </c>
      <c r="J99" s="17">
        <v>2</v>
      </c>
      <c r="K99" s="17">
        <v>0</v>
      </c>
      <c r="L99" s="17" t="s">
        <v>30339</v>
      </c>
      <c r="M99" s="19" t="s">
        <v>2350</v>
      </c>
      <c r="N99" s="17" t="s">
        <v>30340</v>
      </c>
      <c r="O99" s="17" t="s">
        <v>18607</v>
      </c>
      <c r="P99" s="17" t="str">
        <f>HYPERLINK("https://dexscreener.com/solana/6SH9YZqVXfEmb1bV4ZHWtxUAaR4ua9bKjkd6z1ELpump", "View")</f>
        <v>View</v>
      </c>
    </row>
    <row r="100" spans="1:16" x14ac:dyDescent="0.25">
      <c r="A100" s="13" t="s">
        <v>18596</v>
      </c>
      <c r="B100" s="14">
        <v>362747</v>
      </c>
      <c r="C100" s="14">
        <v>0</v>
      </c>
      <c r="D100" s="14" t="s">
        <v>4754</v>
      </c>
      <c r="E100" s="14" t="s">
        <v>1267</v>
      </c>
      <c r="F100" s="14" t="s">
        <v>96</v>
      </c>
      <c r="G100" s="18" t="s">
        <v>1268</v>
      </c>
      <c r="H100" s="18" t="s">
        <v>98</v>
      </c>
      <c r="I100" s="14" t="s">
        <v>30341</v>
      </c>
      <c r="J100" s="14">
        <v>2</v>
      </c>
      <c r="K100" s="14">
        <v>0</v>
      </c>
      <c r="L100" s="14" t="s">
        <v>30342</v>
      </c>
      <c r="M100" s="14" t="s">
        <v>5445</v>
      </c>
      <c r="N100" s="14" t="s">
        <v>30343</v>
      </c>
      <c r="O100" s="14" t="s">
        <v>18602</v>
      </c>
      <c r="P100" s="14" t="str">
        <f>HYPERLINK("https://dexscreener.com/solana/8Z2h8VsYqUoExZNwrtGQ1LQiHru6nnUsPSpvCwNapump", "View")</f>
        <v>View</v>
      </c>
    </row>
    <row r="101" spans="1:16" x14ac:dyDescent="0.25">
      <c r="A101" s="16" t="s">
        <v>18608</v>
      </c>
      <c r="B101" s="17">
        <v>2226377</v>
      </c>
      <c r="C101" s="17">
        <v>0</v>
      </c>
      <c r="D101" s="17" t="s">
        <v>4738</v>
      </c>
      <c r="E101" s="17" t="s">
        <v>219</v>
      </c>
      <c r="F101" s="17" t="s">
        <v>96</v>
      </c>
      <c r="G101" s="18" t="s">
        <v>871</v>
      </c>
      <c r="H101" s="18" t="s">
        <v>98</v>
      </c>
      <c r="I101" s="17" t="s">
        <v>30344</v>
      </c>
      <c r="J101" s="17">
        <v>1</v>
      </c>
      <c r="K101" s="17">
        <v>0</v>
      </c>
      <c r="L101" s="17" t="s">
        <v>30345</v>
      </c>
      <c r="M101" s="19" t="s">
        <v>101</v>
      </c>
      <c r="N101" s="17" t="s">
        <v>30346</v>
      </c>
      <c r="O101" s="17" t="s">
        <v>18612</v>
      </c>
      <c r="P101" s="17" t="str">
        <f>HYPERLINK("https://dexscreener.com/solana/9dV5wyv4U9MHtz8r28JNmkVimrE7mAGDiddyK9e3pump", "View")</f>
        <v>View</v>
      </c>
    </row>
    <row r="102" spans="1:16" x14ac:dyDescent="0.25">
      <c r="A102" s="13" t="s">
        <v>7068</v>
      </c>
      <c r="B102" s="14">
        <v>1971473</v>
      </c>
      <c r="C102" s="14">
        <v>0</v>
      </c>
      <c r="D102" s="14" t="s">
        <v>4738</v>
      </c>
      <c r="E102" s="14" t="s">
        <v>1007</v>
      </c>
      <c r="F102" s="14" t="s">
        <v>96</v>
      </c>
      <c r="G102" s="18" t="s">
        <v>1008</v>
      </c>
      <c r="H102" s="18" t="s">
        <v>98</v>
      </c>
      <c r="I102" s="14" t="s">
        <v>30347</v>
      </c>
      <c r="J102" s="14">
        <v>1</v>
      </c>
      <c r="K102" s="14">
        <v>0</v>
      </c>
      <c r="L102" s="14" t="s">
        <v>30348</v>
      </c>
      <c r="M102" s="19" t="s">
        <v>101</v>
      </c>
      <c r="N102" s="14" t="s">
        <v>30349</v>
      </c>
      <c r="O102" s="14" t="s">
        <v>7075</v>
      </c>
      <c r="P102" s="14" t="str">
        <f>HYPERLINK("https://dexscreener.com/solana/KgGKSwPvhBDZbeN7hsvi7Bjx9VfKekqLRCMB6VBpump", "View")</f>
        <v>View</v>
      </c>
    </row>
    <row r="103" spans="1:16" x14ac:dyDescent="0.25">
      <c r="A103" s="16" t="s">
        <v>18632</v>
      </c>
      <c r="B103" s="17">
        <v>2528024</v>
      </c>
      <c r="C103" s="17">
        <v>0</v>
      </c>
      <c r="D103" s="17" t="s">
        <v>4738</v>
      </c>
      <c r="E103" s="17" t="s">
        <v>569</v>
      </c>
      <c r="F103" s="17" t="s">
        <v>96</v>
      </c>
      <c r="G103" s="18" t="s">
        <v>877</v>
      </c>
      <c r="H103" s="18" t="s">
        <v>98</v>
      </c>
      <c r="I103" s="17" t="s">
        <v>30350</v>
      </c>
      <c r="J103" s="17">
        <v>1</v>
      </c>
      <c r="K103" s="17">
        <v>0</v>
      </c>
      <c r="L103" s="17" t="s">
        <v>30351</v>
      </c>
      <c r="M103" s="19" t="s">
        <v>101</v>
      </c>
      <c r="N103" s="17" t="s">
        <v>10899</v>
      </c>
      <c r="O103" s="17" t="s">
        <v>18636</v>
      </c>
      <c r="P103" s="17" t="str">
        <f>HYPERLINK("https://dexscreener.com/solana/Ffju557FLtavTnLpMKaRMZNsiiAoxeQmsxStpwnKpump", "View")</f>
        <v>View</v>
      </c>
    </row>
    <row r="104" spans="1:16" x14ac:dyDescent="0.25">
      <c r="A104" s="13" t="s">
        <v>30352</v>
      </c>
      <c r="B104" s="14">
        <v>4229475</v>
      </c>
      <c r="C104" s="14">
        <v>0</v>
      </c>
      <c r="D104" s="14" t="s">
        <v>4738</v>
      </c>
      <c r="E104" s="14" t="s">
        <v>2234</v>
      </c>
      <c r="F104" s="14" t="s">
        <v>96</v>
      </c>
      <c r="G104" s="18" t="s">
        <v>30353</v>
      </c>
      <c r="H104" s="18" t="s">
        <v>98</v>
      </c>
      <c r="I104" s="14" t="s">
        <v>30354</v>
      </c>
      <c r="J104" s="14">
        <v>1</v>
      </c>
      <c r="K104" s="14">
        <v>0</v>
      </c>
      <c r="L104" s="14" t="s">
        <v>30355</v>
      </c>
      <c r="M104" s="19" t="s">
        <v>101</v>
      </c>
      <c r="N104" s="14" t="s">
        <v>11522</v>
      </c>
      <c r="O104" s="14" t="s">
        <v>30356</v>
      </c>
      <c r="P104" s="14" t="str">
        <f>HYPERLINK("https://photon-sol.tinyastro.io/en/lp/9a1eFxKPBzK5Nh28ArSi3TjoQE9VJnBALWccwRoJpump?handle=676050794bc1b1657a56b", "View")</f>
        <v>View</v>
      </c>
    </row>
    <row r="105" spans="1:16" x14ac:dyDescent="0.25">
      <c r="A105" s="16" t="s">
        <v>30357</v>
      </c>
      <c r="B105" s="17">
        <v>6394667</v>
      </c>
      <c r="C105" s="17">
        <v>0</v>
      </c>
      <c r="D105" s="17" t="s">
        <v>4738</v>
      </c>
      <c r="E105" s="17" t="s">
        <v>569</v>
      </c>
      <c r="F105" s="17" t="s">
        <v>96</v>
      </c>
      <c r="G105" s="18" t="s">
        <v>877</v>
      </c>
      <c r="H105" s="18" t="s">
        <v>98</v>
      </c>
      <c r="I105" s="17" t="s">
        <v>30358</v>
      </c>
      <c r="J105" s="17">
        <v>1</v>
      </c>
      <c r="K105" s="17">
        <v>0</v>
      </c>
      <c r="L105" s="17" t="s">
        <v>30359</v>
      </c>
      <c r="M105" s="19" t="s">
        <v>101</v>
      </c>
      <c r="N105" s="17" t="s">
        <v>30360</v>
      </c>
      <c r="O105" s="17" t="s">
        <v>30361</v>
      </c>
      <c r="P105" s="17" t="str">
        <f>HYPERLINK("https://dexscreener.com/solana/DQ8C36Zbjqk1q2E89thZa8mJXbP3DnMP45Mu87J7pump", "View")</f>
        <v>View</v>
      </c>
    </row>
    <row r="106" spans="1:16" x14ac:dyDescent="0.25">
      <c r="A106" s="13" t="s">
        <v>7112</v>
      </c>
      <c r="B106" s="14">
        <v>2154219</v>
      </c>
      <c r="C106" s="14">
        <v>0</v>
      </c>
      <c r="D106" s="14" t="s">
        <v>4782</v>
      </c>
      <c r="E106" s="14" t="s">
        <v>1267</v>
      </c>
      <c r="F106" s="14" t="s">
        <v>96</v>
      </c>
      <c r="G106" s="18" t="s">
        <v>1268</v>
      </c>
      <c r="H106" s="18" t="s">
        <v>98</v>
      </c>
      <c r="I106" s="14" t="s">
        <v>30362</v>
      </c>
      <c r="J106" s="14">
        <v>3</v>
      </c>
      <c r="K106" s="14">
        <v>0</v>
      </c>
      <c r="L106" s="14" t="s">
        <v>30363</v>
      </c>
      <c r="M106" s="14" t="s">
        <v>1957</v>
      </c>
      <c r="N106" s="14" t="s">
        <v>30364</v>
      </c>
      <c r="O106" s="14" t="s">
        <v>7119</v>
      </c>
      <c r="P106" s="14" t="str">
        <f>HYPERLINK("https://dexscreener.com/solana/HYTWunEns5k3CBBrr8gTJjNqA93avuEPB3RB1Kud3MWg", "View")</f>
        <v>View</v>
      </c>
    </row>
    <row r="107" spans="1:16" x14ac:dyDescent="0.25">
      <c r="A107" s="16" t="s">
        <v>30365</v>
      </c>
      <c r="B107" s="17">
        <v>7715411</v>
      </c>
      <c r="C107" s="17">
        <v>0</v>
      </c>
      <c r="D107" s="17" t="s">
        <v>4738</v>
      </c>
      <c r="E107" s="17" t="s">
        <v>1457</v>
      </c>
      <c r="F107" s="17" t="s">
        <v>96</v>
      </c>
      <c r="G107" s="18" t="s">
        <v>1458</v>
      </c>
      <c r="H107" s="18" t="s">
        <v>98</v>
      </c>
      <c r="I107" s="17" t="s">
        <v>30366</v>
      </c>
      <c r="J107" s="17">
        <v>1</v>
      </c>
      <c r="K107" s="17">
        <v>0</v>
      </c>
      <c r="L107" s="17" t="s">
        <v>30367</v>
      </c>
      <c r="M107" s="19" t="s">
        <v>101</v>
      </c>
      <c r="N107" s="17" t="s">
        <v>4877</v>
      </c>
      <c r="O107" s="17" t="s">
        <v>30368</v>
      </c>
      <c r="P107" s="17" t="str">
        <f>HYPERLINK("https://dexscreener.com/solana/7BAQnH4CRnL8Jrd3zGa944LW5YT5R9TE3dx1FHkfpump", "View")</f>
        <v>View</v>
      </c>
    </row>
    <row r="108" spans="1:16" x14ac:dyDescent="0.25">
      <c r="A108" s="13" t="s">
        <v>16904</v>
      </c>
      <c r="B108" s="14">
        <v>8560512</v>
      </c>
      <c r="C108" s="14">
        <v>0</v>
      </c>
      <c r="D108" s="14" t="s">
        <v>4754</v>
      </c>
      <c r="E108" s="14" t="s">
        <v>219</v>
      </c>
      <c r="F108" s="14" t="s">
        <v>96</v>
      </c>
      <c r="G108" s="18" t="s">
        <v>871</v>
      </c>
      <c r="H108" s="18" t="s">
        <v>98</v>
      </c>
      <c r="I108" s="14" t="s">
        <v>30369</v>
      </c>
      <c r="J108" s="14">
        <v>2</v>
      </c>
      <c r="K108" s="14">
        <v>0</v>
      </c>
      <c r="L108" s="14" t="s">
        <v>30370</v>
      </c>
      <c r="M108" s="19" t="s">
        <v>1856</v>
      </c>
      <c r="N108" s="14" t="s">
        <v>30371</v>
      </c>
      <c r="O108" s="14" t="s">
        <v>16907</v>
      </c>
      <c r="P108" s="14" t="str">
        <f>HYPERLINK("https://dexscreener.com/solana/CHUdNGxk91c9pWhWnBtkN4PzXkC7USpRm5WYKdpkpump", "View")</f>
        <v>View</v>
      </c>
    </row>
    <row r="109" spans="1:16" x14ac:dyDescent="0.25">
      <c r="A109" s="16" t="s">
        <v>30372</v>
      </c>
      <c r="B109" s="17">
        <v>30114987</v>
      </c>
      <c r="C109" s="17">
        <v>0</v>
      </c>
      <c r="D109" s="17" t="s">
        <v>4754</v>
      </c>
      <c r="E109" s="17" t="s">
        <v>1267</v>
      </c>
      <c r="F109" s="17" t="s">
        <v>96</v>
      </c>
      <c r="G109" s="18" t="s">
        <v>1268</v>
      </c>
      <c r="H109" s="18" t="s">
        <v>98</v>
      </c>
      <c r="I109" s="17" t="s">
        <v>30373</v>
      </c>
      <c r="J109" s="17">
        <v>2</v>
      </c>
      <c r="K109" s="17">
        <v>0</v>
      </c>
      <c r="L109" s="17" t="s">
        <v>30374</v>
      </c>
      <c r="M109" s="17" t="s">
        <v>1434</v>
      </c>
      <c r="N109" s="17" t="s">
        <v>30375</v>
      </c>
      <c r="O109" s="17" t="s">
        <v>30376</v>
      </c>
      <c r="P109" s="17" t="str">
        <f>HYPERLINK("https://dexscreener.com/solana/HaYFERJX3TwcFAJpQxNy3mwjctU3oSQB5gcP4ZWq3mSn", "View")</f>
        <v>View</v>
      </c>
    </row>
    <row r="110" spans="1:16" x14ac:dyDescent="0.25">
      <c r="A110" s="13" t="s">
        <v>30377</v>
      </c>
      <c r="B110" s="14">
        <v>728529</v>
      </c>
      <c r="C110" s="14">
        <v>728529</v>
      </c>
      <c r="D110" s="14" t="s">
        <v>4754</v>
      </c>
      <c r="E110" s="14" t="s">
        <v>569</v>
      </c>
      <c r="F110" s="14" t="s">
        <v>30378</v>
      </c>
      <c r="G110" s="20" t="s">
        <v>5706</v>
      </c>
      <c r="H110" s="20" t="s">
        <v>30379</v>
      </c>
      <c r="I110" s="14" t="s">
        <v>88</v>
      </c>
      <c r="J110" s="14">
        <v>1</v>
      </c>
      <c r="K110" s="14">
        <v>1</v>
      </c>
      <c r="L110" s="14" t="s">
        <v>30380</v>
      </c>
      <c r="M110" s="14" t="s">
        <v>1434</v>
      </c>
      <c r="N110" s="14" t="s">
        <v>30381</v>
      </c>
      <c r="O110" s="14" t="s">
        <v>30382</v>
      </c>
      <c r="P110" s="14" t="str">
        <f>HYPERLINK("https://dexscreener.com/solana/8dwEGohqpP4p6bXdyNRswgQQ85PX8ueNEoETz5sSpump", "View")</f>
        <v>View</v>
      </c>
    </row>
    <row r="111" spans="1:16" x14ac:dyDescent="0.25">
      <c r="A111" s="16" t="s">
        <v>7152</v>
      </c>
      <c r="B111" s="17">
        <v>4856112</v>
      </c>
      <c r="C111" s="17">
        <v>0</v>
      </c>
      <c r="D111" s="17" t="s">
        <v>4738</v>
      </c>
      <c r="E111" s="17" t="s">
        <v>2390</v>
      </c>
      <c r="F111" s="17" t="s">
        <v>96</v>
      </c>
      <c r="G111" s="18" t="s">
        <v>30029</v>
      </c>
      <c r="H111" s="18" t="s">
        <v>98</v>
      </c>
      <c r="I111" s="17" t="s">
        <v>30383</v>
      </c>
      <c r="J111" s="17">
        <v>1</v>
      </c>
      <c r="K111" s="17">
        <v>0</v>
      </c>
      <c r="L111" s="17" t="s">
        <v>30384</v>
      </c>
      <c r="M111" s="19" t="s">
        <v>101</v>
      </c>
      <c r="N111" s="17" t="s">
        <v>30385</v>
      </c>
      <c r="O111" s="17" t="s">
        <v>30386</v>
      </c>
      <c r="P111" s="17" t="str">
        <f>HYPERLINK("https://dexscreener.com/solana/AQwXd59Nayk1FqWHLQoMxJRbLC9Cikd9d9sb36qXpump", "View")</f>
        <v>View</v>
      </c>
    </row>
    <row r="112" spans="1:16" x14ac:dyDescent="0.25">
      <c r="A112" s="13" t="s">
        <v>30387</v>
      </c>
      <c r="B112" s="14">
        <v>4176970</v>
      </c>
      <c r="C112" s="14">
        <v>0</v>
      </c>
      <c r="D112" s="14" t="s">
        <v>4738</v>
      </c>
      <c r="E112" s="14" t="s">
        <v>569</v>
      </c>
      <c r="F112" s="14" t="s">
        <v>96</v>
      </c>
      <c r="G112" s="18" t="s">
        <v>877</v>
      </c>
      <c r="H112" s="18" t="s">
        <v>98</v>
      </c>
      <c r="I112" s="14" t="s">
        <v>30388</v>
      </c>
      <c r="J112" s="14">
        <v>1</v>
      </c>
      <c r="K112" s="14">
        <v>0</v>
      </c>
      <c r="L112" s="14" t="s">
        <v>30389</v>
      </c>
      <c r="M112" s="19" t="s">
        <v>101</v>
      </c>
      <c r="N112" s="14" t="s">
        <v>18869</v>
      </c>
      <c r="O112" s="14" t="s">
        <v>30390</v>
      </c>
      <c r="P112" s="14" t="str">
        <f>HYPERLINK("https://dexscreener.com/solana/AnEGqHFgSy2DRzmRGNYZTvQPhaM2TBKLqHUgQktBpump", "View")</f>
        <v>View</v>
      </c>
    </row>
    <row r="113" spans="1:16" x14ac:dyDescent="0.25">
      <c r="A113" s="16" t="s">
        <v>16175</v>
      </c>
      <c r="B113" s="17">
        <v>3196063</v>
      </c>
      <c r="C113" s="17">
        <v>0</v>
      </c>
      <c r="D113" s="17" t="s">
        <v>4738</v>
      </c>
      <c r="E113" s="17" t="s">
        <v>1457</v>
      </c>
      <c r="F113" s="17" t="s">
        <v>96</v>
      </c>
      <c r="G113" s="18" t="s">
        <v>1458</v>
      </c>
      <c r="H113" s="18" t="s">
        <v>98</v>
      </c>
      <c r="I113" s="17" t="s">
        <v>30391</v>
      </c>
      <c r="J113" s="17">
        <v>1</v>
      </c>
      <c r="K113" s="17">
        <v>0</v>
      </c>
      <c r="L113" s="17" t="s">
        <v>30392</v>
      </c>
      <c r="M113" s="19" t="s">
        <v>101</v>
      </c>
      <c r="N113" s="17" t="s">
        <v>30393</v>
      </c>
      <c r="O113" s="17" t="s">
        <v>16180</v>
      </c>
      <c r="P113" s="17" t="str">
        <f>HYPERLINK("https://dexscreener.com/solana/A6bCsh37hM4FybN4MXstnup6WEcichSQNK8AGvXDpump", "View")</f>
        <v>View</v>
      </c>
    </row>
    <row r="114" spans="1:16" x14ac:dyDescent="0.25">
      <c r="A114" s="13" t="s">
        <v>30394</v>
      </c>
      <c r="B114" s="14">
        <v>13321314</v>
      </c>
      <c r="C114" s="14">
        <v>0</v>
      </c>
      <c r="D114" s="14" t="s">
        <v>4738</v>
      </c>
      <c r="E114" s="14" t="s">
        <v>13588</v>
      </c>
      <c r="F114" s="14" t="s">
        <v>96</v>
      </c>
      <c r="G114" s="18" t="s">
        <v>21830</v>
      </c>
      <c r="H114" s="18" t="s">
        <v>98</v>
      </c>
      <c r="I114" s="14" t="s">
        <v>30395</v>
      </c>
      <c r="J114" s="14">
        <v>1</v>
      </c>
      <c r="K114" s="14">
        <v>0</v>
      </c>
      <c r="L114" s="14" t="s">
        <v>30396</v>
      </c>
      <c r="M114" s="19" t="s">
        <v>101</v>
      </c>
      <c r="N114" s="14" t="s">
        <v>1471</v>
      </c>
      <c r="O114" s="14" t="s">
        <v>30397</v>
      </c>
      <c r="P114" s="14" t="str">
        <f>HYPERLINK("https://photon-sol.tinyastro.io/en/lp/iNMddxzi4oEkSgGUDsL76nmkge2MsoNMqtgAmazpump?handle=676050794bc1b1657a56b", "View")</f>
        <v>View</v>
      </c>
    </row>
    <row r="115" spans="1:16" x14ac:dyDescent="0.25">
      <c r="A115" s="16" t="s">
        <v>25016</v>
      </c>
      <c r="B115" s="17">
        <v>13806452</v>
      </c>
      <c r="C115" s="17">
        <v>0</v>
      </c>
      <c r="D115" s="17" t="s">
        <v>4738</v>
      </c>
      <c r="E115" s="17" t="s">
        <v>15009</v>
      </c>
      <c r="F115" s="17" t="s">
        <v>96</v>
      </c>
      <c r="G115" s="18" t="s">
        <v>29239</v>
      </c>
      <c r="H115" s="18" t="s">
        <v>98</v>
      </c>
      <c r="I115" s="17" t="s">
        <v>30398</v>
      </c>
      <c r="J115" s="17">
        <v>1</v>
      </c>
      <c r="K115" s="17">
        <v>0</v>
      </c>
      <c r="L115" s="17" t="s">
        <v>30399</v>
      </c>
      <c r="M115" s="19" t="s">
        <v>101</v>
      </c>
      <c r="N115" s="17" t="s">
        <v>8551</v>
      </c>
      <c r="O115" s="17" t="s">
        <v>30400</v>
      </c>
      <c r="P115" s="17" t="str">
        <f>HYPERLINK("https://photon-sol.tinyastro.io/en/lp/AoeDs19YMRFDKx2jLAtj4Fu4YyAD8mku33epp8LRpump?handle=676050794bc1b1657a56b", "View")</f>
        <v>View</v>
      </c>
    </row>
    <row r="116" spans="1:16" x14ac:dyDescent="0.25">
      <c r="A116" s="13" t="s">
        <v>16993</v>
      </c>
      <c r="B116" s="14">
        <v>4200571</v>
      </c>
      <c r="C116" s="14">
        <v>0</v>
      </c>
      <c r="D116" s="14" t="s">
        <v>4738</v>
      </c>
      <c r="E116" s="14" t="s">
        <v>1457</v>
      </c>
      <c r="F116" s="14" t="s">
        <v>96</v>
      </c>
      <c r="G116" s="18" t="s">
        <v>1458</v>
      </c>
      <c r="H116" s="18" t="s">
        <v>98</v>
      </c>
      <c r="I116" s="14" t="s">
        <v>30401</v>
      </c>
      <c r="J116" s="14">
        <v>1</v>
      </c>
      <c r="K116" s="14">
        <v>0</v>
      </c>
      <c r="L116" s="14" t="s">
        <v>30402</v>
      </c>
      <c r="M116" s="19" t="s">
        <v>101</v>
      </c>
      <c r="N116" s="14" t="s">
        <v>18473</v>
      </c>
      <c r="O116" s="14" t="s">
        <v>16997</v>
      </c>
      <c r="P116" s="14" t="str">
        <f>HYPERLINK("https://dexscreener.com/solana/2BGXAiDH1wNTV7EG8m5KCBfJQEuZfsKCQEPsd1Cspump", "View")</f>
        <v>View</v>
      </c>
    </row>
    <row r="117" spans="1:16" x14ac:dyDescent="0.25">
      <c r="A117" s="16" t="s">
        <v>19625</v>
      </c>
      <c r="B117" s="17">
        <v>7254451</v>
      </c>
      <c r="C117" s="17">
        <v>0</v>
      </c>
      <c r="D117" s="17" t="s">
        <v>4754</v>
      </c>
      <c r="E117" s="17" t="s">
        <v>533</v>
      </c>
      <c r="F117" s="17" t="s">
        <v>96</v>
      </c>
      <c r="G117" s="18" t="s">
        <v>1251</v>
      </c>
      <c r="H117" s="18" t="s">
        <v>98</v>
      </c>
      <c r="I117" s="17" t="s">
        <v>30403</v>
      </c>
      <c r="J117" s="17">
        <v>2</v>
      </c>
      <c r="K117" s="17">
        <v>0</v>
      </c>
      <c r="L117" s="17" t="s">
        <v>30404</v>
      </c>
      <c r="M117" s="19" t="s">
        <v>2993</v>
      </c>
      <c r="N117" s="17" t="s">
        <v>30405</v>
      </c>
      <c r="O117" s="17" t="s">
        <v>19631</v>
      </c>
      <c r="P117" s="17" t="str">
        <f>HYPERLINK("https://dexscreener.com/solana/9LZmD16W9Mw7jJAg8WG5EBpkCoLYJsTPopR6VnTCpump", "View")</f>
        <v>View</v>
      </c>
    </row>
    <row r="118" spans="1:16" x14ac:dyDescent="0.25">
      <c r="A118" s="13" t="s">
        <v>12980</v>
      </c>
      <c r="B118" s="14">
        <v>3674616</v>
      </c>
      <c r="C118" s="14">
        <v>0</v>
      </c>
      <c r="D118" s="14" t="s">
        <v>4738</v>
      </c>
      <c r="E118" s="14" t="s">
        <v>219</v>
      </c>
      <c r="F118" s="14" t="s">
        <v>96</v>
      </c>
      <c r="G118" s="18" t="s">
        <v>871</v>
      </c>
      <c r="H118" s="18" t="s">
        <v>98</v>
      </c>
      <c r="I118" s="14" t="s">
        <v>30406</v>
      </c>
      <c r="J118" s="14">
        <v>1</v>
      </c>
      <c r="K118" s="14">
        <v>0</v>
      </c>
      <c r="L118" s="14" t="s">
        <v>30407</v>
      </c>
      <c r="M118" s="19" t="s">
        <v>101</v>
      </c>
      <c r="N118" s="14" t="s">
        <v>30408</v>
      </c>
      <c r="O118" s="14" t="s">
        <v>12986</v>
      </c>
      <c r="P118" s="14" t="str">
        <f>HYPERLINK("https://dexscreener.com/solana/3JtfvzFVzkPh1we7DPDGW5xPsrPB5nX5dbAVgTeVpump", "View")</f>
        <v>View</v>
      </c>
    </row>
    <row r="119" spans="1:16" x14ac:dyDescent="0.25">
      <c r="A119" s="16" t="s">
        <v>30409</v>
      </c>
      <c r="B119" s="17">
        <v>243772</v>
      </c>
      <c r="C119" s="17">
        <v>0</v>
      </c>
      <c r="D119" s="17" t="s">
        <v>4738</v>
      </c>
      <c r="E119" s="17" t="s">
        <v>1457</v>
      </c>
      <c r="F119" s="17" t="s">
        <v>96</v>
      </c>
      <c r="G119" s="18" t="s">
        <v>1458</v>
      </c>
      <c r="H119" s="18" t="s">
        <v>98</v>
      </c>
      <c r="I119" s="17" t="s">
        <v>30410</v>
      </c>
      <c r="J119" s="17">
        <v>1</v>
      </c>
      <c r="K119" s="17">
        <v>0</v>
      </c>
      <c r="L119" s="17" t="s">
        <v>30411</v>
      </c>
      <c r="M119" s="19" t="s">
        <v>101</v>
      </c>
      <c r="N119" s="17" t="s">
        <v>11706</v>
      </c>
      <c r="O119" s="17" t="s">
        <v>30412</v>
      </c>
      <c r="P119" s="17" t="str">
        <f>HYPERLINK("https://dexscreener.com/solana/98JbJ8zzca8nwsM3Z9Ex1Fz6zNAbpp3LM5vA8Tqrpump", "View")</f>
        <v>View</v>
      </c>
    </row>
    <row r="120" spans="1:16" x14ac:dyDescent="0.25">
      <c r="A120" s="13" t="s">
        <v>30413</v>
      </c>
      <c r="B120" s="14">
        <v>12402650</v>
      </c>
      <c r="C120" s="14">
        <v>0</v>
      </c>
      <c r="D120" s="14" t="s">
        <v>4754</v>
      </c>
      <c r="E120" s="14" t="s">
        <v>1380</v>
      </c>
      <c r="F120" s="14" t="s">
        <v>96</v>
      </c>
      <c r="G120" s="18" t="s">
        <v>1381</v>
      </c>
      <c r="H120" s="18" t="s">
        <v>98</v>
      </c>
      <c r="I120" s="14" t="s">
        <v>30414</v>
      </c>
      <c r="J120" s="14">
        <v>2</v>
      </c>
      <c r="K120" s="14">
        <v>0</v>
      </c>
      <c r="L120" s="14" t="s">
        <v>30415</v>
      </c>
      <c r="M120" s="14" t="s">
        <v>2047</v>
      </c>
      <c r="N120" s="14" t="s">
        <v>30416</v>
      </c>
      <c r="O120" s="14" t="s">
        <v>30417</v>
      </c>
      <c r="P120" s="14" t="str">
        <f>HYPERLINK("https://dexscreener.com/solana/Dfi9wKAzomtmcqV8PoKEWMgtyiA4mbpu5xCWGLrhpump", "View")</f>
        <v>View</v>
      </c>
    </row>
    <row r="121" spans="1:16" x14ac:dyDescent="0.25">
      <c r="A121" s="16" t="s">
        <v>10302</v>
      </c>
      <c r="B121" s="17">
        <v>4565907</v>
      </c>
      <c r="C121" s="17">
        <v>0</v>
      </c>
      <c r="D121" s="17" t="s">
        <v>4782</v>
      </c>
      <c r="E121" s="17" t="s">
        <v>1380</v>
      </c>
      <c r="F121" s="17" t="s">
        <v>96</v>
      </c>
      <c r="G121" s="18" t="s">
        <v>1381</v>
      </c>
      <c r="H121" s="18" t="s">
        <v>98</v>
      </c>
      <c r="I121" s="17" t="s">
        <v>30418</v>
      </c>
      <c r="J121" s="17">
        <v>3</v>
      </c>
      <c r="K121" s="17">
        <v>0</v>
      </c>
      <c r="L121" s="17" t="s">
        <v>30419</v>
      </c>
      <c r="M121" s="17" t="s">
        <v>5027</v>
      </c>
      <c r="N121" s="17" t="s">
        <v>30420</v>
      </c>
      <c r="O121" s="17" t="s">
        <v>10305</v>
      </c>
      <c r="P121" s="17" t="str">
        <f>HYPERLINK("https://dexscreener.com/solana/DQ9ecb5Pxgz9YTUBaB4PyhRkmM2jSK4P4j6kTZUFpump", "View")</f>
        <v>View</v>
      </c>
    </row>
    <row r="122" spans="1:16" x14ac:dyDescent="0.25">
      <c r="A122" s="13" t="s">
        <v>3971</v>
      </c>
      <c r="B122" s="14">
        <v>257085</v>
      </c>
      <c r="C122" s="14">
        <v>0</v>
      </c>
      <c r="D122" s="14" t="s">
        <v>4738</v>
      </c>
      <c r="E122" s="14" t="s">
        <v>219</v>
      </c>
      <c r="F122" s="14" t="s">
        <v>96</v>
      </c>
      <c r="G122" s="18" t="s">
        <v>871</v>
      </c>
      <c r="H122" s="18" t="s">
        <v>98</v>
      </c>
      <c r="I122" s="14" t="s">
        <v>30421</v>
      </c>
      <c r="J122" s="14">
        <v>1</v>
      </c>
      <c r="K122" s="14">
        <v>0</v>
      </c>
      <c r="L122" s="14" t="s">
        <v>30422</v>
      </c>
      <c r="M122" s="19" t="s">
        <v>101</v>
      </c>
      <c r="N122" s="14" t="s">
        <v>30423</v>
      </c>
      <c r="O122" s="14" t="s">
        <v>3976</v>
      </c>
      <c r="P122" s="14" t="str">
        <f>HYPERLINK("https://dexscreener.com/solana/CUots31KNMDbswxamS4fYQD3g4L3i4g2smT1djitpump", "View")</f>
        <v>View</v>
      </c>
    </row>
    <row r="123" spans="1:16" x14ac:dyDescent="0.25">
      <c r="A123" s="16" t="s">
        <v>30424</v>
      </c>
      <c r="B123" s="17">
        <v>26468141</v>
      </c>
      <c r="C123" s="17">
        <v>0</v>
      </c>
      <c r="D123" s="17" t="s">
        <v>4738</v>
      </c>
      <c r="E123" s="17" t="s">
        <v>1007</v>
      </c>
      <c r="F123" s="17" t="s">
        <v>96</v>
      </c>
      <c r="G123" s="18" t="s">
        <v>1008</v>
      </c>
      <c r="H123" s="18" t="s">
        <v>98</v>
      </c>
      <c r="I123" s="17" t="s">
        <v>30425</v>
      </c>
      <c r="J123" s="17">
        <v>1</v>
      </c>
      <c r="K123" s="17">
        <v>0</v>
      </c>
      <c r="L123" s="17" t="s">
        <v>30426</v>
      </c>
      <c r="M123" s="19" t="s">
        <v>101</v>
      </c>
      <c r="N123" s="17" t="s">
        <v>4634</v>
      </c>
      <c r="O123" s="17" t="s">
        <v>30427</v>
      </c>
      <c r="P123" s="17" t="str">
        <f>HYPERLINK("https://dexscreener.com/solana/Hiz5YNZFudg6g5VvDYCfUHoCspKVbXfXFwSGfuWVpump", "View")</f>
        <v>View</v>
      </c>
    </row>
    <row r="124" spans="1:16" x14ac:dyDescent="0.25">
      <c r="A124" s="13" t="s">
        <v>30428</v>
      </c>
      <c r="B124" s="14">
        <v>13180827</v>
      </c>
      <c r="C124" s="14">
        <v>0</v>
      </c>
      <c r="D124" s="14" t="s">
        <v>4738</v>
      </c>
      <c r="E124" s="14" t="s">
        <v>1007</v>
      </c>
      <c r="F124" s="14" t="s">
        <v>96</v>
      </c>
      <c r="G124" s="18" t="s">
        <v>1008</v>
      </c>
      <c r="H124" s="18" t="s">
        <v>98</v>
      </c>
      <c r="I124" s="14" t="s">
        <v>30429</v>
      </c>
      <c r="J124" s="14">
        <v>1</v>
      </c>
      <c r="K124" s="14">
        <v>0</v>
      </c>
      <c r="L124" s="14" t="s">
        <v>30430</v>
      </c>
      <c r="M124" s="19" t="s">
        <v>101</v>
      </c>
      <c r="N124" s="14" t="s">
        <v>955</v>
      </c>
      <c r="O124" s="14" t="s">
        <v>30431</v>
      </c>
      <c r="P124" s="14" t="str">
        <f>HYPERLINK("https://dexscreener.com/solana/HBgd18cv3HpcCUXU2A5Cav9hVd6t7k9miaSKnrJdpump", "View")</f>
        <v>View</v>
      </c>
    </row>
    <row r="125" spans="1:16" x14ac:dyDescent="0.25">
      <c r="A125" s="16" t="s">
        <v>24589</v>
      </c>
      <c r="B125" s="17">
        <v>3206066</v>
      </c>
      <c r="C125" s="17">
        <v>0</v>
      </c>
      <c r="D125" s="17" t="s">
        <v>4738</v>
      </c>
      <c r="E125" s="17" t="s">
        <v>1457</v>
      </c>
      <c r="F125" s="17" t="s">
        <v>96</v>
      </c>
      <c r="G125" s="18" t="s">
        <v>1458</v>
      </c>
      <c r="H125" s="18" t="s">
        <v>98</v>
      </c>
      <c r="I125" s="17" t="s">
        <v>30432</v>
      </c>
      <c r="J125" s="17">
        <v>1</v>
      </c>
      <c r="K125" s="17">
        <v>0</v>
      </c>
      <c r="L125" s="17" t="s">
        <v>30433</v>
      </c>
      <c r="M125" s="19" t="s">
        <v>101</v>
      </c>
      <c r="N125" s="17" t="s">
        <v>30434</v>
      </c>
      <c r="O125" s="17" t="s">
        <v>25598</v>
      </c>
      <c r="P125" s="17" t="str">
        <f>HYPERLINK("https://dexscreener.com/solana/STCVQT4YQGGVsp9o2xYRjYPM6mcM6ZBs3mxicHXpump", "View")</f>
        <v>View</v>
      </c>
    </row>
    <row r="126" spans="1:16" x14ac:dyDescent="0.25">
      <c r="A126" s="13" t="s">
        <v>30435</v>
      </c>
      <c r="B126" s="14">
        <v>22767444</v>
      </c>
      <c r="C126" s="14">
        <v>0</v>
      </c>
      <c r="D126" s="14" t="s">
        <v>4738</v>
      </c>
      <c r="E126" s="14" t="s">
        <v>2644</v>
      </c>
      <c r="F126" s="14" t="s">
        <v>96</v>
      </c>
      <c r="G126" s="18" t="s">
        <v>29072</v>
      </c>
      <c r="H126" s="18" t="s">
        <v>98</v>
      </c>
      <c r="I126" s="14" t="s">
        <v>30436</v>
      </c>
      <c r="J126" s="14">
        <v>1</v>
      </c>
      <c r="K126" s="14">
        <v>0</v>
      </c>
      <c r="L126" s="14" t="s">
        <v>30437</v>
      </c>
      <c r="M126" s="19" t="s">
        <v>101</v>
      </c>
      <c r="N126" s="14" t="s">
        <v>30438</v>
      </c>
      <c r="O126" s="14" t="s">
        <v>30439</v>
      </c>
      <c r="P126" s="14" t="str">
        <f>HYPERLINK("https://photon-sol.tinyastro.io/en/lp/FYC5nxJ75GTU4Bq1SGtzfa3XB2MsbxrfAqYtZt8kpump?handle=676050794bc1b1657a56b", "View")</f>
        <v>View</v>
      </c>
    </row>
    <row r="127" spans="1:16" x14ac:dyDescent="0.25">
      <c r="A127" s="16" t="s">
        <v>30440</v>
      </c>
      <c r="B127" s="17">
        <v>8553055</v>
      </c>
      <c r="C127" s="17">
        <v>0</v>
      </c>
      <c r="D127" s="17" t="s">
        <v>4754</v>
      </c>
      <c r="E127" s="17" t="s">
        <v>165</v>
      </c>
      <c r="F127" s="17" t="s">
        <v>96</v>
      </c>
      <c r="G127" s="18" t="s">
        <v>921</v>
      </c>
      <c r="H127" s="18" t="s">
        <v>98</v>
      </c>
      <c r="I127" s="17" t="s">
        <v>30441</v>
      </c>
      <c r="J127" s="17">
        <v>2</v>
      </c>
      <c r="K127" s="17">
        <v>0</v>
      </c>
      <c r="L127" s="17" t="s">
        <v>30442</v>
      </c>
      <c r="M127" s="17" t="s">
        <v>1434</v>
      </c>
      <c r="N127" s="17" t="s">
        <v>30443</v>
      </c>
      <c r="O127" s="17" t="s">
        <v>30444</v>
      </c>
      <c r="P127" s="17" t="str">
        <f>HYPERLINK("https://dexscreener.com/solana/EkzxmLhvHx7mLDvbWgRGFrHQDNRmpTbHE4EsA5Uupump", "View")</f>
        <v>View</v>
      </c>
    </row>
    <row r="128" spans="1:16" x14ac:dyDescent="0.25">
      <c r="A128" s="13" t="s">
        <v>4493</v>
      </c>
      <c r="B128" s="14">
        <v>1187064</v>
      </c>
      <c r="C128" s="14">
        <v>0</v>
      </c>
      <c r="D128" s="14" t="s">
        <v>4738</v>
      </c>
      <c r="E128" s="14" t="s">
        <v>1457</v>
      </c>
      <c r="F128" s="14" t="s">
        <v>96</v>
      </c>
      <c r="G128" s="18" t="s">
        <v>1458</v>
      </c>
      <c r="H128" s="18" t="s">
        <v>98</v>
      </c>
      <c r="I128" s="14" t="s">
        <v>30445</v>
      </c>
      <c r="J128" s="14">
        <v>1</v>
      </c>
      <c r="K128" s="14">
        <v>0</v>
      </c>
      <c r="L128" s="14" t="s">
        <v>30446</v>
      </c>
      <c r="M128" s="19" t="s">
        <v>101</v>
      </c>
      <c r="N128" s="14" t="s">
        <v>30447</v>
      </c>
      <c r="O128" s="14" t="s">
        <v>4497</v>
      </c>
      <c r="P128" s="14" t="str">
        <f>HYPERLINK("https://dexscreener.com/solana/C4j7kPx9PqDnfvxe2uycJQRTAeyGwmU4DyGf21Xgpump", "View")</f>
        <v>View</v>
      </c>
    </row>
    <row r="129" spans="1:16" x14ac:dyDescent="0.25">
      <c r="A129" s="16" t="s">
        <v>3858</v>
      </c>
      <c r="B129" s="17">
        <v>3077678</v>
      </c>
      <c r="C129" s="17">
        <v>0</v>
      </c>
      <c r="D129" s="17" t="s">
        <v>4738</v>
      </c>
      <c r="E129" s="17" t="s">
        <v>1457</v>
      </c>
      <c r="F129" s="17" t="s">
        <v>96</v>
      </c>
      <c r="G129" s="18" t="s">
        <v>1458</v>
      </c>
      <c r="H129" s="18" t="s">
        <v>98</v>
      </c>
      <c r="I129" s="17" t="s">
        <v>30448</v>
      </c>
      <c r="J129" s="17">
        <v>1</v>
      </c>
      <c r="K129" s="17">
        <v>0</v>
      </c>
      <c r="L129" s="17" t="s">
        <v>30449</v>
      </c>
      <c r="M129" s="19" t="s">
        <v>101</v>
      </c>
      <c r="N129" s="17" t="s">
        <v>30450</v>
      </c>
      <c r="O129" s="17" t="s">
        <v>3863</v>
      </c>
      <c r="P129" s="17" t="str">
        <f>HYPERLINK("https://dexscreener.com/solana/Hej96eAZNrdTPvZQe9b91311BJMWMqJRHztmYCjay8qb", "View")</f>
        <v>View</v>
      </c>
    </row>
    <row r="130" spans="1:16" x14ac:dyDescent="0.25">
      <c r="A130" s="13" t="s">
        <v>30440</v>
      </c>
      <c r="B130" s="14">
        <v>7837971</v>
      </c>
      <c r="C130" s="14">
        <v>0</v>
      </c>
      <c r="D130" s="14" t="s">
        <v>4738</v>
      </c>
      <c r="E130" s="14" t="s">
        <v>30451</v>
      </c>
      <c r="F130" s="14" t="s">
        <v>96</v>
      </c>
      <c r="G130" s="18" t="s">
        <v>30452</v>
      </c>
      <c r="H130" s="18" t="s">
        <v>98</v>
      </c>
      <c r="I130" s="14" t="s">
        <v>30453</v>
      </c>
      <c r="J130" s="14">
        <v>1</v>
      </c>
      <c r="K130" s="14">
        <v>0</v>
      </c>
      <c r="L130" s="14" t="s">
        <v>30454</v>
      </c>
      <c r="M130" s="19" t="s">
        <v>101</v>
      </c>
      <c r="N130" s="14" t="s">
        <v>4877</v>
      </c>
      <c r="O130" s="14" t="s">
        <v>30455</v>
      </c>
      <c r="P130" s="14" t="str">
        <f>HYPERLINK("https://photon-sol.tinyastro.io/en/lp/FqYh5Fns3hDkxbCFuzxgBz2Dso5bo5Q8ykCveXzZpump?handle=676050794bc1b1657a56b", "View")</f>
        <v>View</v>
      </c>
    </row>
    <row r="131" spans="1:16" x14ac:dyDescent="0.25">
      <c r="A131" s="16" t="s">
        <v>30456</v>
      </c>
      <c r="B131" s="17">
        <v>18098382</v>
      </c>
      <c r="C131" s="17">
        <v>0</v>
      </c>
      <c r="D131" s="17" t="s">
        <v>4738</v>
      </c>
      <c r="E131" s="17" t="s">
        <v>1457</v>
      </c>
      <c r="F131" s="17" t="s">
        <v>96</v>
      </c>
      <c r="G131" s="18" t="s">
        <v>1458</v>
      </c>
      <c r="H131" s="18" t="s">
        <v>98</v>
      </c>
      <c r="I131" s="17" t="s">
        <v>30457</v>
      </c>
      <c r="J131" s="17">
        <v>1</v>
      </c>
      <c r="K131" s="17">
        <v>0</v>
      </c>
      <c r="L131" s="17" t="s">
        <v>30458</v>
      </c>
      <c r="M131" s="19" t="s">
        <v>101</v>
      </c>
      <c r="N131" s="17" t="s">
        <v>30459</v>
      </c>
      <c r="O131" s="17" t="s">
        <v>30460</v>
      </c>
      <c r="P131" s="17" t="str">
        <f>HYPERLINK("https://dexscreener.com/solana/AD8NyaTRc1HtvSTrfLKxbgBrMSY4o2rLCPL3xTMSq6NY", "View")</f>
        <v>View</v>
      </c>
    </row>
    <row r="132" spans="1:16" x14ac:dyDescent="0.25">
      <c r="A132" s="13" t="s">
        <v>30461</v>
      </c>
      <c r="B132" s="14">
        <v>4540232</v>
      </c>
      <c r="C132" s="14">
        <v>0</v>
      </c>
      <c r="D132" s="14" t="s">
        <v>4738</v>
      </c>
      <c r="E132" s="14" t="s">
        <v>1007</v>
      </c>
      <c r="F132" s="14" t="s">
        <v>96</v>
      </c>
      <c r="G132" s="18" t="s">
        <v>1008</v>
      </c>
      <c r="H132" s="18" t="s">
        <v>98</v>
      </c>
      <c r="I132" s="14" t="s">
        <v>30462</v>
      </c>
      <c r="J132" s="14">
        <v>1</v>
      </c>
      <c r="K132" s="14">
        <v>0</v>
      </c>
      <c r="L132" s="14" t="s">
        <v>30463</v>
      </c>
      <c r="M132" s="19" t="s">
        <v>101</v>
      </c>
      <c r="N132" s="14" t="s">
        <v>30464</v>
      </c>
      <c r="O132" s="14" t="s">
        <v>30465</v>
      </c>
      <c r="P132" s="14" t="str">
        <f>HYPERLINK("https://dexscreener.com/solana/6QWTF7nbZaLWd63WpRkigEgJ6bHrTHtoXGy2zjsqpump", "View")</f>
        <v>View</v>
      </c>
    </row>
    <row r="133" spans="1:16" x14ac:dyDescent="0.25">
      <c r="A133" s="16" t="s">
        <v>30466</v>
      </c>
      <c r="B133" s="17">
        <v>5962320</v>
      </c>
      <c r="C133" s="17">
        <v>0</v>
      </c>
      <c r="D133" s="17" t="s">
        <v>4754</v>
      </c>
      <c r="E133" s="17" t="s">
        <v>2390</v>
      </c>
      <c r="F133" s="17" t="s">
        <v>96</v>
      </c>
      <c r="G133" s="18" t="s">
        <v>30029</v>
      </c>
      <c r="H133" s="18" t="s">
        <v>98</v>
      </c>
      <c r="I133" s="17" t="s">
        <v>30467</v>
      </c>
      <c r="J133" s="17">
        <v>2</v>
      </c>
      <c r="K133" s="17">
        <v>0</v>
      </c>
      <c r="L133" s="17" t="s">
        <v>30468</v>
      </c>
      <c r="M133" s="17" t="s">
        <v>1434</v>
      </c>
      <c r="N133" s="17" t="s">
        <v>30469</v>
      </c>
      <c r="O133" s="17" t="s">
        <v>30470</v>
      </c>
      <c r="P133" s="17" t="str">
        <f>HYPERLINK("https://dexscreener.com/solana/BbbYo2naPz4xR9EJsLCwF5XpVWg9pTs3wwMbg1Kcpump", "View")</f>
        <v>View</v>
      </c>
    </row>
    <row r="134" spans="1:16" x14ac:dyDescent="0.25">
      <c r="A134" s="13" t="s">
        <v>10345</v>
      </c>
      <c r="B134" s="14">
        <v>6445363</v>
      </c>
      <c r="C134" s="14">
        <v>0</v>
      </c>
      <c r="D134" s="14" t="s">
        <v>4738</v>
      </c>
      <c r="E134" s="14" t="s">
        <v>569</v>
      </c>
      <c r="F134" s="14" t="s">
        <v>96</v>
      </c>
      <c r="G134" s="18" t="s">
        <v>877</v>
      </c>
      <c r="H134" s="18" t="s">
        <v>98</v>
      </c>
      <c r="I134" s="14" t="s">
        <v>30471</v>
      </c>
      <c r="J134" s="14">
        <v>1</v>
      </c>
      <c r="K134" s="14">
        <v>0</v>
      </c>
      <c r="L134" s="14" t="s">
        <v>30472</v>
      </c>
      <c r="M134" s="19" t="s">
        <v>101</v>
      </c>
      <c r="N134" s="14" t="s">
        <v>19440</v>
      </c>
      <c r="O134" s="14" t="s">
        <v>10348</v>
      </c>
      <c r="P134" s="14" t="str">
        <f>HYPERLINK("https://dexscreener.com/solana/Gnq3u69LJGrr4k1Dw7JZTFUt1cftHwVcrxmUsMEHpump", "View")</f>
        <v>View</v>
      </c>
    </row>
    <row r="135" spans="1:16" x14ac:dyDescent="0.25">
      <c r="A135" s="16" t="s">
        <v>16504</v>
      </c>
      <c r="B135" s="17">
        <v>3485950</v>
      </c>
      <c r="C135" s="17">
        <v>0</v>
      </c>
      <c r="D135" s="17" t="s">
        <v>4738</v>
      </c>
      <c r="E135" s="17" t="s">
        <v>219</v>
      </c>
      <c r="F135" s="17" t="s">
        <v>96</v>
      </c>
      <c r="G135" s="18" t="s">
        <v>871</v>
      </c>
      <c r="H135" s="18" t="s">
        <v>98</v>
      </c>
      <c r="I135" s="17" t="s">
        <v>30473</v>
      </c>
      <c r="J135" s="17">
        <v>1</v>
      </c>
      <c r="K135" s="17">
        <v>0</v>
      </c>
      <c r="L135" s="17" t="s">
        <v>30474</v>
      </c>
      <c r="M135" s="19" t="s">
        <v>101</v>
      </c>
      <c r="N135" s="17" t="s">
        <v>30475</v>
      </c>
      <c r="O135" s="17" t="s">
        <v>16510</v>
      </c>
      <c r="P135" s="17" t="str">
        <f>HYPERLINK("https://dexscreener.com/solana/FfhENRtsudrPbWaJhuMnYq2fKchHqU1Erd7vK9Gzpump", "View")</f>
        <v>View</v>
      </c>
    </row>
    <row r="136" spans="1:16" x14ac:dyDescent="0.25">
      <c r="A136" s="13" t="s">
        <v>18698</v>
      </c>
      <c r="B136" s="14">
        <v>248741</v>
      </c>
      <c r="C136" s="14">
        <v>0</v>
      </c>
      <c r="D136" s="14" t="s">
        <v>4738</v>
      </c>
      <c r="E136" s="14" t="s">
        <v>1457</v>
      </c>
      <c r="F136" s="14" t="s">
        <v>96</v>
      </c>
      <c r="G136" s="18" t="s">
        <v>1458</v>
      </c>
      <c r="H136" s="18" t="s">
        <v>98</v>
      </c>
      <c r="I136" s="14" t="s">
        <v>30476</v>
      </c>
      <c r="J136" s="14">
        <v>1</v>
      </c>
      <c r="K136" s="14">
        <v>0</v>
      </c>
      <c r="L136" s="14" t="s">
        <v>30477</v>
      </c>
      <c r="M136" s="19" t="s">
        <v>101</v>
      </c>
      <c r="N136" s="14" t="s">
        <v>11541</v>
      </c>
      <c r="O136" s="14" t="s">
        <v>25571</v>
      </c>
      <c r="P136" s="14" t="str">
        <f>HYPERLINK("https://dexscreener.com/solana/CJJbVYyrX92FjZGWn6Ckg9SnszxGF33C6okcKsmFpump", "View")</f>
        <v>View</v>
      </c>
    </row>
    <row r="137" spans="1:16" x14ac:dyDescent="0.25">
      <c r="A137" s="16" t="s">
        <v>30478</v>
      </c>
      <c r="B137" s="17">
        <v>6885143</v>
      </c>
      <c r="C137" s="17">
        <v>0</v>
      </c>
      <c r="D137" s="17" t="s">
        <v>4738</v>
      </c>
      <c r="E137" s="17" t="s">
        <v>1007</v>
      </c>
      <c r="F137" s="17" t="s">
        <v>96</v>
      </c>
      <c r="G137" s="18" t="s">
        <v>1008</v>
      </c>
      <c r="H137" s="18" t="s">
        <v>98</v>
      </c>
      <c r="I137" s="17" t="s">
        <v>30479</v>
      </c>
      <c r="J137" s="17">
        <v>1</v>
      </c>
      <c r="K137" s="17">
        <v>0</v>
      </c>
      <c r="L137" s="17" t="s">
        <v>30480</v>
      </c>
      <c r="M137" s="19" t="s">
        <v>101</v>
      </c>
      <c r="N137" s="17" t="s">
        <v>30481</v>
      </c>
      <c r="O137" s="17" t="s">
        <v>30482</v>
      </c>
      <c r="P137" s="17" t="str">
        <f>HYPERLINK("https://dexscreener.com/solana/CDA3CFpoJgyu8Zg4UV94G8nXeveGTHaSyquaK34fpump", "View")</f>
        <v>View</v>
      </c>
    </row>
    <row r="138" spans="1:16" x14ac:dyDescent="0.25">
      <c r="A138" s="13" t="s">
        <v>25511</v>
      </c>
      <c r="B138" s="14">
        <v>582632</v>
      </c>
      <c r="C138" s="14">
        <v>0</v>
      </c>
      <c r="D138" s="14" t="s">
        <v>4738</v>
      </c>
      <c r="E138" s="14" t="s">
        <v>1457</v>
      </c>
      <c r="F138" s="14" t="s">
        <v>96</v>
      </c>
      <c r="G138" s="18" t="s">
        <v>1458</v>
      </c>
      <c r="H138" s="18" t="s">
        <v>98</v>
      </c>
      <c r="I138" s="14" t="s">
        <v>30483</v>
      </c>
      <c r="J138" s="14">
        <v>1</v>
      </c>
      <c r="K138" s="14">
        <v>0</v>
      </c>
      <c r="L138" s="14" t="s">
        <v>30484</v>
      </c>
      <c r="M138" s="19" t="s">
        <v>101</v>
      </c>
      <c r="N138" s="14" t="s">
        <v>30485</v>
      </c>
      <c r="O138" s="14" t="s">
        <v>25515</v>
      </c>
      <c r="P138" s="14" t="str">
        <f>HYPERLINK("https://dexscreener.com/solana/GFGSBt8NUqXa6w33dScPXoJQsq7iNpjLXaB7FNj5pump", "View")</f>
        <v>View</v>
      </c>
    </row>
    <row r="139" spans="1:16" x14ac:dyDescent="0.25">
      <c r="A139" s="16" t="s">
        <v>30486</v>
      </c>
      <c r="B139" s="17">
        <v>21924812</v>
      </c>
      <c r="C139" s="17">
        <v>0</v>
      </c>
      <c r="D139" s="17" t="s">
        <v>4782</v>
      </c>
      <c r="E139" s="17" t="s">
        <v>30487</v>
      </c>
      <c r="F139" s="17" t="s">
        <v>96</v>
      </c>
      <c r="G139" s="18" t="s">
        <v>30488</v>
      </c>
      <c r="H139" s="18" t="s">
        <v>98</v>
      </c>
      <c r="I139" s="17" t="s">
        <v>30489</v>
      </c>
      <c r="J139" s="17">
        <v>3</v>
      </c>
      <c r="K139" s="17">
        <v>0</v>
      </c>
      <c r="L139" s="17" t="s">
        <v>30490</v>
      </c>
      <c r="M139" s="17" t="s">
        <v>132</v>
      </c>
      <c r="N139" s="17" t="s">
        <v>30491</v>
      </c>
      <c r="O139" s="17" t="s">
        <v>30492</v>
      </c>
      <c r="P139" s="17" t="str">
        <f>HYPERLINK("https://photon-sol.tinyastro.io/en/lp/H2zb37x5nyW1yeCzVn2RecQFCdt8JK9ZioxqSNsFpump?handle=676050794bc1b1657a56b", "View")</f>
        <v>View</v>
      </c>
    </row>
    <row r="140" spans="1:16" x14ac:dyDescent="0.25">
      <c r="A140" s="13" t="s">
        <v>30493</v>
      </c>
      <c r="B140" s="14">
        <v>6926003</v>
      </c>
      <c r="C140" s="14">
        <v>0</v>
      </c>
      <c r="D140" s="14" t="s">
        <v>4754</v>
      </c>
      <c r="E140" s="14" t="s">
        <v>2390</v>
      </c>
      <c r="F140" s="14" t="s">
        <v>96</v>
      </c>
      <c r="G140" s="18" t="s">
        <v>30029</v>
      </c>
      <c r="H140" s="18" t="s">
        <v>98</v>
      </c>
      <c r="I140" s="14" t="s">
        <v>30494</v>
      </c>
      <c r="J140" s="14">
        <v>2</v>
      </c>
      <c r="K140" s="14">
        <v>0</v>
      </c>
      <c r="L140" s="14" t="s">
        <v>30495</v>
      </c>
      <c r="M140" s="14" t="s">
        <v>1434</v>
      </c>
      <c r="N140" s="14" t="s">
        <v>30496</v>
      </c>
      <c r="O140" s="14" t="s">
        <v>30497</v>
      </c>
      <c r="P140" s="14" t="str">
        <f>HYPERLINK("https://dexscreener.com/solana/fczy4cBWZ5FD5vc7rEaVDDseCtf9m64t3rrax7Lpump", "View")</f>
        <v>View</v>
      </c>
    </row>
    <row r="141" spans="1:16" x14ac:dyDescent="0.25">
      <c r="A141" s="16" t="s">
        <v>234</v>
      </c>
      <c r="B141" s="17">
        <v>1251626</v>
      </c>
      <c r="C141" s="17">
        <v>450000</v>
      </c>
      <c r="D141" s="17" t="s">
        <v>13920</v>
      </c>
      <c r="E141" s="17" t="s">
        <v>1457</v>
      </c>
      <c r="F141" s="17" t="s">
        <v>30498</v>
      </c>
      <c r="G141" s="21" t="s">
        <v>30499</v>
      </c>
      <c r="H141" s="21" t="s">
        <v>30500</v>
      </c>
      <c r="I141" s="17" t="s">
        <v>88</v>
      </c>
      <c r="J141" s="17">
        <v>1</v>
      </c>
      <c r="K141" s="17">
        <v>1</v>
      </c>
      <c r="L141" s="17" t="s">
        <v>30501</v>
      </c>
      <c r="M141" s="17" t="s">
        <v>132</v>
      </c>
      <c r="N141" s="17" t="s">
        <v>30502</v>
      </c>
      <c r="O141" s="17" t="s">
        <v>242</v>
      </c>
      <c r="P141" s="17" t="str">
        <f>HYPERLINK("https://dexscreener.com/solana/GVwpWU5PtJFHS1mH35sHmsRN1XWUwRV3Qo94h5Lepump", "View")</f>
        <v>View</v>
      </c>
    </row>
    <row r="142" spans="1:16" x14ac:dyDescent="0.25">
      <c r="A142" s="13" t="s">
        <v>10609</v>
      </c>
      <c r="B142" s="14">
        <v>185575</v>
      </c>
      <c r="C142" s="14">
        <v>0</v>
      </c>
      <c r="D142" s="14" t="s">
        <v>4738</v>
      </c>
      <c r="E142" s="14" t="s">
        <v>569</v>
      </c>
      <c r="F142" s="14" t="s">
        <v>96</v>
      </c>
      <c r="G142" s="18" t="s">
        <v>877</v>
      </c>
      <c r="H142" s="18" t="s">
        <v>98</v>
      </c>
      <c r="I142" s="14" t="s">
        <v>30503</v>
      </c>
      <c r="J142" s="14">
        <v>1</v>
      </c>
      <c r="K142" s="14">
        <v>0</v>
      </c>
      <c r="L142" s="14" t="s">
        <v>30504</v>
      </c>
      <c r="M142" s="19" t="s">
        <v>101</v>
      </c>
      <c r="N142" s="14" t="s">
        <v>15084</v>
      </c>
      <c r="O142" s="14" t="s">
        <v>10613</v>
      </c>
      <c r="P142" s="14" t="str">
        <f>HYPERLINK("https://dexscreener.com/solana/3qq54YqAKG3TcrwNHXFSpMCWoL8gmMuPceJ4FG9npump", "View")</f>
        <v>View</v>
      </c>
    </row>
    <row r="143" spans="1:16" x14ac:dyDescent="0.25">
      <c r="A143" s="16" t="s">
        <v>30505</v>
      </c>
      <c r="B143" s="17">
        <v>4578130</v>
      </c>
      <c r="C143" s="17">
        <v>0</v>
      </c>
      <c r="D143" s="17" t="s">
        <v>4738</v>
      </c>
      <c r="E143" s="17" t="s">
        <v>1007</v>
      </c>
      <c r="F143" s="17" t="s">
        <v>96</v>
      </c>
      <c r="G143" s="18" t="s">
        <v>1008</v>
      </c>
      <c r="H143" s="18" t="s">
        <v>98</v>
      </c>
      <c r="I143" s="17" t="s">
        <v>30506</v>
      </c>
      <c r="J143" s="17">
        <v>1</v>
      </c>
      <c r="K143" s="17">
        <v>0</v>
      </c>
      <c r="L143" s="17" t="s">
        <v>30507</v>
      </c>
      <c r="M143" s="19" t="s">
        <v>101</v>
      </c>
      <c r="N143" s="17" t="s">
        <v>1004</v>
      </c>
      <c r="O143" s="17" t="s">
        <v>30508</v>
      </c>
      <c r="P143" s="17" t="str">
        <f>HYPERLINK("https://dexscreener.com/solana/tQFfHADz2FqHmr7axYiDiYKTyprmzh15vG1mdQ2pump", "View")</f>
        <v>View</v>
      </c>
    </row>
    <row r="144" spans="1:16" x14ac:dyDescent="0.25">
      <c r="A144" s="13" t="s">
        <v>30509</v>
      </c>
      <c r="B144" s="14">
        <v>17268236</v>
      </c>
      <c r="C144" s="14">
        <v>0</v>
      </c>
      <c r="D144" s="14" t="s">
        <v>4738</v>
      </c>
      <c r="E144" s="14" t="s">
        <v>2644</v>
      </c>
      <c r="F144" s="14" t="s">
        <v>96</v>
      </c>
      <c r="G144" s="18" t="s">
        <v>29072</v>
      </c>
      <c r="H144" s="18" t="s">
        <v>98</v>
      </c>
      <c r="I144" s="14" t="s">
        <v>30510</v>
      </c>
      <c r="J144" s="14">
        <v>1</v>
      </c>
      <c r="K144" s="14">
        <v>0</v>
      </c>
      <c r="L144" s="14" t="s">
        <v>30511</v>
      </c>
      <c r="M144" s="19" t="s">
        <v>101</v>
      </c>
      <c r="N144" s="14" t="s">
        <v>1973</v>
      </c>
      <c r="O144" s="14" t="s">
        <v>30512</v>
      </c>
      <c r="P144" s="14" t="str">
        <f>HYPERLINK("https://photon-sol.tinyastro.io/en/lp/6G7eLC9sxoBpFxdvKTYY5VcogJwtYBBRq88iSWxmpump?handle=676050794bc1b1657a56b", "View")</f>
        <v>View</v>
      </c>
    </row>
    <row r="145" spans="1:16" x14ac:dyDescent="0.25">
      <c r="A145" s="16" t="s">
        <v>30513</v>
      </c>
      <c r="B145" s="17">
        <v>4087680</v>
      </c>
      <c r="C145" s="17">
        <v>0</v>
      </c>
      <c r="D145" s="17" t="s">
        <v>4738</v>
      </c>
      <c r="E145" s="17" t="s">
        <v>569</v>
      </c>
      <c r="F145" s="17" t="s">
        <v>96</v>
      </c>
      <c r="G145" s="18" t="s">
        <v>877</v>
      </c>
      <c r="H145" s="18" t="s">
        <v>98</v>
      </c>
      <c r="I145" s="17" t="s">
        <v>30514</v>
      </c>
      <c r="J145" s="17">
        <v>1</v>
      </c>
      <c r="K145" s="17">
        <v>0</v>
      </c>
      <c r="L145" s="17" t="s">
        <v>30515</v>
      </c>
      <c r="M145" s="19" t="s">
        <v>101</v>
      </c>
      <c r="N145" s="17" t="s">
        <v>30516</v>
      </c>
      <c r="O145" s="17" t="s">
        <v>30517</v>
      </c>
      <c r="P145" s="17" t="str">
        <f>HYPERLINK("https://dexscreener.com/solana/f4NMCNnGR7qiCxDfGgFoXp6B4JFTHsHVn7eDYJ9pump", "View")</f>
        <v>View</v>
      </c>
    </row>
    <row r="146" spans="1:16" x14ac:dyDescent="0.25">
      <c r="A146" s="13" t="s">
        <v>7885</v>
      </c>
      <c r="B146" s="14">
        <v>4137667</v>
      </c>
      <c r="C146" s="14">
        <v>0</v>
      </c>
      <c r="D146" s="14" t="s">
        <v>4738</v>
      </c>
      <c r="E146" s="14" t="s">
        <v>1457</v>
      </c>
      <c r="F146" s="14" t="s">
        <v>96</v>
      </c>
      <c r="G146" s="18" t="s">
        <v>1458</v>
      </c>
      <c r="H146" s="18" t="s">
        <v>98</v>
      </c>
      <c r="I146" s="14" t="s">
        <v>30518</v>
      </c>
      <c r="J146" s="14">
        <v>1</v>
      </c>
      <c r="K146" s="14">
        <v>0</v>
      </c>
      <c r="L146" s="14" t="s">
        <v>30519</v>
      </c>
      <c r="M146" s="19" t="s">
        <v>101</v>
      </c>
      <c r="N146" s="14" t="s">
        <v>25929</v>
      </c>
      <c r="O146" s="14" t="s">
        <v>7893</v>
      </c>
      <c r="P146" s="14" t="str">
        <f>HYPERLINK("https://dexscreener.com/solana/Gp7hF14qT6275Sz71bb5aaYXDTcngyFR5RPrjjuapump", "View")</f>
        <v>View</v>
      </c>
    </row>
    <row r="147" spans="1:16" x14ac:dyDescent="0.25">
      <c r="A147" s="16" t="s">
        <v>30520</v>
      </c>
      <c r="B147" s="17">
        <v>2065875</v>
      </c>
      <c r="C147" s="17">
        <v>0</v>
      </c>
      <c r="D147" s="17" t="s">
        <v>4738</v>
      </c>
      <c r="E147" s="17" t="s">
        <v>1457</v>
      </c>
      <c r="F147" s="17" t="s">
        <v>96</v>
      </c>
      <c r="G147" s="18" t="s">
        <v>1458</v>
      </c>
      <c r="H147" s="18" t="s">
        <v>98</v>
      </c>
      <c r="I147" s="17" t="s">
        <v>30521</v>
      </c>
      <c r="J147" s="17">
        <v>1</v>
      </c>
      <c r="K147" s="17">
        <v>0</v>
      </c>
      <c r="L147" s="17" t="s">
        <v>30522</v>
      </c>
      <c r="M147" s="19" t="s">
        <v>101</v>
      </c>
      <c r="N147" s="17" t="s">
        <v>10720</v>
      </c>
      <c r="O147" s="17" t="s">
        <v>30523</v>
      </c>
      <c r="P147" s="17" t="str">
        <f>HYPERLINK("https://dexscreener.com/solana/BJWyKVWrBxdwmn9vPP7HndJTQa31BtSYX6fXivTJpump", "View")</f>
        <v>View</v>
      </c>
    </row>
    <row r="148" spans="1:16" x14ac:dyDescent="0.25">
      <c r="A148" s="13" t="s">
        <v>7968</v>
      </c>
      <c r="B148" s="14">
        <v>1011372</v>
      </c>
      <c r="C148" s="14">
        <v>0</v>
      </c>
      <c r="D148" s="14" t="s">
        <v>4738</v>
      </c>
      <c r="E148" s="14" t="s">
        <v>1457</v>
      </c>
      <c r="F148" s="14" t="s">
        <v>96</v>
      </c>
      <c r="G148" s="18" t="s">
        <v>1458</v>
      </c>
      <c r="H148" s="18" t="s">
        <v>98</v>
      </c>
      <c r="I148" s="14" t="s">
        <v>30524</v>
      </c>
      <c r="J148" s="14">
        <v>1</v>
      </c>
      <c r="K148" s="14">
        <v>0</v>
      </c>
      <c r="L148" s="14" t="s">
        <v>30525</v>
      </c>
      <c r="M148" s="19" t="s">
        <v>101</v>
      </c>
      <c r="N148" s="14" t="s">
        <v>30526</v>
      </c>
      <c r="O148" s="14" t="s">
        <v>7973</v>
      </c>
      <c r="P148" s="14" t="str">
        <f>HYPERLINK("https://dexscreener.com/solana/BxBWLrR2qwkTqcyMqeCAAomi5SWu1HgJoiSJtD1vpump", "View")</f>
        <v>View</v>
      </c>
    </row>
    <row r="149" spans="1:16" x14ac:dyDescent="0.25">
      <c r="A149" s="16" t="s">
        <v>10447</v>
      </c>
      <c r="B149" s="17">
        <v>11001895</v>
      </c>
      <c r="C149" s="17">
        <v>11001895</v>
      </c>
      <c r="D149" s="17" t="s">
        <v>272</v>
      </c>
      <c r="E149" s="17" t="s">
        <v>569</v>
      </c>
      <c r="F149" s="17" t="s">
        <v>30527</v>
      </c>
      <c r="G149" s="21" t="s">
        <v>30528</v>
      </c>
      <c r="H149" s="21" t="s">
        <v>30529</v>
      </c>
      <c r="I149" s="17" t="s">
        <v>88</v>
      </c>
      <c r="J149" s="17">
        <v>1</v>
      </c>
      <c r="K149" s="17">
        <v>15</v>
      </c>
      <c r="L149" s="17" t="s">
        <v>30530</v>
      </c>
      <c r="M149" s="17" t="s">
        <v>672</v>
      </c>
      <c r="N149" s="17" t="s">
        <v>30531</v>
      </c>
      <c r="O149" s="17" t="s">
        <v>10454</v>
      </c>
      <c r="P149" s="17" t="str">
        <f>HYPERLINK("https://dexscreener.com/solana/GGHga4iRCxEvq9Ky4MNwk9amTbLLg53bBHcSjpJLpump", "View")</f>
        <v>View</v>
      </c>
    </row>
    <row r="150" spans="1:16" x14ac:dyDescent="0.25">
      <c r="A150" s="13" t="s">
        <v>16517</v>
      </c>
      <c r="B150" s="14">
        <v>11171678</v>
      </c>
      <c r="C150" s="14">
        <v>0</v>
      </c>
      <c r="D150" s="14" t="s">
        <v>22315</v>
      </c>
      <c r="E150" s="14" t="s">
        <v>12558</v>
      </c>
      <c r="F150" s="14" t="s">
        <v>96</v>
      </c>
      <c r="G150" s="18" t="s">
        <v>30532</v>
      </c>
      <c r="H150" s="18" t="s">
        <v>98</v>
      </c>
      <c r="I150" s="14" t="s">
        <v>30533</v>
      </c>
      <c r="J150" s="14">
        <v>4</v>
      </c>
      <c r="K150" s="14">
        <v>0</v>
      </c>
      <c r="L150" s="14" t="s">
        <v>30534</v>
      </c>
      <c r="M150" s="14" t="s">
        <v>179</v>
      </c>
      <c r="N150" s="14" t="s">
        <v>30535</v>
      </c>
      <c r="O150" s="14" t="s">
        <v>16523</v>
      </c>
      <c r="P150" s="14" t="str">
        <f>HYPERLINK("https://dexscreener.com/solana/4DUMGk8R9YXCmuv22AvFTDRyusrEwj3bKcVzfajwpump", "View")</f>
        <v>View</v>
      </c>
    </row>
    <row r="151" spans="1:16" x14ac:dyDescent="0.25">
      <c r="A151" s="16" t="s">
        <v>30536</v>
      </c>
      <c r="B151" s="17">
        <v>10754167</v>
      </c>
      <c r="C151" s="17">
        <v>0</v>
      </c>
      <c r="D151" s="17" t="s">
        <v>4738</v>
      </c>
      <c r="E151" s="17" t="s">
        <v>30537</v>
      </c>
      <c r="F151" s="17" t="s">
        <v>96</v>
      </c>
      <c r="G151" s="18" t="s">
        <v>30538</v>
      </c>
      <c r="H151" s="18" t="s">
        <v>98</v>
      </c>
      <c r="I151" s="17" t="s">
        <v>30539</v>
      </c>
      <c r="J151" s="17">
        <v>1</v>
      </c>
      <c r="K151" s="17">
        <v>0</v>
      </c>
      <c r="L151" s="17" t="s">
        <v>30540</v>
      </c>
      <c r="M151" s="19" t="s">
        <v>101</v>
      </c>
      <c r="N151" s="17" t="s">
        <v>904</v>
      </c>
      <c r="O151" s="17" t="s">
        <v>30541</v>
      </c>
      <c r="P151" s="17" t="str">
        <f>HYPERLINK("https://photon-sol.tinyastro.io/en/lp/87FFrD6vqfxBhjP19z2bT186iFjHrGBuYL41w8E7pump?handle=676050794bc1b1657a56b", "View")</f>
        <v>View</v>
      </c>
    </row>
    <row r="152" spans="1:16" x14ac:dyDescent="0.25">
      <c r="A152" s="13" t="s">
        <v>716</v>
      </c>
      <c r="B152" s="14">
        <v>457097</v>
      </c>
      <c r="C152" s="14">
        <v>0</v>
      </c>
      <c r="D152" s="14" t="s">
        <v>4754</v>
      </c>
      <c r="E152" s="14" t="s">
        <v>219</v>
      </c>
      <c r="F152" s="14" t="s">
        <v>96</v>
      </c>
      <c r="G152" s="18" t="s">
        <v>871</v>
      </c>
      <c r="H152" s="18" t="s">
        <v>98</v>
      </c>
      <c r="I152" s="14" t="s">
        <v>30542</v>
      </c>
      <c r="J152" s="14">
        <v>2</v>
      </c>
      <c r="K152" s="14">
        <v>0</v>
      </c>
      <c r="L152" s="14" t="s">
        <v>30543</v>
      </c>
      <c r="M152" s="14" t="s">
        <v>1448</v>
      </c>
      <c r="N152" s="14" t="s">
        <v>15880</v>
      </c>
      <c r="O152" s="14" t="s">
        <v>723</v>
      </c>
      <c r="P152" s="14" t="str">
        <f>HYPERLINK("https://dexscreener.com/solana/8QLTsTnPN4XxTP4ZU7osE4j5XpTmJWRDNQmjLzncpump", "View")</f>
        <v>View</v>
      </c>
    </row>
    <row r="153" spans="1:16" x14ac:dyDescent="0.25">
      <c r="A153" s="16" t="s">
        <v>30544</v>
      </c>
      <c r="B153" s="17">
        <v>2439783</v>
      </c>
      <c r="C153" s="17">
        <v>0</v>
      </c>
      <c r="D153" s="17" t="s">
        <v>4738</v>
      </c>
      <c r="E153" s="17" t="s">
        <v>1457</v>
      </c>
      <c r="F153" s="17" t="s">
        <v>96</v>
      </c>
      <c r="G153" s="18" t="s">
        <v>1458</v>
      </c>
      <c r="H153" s="18" t="s">
        <v>98</v>
      </c>
      <c r="I153" s="17" t="s">
        <v>30545</v>
      </c>
      <c r="J153" s="17">
        <v>1</v>
      </c>
      <c r="K153" s="17">
        <v>0</v>
      </c>
      <c r="L153" s="17" t="s">
        <v>30546</v>
      </c>
      <c r="M153" s="19" t="s">
        <v>101</v>
      </c>
      <c r="N153" s="17" t="s">
        <v>30547</v>
      </c>
      <c r="O153" s="17" t="s">
        <v>30548</v>
      </c>
      <c r="P153" s="17" t="str">
        <f>HYPERLINK("https://dexscreener.com/solana/7EqfS5kHGj3mLiBaFZ2B91GccdKoUcBQvLmqkaKjpump", "View")</f>
        <v>View</v>
      </c>
    </row>
    <row r="154" spans="1:16" x14ac:dyDescent="0.25">
      <c r="A154" s="13" t="s">
        <v>6347</v>
      </c>
      <c r="B154" s="14">
        <v>6921256</v>
      </c>
      <c r="C154" s="14">
        <v>0</v>
      </c>
      <c r="D154" s="14" t="s">
        <v>4738</v>
      </c>
      <c r="E154" s="14" t="s">
        <v>13588</v>
      </c>
      <c r="F154" s="14" t="s">
        <v>96</v>
      </c>
      <c r="G154" s="18" t="s">
        <v>21830</v>
      </c>
      <c r="H154" s="18" t="s">
        <v>98</v>
      </c>
      <c r="I154" s="14" t="s">
        <v>30549</v>
      </c>
      <c r="J154" s="14">
        <v>1</v>
      </c>
      <c r="K154" s="14">
        <v>0</v>
      </c>
      <c r="L154" s="14" t="s">
        <v>30550</v>
      </c>
      <c r="M154" s="19" t="s">
        <v>101</v>
      </c>
      <c r="N154" s="14" t="s">
        <v>223</v>
      </c>
      <c r="O154" s="14" t="s">
        <v>30551</v>
      </c>
      <c r="P154" s="14" t="str">
        <f>HYPERLINK("https://photon-sol.tinyastro.io/en/lp/6hS6Lfu1tbQxFmZaG8vqpuFrj8Tk4Q75mW8sSR5wpump?handle=676050794bc1b1657a56b", "View")</f>
        <v>View</v>
      </c>
    </row>
    <row r="155" spans="1:16" x14ac:dyDescent="0.25">
      <c r="A155" s="16" t="s">
        <v>6347</v>
      </c>
      <c r="B155" s="17">
        <v>16738920</v>
      </c>
      <c r="C155" s="17">
        <v>0</v>
      </c>
      <c r="D155" s="17" t="s">
        <v>4738</v>
      </c>
      <c r="E155" s="17" t="s">
        <v>1457</v>
      </c>
      <c r="F155" s="17" t="s">
        <v>96</v>
      </c>
      <c r="G155" s="18" t="s">
        <v>1458</v>
      </c>
      <c r="H155" s="18" t="s">
        <v>98</v>
      </c>
      <c r="I155" s="17" t="s">
        <v>30552</v>
      </c>
      <c r="J155" s="17">
        <v>1</v>
      </c>
      <c r="K155" s="17">
        <v>0</v>
      </c>
      <c r="L155" s="17" t="s">
        <v>30553</v>
      </c>
      <c r="M155" s="19" t="s">
        <v>101</v>
      </c>
      <c r="N155" s="17" t="s">
        <v>3962</v>
      </c>
      <c r="O155" s="17" t="s">
        <v>30554</v>
      </c>
      <c r="P155" s="17" t="str">
        <f>HYPERLINK("https://dexscreener.com/solana/D9eWcgTRHapeTp6Ze2GUcfGe49N4Cyy9YkcR87mkpump", "View")</f>
        <v>View</v>
      </c>
    </row>
    <row r="156" spans="1:16" x14ac:dyDescent="0.25">
      <c r="A156" s="13" t="s">
        <v>10647</v>
      </c>
      <c r="B156" s="14">
        <v>1551617</v>
      </c>
      <c r="C156" s="14">
        <v>0</v>
      </c>
      <c r="D156" s="14" t="s">
        <v>4738</v>
      </c>
      <c r="E156" s="14" t="s">
        <v>1457</v>
      </c>
      <c r="F156" s="14" t="s">
        <v>96</v>
      </c>
      <c r="G156" s="18" t="s">
        <v>1458</v>
      </c>
      <c r="H156" s="18" t="s">
        <v>98</v>
      </c>
      <c r="I156" s="14" t="s">
        <v>30555</v>
      </c>
      <c r="J156" s="14">
        <v>1</v>
      </c>
      <c r="K156" s="14">
        <v>0</v>
      </c>
      <c r="L156" s="14" t="s">
        <v>30556</v>
      </c>
      <c r="M156" s="19" t="s">
        <v>101</v>
      </c>
      <c r="N156" s="14" t="s">
        <v>30557</v>
      </c>
      <c r="O156" s="14" t="s">
        <v>30558</v>
      </c>
      <c r="P156" s="14" t="str">
        <f>HYPERLINK("https://dexscreener.com/solana/B9E6jadTVWE7NonxaSvJEnZnT5RABZpv2iLGUoCepump", "View")</f>
        <v>View</v>
      </c>
    </row>
    <row r="157" spans="1:16" x14ac:dyDescent="0.25">
      <c r="A157" s="16" t="s">
        <v>21145</v>
      </c>
      <c r="B157" s="17">
        <v>1746459</v>
      </c>
      <c r="C157" s="17">
        <v>0</v>
      </c>
      <c r="D157" s="17" t="s">
        <v>4738</v>
      </c>
      <c r="E157" s="17" t="s">
        <v>1457</v>
      </c>
      <c r="F157" s="17" t="s">
        <v>96</v>
      </c>
      <c r="G157" s="18" t="s">
        <v>1458</v>
      </c>
      <c r="H157" s="18" t="s">
        <v>98</v>
      </c>
      <c r="I157" s="17" t="s">
        <v>30559</v>
      </c>
      <c r="J157" s="17">
        <v>1</v>
      </c>
      <c r="K157" s="17">
        <v>0</v>
      </c>
      <c r="L157" s="17" t="s">
        <v>30560</v>
      </c>
      <c r="M157" s="19" t="s">
        <v>101</v>
      </c>
      <c r="N157" s="17" t="s">
        <v>10899</v>
      </c>
      <c r="O157" s="17" t="s">
        <v>30561</v>
      </c>
      <c r="P157" s="17" t="str">
        <f>HYPERLINK("https://dexscreener.com/solana/GvKeVuawSzGiPkkZnQA34M2w5mkQNANJstxjaQvaGZ8a", "View")</f>
        <v>View</v>
      </c>
    </row>
    <row r="158" spans="1:16" x14ac:dyDescent="0.25">
      <c r="A158" s="13" t="s">
        <v>8063</v>
      </c>
      <c r="B158" s="14">
        <v>256177</v>
      </c>
      <c r="C158" s="14">
        <v>0</v>
      </c>
      <c r="D158" s="14" t="s">
        <v>4738</v>
      </c>
      <c r="E158" s="14" t="s">
        <v>569</v>
      </c>
      <c r="F158" s="14" t="s">
        <v>96</v>
      </c>
      <c r="G158" s="18" t="s">
        <v>877</v>
      </c>
      <c r="H158" s="18" t="s">
        <v>98</v>
      </c>
      <c r="I158" s="14" t="s">
        <v>30562</v>
      </c>
      <c r="J158" s="14">
        <v>1</v>
      </c>
      <c r="K158" s="14">
        <v>0</v>
      </c>
      <c r="L158" s="14" t="s">
        <v>30563</v>
      </c>
      <c r="M158" s="19" t="s">
        <v>101</v>
      </c>
      <c r="N158" s="14" t="s">
        <v>25630</v>
      </c>
      <c r="O158" s="14" t="s">
        <v>8071</v>
      </c>
      <c r="P158" s="14" t="str">
        <f>HYPERLINK("https://dexscreener.com/solana/AgHg9Q1s9aUhU7YNMH7c5pvCghFVSFcnCEJ4ePKjrDZg", "View")</f>
        <v>View</v>
      </c>
    </row>
    <row r="159" spans="1:16" x14ac:dyDescent="0.25">
      <c r="A159" s="16" t="s">
        <v>30564</v>
      </c>
      <c r="B159" s="17">
        <v>8654386</v>
      </c>
      <c r="C159" s="17">
        <v>0</v>
      </c>
      <c r="D159" s="17" t="s">
        <v>4738</v>
      </c>
      <c r="E159" s="17" t="s">
        <v>1007</v>
      </c>
      <c r="F159" s="17" t="s">
        <v>96</v>
      </c>
      <c r="G159" s="18" t="s">
        <v>1008</v>
      </c>
      <c r="H159" s="18" t="s">
        <v>98</v>
      </c>
      <c r="I159" s="17" t="s">
        <v>30565</v>
      </c>
      <c r="J159" s="17">
        <v>1</v>
      </c>
      <c r="K159" s="17">
        <v>0</v>
      </c>
      <c r="L159" s="17" t="s">
        <v>30566</v>
      </c>
      <c r="M159" s="19" t="s">
        <v>101</v>
      </c>
      <c r="N159" s="17" t="s">
        <v>3962</v>
      </c>
      <c r="O159" s="17" t="s">
        <v>30567</v>
      </c>
      <c r="P159" s="17" t="str">
        <f>HYPERLINK("https://dexscreener.com/solana/2F9hMcShUSVaocwWmVJc7CemnXwajP3czFJv2Mhjpump", "View")</f>
        <v>View</v>
      </c>
    </row>
    <row r="160" spans="1:16" x14ac:dyDescent="0.25">
      <c r="A160" s="13" t="s">
        <v>28402</v>
      </c>
      <c r="B160" s="14">
        <v>450967</v>
      </c>
      <c r="C160" s="14">
        <v>0</v>
      </c>
      <c r="D160" s="14" t="s">
        <v>4738</v>
      </c>
      <c r="E160" s="14" t="s">
        <v>1457</v>
      </c>
      <c r="F160" s="14" t="s">
        <v>96</v>
      </c>
      <c r="G160" s="18" t="s">
        <v>1458</v>
      </c>
      <c r="H160" s="18" t="s">
        <v>98</v>
      </c>
      <c r="I160" s="14" t="s">
        <v>30568</v>
      </c>
      <c r="J160" s="14">
        <v>1</v>
      </c>
      <c r="K160" s="14">
        <v>0</v>
      </c>
      <c r="L160" s="14" t="s">
        <v>30569</v>
      </c>
      <c r="M160" s="19" t="s">
        <v>101</v>
      </c>
      <c r="N160" s="14" t="s">
        <v>30570</v>
      </c>
      <c r="O160" s="14" t="s">
        <v>28406</v>
      </c>
      <c r="P160" s="14" t="str">
        <f>HYPERLINK("https://dexscreener.com/solana/7q9koN6yzdiP3b5noPMN4V3LVVkh1msBAzHHiVCppump", "View")</f>
        <v>View</v>
      </c>
    </row>
    <row r="161" spans="1:16" x14ac:dyDescent="0.25">
      <c r="A161" s="16" t="s">
        <v>30571</v>
      </c>
      <c r="B161" s="17">
        <v>6176274</v>
      </c>
      <c r="C161" s="17">
        <v>0</v>
      </c>
      <c r="D161" s="17" t="s">
        <v>4738</v>
      </c>
      <c r="E161" s="17" t="s">
        <v>1457</v>
      </c>
      <c r="F161" s="17" t="s">
        <v>96</v>
      </c>
      <c r="G161" s="18" t="s">
        <v>1458</v>
      </c>
      <c r="H161" s="18" t="s">
        <v>98</v>
      </c>
      <c r="I161" s="17" t="s">
        <v>30572</v>
      </c>
      <c r="J161" s="17">
        <v>1</v>
      </c>
      <c r="K161" s="17">
        <v>0</v>
      </c>
      <c r="L161" s="17" t="s">
        <v>30573</v>
      </c>
      <c r="M161" s="19" t="s">
        <v>101</v>
      </c>
      <c r="N161" s="17" t="s">
        <v>22863</v>
      </c>
      <c r="O161" s="17" t="s">
        <v>30574</v>
      </c>
      <c r="P161" s="17" t="str">
        <f>HYPERLINK("https://dexscreener.com/solana/AWV9HTCZqGh54JgdVmetSkXA2tMNXgBAKoxA2snkpump", "View")</f>
        <v>View</v>
      </c>
    </row>
    <row r="162" spans="1:16" x14ac:dyDescent="0.25">
      <c r="A162" s="13" t="s">
        <v>15534</v>
      </c>
      <c r="B162" s="14">
        <v>11383908</v>
      </c>
      <c r="C162" s="14">
        <v>0</v>
      </c>
      <c r="D162" s="14" t="s">
        <v>4738</v>
      </c>
      <c r="E162" s="14" t="s">
        <v>1457</v>
      </c>
      <c r="F162" s="14" t="s">
        <v>96</v>
      </c>
      <c r="G162" s="18" t="s">
        <v>1458</v>
      </c>
      <c r="H162" s="18" t="s">
        <v>98</v>
      </c>
      <c r="I162" s="14" t="s">
        <v>30575</v>
      </c>
      <c r="J162" s="14">
        <v>1</v>
      </c>
      <c r="K162" s="14">
        <v>0</v>
      </c>
      <c r="L162" s="14" t="s">
        <v>30576</v>
      </c>
      <c r="M162" s="19" t="s">
        <v>101</v>
      </c>
      <c r="N162" s="14" t="s">
        <v>30577</v>
      </c>
      <c r="O162" s="14" t="s">
        <v>16559</v>
      </c>
      <c r="P162" s="14" t="str">
        <f>HYPERLINK("https://dexscreener.com/solana/2ogmqDNJ7RvQp3jKUUz3ambtC8ypMHXxj72mV3m8pump", "View")</f>
        <v>View</v>
      </c>
    </row>
    <row r="163" spans="1:16" x14ac:dyDescent="0.25">
      <c r="A163" s="16" t="s">
        <v>25656</v>
      </c>
      <c r="B163" s="17">
        <v>1620142</v>
      </c>
      <c r="C163" s="17">
        <v>0</v>
      </c>
      <c r="D163" s="17" t="s">
        <v>4738</v>
      </c>
      <c r="E163" s="17" t="s">
        <v>1007</v>
      </c>
      <c r="F163" s="17" t="s">
        <v>96</v>
      </c>
      <c r="G163" s="18" t="s">
        <v>1008</v>
      </c>
      <c r="H163" s="18" t="s">
        <v>98</v>
      </c>
      <c r="I163" s="17" t="s">
        <v>30578</v>
      </c>
      <c r="J163" s="17">
        <v>1</v>
      </c>
      <c r="K163" s="17">
        <v>0</v>
      </c>
      <c r="L163" s="17" t="s">
        <v>30579</v>
      </c>
      <c r="M163" s="19" t="s">
        <v>101</v>
      </c>
      <c r="N163" s="17" t="s">
        <v>30580</v>
      </c>
      <c r="O163" s="17" t="s">
        <v>30581</v>
      </c>
      <c r="P163" s="17" t="str">
        <f>HYPERLINK("https://dexscreener.com/solana/FKFSSSk6mPQQCSt4S71m5temXzE8K2sLby7WKWsypump", "View")</f>
        <v>View</v>
      </c>
    </row>
    <row r="164" spans="1:16" x14ac:dyDescent="0.25">
      <c r="A164" s="13" t="s">
        <v>4804</v>
      </c>
      <c r="B164" s="14">
        <v>5948494</v>
      </c>
      <c r="C164" s="14">
        <v>0</v>
      </c>
      <c r="D164" s="14" t="s">
        <v>4738</v>
      </c>
      <c r="E164" s="14" t="s">
        <v>1457</v>
      </c>
      <c r="F164" s="14" t="s">
        <v>96</v>
      </c>
      <c r="G164" s="18" t="s">
        <v>1458</v>
      </c>
      <c r="H164" s="18" t="s">
        <v>98</v>
      </c>
      <c r="I164" s="14" t="s">
        <v>30582</v>
      </c>
      <c r="J164" s="14">
        <v>1</v>
      </c>
      <c r="K164" s="14">
        <v>0</v>
      </c>
      <c r="L164" s="14" t="s">
        <v>30583</v>
      </c>
      <c r="M164" s="19" t="s">
        <v>101</v>
      </c>
      <c r="N164" s="14" t="s">
        <v>28217</v>
      </c>
      <c r="O164" s="14" t="s">
        <v>30584</v>
      </c>
      <c r="P164" s="14" t="str">
        <f>HYPERLINK("https://dexscreener.com/solana/4Tx58YQDTePfuf26MQwxrE61ovAXZm2DkQNwoGjxpump", "View")</f>
        <v>View</v>
      </c>
    </row>
    <row r="165" spans="1:16" x14ac:dyDescent="0.25">
      <c r="A165" s="16" t="s">
        <v>15102</v>
      </c>
      <c r="B165" s="17">
        <v>24471991</v>
      </c>
      <c r="C165" s="17">
        <v>0</v>
      </c>
      <c r="D165" s="17" t="s">
        <v>4738</v>
      </c>
      <c r="E165" s="17" t="s">
        <v>7547</v>
      </c>
      <c r="F165" s="17" t="s">
        <v>96</v>
      </c>
      <c r="G165" s="18" t="s">
        <v>29279</v>
      </c>
      <c r="H165" s="18" t="s">
        <v>98</v>
      </c>
      <c r="I165" s="17" t="s">
        <v>30585</v>
      </c>
      <c r="J165" s="17">
        <v>1</v>
      </c>
      <c r="K165" s="17">
        <v>0</v>
      </c>
      <c r="L165" s="17" t="s">
        <v>30586</v>
      </c>
      <c r="M165" s="19" t="s">
        <v>101</v>
      </c>
      <c r="N165" s="17" t="s">
        <v>407</v>
      </c>
      <c r="O165" s="17" t="s">
        <v>30587</v>
      </c>
      <c r="P165" s="17" t="str">
        <f>HYPERLINK("https://photon-sol.tinyastro.io/en/lp/7trb6ShUrYxCfmZdBUwtzUthB7853jR5qFxjH6kLpump?handle=676050794bc1b1657a56b", "View")</f>
        <v>View</v>
      </c>
    </row>
    <row r="166" spans="1:16" x14ac:dyDescent="0.25">
      <c r="A166" s="13" t="s">
        <v>9996</v>
      </c>
      <c r="B166" s="14">
        <v>2454099</v>
      </c>
      <c r="C166" s="14">
        <v>0</v>
      </c>
      <c r="D166" s="14" t="s">
        <v>4805</v>
      </c>
      <c r="E166" s="14" t="s">
        <v>212</v>
      </c>
      <c r="F166" s="14" t="s">
        <v>96</v>
      </c>
      <c r="G166" s="18" t="s">
        <v>984</v>
      </c>
      <c r="H166" s="18" t="s">
        <v>98</v>
      </c>
      <c r="I166" s="14" t="s">
        <v>30588</v>
      </c>
      <c r="J166" s="14">
        <v>4</v>
      </c>
      <c r="K166" s="14">
        <v>0</v>
      </c>
      <c r="L166" s="14" t="s">
        <v>30589</v>
      </c>
      <c r="M166" s="14" t="s">
        <v>179</v>
      </c>
      <c r="N166" s="14" t="s">
        <v>30590</v>
      </c>
      <c r="O166" s="14" t="s">
        <v>10002</v>
      </c>
      <c r="P166" s="14" t="str">
        <f>HYPERLINK("https://dexscreener.com/solana/FQ1tyso61AH1tzodyJfSwmzsD3GToybbRNoZxUBz21p8", "View")</f>
        <v>View</v>
      </c>
    </row>
    <row r="167" spans="1:16" x14ac:dyDescent="0.25">
      <c r="A167" s="16" t="s">
        <v>10663</v>
      </c>
      <c r="B167" s="17">
        <v>3096670</v>
      </c>
      <c r="C167" s="17">
        <v>0</v>
      </c>
      <c r="D167" s="17" t="s">
        <v>4738</v>
      </c>
      <c r="E167" s="17" t="s">
        <v>1457</v>
      </c>
      <c r="F167" s="17" t="s">
        <v>96</v>
      </c>
      <c r="G167" s="18" t="s">
        <v>1458</v>
      </c>
      <c r="H167" s="18" t="s">
        <v>98</v>
      </c>
      <c r="I167" s="17" t="s">
        <v>30591</v>
      </c>
      <c r="J167" s="17">
        <v>1</v>
      </c>
      <c r="K167" s="17">
        <v>0</v>
      </c>
      <c r="L167" s="17" t="s">
        <v>30592</v>
      </c>
      <c r="M167" s="19" t="s">
        <v>101</v>
      </c>
      <c r="N167" s="17" t="s">
        <v>30593</v>
      </c>
      <c r="O167" s="17" t="s">
        <v>10669</v>
      </c>
      <c r="P167" s="17" t="str">
        <f>HYPERLINK("https://dexscreener.com/solana/DCrPFBDZBVdVaiu98Jr9woaPRT5BUqZwSNr9Chdgpump", "View")</f>
        <v>View</v>
      </c>
    </row>
    <row r="168" spans="1:16" x14ac:dyDescent="0.25">
      <c r="A168" s="13" t="s">
        <v>30594</v>
      </c>
      <c r="B168" s="14">
        <v>14262319</v>
      </c>
      <c r="C168" s="14">
        <v>0</v>
      </c>
      <c r="D168" s="14" t="s">
        <v>4738</v>
      </c>
      <c r="E168" s="14" t="s">
        <v>2296</v>
      </c>
      <c r="F168" s="14" t="s">
        <v>96</v>
      </c>
      <c r="G168" s="18" t="s">
        <v>30595</v>
      </c>
      <c r="H168" s="18" t="s">
        <v>98</v>
      </c>
      <c r="I168" s="14" t="s">
        <v>30596</v>
      </c>
      <c r="J168" s="14">
        <v>1</v>
      </c>
      <c r="K168" s="14">
        <v>0</v>
      </c>
      <c r="L168" s="14" t="s">
        <v>30597</v>
      </c>
      <c r="M168" s="19" t="s">
        <v>101</v>
      </c>
      <c r="N168" s="14" t="s">
        <v>861</v>
      </c>
      <c r="O168" s="14" t="s">
        <v>30598</v>
      </c>
      <c r="P168" s="14" t="str">
        <f>HYPERLINK("https://photon-sol.tinyastro.io/en/lp/6oL9WTnJ4p7XUruL5UCXyvFGeHZr2JwygdruEdW9pump?handle=676050794bc1b1657a56b", "View")</f>
        <v>View</v>
      </c>
    </row>
    <row r="169" spans="1:16" x14ac:dyDescent="0.25">
      <c r="A169" s="16" t="s">
        <v>30599</v>
      </c>
      <c r="B169" s="17">
        <v>10958888</v>
      </c>
      <c r="C169" s="17">
        <v>0</v>
      </c>
      <c r="D169" s="17" t="s">
        <v>4738</v>
      </c>
      <c r="E169" s="17" t="s">
        <v>569</v>
      </c>
      <c r="F169" s="17" t="s">
        <v>96</v>
      </c>
      <c r="G169" s="18" t="s">
        <v>877</v>
      </c>
      <c r="H169" s="18" t="s">
        <v>98</v>
      </c>
      <c r="I169" s="17" t="s">
        <v>30600</v>
      </c>
      <c r="J169" s="17">
        <v>1</v>
      </c>
      <c r="K169" s="17">
        <v>0</v>
      </c>
      <c r="L169" s="17" t="s">
        <v>30601</v>
      </c>
      <c r="M169" s="19" t="s">
        <v>101</v>
      </c>
      <c r="N169" s="17" t="s">
        <v>30602</v>
      </c>
      <c r="O169" s="17" t="s">
        <v>30603</v>
      </c>
      <c r="P169" s="17" t="str">
        <f>HYPERLINK("https://dexscreener.com/solana/8pGX4L6vqTEBR58xdqaMswkVVPXbGLAoZ7Y68J1ZdsqC", "View")</f>
        <v>View</v>
      </c>
    </row>
    <row r="170" spans="1:16" x14ac:dyDescent="0.25">
      <c r="A170" s="13" t="s">
        <v>30604</v>
      </c>
      <c r="B170" s="14">
        <v>16371695</v>
      </c>
      <c r="C170" s="14">
        <v>0</v>
      </c>
      <c r="D170" s="14" t="s">
        <v>4754</v>
      </c>
      <c r="E170" s="14" t="s">
        <v>30605</v>
      </c>
      <c r="F170" s="14" t="s">
        <v>96</v>
      </c>
      <c r="G170" s="18" t="s">
        <v>30606</v>
      </c>
      <c r="H170" s="18" t="s">
        <v>98</v>
      </c>
      <c r="I170" s="14" t="s">
        <v>30607</v>
      </c>
      <c r="J170" s="14">
        <v>2</v>
      </c>
      <c r="K170" s="14">
        <v>0</v>
      </c>
      <c r="L170" s="14" t="s">
        <v>30608</v>
      </c>
      <c r="M170" s="19" t="s">
        <v>2493</v>
      </c>
      <c r="N170" s="14" t="s">
        <v>11522</v>
      </c>
      <c r="O170" s="14" t="s">
        <v>30609</v>
      </c>
      <c r="P170" s="14" t="str">
        <f>HYPERLINK("https://photon-sol.tinyastro.io/en/lp/9Y7PxRMohMzzQ1Vg4UJMGdXsRDHLSrt7oyBJtwF3jVci?handle=676050794bc1b1657a56b", "View")</f>
        <v>View</v>
      </c>
    </row>
    <row r="171" spans="1:16" x14ac:dyDescent="0.25">
      <c r="A171" s="16" t="s">
        <v>30610</v>
      </c>
      <c r="B171" s="17">
        <v>22983725</v>
      </c>
      <c r="C171" s="17">
        <v>0</v>
      </c>
      <c r="D171" s="17" t="s">
        <v>4738</v>
      </c>
      <c r="E171" s="17" t="s">
        <v>13588</v>
      </c>
      <c r="F171" s="17" t="s">
        <v>96</v>
      </c>
      <c r="G171" s="18" t="s">
        <v>21830</v>
      </c>
      <c r="H171" s="18" t="s">
        <v>98</v>
      </c>
      <c r="I171" s="17" t="s">
        <v>30611</v>
      </c>
      <c r="J171" s="17">
        <v>1</v>
      </c>
      <c r="K171" s="17">
        <v>0</v>
      </c>
      <c r="L171" s="17" t="s">
        <v>30612</v>
      </c>
      <c r="M171" s="19" t="s">
        <v>101</v>
      </c>
      <c r="N171" s="17" t="s">
        <v>2160</v>
      </c>
      <c r="O171" s="17" t="s">
        <v>30613</v>
      </c>
      <c r="P171" s="17" t="str">
        <f>HYPERLINK("https://photon-sol.tinyastro.io/en/lp/Atyo6gYvHVTkePZsXXn7248hkHUteu1swtr2VDzspump?handle=676050794bc1b1657a56b", "View")</f>
        <v>View</v>
      </c>
    </row>
    <row r="172" spans="1:16" x14ac:dyDescent="0.25">
      <c r="A172" s="13" t="s">
        <v>18766</v>
      </c>
      <c r="B172" s="14">
        <v>8918806</v>
      </c>
      <c r="C172" s="14">
        <v>0</v>
      </c>
      <c r="D172" s="14" t="s">
        <v>4754</v>
      </c>
      <c r="E172" s="14" t="s">
        <v>1267</v>
      </c>
      <c r="F172" s="14" t="s">
        <v>96</v>
      </c>
      <c r="G172" s="18" t="s">
        <v>1268</v>
      </c>
      <c r="H172" s="18" t="s">
        <v>98</v>
      </c>
      <c r="I172" s="14" t="s">
        <v>30614</v>
      </c>
      <c r="J172" s="14">
        <v>2</v>
      </c>
      <c r="K172" s="14">
        <v>0</v>
      </c>
      <c r="L172" s="14" t="s">
        <v>30615</v>
      </c>
      <c r="M172" s="14" t="s">
        <v>1448</v>
      </c>
      <c r="N172" s="14" t="s">
        <v>30616</v>
      </c>
      <c r="O172" s="14" t="s">
        <v>18770</v>
      </c>
      <c r="P172" s="14" t="str">
        <f>HYPERLINK("https://dexscreener.com/solana/4BJ1aXPzYhiV3TDPdyfg63cgrVuLbRh2DvejCzS7pump", "View")</f>
        <v>View</v>
      </c>
    </row>
    <row r="173" spans="1:16" x14ac:dyDescent="0.25">
      <c r="A173" s="16" t="s">
        <v>17243</v>
      </c>
      <c r="B173" s="17">
        <v>16468494</v>
      </c>
      <c r="C173" s="17">
        <v>0</v>
      </c>
      <c r="D173" s="17" t="s">
        <v>4754</v>
      </c>
      <c r="E173" s="17" t="s">
        <v>219</v>
      </c>
      <c r="F173" s="17" t="s">
        <v>96</v>
      </c>
      <c r="G173" s="18" t="s">
        <v>871</v>
      </c>
      <c r="H173" s="18" t="s">
        <v>98</v>
      </c>
      <c r="I173" s="17" t="s">
        <v>30617</v>
      </c>
      <c r="J173" s="17">
        <v>2</v>
      </c>
      <c r="K173" s="17">
        <v>0</v>
      </c>
      <c r="L173" s="17" t="s">
        <v>30618</v>
      </c>
      <c r="M173" s="19" t="s">
        <v>1872</v>
      </c>
      <c r="N173" s="17" t="s">
        <v>30619</v>
      </c>
      <c r="O173" s="17" t="s">
        <v>17246</v>
      </c>
      <c r="P173" s="17" t="str">
        <f>HYPERLINK("https://dexscreener.com/solana/9AJE1ZTeLCgSKiHoUpNV1QDk5pfYxosZmsQLFQX9pump", "View")</f>
        <v>View</v>
      </c>
    </row>
    <row r="174" spans="1:16" x14ac:dyDescent="0.25">
      <c r="A174" s="13" t="s">
        <v>30620</v>
      </c>
      <c r="B174" s="14">
        <v>6913794</v>
      </c>
      <c r="C174" s="14">
        <v>0</v>
      </c>
      <c r="D174" s="14" t="s">
        <v>4738</v>
      </c>
      <c r="E174" s="14" t="s">
        <v>1457</v>
      </c>
      <c r="F174" s="14" t="s">
        <v>96</v>
      </c>
      <c r="G174" s="18" t="s">
        <v>1458</v>
      </c>
      <c r="H174" s="18" t="s">
        <v>98</v>
      </c>
      <c r="I174" s="14" t="s">
        <v>30621</v>
      </c>
      <c r="J174" s="14">
        <v>1</v>
      </c>
      <c r="K174" s="14">
        <v>0</v>
      </c>
      <c r="L174" s="14" t="s">
        <v>30622</v>
      </c>
      <c r="M174" s="19" t="s">
        <v>101</v>
      </c>
      <c r="N174" s="14" t="s">
        <v>30623</v>
      </c>
      <c r="O174" s="14" t="s">
        <v>30624</v>
      </c>
      <c r="P174" s="14" t="str">
        <f>HYPERLINK("https://dexscreener.com/solana/AqYqcTgKqPVaMMjK9niKR4C5gLgU3RuNs5FHDQahpump", "View")</f>
        <v>View</v>
      </c>
    </row>
    <row r="175" spans="1:16" x14ac:dyDescent="0.25">
      <c r="A175" s="16" t="s">
        <v>10824</v>
      </c>
      <c r="B175" s="17">
        <v>17678598</v>
      </c>
      <c r="C175" s="17">
        <v>0</v>
      </c>
      <c r="D175" s="17" t="s">
        <v>4782</v>
      </c>
      <c r="E175" s="17" t="s">
        <v>1630</v>
      </c>
      <c r="F175" s="17" t="s">
        <v>96</v>
      </c>
      <c r="G175" s="18" t="s">
        <v>30625</v>
      </c>
      <c r="H175" s="18" t="s">
        <v>98</v>
      </c>
      <c r="I175" s="17" t="s">
        <v>30626</v>
      </c>
      <c r="J175" s="17">
        <v>3</v>
      </c>
      <c r="K175" s="17">
        <v>0</v>
      </c>
      <c r="L175" s="17" t="s">
        <v>30627</v>
      </c>
      <c r="M175" s="17" t="s">
        <v>1566</v>
      </c>
      <c r="N175" s="17" t="s">
        <v>30628</v>
      </c>
      <c r="O175" s="17" t="s">
        <v>10828</v>
      </c>
      <c r="P175" s="17" t="str">
        <f>HYPERLINK("https://dexscreener.com/solana/HNZwnNQqoTvnS452UF8BPmRHetu3xvySuQCAEP7npump", "View")</f>
        <v>View</v>
      </c>
    </row>
    <row r="176" spans="1:16" x14ac:dyDescent="0.25">
      <c r="A176" s="13" t="s">
        <v>11739</v>
      </c>
      <c r="B176" s="14">
        <v>34670156</v>
      </c>
      <c r="C176" s="14">
        <v>0</v>
      </c>
      <c r="D176" s="14" t="s">
        <v>4738</v>
      </c>
      <c r="E176" s="14" t="s">
        <v>3234</v>
      </c>
      <c r="F176" s="14" t="s">
        <v>96</v>
      </c>
      <c r="G176" s="18" t="s">
        <v>30629</v>
      </c>
      <c r="H176" s="18" t="s">
        <v>98</v>
      </c>
      <c r="I176" s="14" t="s">
        <v>30630</v>
      </c>
      <c r="J176" s="14">
        <v>1</v>
      </c>
      <c r="K176" s="14">
        <v>0</v>
      </c>
      <c r="L176" s="14" t="s">
        <v>30631</v>
      </c>
      <c r="M176" s="19" t="s">
        <v>101</v>
      </c>
      <c r="N176" s="14" t="s">
        <v>507</v>
      </c>
      <c r="O176" s="14" t="s">
        <v>30632</v>
      </c>
      <c r="P176" s="14" t="str">
        <f>HYPERLINK("https://photon-sol.tinyastro.io/en/lp/CwRp7vowzLqhmKEaSAhRfqatjeHRYv5pQBT3b3BQeuvj?handle=676050794bc1b1657a56b", "View")</f>
        <v>View</v>
      </c>
    </row>
    <row r="177" spans="1:16" x14ac:dyDescent="0.25">
      <c r="A177" s="16" t="s">
        <v>25779</v>
      </c>
      <c r="B177" s="17">
        <v>841197</v>
      </c>
      <c r="C177" s="17">
        <v>0</v>
      </c>
      <c r="D177" s="17" t="s">
        <v>4738</v>
      </c>
      <c r="E177" s="17" t="s">
        <v>1457</v>
      </c>
      <c r="F177" s="17" t="s">
        <v>96</v>
      </c>
      <c r="G177" s="18" t="s">
        <v>1458</v>
      </c>
      <c r="H177" s="18" t="s">
        <v>98</v>
      </c>
      <c r="I177" s="17" t="s">
        <v>30633</v>
      </c>
      <c r="J177" s="17">
        <v>1</v>
      </c>
      <c r="K177" s="17">
        <v>0</v>
      </c>
      <c r="L177" s="17" t="s">
        <v>30634</v>
      </c>
      <c r="M177" s="19" t="s">
        <v>101</v>
      </c>
      <c r="N177" s="17" t="s">
        <v>30635</v>
      </c>
      <c r="O177" s="17" t="s">
        <v>25783</v>
      </c>
      <c r="P177" s="17" t="str">
        <f>HYPERLINK("https://dexscreener.com/solana/FqnqT1GKi8S4Gyk5wnSKvJjXW48HqGtKJt9WS4o2pump", "View")</f>
        <v>View</v>
      </c>
    </row>
    <row r="178" spans="1:16" x14ac:dyDescent="0.25">
      <c r="A178" s="13" t="s">
        <v>30636</v>
      </c>
      <c r="B178" s="14">
        <v>16669268</v>
      </c>
      <c r="C178" s="14">
        <v>0</v>
      </c>
      <c r="D178" s="14" t="s">
        <v>4754</v>
      </c>
      <c r="E178" s="14" t="s">
        <v>402</v>
      </c>
      <c r="F178" s="14" t="s">
        <v>96</v>
      </c>
      <c r="G178" s="18" t="s">
        <v>1118</v>
      </c>
      <c r="H178" s="18" t="s">
        <v>98</v>
      </c>
      <c r="I178" s="14" t="s">
        <v>30637</v>
      </c>
      <c r="J178" s="14">
        <v>2</v>
      </c>
      <c r="K178" s="14">
        <v>0</v>
      </c>
      <c r="L178" s="14" t="s">
        <v>30638</v>
      </c>
      <c r="M178" s="14" t="s">
        <v>6393</v>
      </c>
      <c r="N178" s="14" t="s">
        <v>30639</v>
      </c>
      <c r="O178" s="14" t="s">
        <v>30640</v>
      </c>
      <c r="P178" s="14" t="str">
        <f>HYPERLINK("https://dexscreener.com/solana/5Ys8twKWfC9aFodKRHnHLCQhzzu9DEN5ZUzdrFekFgcK", "View")</f>
        <v>View</v>
      </c>
    </row>
    <row r="179" spans="1:16" x14ac:dyDescent="0.25">
      <c r="A179" s="16" t="s">
        <v>11841</v>
      </c>
      <c r="B179" s="17">
        <v>732678770</v>
      </c>
      <c r="C179" s="17">
        <v>0</v>
      </c>
      <c r="D179" s="17" t="s">
        <v>4738</v>
      </c>
      <c r="E179" s="17" t="s">
        <v>1457</v>
      </c>
      <c r="F179" s="17" t="s">
        <v>96</v>
      </c>
      <c r="G179" s="18" t="s">
        <v>1458</v>
      </c>
      <c r="H179" s="18" t="s">
        <v>98</v>
      </c>
      <c r="I179" s="17" t="s">
        <v>30641</v>
      </c>
      <c r="J179" s="17">
        <v>1</v>
      </c>
      <c r="K179" s="17">
        <v>0</v>
      </c>
      <c r="L179" s="17" t="s">
        <v>30642</v>
      </c>
      <c r="M179" s="19" t="s">
        <v>101</v>
      </c>
      <c r="N179" s="17" t="s">
        <v>11844</v>
      </c>
      <c r="O179" s="17" t="s">
        <v>11845</v>
      </c>
      <c r="P179" s="17" t="str">
        <f>HYPERLINK("https://dexscreener.com/solana/3cy8N3asQY3WKBWaeBY3MzBQzbD4Mpy1nyGYoYKdNioA", "View")</f>
        <v>View</v>
      </c>
    </row>
    <row r="180" spans="1:16" x14ac:dyDescent="0.25">
      <c r="A180" s="13" t="s">
        <v>30643</v>
      </c>
      <c r="B180" s="14">
        <v>13890411</v>
      </c>
      <c r="C180" s="14">
        <v>0</v>
      </c>
      <c r="D180" s="14" t="s">
        <v>4738</v>
      </c>
      <c r="E180" s="14" t="s">
        <v>219</v>
      </c>
      <c r="F180" s="14" t="s">
        <v>96</v>
      </c>
      <c r="G180" s="18" t="s">
        <v>871</v>
      </c>
      <c r="H180" s="18" t="s">
        <v>98</v>
      </c>
      <c r="I180" s="14" t="s">
        <v>30644</v>
      </c>
      <c r="J180" s="14">
        <v>1</v>
      </c>
      <c r="K180" s="14">
        <v>0</v>
      </c>
      <c r="L180" s="14" t="s">
        <v>30645</v>
      </c>
      <c r="M180" s="19" t="s">
        <v>101</v>
      </c>
      <c r="N180" s="14" t="s">
        <v>30646</v>
      </c>
      <c r="O180" s="14" t="s">
        <v>30647</v>
      </c>
      <c r="P180" s="14" t="str">
        <f>HYPERLINK("https://dexscreener.com/solana/7HRFfxJdgQJTYghgve416fqDRVXUEJ72pbuF9bPBPXbA", "View")</f>
        <v>View</v>
      </c>
    </row>
    <row r="181" spans="1:16" x14ac:dyDescent="0.25">
      <c r="A181" s="16" t="s">
        <v>1261</v>
      </c>
      <c r="B181" s="17">
        <v>10034776</v>
      </c>
      <c r="C181" s="17">
        <v>0</v>
      </c>
      <c r="D181" s="17" t="s">
        <v>4738</v>
      </c>
      <c r="E181" s="17" t="s">
        <v>1007</v>
      </c>
      <c r="F181" s="17" t="s">
        <v>96</v>
      </c>
      <c r="G181" s="18" t="s">
        <v>1008</v>
      </c>
      <c r="H181" s="18" t="s">
        <v>98</v>
      </c>
      <c r="I181" s="17" t="s">
        <v>30648</v>
      </c>
      <c r="J181" s="17">
        <v>1</v>
      </c>
      <c r="K181" s="17">
        <v>0</v>
      </c>
      <c r="L181" s="17" t="s">
        <v>30649</v>
      </c>
      <c r="M181" s="19" t="s">
        <v>101</v>
      </c>
      <c r="N181" s="17" t="s">
        <v>1393</v>
      </c>
      <c r="O181" s="17" t="s">
        <v>1265</v>
      </c>
      <c r="P181" s="17" t="str">
        <f>HYPERLINK("https://dexscreener.com/solana/9jXM5YVmVu6D8DVNo7J2cLFWK1MCCWdS3GpGb2HSpump", "View")</f>
        <v>View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CCF4-76B6-4712-81D3-7D8DA25BFBE8}">
  <dimension ref="A1:P39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HYPERLINK("https://gmgn.ai/sol/address/4ANWddp8hUV2MUD8uDdRaMPLXg68kayLpLGDbinit7QF", "GMGN")</f>
        <v>GMGN</v>
      </c>
    </row>
    <row r="2" spans="1:14" x14ac:dyDescent="0.25">
      <c r="A2" s="3" t="s">
        <v>30650</v>
      </c>
      <c r="B2" s="3" t="s">
        <v>22384</v>
      </c>
      <c r="C2" s="3" t="s">
        <v>9638</v>
      </c>
      <c r="D2" s="3" t="s">
        <v>19651</v>
      </c>
      <c r="E2" s="3" t="s">
        <v>30651</v>
      </c>
      <c r="F2" s="3" t="s">
        <v>18</v>
      </c>
      <c r="G2" s="3" t="s">
        <v>18</v>
      </c>
      <c r="H2" s="3">
        <v>20</v>
      </c>
      <c r="I2" s="3">
        <v>1</v>
      </c>
      <c r="J2" s="3" t="s">
        <v>17032</v>
      </c>
      <c r="K2" s="3" t="s">
        <v>132</v>
      </c>
      <c r="L2" s="3">
        <v>3</v>
      </c>
      <c r="M2" s="3">
        <v>15</v>
      </c>
      <c r="N2" s="3" t="str">
        <f>HYPERLINK("https://solscan.io/account/4ANWddp8hUV2MUD8uDdRaMPLXg68kayLpLGDbinit7QF", "Solscan")</f>
        <v>Solscan</v>
      </c>
    </row>
    <row r="3" spans="1:14" x14ac:dyDescent="0.25">
      <c r="A3" s="1" t="s">
        <v>21</v>
      </c>
      <c r="B3" s="23" t="s">
        <v>30652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HYPERLINK("https://birdeye.so/profile/4ANWddp8hUV2MUD8uDdRaMPLXg68kayLpLGDbinit7QF", "Birdeye")</f>
        <v>Birdeye</v>
      </c>
    </row>
    <row r="4" spans="1:14" x14ac:dyDescent="0.25">
      <c r="A4" s="1" t="s">
        <v>25</v>
      </c>
      <c r="B4" s="3" t="s">
        <v>13981</v>
      </c>
      <c r="C4" s="3"/>
      <c r="D4" s="3" t="s">
        <v>12314</v>
      </c>
      <c r="E4" s="3" t="s">
        <v>29642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19660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2</v>
      </c>
      <c r="D10" s="1">
        <v>1</v>
      </c>
      <c r="E10" s="1">
        <v>6</v>
      </c>
      <c r="F10" s="1">
        <v>3</v>
      </c>
      <c r="G10" s="1">
        <v>7</v>
      </c>
      <c r="H10" s="3"/>
      <c r="I10" s="3" t="s">
        <v>42</v>
      </c>
      <c r="J10" s="3" t="s">
        <v>1583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4723</v>
      </c>
      <c r="C11" s="1" t="s">
        <v>48</v>
      </c>
      <c r="D11" s="1" t="s">
        <v>4723</v>
      </c>
      <c r="E11" s="1" t="s">
        <v>24424</v>
      </c>
      <c r="F11" s="1" t="s">
        <v>30653</v>
      </c>
      <c r="G11" s="1" t="s">
        <v>24422</v>
      </c>
      <c r="H11" s="3"/>
      <c r="I11" s="3" t="s">
        <v>50</v>
      </c>
      <c r="J11" s="3" t="s">
        <v>15564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4129</v>
      </c>
      <c r="C12" s="1" t="s">
        <v>9644</v>
      </c>
      <c r="D12" s="1" t="s">
        <v>26986</v>
      </c>
      <c r="E12" s="1" t="s">
        <v>15658</v>
      </c>
      <c r="F12" s="1" t="s">
        <v>20573</v>
      </c>
      <c r="G12" s="1" t="s">
        <v>4279</v>
      </c>
      <c r="H12" s="3"/>
      <c r="I12" s="3" t="s">
        <v>59</v>
      </c>
      <c r="J12" s="3" t="s">
        <v>8461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1570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43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30654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11246</v>
      </c>
      <c r="B20" s="14">
        <v>1809083</v>
      </c>
      <c r="C20" s="14">
        <v>1796901</v>
      </c>
      <c r="D20" s="14" t="s">
        <v>16054</v>
      </c>
      <c r="E20" s="14" t="s">
        <v>5573</v>
      </c>
      <c r="F20" s="14" t="s">
        <v>4679</v>
      </c>
      <c r="G20" s="22" t="s">
        <v>4706</v>
      </c>
      <c r="H20" s="22" t="s">
        <v>30655</v>
      </c>
      <c r="I20" s="14" t="s">
        <v>88</v>
      </c>
      <c r="J20" s="14">
        <v>3</v>
      </c>
      <c r="K20" s="14">
        <v>3</v>
      </c>
      <c r="L20" s="14" t="s">
        <v>30656</v>
      </c>
      <c r="M20" s="14" t="s">
        <v>4550</v>
      </c>
      <c r="N20" s="14" t="s">
        <v>30657</v>
      </c>
      <c r="O20" s="14" t="s">
        <v>11250</v>
      </c>
      <c r="P20" s="14" t="str">
        <f>HYPERLINK("https://dexscreener.com/solana/3cFVS5jQNVgFQxBJiuuZL1jKa3fs7uhCetjKHSSipump", "View")</f>
        <v>View</v>
      </c>
    </row>
    <row r="21" spans="1:16" x14ac:dyDescent="0.25">
      <c r="A21" s="16" t="s">
        <v>30658</v>
      </c>
      <c r="B21" s="17">
        <v>4914015</v>
      </c>
      <c r="C21" s="17">
        <v>4914015</v>
      </c>
      <c r="D21" s="17" t="s">
        <v>1890</v>
      </c>
      <c r="E21" s="17" t="s">
        <v>4396</v>
      </c>
      <c r="F21" s="17" t="s">
        <v>6212</v>
      </c>
      <c r="G21" s="20" t="s">
        <v>4101</v>
      </c>
      <c r="H21" s="20" t="s">
        <v>24102</v>
      </c>
      <c r="I21" s="17" t="s">
        <v>88</v>
      </c>
      <c r="J21" s="17">
        <v>1</v>
      </c>
      <c r="K21" s="17">
        <v>1</v>
      </c>
      <c r="L21" s="17" t="s">
        <v>30659</v>
      </c>
      <c r="M21" s="17" t="s">
        <v>4550</v>
      </c>
      <c r="N21" s="17" t="s">
        <v>12746</v>
      </c>
      <c r="O21" s="17" t="s">
        <v>30660</v>
      </c>
      <c r="P21" s="17" t="str">
        <f>HYPERLINK("https://dexscreener.com/solana/GmnhdjaVZbgzjyYXEGGUawMrb1oS9V6WAtE9bxCZpump", "View")</f>
        <v>View</v>
      </c>
    </row>
    <row r="22" spans="1:16" x14ac:dyDescent="0.25">
      <c r="A22" s="13" t="s">
        <v>30661</v>
      </c>
      <c r="B22" s="14">
        <v>338606</v>
      </c>
      <c r="C22" s="14">
        <v>338606</v>
      </c>
      <c r="D22" s="14" t="s">
        <v>7975</v>
      </c>
      <c r="E22" s="14" t="s">
        <v>3765</v>
      </c>
      <c r="F22" s="14" t="s">
        <v>96</v>
      </c>
      <c r="G22" s="15" t="s">
        <v>4880</v>
      </c>
      <c r="H22" s="15" t="s">
        <v>30662</v>
      </c>
      <c r="I22" s="14" t="s">
        <v>88</v>
      </c>
      <c r="J22" s="14">
        <v>1</v>
      </c>
      <c r="K22" s="14">
        <v>1</v>
      </c>
      <c r="L22" s="14" t="s">
        <v>30663</v>
      </c>
      <c r="M22" s="14" t="s">
        <v>690</v>
      </c>
      <c r="N22" s="14" t="s">
        <v>507</v>
      </c>
      <c r="O22" s="14" t="s">
        <v>30664</v>
      </c>
      <c r="P22" s="14" t="str">
        <f>HYPERLINK("https://photon-sol.tinyastro.io/en/lp/B9Q4oasDcXG2d4G56ABD9W7Ydy74rJXmRrMpYv6pump?handle=676050794bc1b1657a56b", "View")</f>
        <v>View</v>
      </c>
    </row>
    <row r="23" spans="1:16" x14ac:dyDescent="0.25">
      <c r="A23" s="16" t="s">
        <v>30665</v>
      </c>
      <c r="B23" s="17">
        <v>1733697</v>
      </c>
      <c r="C23" s="17">
        <v>1733697</v>
      </c>
      <c r="D23" s="17" t="s">
        <v>15575</v>
      </c>
      <c r="E23" s="17" t="s">
        <v>5018</v>
      </c>
      <c r="F23" s="17" t="s">
        <v>96</v>
      </c>
      <c r="G23" s="15" t="s">
        <v>4610</v>
      </c>
      <c r="H23" s="15" t="s">
        <v>30666</v>
      </c>
      <c r="I23" s="17" t="s">
        <v>88</v>
      </c>
      <c r="J23" s="17">
        <v>1</v>
      </c>
      <c r="K23" s="17">
        <v>1</v>
      </c>
      <c r="L23" s="17" t="s">
        <v>30667</v>
      </c>
      <c r="M23" s="17" t="s">
        <v>690</v>
      </c>
      <c r="N23" s="17" t="s">
        <v>507</v>
      </c>
      <c r="O23" s="17" t="s">
        <v>30668</v>
      </c>
      <c r="P23" s="17" t="str">
        <f>HYPERLINK("https://photon-sol.tinyastro.io/en/lp/SqFAShm8xxsLdsAaWGCCxTQVgRhNVECigvnd6xLpump?handle=676050794bc1b1657a56b", "View")</f>
        <v>View</v>
      </c>
    </row>
    <row r="24" spans="1:16" x14ac:dyDescent="0.25">
      <c r="A24" s="13" t="s">
        <v>13705</v>
      </c>
      <c r="B24" s="14">
        <v>75129</v>
      </c>
      <c r="C24" s="14">
        <v>75129</v>
      </c>
      <c r="D24" s="14" t="s">
        <v>8439</v>
      </c>
      <c r="E24" s="14" t="s">
        <v>2429</v>
      </c>
      <c r="F24" s="14" t="s">
        <v>4706</v>
      </c>
      <c r="G24" s="22" t="s">
        <v>4555</v>
      </c>
      <c r="H24" s="22" t="s">
        <v>30669</v>
      </c>
      <c r="I24" s="14" t="s">
        <v>88</v>
      </c>
      <c r="J24" s="14">
        <v>1</v>
      </c>
      <c r="K24" s="14">
        <v>1</v>
      </c>
      <c r="L24" s="14" t="s">
        <v>30670</v>
      </c>
      <c r="M24" s="14" t="s">
        <v>1526</v>
      </c>
      <c r="N24" s="14" t="s">
        <v>30671</v>
      </c>
      <c r="O24" s="14" t="s">
        <v>13710</v>
      </c>
      <c r="P24" s="14" t="str">
        <f>HYPERLINK("https://dexscreener.com/solana/EGxWoteoTqwyzgXFZSxagKBUkoVbqtyRmnDewQNEpump", "View")</f>
        <v>View</v>
      </c>
    </row>
    <row r="25" spans="1:16" x14ac:dyDescent="0.25">
      <c r="A25" s="16" t="s">
        <v>30672</v>
      </c>
      <c r="B25" s="17">
        <v>2326928</v>
      </c>
      <c r="C25" s="17">
        <v>2326928</v>
      </c>
      <c r="D25" s="17" t="s">
        <v>10465</v>
      </c>
      <c r="E25" s="17" t="s">
        <v>5919</v>
      </c>
      <c r="F25" s="17" t="s">
        <v>6156</v>
      </c>
      <c r="G25" s="20" t="s">
        <v>5133</v>
      </c>
      <c r="H25" s="20" t="s">
        <v>30673</v>
      </c>
      <c r="I25" s="17" t="s">
        <v>88</v>
      </c>
      <c r="J25" s="17">
        <v>1</v>
      </c>
      <c r="K25" s="17">
        <v>1</v>
      </c>
      <c r="L25" s="17" t="s">
        <v>30674</v>
      </c>
      <c r="M25" s="17" t="s">
        <v>4558</v>
      </c>
      <c r="N25" s="17" t="s">
        <v>12746</v>
      </c>
      <c r="O25" s="17" t="s">
        <v>30675</v>
      </c>
      <c r="P25" s="17" t="str">
        <f>HYPERLINK("https://dexscreener.com/solana/4322EXTSqgXpg4tbMH9sZmEihria25jdwRd8M3TWpump", "View")</f>
        <v>View</v>
      </c>
    </row>
    <row r="26" spans="1:16" x14ac:dyDescent="0.25">
      <c r="A26" s="13" t="s">
        <v>30676</v>
      </c>
      <c r="B26" s="14">
        <v>3524308</v>
      </c>
      <c r="C26" s="14">
        <v>1324681</v>
      </c>
      <c r="D26" s="14" t="s">
        <v>9668</v>
      </c>
      <c r="E26" s="14" t="s">
        <v>4396</v>
      </c>
      <c r="F26" s="14" t="s">
        <v>5680</v>
      </c>
      <c r="G26" s="20" t="s">
        <v>23889</v>
      </c>
      <c r="H26" s="20" t="s">
        <v>30677</v>
      </c>
      <c r="I26" s="14" t="s">
        <v>88</v>
      </c>
      <c r="J26" s="14">
        <v>2</v>
      </c>
      <c r="K26" s="14">
        <v>1</v>
      </c>
      <c r="L26" s="14" t="s">
        <v>30678</v>
      </c>
      <c r="M26" s="14" t="s">
        <v>17039</v>
      </c>
      <c r="N26" s="14" t="s">
        <v>30679</v>
      </c>
      <c r="O26" s="14" t="s">
        <v>30680</v>
      </c>
      <c r="P26" s="14" t="str">
        <f>HYPERLINK("https://dexscreener.com/solana/GCjshceavPuhS2SL9iN1ePVSuPJ29jtuNSgrrUUGpump", "View")</f>
        <v>View</v>
      </c>
    </row>
    <row r="27" spans="1:16" x14ac:dyDescent="0.25">
      <c r="A27" s="16" t="s">
        <v>11797</v>
      </c>
      <c r="B27" s="17">
        <v>2345971</v>
      </c>
      <c r="C27" s="17">
        <v>2345971</v>
      </c>
      <c r="D27" s="17" t="s">
        <v>8439</v>
      </c>
      <c r="E27" s="17" t="s">
        <v>4396</v>
      </c>
      <c r="F27" s="17" t="s">
        <v>4694</v>
      </c>
      <c r="G27" s="21" t="s">
        <v>5311</v>
      </c>
      <c r="H27" s="21" t="s">
        <v>30681</v>
      </c>
      <c r="I27" s="17" t="s">
        <v>88</v>
      </c>
      <c r="J27" s="17">
        <v>2</v>
      </c>
      <c r="K27" s="17">
        <v>1</v>
      </c>
      <c r="L27" s="17" t="s">
        <v>30682</v>
      </c>
      <c r="M27" s="17" t="s">
        <v>414</v>
      </c>
      <c r="N27" s="17" t="s">
        <v>21143</v>
      </c>
      <c r="O27" s="17" t="s">
        <v>11802</v>
      </c>
      <c r="P27" s="17" t="str">
        <f>HYPERLINK("https://dexscreener.com/solana/AnLV6URRUi6gSaRunA141ZuBySuNMTvaWpSXbgLXpump", "View")</f>
        <v>View</v>
      </c>
    </row>
    <row r="28" spans="1:16" x14ac:dyDescent="0.25">
      <c r="A28" s="13" t="s">
        <v>11766</v>
      </c>
      <c r="B28" s="14">
        <v>211388</v>
      </c>
      <c r="C28" s="14">
        <v>0</v>
      </c>
      <c r="D28" s="14" t="s">
        <v>883</v>
      </c>
      <c r="E28" s="14" t="s">
        <v>5919</v>
      </c>
      <c r="F28" s="14" t="s">
        <v>96</v>
      </c>
      <c r="G28" s="18" t="s">
        <v>3885</v>
      </c>
      <c r="H28" s="18" t="s">
        <v>98</v>
      </c>
      <c r="I28" s="14" t="s">
        <v>30683</v>
      </c>
      <c r="J28" s="14">
        <v>1</v>
      </c>
      <c r="K28" s="14">
        <v>0</v>
      </c>
      <c r="L28" s="14" t="s">
        <v>30684</v>
      </c>
      <c r="M28" s="19" t="s">
        <v>101</v>
      </c>
      <c r="N28" s="14" t="s">
        <v>507</v>
      </c>
      <c r="O28" s="14" t="s">
        <v>25775</v>
      </c>
      <c r="P28" s="14" t="str">
        <f>HYPERLINK("https://dexscreener.com/solana/D3sjstAjtDTWwovWnUXZvcjs5iuhQVDRE1vvsZLfpump", "View")</f>
        <v>View</v>
      </c>
    </row>
    <row r="29" spans="1:16" x14ac:dyDescent="0.25">
      <c r="A29" s="16" t="s">
        <v>11951</v>
      </c>
      <c r="B29" s="17">
        <v>125832</v>
      </c>
      <c r="C29" s="17">
        <v>0</v>
      </c>
      <c r="D29" s="17" t="s">
        <v>883</v>
      </c>
      <c r="E29" s="17" t="s">
        <v>2554</v>
      </c>
      <c r="F29" s="17" t="s">
        <v>96</v>
      </c>
      <c r="G29" s="18" t="s">
        <v>4101</v>
      </c>
      <c r="H29" s="18" t="s">
        <v>98</v>
      </c>
      <c r="I29" s="17" t="s">
        <v>30685</v>
      </c>
      <c r="J29" s="17">
        <v>1</v>
      </c>
      <c r="K29" s="17">
        <v>0</v>
      </c>
      <c r="L29" s="17" t="s">
        <v>30686</v>
      </c>
      <c r="M29" s="19" t="s">
        <v>101</v>
      </c>
      <c r="N29" s="17" t="s">
        <v>13200</v>
      </c>
      <c r="O29" s="17" t="s">
        <v>11954</v>
      </c>
      <c r="P29" s="17" t="str">
        <f>HYPERLINK("https://dexscreener.com/solana/ALW1DD65EtewCiRz65gUDvYYAqQWLwjo68XAnsR7pump", "View")</f>
        <v>View</v>
      </c>
    </row>
    <row r="30" spans="1:16" x14ac:dyDescent="0.25">
      <c r="A30" s="13" t="s">
        <v>30687</v>
      </c>
      <c r="B30" s="14">
        <v>467100</v>
      </c>
      <c r="C30" s="14">
        <v>467100</v>
      </c>
      <c r="D30" s="14" t="s">
        <v>22315</v>
      </c>
      <c r="E30" s="14" t="s">
        <v>4396</v>
      </c>
      <c r="F30" s="14" t="s">
        <v>1639</v>
      </c>
      <c r="G30" s="22" t="s">
        <v>4687</v>
      </c>
      <c r="H30" s="22" t="s">
        <v>30688</v>
      </c>
      <c r="I30" s="14" t="s">
        <v>88</v>
      </c>
      <c r="J30" s="14">
        <v>2</v>
      </c>
      <c r="K30" s="14">
        <v>2</v>
      </c>
      <c r="L30" s="14" t="s">
        <v>30689</v>
      </c>
      <c r="M30" s="14" t="s">
        <v>132</v>
      </c>
      <c r="N30" s="14" t="s">
        <v>30690</v>
      </c>
      <c r="O30" s="14" t="s">
        <v>30691</v>
      </c>
      <c r="P30" s="14" t="str">
        <f>HYPERLINK("https://dexscreener.com/solana/DMTvMH4xa4ALhWtcxSR4jAeWByGQymBQRHXyyELRpump", "View")</f>
        <v>View</v>
      </c>
    </row>
    <row r="31" spans="1:16" x14ac:dyDescent="0.25">
      <c r="A31" s="16" t="s">
        <v>17312</v>
      </c>
      <c r="B31" s="17">
        <v>478652</v>
      </c>
      <c r="C31" s="17">
        <v>0</v>
      </c>
      <c r="D31" s="17" t="s">
        <v>28091</v>
      </c>
      <c r="E31" s="17" t="s">
        <v>5919</v>
      </c>
      <c r="F31" s="17" t="s">
        <v>96</v>
      </c>
      <c r="G31" s="18" t="s">
        <v>3885</v>
      </c>
      <c r="H31" s="18" t="s">
        <v>98</v>
      </c>
      <c r="I31" s="17" t="s">
        <v>30692</v>
      </c>
      <c r="J31" s="17">
        <v>1</v>
      </c>
      <c r="K31" s="17">
        <v>0</v>
      </c>
      <c r="L31" s="17" t="s">
        <v>30693</v>
      </c>
      <c r="M31" s="19" t="s">
        <v>101</v>
      </c>
      <c r="N31" s="17" t="s">
        <v>644</v>
      </c>
      <c r="O31" s="17" t="s">
        <v>17315</v>
      </c>
      <c r="P31" s="17" t="str">
        <f>HYPERLINK("https://dexscreener.com/solana/Bu8tzATJze1tCtjXfy8g54heQ9vzYF3nm5sMe5gVpump", "View")</f>
        <v>View</v>
      </c>
    </row>
    <row r="32" spans="1:16" x14ac:dyDescent="0.25">
      <c r="A32" s="13" t="s">
        <v>11552</v>
      </c>
      <c r="B32" s="14">
        <v>587718</v>
      </c>
      <c r="C32" s="14">
        <v>587718</v>
      </c>
      <c r="D32" s="14" t="s">
        <v>22315</v>
      </c>
      <c r="E32" s="14" t="s">
        <v>5919</v>
      </c>
      <c r="F32" s="14" t="s">
        <v>3912</v>
      </c>
      <c r="G32" s="21" t="s">
        <v>5057</v>
      </c>
      <c r="H32" s="21" t="s">
        <v>30694</v>
      </c>
      <c r="I32" s="14" t="s">
        <v>88</v>
      </c>
      <c r="J32" s="14">
        <v>1</v>
      </c>
      <c r="K32" s="14">
        <v>1</v>
      </c>
      <c r="L32" s="14" t="s">
        <v>30695</v>
      </c>
      <c r="M32" s="14" t="s">
        <v>8522</v>
      </c>
      <c r="N32" s="14" t="s">
        <v>30696</v>
      </c>
      <c r="O32" s="14" t="s">
        <v>11557</v>
      </c>
      <c r="P32" s="14" t="str">
        <f>HYPERLINK("https://dexscreener.com/solana/C9hmF1jY7RVuyzCrzFMiP79kjDVSun8SMJ78VV6tpump", "View")</f>
        <v>View</v>
      </c>
    </row>
    <row r="33" spans="1:16" x14ac:dyDescent="0.25">
      <c r="A33" s="16" t="s">
        <v>19100</v>
      </c>
      <c r="B33" s="17">
        <v>249734</v>
      </c>
      <c r="C33" s="17">
        <v>0</v>
      </c>
      <c r="D33" s="17" t="s">
        <v>4754</v>
      </c>
      <c r="E33" s="17" t="s">
        <v>4555</v>
      </c>
      <c r="F33" s="17" t="s">
        <v>96</v>
      </c>
      <c r="G33" s="18" t="s">
        <v>5801</v>
      </c>
      <c r="H33" s="18" t="s">
        <v>98</v>
      </c>
      <c r="I33" s="17" t="s">
        <v>30697</v>
      </c>
      <c r="J33" s="17">
        <v>1</v>
      </c>
      <c r="K33" s="17">
        <v>0</v>
      </c>
      <c r="L33" s="17" t="s">
        <v>30698</v>
      </c>
      <c r="M33" s="19" t="s">
        <v>101</v>
      </c>
      <c r="N33" s="17" t="s">
        <v>30699</v>
      </c>
      <c r="O33" s="17" t="s">
        <v>30700</v>
      </c>
      <c r="P33" s="17" t="str">
        <f>HYPERLINK("https://dexscreener.com/solana/Es9vMFrzaCERmJfrF4H2FYD4KCoNkY11McCe8BenwNYB", "View")</f>
        <v>View</v>
      </c>
    </row>
    <row r="34" spans="1:16" x14ac:dyDescent="0.25">
      <c r="A34" s="13" t="s">
        <v>18783</v>
      </c>
      <c r="B34" s="14">
        <v>474243</v>
      </c>
      <c r="C34" s="14">
        <v>474243</v>
      </c>
      <c r="D34" s="14" t="s">
        <v>19373</v>
      </c>
      <c r="E34" s="14" t="s">
        <v>5919</v>
      </c>
      <c r="F34" s="14" t="s">
        <v>6261</v>
      </c>
      <c r="G34" s="21" t="s">
        <v>3320</v>
      </c>
      <c r="H34" s="21" t="s">
        <v>30701</v>
      </c>
      <c r="I34" s="14" t="s">
        <v>88</v>
      </c>
      <c r="J34" s="14">
        <v>1</v>
      </c>
      <c r="K34" s="14">
        <v>1</v>
      </c>
      <c r="L34" s="14" t="s">
        <v>30702</v>
      </c>
      <c r="M34" s="14" t="s">
        <v>1957</v>
      </c>
      <c r="N34" s="14" t="s">
        <v>30703</v>
      </c>
      <c r="O34" s="14" t="s">
        <v>18787</v>
      </c>
      <c r="P34" s="14" t="str">
        <f>HYPERLINK("https://dexscreener.com/solana/2TYhhwG6zCYMue6QHmcxEHnt8tMhnyq8hbXNUbdrpump", "View")</f>
        <v>View</v>
      </c>
    </row>
    <row r="35" spans="1:16" x14ac:dyDescent="0.25">
      <c r="A35" s="16" t="s">
        <v>30704</v>
      </c>
      <c r="B35" s="17">
        <v>640861</v>
      </c>
      <c r="C35" s="17">
        <v>640861</v>
      </c>
      <c r="D35" s="17" t="s">
        <v>15447</v>
      </c>
      <c r="E35" s="17" t="s">
        <v>5018</v>
      </c>
      <c r="F35" s="17" t="s">
        <v>96</v>
      </c>
      <c r="G35" s="15" t="s">
        <v>4610</v>
      </c>
      <c r="H35" s="15" t="s">
        <v>30705</v>
      </c>
      <c r="I35" s="17" t="s">
        <v>88</v>
      </c>
      <c r="J35" s="17">
        <v>1</v>
      </c>
      <c r="K35" s="17">
        <v>1</v>
      </c>
      <c r="L35" s="17" t="s">
        <v>30706</v>
      </c>
      <c r="M35" s="17" t="s">
        <v>2984</v>
      </c>
      <c r="N35" s="17" t="s">
        <v>507</v>
      </c>
      <c r="O35" s="17" t="s">
        <v>30707</v>
      </c>
      <c r="P35" s="17" t="str">
        <f>HYPERLINK("https://photon-sol.tinyastro.io/en/lp/9oj65MaMBdxkStY8DVhnGwaJGucoH9V7LxnoKxcupump?handle=676050794bc1b1657a56b", "View")</f>
        <v>View</v>
      </c>
    </row>
    <row r="36" spans="1:16" x14ac:dyDescent="0.25">
      <c r="A36" s="13" t="s">
        <v>18835</v>
      </c>
      <c r="B36" s="14">
        <v>387739</v>
      </c>
      <c r="C36" s="14">
        <v>387739</v>
      </c>
      <c r="D36" s="14" t="s">
        <v>9648</v>
      </c>
      <c r="E36" s="14" t="s">
        <v>4396</v>
      </c>
      <c r="F36" s="14" t="s">
        <v>30708</v>
      </c>
      <c r="G36" s="21" t="s">
        <v>30709</v>
      </c>
      <c r="H36" s="21" t="s">
        <v>30710</v>
      </c>
      <c r="I36" s="14" t="s">
        <v>88</v>
      </c>
      <c r="J36" s="14">
        <v>2</v>
      </c>
      <c r="K36" s="14">
        <v>1</v>
      </c>
      <c r="L36" s="14" t="s">
        <v>30711</v>
      </c>
      <c r="M36" s="14" t="s">
        <v>132</v>
      </c>
      <c r="N36" s="14" t="s">
        <v>30712</v>
      </c>
      <c r="O36" s="14" t="s">
        <v>18839</v>
      </c>
      <c r="P36" s="14" t="str">
        <f>HYPERLINK("https://dexscreener.com/solana/4gDCHK6jsPsdZi84N4rY6ACecxBJWsYkcfHhf8bHpump", "View")</f>
        <v>View</v>
      </c>
    </row>
    <row r="37" spans="1:16" x14ac:dyDescent="0.25">
      <c r="A37" s="16" t="s">
        <v>30713</v>
      </c>
      <c r="B37" s="17">
        <v>900823</v>
      </c>
      <c r="C37" s="17">
        <v>900823</v>
      </c>
      <c r="D37" s="17" t="s">
        <v>9668</v>
      </c>
      <c r="E37" s="17" t="s">
        <v>4396</v>
      </c>
      <c r="F37" s="17" t="s">
        <v>11161</v>
      </c>
      <c r="G37" s="22" t="s">
        <v>5699</v>
      </c>
      <c r="H37" s="22" t="s">
        <v>30714</v>
      </c>
      <c r="I37" s="17" t="s">
        <v>88</v>
      </c>
      <c r="J37" s="17">
        <v>2</v>
      </c>
      <c r="K37" s="17">
        <v>1</v>
      </c>
      <c r="L37" s="17" t="s">
        <v>30715</v>
      </c>
      <c r="M37" s="17" t="s">
        <v>287</v>
      </c>
      <c r="N37" s="17" t="s">
        <v>30716</v>
      </c>
      <c r="O37" s="17" t="s">
        <v>30717</v>
      </c>
      <c r="P37" s="17" t="str">
        <f>HYPERLINK("https://dexscreener.com/solana/GK9Lx5CNmcUJLUoK5XEdJow1uWQg4gkBnU9JYwG9pump", "View")</f>
        <v>View</v>
      </c>
    </row>
    <row r="38" spans="1:16" x14ac:dyDescent="0.25">
      <c r="A38" s="13" t="s">
        <v>30718</v>
      </c>
      <c r="B38" s="14">
        <v>121681</v>
      </c>
      <c r="C38" s="14">
        <v>121681</v>
      </c>
      <c r="D38" s="14" t="s">
        <v>25428</v>
      </c>
      <c r="E38" s="14" t="s">
        <v>4396</v>
      </c>
      <c r="F38" s="14" t="s">
        <v>5006</v>
      </c>
      <c r="G38" s="22" t="s">
        <v>5687</v>
      </c>
      <c r="H38" s="22" t="s">
        <v>30719</v>
      </c>
      <c r="I38" s="14" t="s">
        <v>88</v>
      </c>
      <c r="J38" s="14">
        <v>2</v>
      </c>
      <c r="K38" s="14">
        <v>1</v>
      </c>
      <c r="L38" s="14" t="s">
        <v>30720</v>
      </c>
      <c r="M38" s="14" t="s">
        <v>5061</v>
      </c>
      <c r="N38" s="14" t="s">
        <v>30721</v>
      </c>
      <c r="O38" s="14" t="s">
        <v>30722</v>
      </c>
      <c r="P38" s="14" t="str">
        <f>HYPERLINK("https://dexscreener.com/solana/E1Bke3PvckrEBPh1QjioDMXcy2vdsUCQuDfqw4p5pump", "View")</f>
        <v>View</v>
      </c>
    </row>
    <row r="39" spans="1:16" x14ac:dyDescent="0.25">
      <c r="A39" s="16" t="s">
        <v>30723</v>
      </c>
      <c r="B39" s="17">
        <v>624253</v>
      </c>
      <c r="C39" s="17">
        <v>624253</v>
      </c>
      <c r="D39" s="17" t="s">
        <v>18981</v>
      </c>
      <c r="E39" s="17" t="s">
        <v>15709</v>
      </c>
      <c r="F39" s="17" t="s">
        <v>2897</v>
      </c>
      <c r="G39" s="22" t="s">
        <v>3309</v>
      </c>
      <c r="H39" s="22" t="s">
        <v>30724</v>
      </c>
      <c r="I39" s="17" t="s">
        <v>88</v>
      </c>
      <c r="J39" s="17">
        <v>1</v>
      </c>
      <c r="K39" s="17">
        <v>2</v>
      </c>
      <c r="L39" s="17" t="s">
        <v>30725</v>
      </c>
      <c r="M39" s="17" t="s">
        <v>179</v>
      </c>
      <c r="N39" s="17" t="s">
        <v>30726</v>
      </c>
      <c r="O39" s="17" t="s">
        <v>30727</v>
      </c>
      <c r="P39" s="17" t="str">
        <f>HYPERLINK("https://dexscreener.com/solana/9L2Ypo1p31hLHVvB9xwovBtPMcGJf7dx5gch5wCupump", "View")</f>
        <v>View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15A5-26F9-4A4D-8B75-2DD5D629E074}">
  <dimension ref="A1:P195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HYPERLINK("https://gmgn.ai/sol/address/D5ZZVQCLWYJcFPoYinPMnGixJxV1om1HohfcaXbQq3cG", "GMGN")</f>
        <v>GMGN</v>
      </c>
    </row>
    <row r="2" spans="1:14" x14ac:dyDescent="0.25">
      <c r="A2" s="3" t="s">
        <v>30728</v>
      </c>
      <c r="B2" s="3" t="s">
        <v>30729</v>
      </c>
      <c r="C2" s="3" t="s">
        <v>1562</v>
      </c>
      <c r="D2" s="3" t="s">
        <v>30730</v>
      </c>
      <c r="E2" s="3" t="s">
        <v>30731</v>
      </c>
      <c r="F2" s="3" t="s">
        <v>30732</v>
      </c>
      <c r="G2" s="3" t="s">
        <v>18</v>
      </c>
      <c r="H2" s="3">
        <v>176</v>
      </c>
      <c r="I2" s="3">
        <v>1</v>
      </c>
      <c r="J2" s="3" t="s">
        <v>30733</v>
      </c>
      <c r="K2" s="3" t="s">
        <v>2047</v>
      </c>
      <c r="L2" s="3">
        <v>95</v>
      </c>
      <c r="M2" s="3">
        <v>416</v>
      </c>
      <c r="N2" s="3" t="str">
        <f>HYPERLINK("https://solscan.io/account/D5ZZVQCLWYJcFPoYinPMnGixJxV1om1HohfcaXbQq3cG", "Solscan")</f>
        <v>Solscan</v>
      </c>
    </row>
    <row r="3" spans="1:14" x14ac:dyDescent="0.25">
      <c r="A3" s="1" t="s">
        <v>21</v>
      </c>
      <c r="B3" s="4" t="s">
        <v>30734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HYPERLINK("https://birdeye.so/profile/D5ZZVQCLWYJcFPoYinPMnGixJxV1om1HohfcaXbQq3cG", "Birdeye")</f>
        <v>Birdeye</v>
      </c>
    </row>
    <row r="4" spans="1:14" x14ac:dyDescent="0.25">
      <c r="A4" s="1" t="s">
        <v>25</v>
      </c>
      <c r="B4" s="3" t="s">
        <v>8457</v>
      </c>
      <c r="C4" s="3"/>
      <c r="D4" s="3" t="s">
        <v>8324</v>
      </c>
      <c r="E4" s="3" t="s">
        <v>26287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22701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4360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4</v>
      </c>
      <c r="C10" s="1">
        <v>16</v>
      </c>
      <c r="D10" s="1">
        <v>11</v>
      </c>
      <c r="E10" s="1">
        <v>44</v>
      </c>
      <c r="F10" s="1">
        <v>68</v>
      </c>
      <c r="G10" s="1">
        <v>33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28099</v>
      </c>
      <c r="C11" s="1" t="s">
        <v>9489</v>
      </c>
      <c r="D11" s="1" t="s">
        <v>24240</v>
      </c>
      <c r="E11" s="1" t="s">
        <v>24242</v>
      </c>
      <c r="F11" s="1" t="s">
        <v>30735</v>
      </c>
      <c r="G11" s="1" t="s">
        <v>24241</v>
      </c>
      <c r="H11" s="3"/>
      <c r="I11" s="3" t="s">
        <v>50</v>
      </c>
      <c r="J11" s="3" t="s">
        <v>11204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30736</v>
      </c>
      <c r="C12" s="1" t="s">
        <v>30737</v>
      </c>
      <c r="D12" s="1" t="s">
        <v>30738</v>
      </c>
      <c r="E12" s="1" t="s">
        <v>1571</v>
      </c>
      <c r="F12" s="1" t="s">
        <v>29498</v>
      </c>
      <c r="G12" s="1" t="s">
        <v>30739</v>
      </c>
      <c r="H12" s="3"/>
      <c r="I12" s="3" t="s">
        <v>59</v>
      </c>
      <c r="J12" s="3" t="s">
        <v>30740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19667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7497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30741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30742</v>
      </c>
      <c r="B20" s="14">
        <v>722738</v>
      </c>
      <c r="C20" s="14">
        <v>0</v>
      </c>
      <c r="D20" s="14" t="s">
        <v>4782</v>
      </c>
      <c r="E20" s="14" t="s">
        <v>5346</v>
      </c>
      <c r="F20" s="14" t="s">
        <v>96</v>
      </c>
      <c r="G20" s="18" t="s">
        <v>3800</v>
      </c>
      <c r="H20" s="18" t="s">
        <v>98</v>
      </c>
      <c r="I20" s="14" t="s">
        <v>30743</v>
      </c>
      <c r="J20" s="14">
        <v>1</v>
      </c>
      <c r="K20" s="14">
        <v>0</v>
      </c>
      <c r="L20" s="14" t="s">
        <v>30744</v>
      </c>
      <c r="M20" s="19" t="s">
        <v>101</v>
      </c>
      <c r="N20" s="14" t="s">
        <v>30745</v>
      </c>
      <c r="O20" s="14" t="s">
        <v>30746</v>
      </c>
      <c r="P20" s="14" t="str">
        <f>HYPERLINK("https://dexscreener.com/solana/HCYi2UYSAJ5QCdz6mcapmp6H3DVTU8iyhbxW5U4xS8NE", "View")</f>
        <v>View</v>
      </c>
    </row>
    <row r="21" spans="1:16" x14ac:dyDescent="0.25">
      <c r="A21" s="16" t="s">
        <v>30747</v>
      </c>
      <c r="B21" s="17">
        <v>9478220</v>
      </c>
      <c r="C21" s="17">
        <v>9478220</v>
      </c>
      <c r="D21" s="17" t="s">
        <v>30748</v>
      </c>
      <c r="E21" s="17" t="s">
        <v>3366</v>
      </c>
      <c r="F21" s="17" t="s">
        <v>30749</v>
      </c>
      <c r="G21" s="22" t="s">
        <v>4817</v>
      </c>
      <c r="H21" s="22" t="s">
        <v>30750</v>
      </c>
      <c r="I21" s="17" t="s">
        <v>88</v>
      </c>
      <c r="J21" s="17">
        <v>1</v>
      </c>
      <c r="K21" s="17">
        <v>1</v>
      </c>
      <c r="L21" s="17" t="s">
        <v>30751</v>
      </c>
      <c r="M21" s="19" t="s">
        <v>2323</v>
      </c>
      <c r="N21" s="17" t="s">
        <v>2278</v>
      </c>
      <c r="O21" s="17" t="s">
        <v>30752</v>
      </c>
      <c r="P21" s="17" t="str">
        <f>HYPERLINK("https://photon-sol.tinyastro.io/en/lp/6zthUPvrG82dq8SnF7TAZgBm2Z9KTC7HGjoLqeR9pump?handle=676050794bc1b1657a56b", "View")</f>
        <v>View</v>
      </c>
    </row>
    <row r="22" spans="1:16" x14ac:dyDescent="0.25">
      <c r="A22" s="13" t="s">
        <v>182</v>
      </c>
      <c r="B22" s="14">
        <v>33547</v>
      </c>
      <c r="C22" s="14">
        <v>33547</v>
      </c>
      <c r="D22" s="14" t="s">
        <v>15598</v>
      </c>
      <c r="E22" s="14" t="s">
        <v>5919</v>
      </c>
      <c r="F22" s="14" t="s">
        <v>5024</v>
      </c>
      <c r="G22" s="15" t="s">
        <v>5764</v>
      </c>
      <c r="H22" s="15" t="s">
        <v>30753</v>
      </c>
      <c r="I22" s="14" t="s">
        <v>88</v>
      </c>
      <c r="J22" s="14">
        <v>1</v>
      </c>
      <c r="K22" s="14">
        <v>1</v>
      </c>
      <c r="L22" s="14" t="s">
        <v>30754</v>
      </c>
      <c r="M22" s="14" t="s">
        <v>680</v>
      </c>
      <c r="N22" s="14" t="s">
        <v>30755</v>
      </c>
      <c r="O22" s="14" t="s">
        <v>188</v>
      </c>
      <c r="P22" s="14" t="str">
        <f>HYPERLINK("https://dexscreener.com/solana/FofgVUkAzbffK3mw8ZEwMof8Lbpx59KkXRV4exhkpump", "View")</f>
        <v>View</v>
      </c>
    </row>
    <row r="23" spans="1:16" x14ac:dyDescent="0.25">
      <c r="A23" s="16" t="s">
        <v>3569</v>
      </c>
      <c r="B23" s="17">
        <v>1494479</v>
      </c>
      <c r="C23" s="17">
        <v>1494479</v>
      </c>
      <c r="D23" s="17" t="s">
        <v>15598</v>
      </c>
      <c r="E23" s="17" t="s">
        <v>5077</v>
      </c>
      <c r="F23" s="17" t="s">
        <v>4869</v>
      </c>
      <c r="G23" s="20" t="s">
        <v>4762</v>
      </c>
      <c r="H23" s="20" t="s">
        <v>27060</v>
      </c>
      <c r="I23" s="17" t="s">
        <v>88</v>
      </c>
      <c r="J23" s="17">
        <v>1</v>
      </c>
      <c r="K23" s="17">
        <v>1</v>
      </c>
      <c r="L23" s="17" t="s">
        <v>30756</v>
      </c>
      <c r="M23" s="17" t="s">
        <v>1566</v>
      </c>
      <c r="N23" s="17" t="s">
        <v>1667</v>
      </c>
      <c r="O23" s="17" t="s">
        <v>30757</v>
      </c>
      <c r="P23" s="17" t="str">
        <f>HYPERLINK("https://photon-sol.tinyastro.io/en/lp/2r2PfRef7jWPYJLyT5nZ8wwmXAo67VfCWaJCDf9spump?handle=676050794bc1b1657a56b", "View")</f>
        <v>View</v>
      </c>
    </row>
    <row r="24" spans="1:16" x14ac:dyDescent="0.25">
      <c r="A24" s="13" t="s">
        <v>30758</v>
      </c>
      <c r="B24" s="14">
        <v>733820</v>
      </c>
      <c r="C24" s="14">
        <v>733820</v>
      </c>
      <c r="D24" s="14" t="s">
        <v>30759</v>
      </c>
      <c r="E24" s="14" t="s">
        <v>18133</v>
      </c>
      <c r="F24" s="14" t="s">
        <v>5076</v>
      </c>
      <c r="G24" s="22" t="s">
        <v>5012</v>
      </c>
      <c r="H24" s="22" t="s">
        <v>30760</v>
      </c>
      <c r="I24" s="14" t="s">
        <v>88</v>
      </c>
      <c r="J24" s="14">
        <v>1</v>
      </c>
      <c r="K24" s="14">
        <v>2</v>
      </c>
      <c r="L24" s="14" t="s">
        <v>30761</v>
      </c>
      <c r="M24" s="14" t="s">
        <v>4385</v>
      </c>
      <c r="N24" s="14" t="s">
        <v>30762</v>
      </c>
      <c r="O24" s="14" t="s">
        <v>30763</v>
      </c>
      <c r="P24" s="14" t="str">
        <f>HYPERLINK("https://photon-sol.tinyastro.io/en/lp/FjYgAsYkdPM9Z14i32o7uAiJm3PqXqaCfDVsKQZTpump?handle=676050794bc1b1657a56b", "View")</f>
        <v>View</v>
      </c>
    </row>
    <row r="25" spans="1:16" x14ac:dyDescent="0.25">
      <c r="A25" s="16" t="s">
        <v>23004</v>
      </c>
      <c r="B25" s="17">
        <v>1147526</v>
      </c>
      <c r="C25" s="17">
        <v>1147526</v>
      </c>
      <c r="D25" s="17" t="s">
        <v>15598</v>
      </c>
      <c r="E25" s="17" t="s">
        <v>14793</v>
      </c>
      <c r="F25" s="17" t="s">
        <v>11534</v>
      </c>
      <c r="G25" s="20" t="s">
        <v>23889</v>
      </c>
      <c r="H25" s="20" t="s">
        <v>30764</v>
      </c>
      <c r="I25" s="17" t="s">
        <v>88</v>
      </c>
      <c r="J25" s="17">
        <v>1</v>
      </c>
      <c r="K25" s="17">
        <v>1</v>
      </c>
      <c r="L25" s="17" t="s">
        <v>30765</v>
      </c>
      <c r="M25" s="17" t="s">
        <v>4922</v>
      </c>
      <c r="N25" s="17" t="s">
        <v>30766</v>
      </c>
      <c r="O25" s="17" t="s">
        <v>30767</v>
      </c>
      <c r="P25" s="17" t="str">
        <f>HYPERLINK("https://photon-sol.tinyastro.io/en/lp/3LreX7x5Tt7H9VcypwVjHJJ22yozgforSk5MtjoYgAEt?handle=676050794bc1b1657a56b", "View")</f>
        <v>View</v>
      </c>
    </row>
    <row r="26" spans="1:16" x14ac:dyDescent="0.25">
      <c r="A26" s="13" t="s">
        <v>30768</v>
      </c>
      <c r="B26" s="14">
        <v>7604554</v>
      </c>
      <c r="C26" s="14">
        <v>7604554</v>
      </c>
      <c r="D26" s="14" t="s">
        <v>30769</v>
      </c>
      <c r="E26" s="14" t="s">
        <v>9023</v>
      </c>
      <c r="F26" s="14" t="s">
        <v>9671</v>
      </c>
      <c r="G26" s="22" t="s">
        <v>12237</v>
      </c>
      <c r="H26" s="22" t="s">
        <v>30770</v>
      </c>
      <c r="I26" s="14" t="s">
        <v>88</v>
      </c>
      <c r="J26" s="14">
        <v>2</v>
      </c>
      <c r="K26" s="14">
        <v>2</v>
      </c>
      <c r="L26" s="14" t="s">
        <v>30771</v>
      </c>
      <c r="M26" s="14" t="s">
        <v>1434</v>
      </c>
      <c r="N26" s="14" t="s">
        <v>1667</v>
      </c>
      <c r="O26" s="14" t="s">
        <v>30772</v>
      </c>
      <c r="P26" s="14" t="str">
        <f>HYPERLINK("https://photon-sol.tinyastro.io/en/lp/9owhD5tUKSk3cMtzSmTBrVnNY5cewvs8FqkHNtDjpump?handle=676050794bc1b1657a56b", "View")</f>
        <v>View</v>
      </c>
    </row>
    <row r="27" spans="1:16" x14ac:dyDescent="0.25">
      <c r="A27" s="16" t="s">
        <v>26827</v>
      </c>
      <c r="B27" s="17">
        <v>130945</v>
      </c>
      <c r="C27" s="17">
        <v>130945</v>
      </c>
      <c r="D27" s="17" t="s">
        <v>8439</v>
      </c>
      <c r="E27" s="17" t="s">
        <v>4396</v>
      </c>
      <c r="F27" s="17" t="s">
        <v>3275</v>
      </c>
      <c r="G27" s="22" t="s">
        <v>2554</v>
      </c>
      <c r="H27" s="22" t="s">
        <v>30773</v>
      </c>
      <c r="I27" s="17" t="s">
        <v>88</v>
      </c>
      <c r="J27" s="17">
        <v>1</v>
      </c>
      <c r="K27" s="17">
        <v>1</v>
      </c>
      <c r="L27" s="17" t="s">
        <v>30774</v>
      </c>
      <c r="M27" s="17" t="s">
        <v>1159</v>
      </c>
      <c r="N27" s="17" t="s">
        <v>30775</v>
      </c>
      <c r="O27" s="17" t="s">
        <v>26832</v>
      </c>
      <c r="P27" s="17" t="str">
        <f>HYPERLINK("https://dexscreener.com/solana/AqpJ2uRYEFdmsL1gZuQoMkWof8YRuuBVMm8dkNK7pump", "View")</f>
        <v>View</v>
      </c>
    </row>
    <row r="28" spans="1:16" x14ac:dyDescent="0.25">
      <c r="A28" s="13" t="s">
        <v>24361</v>
      </c>
      <c r="B28" s="14">
        <v>952942</v>
      </c>
      <c r="C28" s="14">
        <v>952942</v>
      </c>
      <c r="D28" s="14" t="s">
        <v>21976</v>
      </c>
      <c r="E28" s="14" t="s">
        <v>14793</v>
      </c>
      <c r="F28" s="14" t="s">
        <v>22820</v>
      </c>
      <c r="G28" s="22" t="s">
        <v>12237</v>
      </c>
      <c r="H28" s="22" t="s">
        <v>19980</v>
      </c>
      <c r="I28" s="14" t="s">
        <v>88</v>
      </c>
      <c r="J28" s="14">
        <v>1</v>
      </c>
      <c r="K28" s="14">
        <v>1</v>
      </c>
      <c r="L28" s="14" t="s">
        <v>30776</v>
      </c>
      <c r="M28" s="14" t="s">
        <v>1610</v>
      </c>
      <c r="N28" s="14" t="s">
        <v>30777</v>
      </c>
      <c r="O28" s="14" t="s">
        <v>24365</v>
      </c>
      <c r="P28" s="14" t="str">
        <f>HYPERLINK("https://photon-sol.tinyastro.io/en/lp/DB1FT4csdumB9g8bg2vfNpSjxYtWBQSwPM7GfebNpump?handle=676050794bc1b1657a56b", "View")</f>
        <v>View</v>
      </c>
    </row>
    <row r="29" spans="1:16" x14ac:dyDescent="0.25">
      <c r="A29" s="16" t="s">
        <v>30778</v>
      </c>
      <c r="B29" s="17">
        <v>272392</v>
      </c>
      <c r="C29" s="17">
        <v>272392</v>
      </c>
      <c r="D29" s="17" t="s">
        <v>21976</v>
      </c>
      <c r="E29" s="17" t="s">
        <v>5588</v>
      </c>
      <c r="F29" s="17" t="s">
        <v>4147</v>
      </c>
      <c r="G29" s="15" t="s">
        <v>4610</v>
      </c>
      <c r="H29" s="15" t="s">
        <v>30779</v>
      </c>
      <c r="I29" s="17" t="s">
        <v>88</v>
      </c>
      <c r="J29" s="17">
        <v>1</v>
      </c>
      <c r="K29" s="17">
        <v>1</v>
      </c>
      <c r="L29" s="17" t="s">
        <v>30780</v>
      </c>
      <c r="M29" s="17" t="s">
        <v>364</v>
      </c>
      <c r="N29" s="17" t="s">
        <v>30781</v>
      </c>
      <c r="O29" s="17" t="s">
        <v>30782</v>
      </c>
      <c r="P29" s="17" t="str">
        <f>HYPERLINK("https://photon-sol.tinyastro.io/en/lp/C8NYBumh8XaCVRg3oGEzVqHk6gUipgjbTEQ93HXopump?handle=676050794bc1b1657a56b", "View")</f>
        <v>View</v>
      </c>
    </row>
    <row r="30" spans="1:16" x14ac:dyDescent="0.25">
      <c r="A30" s="13" t="s">
        <v>30783</v>
      </c>
      <c r="B30" s="14">
        <v>426333</v>
      </c>
      <c r="C30" s="14">
        <v>426333</v>
      </c>
      <c r="D30" s="14" t="s">
        <v>30784</v>
      </c>
      <c r="E30" s="14" t="s">
        <v>18133</v>
      </c>
      <c r="F30" s="14" t="s">
        <v>4687</v>
      </c>
      <c r="G30" s="15" t="s">
        <v>3537</v>
      </c>
      <c r="H30" s="15" t="s">
        <v>30785</v>
      </c>
      <c r="I30" s="14" t="s">
        <v>88</v>
      </c>
      <c r="J30" s="14">
        <v>1</v>
      </c>
      <c r="K30" s="14">
        <v>1</v>
      </c>
      <c r="L30" s="14" t="s">
        <v>30786</v>
      </c>
      <c r="M30" s="19" t="s">
        <v>1856</v>
      </c>
      <c r="N30" s="14" t="s">
        <v>30787</v>
      </c>
      <c r="O30" s="14" t="s">
        <v>30788</v>
      </c>
      <c r="P30" s="14" t="str">
        <f>HYPERLINK("https://dexscreener.com/solana/BiTY1AwEdZqq3Jru6zFyVjp7qsA3okqnyuTEkkJMpump", "View")</f>
        <v>View</v>
      </c>
    </row>
    <row r="31" spans="1:16" x14ac:dyDescent="0.25">
      <c r="A31" s="16" t="s">
        <v>30789</v>
      </c>
      <c r="B31" s="17">
        <v>1495357</v>
      </c>
      <c r="C31" s="17">
        <v>1495357</v>
      </c>
      <c r="D31" s="17" t="s">
        <v>21976</v>
      </c>
      <c r="E31" s="17" t="s">
        <v>5006</v>
      </c>
      <c r="F31" s="17" t="s">
        <v>3773</v>
      </c>
      <c r="G31" s="20" t="s">
        <v>5867</v>
      </c>
      <c r="H31" s="20" t="s">
        <v>12777</v>
      </c>
      <c r="I31" s="17" t="s">
        <v>88</v>
      </c>
      <c r="J31" s="17">
        <v>1</v>
      </c>
      <c r="K31" s="17">
        <v>1</v>
      </c>
      <c r="L31" s="17" t="s">
        <v>30790</v>
      </c>
      <c r="M31" s="17" t="s">
        <v>1434</v>
      </c>
      <c r="N31" s="17" t="s">
        <v>2763</v>
      </c>
      <c r="O31" s="17" t="s">
        <v>30791</v>
      </c>
      <c r="P31" s="17" t="str">
        <f>HYPERLINK("https://photon-sol.tinyastro.io/en/lp/3HnuaUhWLstagPZM9nR1dmhmGPeJxmmqz4VNUHVkpump?handle=676050794bc1b1657a56b", "View")</f>
        <v>View</v>
      </c>
    </row>
    <row r="32" spans="1:16" x14ac:dyDescent="0.25">
      <c r="A32" s="13" t="s">
        <v>11333</v>
      </c>
      <c r="B32" s="14">
        <v>878090</v>
      </c>
      <c r="C32" s="14">
        <v>878090</v>
      </c>
      <c r="D32" s="14" t="s">
        <v>21976</v>
      </c>
      <c r="E32" s="14" t="s">
        <v>18133</v>
      </c>
      <c r="F32" s="14" t="s">
        <v>8575</v>
      </c>
      <c r="G32" s="20" t="s">
        <v>3611</v>
      </c>
      <c r="H32" s="20" t="s">
        <v>30792</v>
      </c>
      <c r="I32" s="14" t="s">
        <v>88</v>
      </c>
      <c r="J32" s="14">
        <v>1</v>
      </c>
      <c r="K32" s="14">
        <v>1</v>
      </c>
      <c r="L32" s="14" t="s">
        <v>30793</v>
      </c>
      <c r="M32" s="14" t="s">
        <v>980</v>
      </c>
      <c r="N32" s="14" t="s">
        <v>30794</v>
      </c>
      <c r="O32" s="14" t="s">
        <v>18214</v>
      </c>
      <c r="P32" s="14" t="str">
        <f>HYPERLINK("https://dexscreener.com/solana/5cdU1CWGFxcgAG3vLbrTi48AsH1ZL2oMRAGDJLrWpump", "View")</f>
        <v>View</v>
      </c>
    </row>
    <row r="33" spans="1:16" x14ac:dyDescent="0.25">
      <c r="A33" s="16" t="s">
        <v>30795</v>
      </c>
      <c r="B33" s="17">
        <v>2470606</v>
      </c>
      <c r="C33" s="17">
        <v>2470606</v>
      </c>
      <c r="D33" s="17" t="s">
        <v>21976</v>
      </c>
      <c r="E33" s="17" t="s">
        <v>2275</v>
      </c>
      <c r="F33" s="17" t="s">
        <v>3759</v>
      </c>
      <c r="G33" s="20" t="s">
        <v>5883</v>
      </c>
      <c r="H33" s="20" t="s">
        <v>30796</v>
      </c>
      <c r="I33" s="17" t="s">
        <v>88</v>
      </c>
      <c r="J33" s="17">
        <v>1</v>
      </c>
      <c r="K33" s="17">
        <v>1</v>
      </c>
      <c r="L33" s="17" t="s">
        <v>30797</v>
      </c>
      <c r="M33" s="19" t="s">
        <v>9152</v>
      </c>
      <c r="N33" s="17" t="s">
        <v>507</v>
      </c>
      <c r="O33" s="17" t="s">
        <v>30798</v>
      </c>
      <c r="P33" s="17" t="str">
        <f>HYPERLINK("https://photon-sol.tinyastro.io/en/lp/FSbaYcPkhr7hZFNH1um7UxDUVByDkvq8r75yXekspump?handle=676050794bc1b1657a56b", "View")</f>
        <v>View</v>
      </c>
    </row>
    <row r="34" spans="1:16" x14ac:dyDescent="0.25">
      <c r="A34" s="13" t="s">
        <v>13715</v>
      </c>
      <c r="B34" s="14">
        <v>1376815</v>
      </c>
      <c r="C34" s="14">
        <v>1376815</v>
      </c>
      <c r="D34" s="14" t="s">
        <v>21976</v>
      </c>
      <c r="E34" s="14" t="s">
        <v>5894</v>
      </c>
      <c r="F34" s="14" t="s">
        <v>2699</v>
      </c>
      <c r="G34" s="22" t="s">
        <v>5248</v>
      </c>
      <c r="H34" s="22" t="s">
        <v>30799</v>
      </c>
      <c r="I34" s="14" t="s">
        <v>88</v>
      </c>
      <c r="J34" s="14">
        <v>1</v>
      </c>
      <c r="K34" s="14">
        <v>1</v>
      </c>
      <c r="L34" s="14" t="s">
        <v>30800</v>
      </c>
      <c r="M34" s="14" t="s">
        <v>364</v>
      </c>
      <c r="N34" s="14" t="s">
        <v>22207</v>
      </c>
      <c r="O34" s="14" t="s">
        <v>30801</v>
      </c>
      <c r="P34" s="14" t="str">
        <f>HYPERLINK("https://dexscreener.com/solana/2W5HCkA5yEJLD16fsPsjgLzZxHn8Bemr9Yk51EsUidPk", "View")</f>
        <v>View</v>
      </c>
    </row>
    <row r="35" spans="1:16" x14ac:dyDescent="0.25">
      <c r="A35" s="16" t="s">
        <v>30802</v>
      </c>
      <c r="B35" s="17">
        <v>2533374</v>
      </c>
      <c r="C35" s="17">
        <v>2533374</v>
      </c>
      <c r="D35" s="17" t="s">
        <v>21976</v>
      </c>
      <c r="E35" s="17" t="s">
        <v>5220</v>
      </c>
      <c r="F35" s="17" t="s">
        <v>3659</v>
      </c>
      <c r="G35" s="20" t="s">
        <v>4762</v>
      </c>
      <c r="H35" s="20" t="s">
        <v>30803</v>
      </c>
      <c r="I35" s="17" t="s">
        <v>88</v>
      </c>
      <c r="J35" s="17">
        <v>1</v>
      </c>
      <c r="K35" s="17">
        <v>1</v>
      </c>
      <c r="L35" s="17" t="s">
        <v>30804</v>
      </c>
      <c r="M35" s="19" t="s">
        <v>1849</v>
      </c>
      <c r="N35" s="17" t="s">
        <v>30805</v>
      </c>
      <c r="O35" s="17" t="s">
        <v>30806</v>
      </c>
      <c r="P35" s="17" t="str">
        <f>HYPERLINK("https://dexscreener.com/solana/6pND53RSQqB7mEJW8cBkJq3UJL8GEBjo689Wyqfppump", "View")</f>
        <v>View</v>
      </c>
    </row>
    <row r="36" spans="1:16" x14ac:dyDescent="0.25">
      <c r="A36" s="13" t="s">
        <v>26595</v>
      </c>
      <c r="B36" s="14">
        <v>548712</v>
      </c>
      <c r="C36" s="14">
        <v>498710</v>
      </c>
      <c r="D36" s="14" t="s">
        <v>30807</v>
      </c>
      <c r="E36" s="14" t="s">
        <v>8338</v>
      </c>
      <c r="F36" s="14" t="s">
        <v>1876</v>
      </c>
      <c r="G36" s="21" t="s">
        <v>29387</v>
      </c>
      <c r="H36" s="21" t="s">
        <v>30808</v>
      </c>
      <c r="I36" s="14" t="s">
        <v>88</v>
      </c>
      <c r="J36" s="14">
        <v>2</v>
      </c>
      <c r="K36" s="14">
        <v>5</v>
      </c>
      <c r="L36" s="14" t="s">
        <v>30809</v>
      </c>
      <c r="M36" s="14" t="s">
        <v>179</v>
      </c>
      <c r="N36" s="14" t="s">
        <v>30810</v>
      </c>
      <c r="O36" s="14" t="s">
        <v>26598</v>
      </c>
      <c r="P36" s="14" t="str">
        <f>HYPERLINK("https://dexscreener.com/solana/Cc4sinjiaruP69C7Eotftsu2AjFHAaKZyGtpaLbApump", "View")</f>
        <v>View</v>
      </c>
    </row>
    <row r="37" spans="1:16" x14ac:dyDescent="0.25">
      <c r="A37" s="16" t="s">
        <v>30811</v>
      </c>
      <c r="B37" s="17">
        <v>1087975</v>
      </c>
      <c r="C37" s="17">
        <v>1087975</v>
      </c>
      <c r="D37" s="17" t="s">
        <v>8721</v>
      </c>
      <c r="E37" s="17" t="s">
        <v>30812</v>
      </c>
      <c r="F37" s="17" t="s">
        <v>16240</v>
      </c>
      <c r="G37" s="20" t="s">
        <v>5347</v>
      </c>
      <c r="H37" s="20" t="s">
        <v>30813</v>
      </c>
      <c r="I37" s="17" t="s">
        <v>88</v>
      </c>
      <c r="J37" s="17">
        <v>2</v>
      </c>
      <c r="K37" s="17">
        <v>1</v>
      </c>
      <c r="L37" s="17" t="s">
        <v>30814</v>
      </c>
      <c r="M37" s="17" t="s">
        <v>602</v>
      </c>
      <c r="N37" s="17" t="s">
        <v>30815</v>
      </c>
      <c r="O37" s="17" t="s">
        <v>30816</v>
      </c>
      <c r="P37" s="17" t="str">
        <f>HYPERLINK("https://photon-sol.tinyastro.io/en/lp/BGpagh9pKjWCxuZHte4eC4y5TVAa7AZ8unVUaACMG9ZS?handle=676050794bc1b1657a56b", "View")</f>
        <v>View</v>
      </c>
    </row>
    <row r="38" spans="1:16" x14ac:dyDescent="0.25">
      <c r="A38" s="13" t="s">
        <v>16813</v>
      </c>
      <c r="B38" s="14">
        <v>413692</v>
      </c>
      <c r="C38" s="14">
        <v>263145</v>
      </c>
      <c r="D38" s="14" t="s">
        <v>30817</v>
      </c>
      <c r="E38" s="14" t="s">
        <v>2890</v>
      </c>
      <c r="F38" s="14" t="s">
        <v>1407</v>
      </c>
      <c r="G38" s="21" t="s">
        <v>9592</v>
      </c>
      <c r="H38" s="21" t="s">
        <v>30818</v>
      </c>
      <c r="I38" s="14" t="s">
        <v>88</v>
      </c>
      <c r="J38" s="14">
        <v>1</v>
      </c>
      <c r="K38" s="14">
        <v>4</v>
      </c>
      <c r="L38" s="14" t="s">
        <v>30819</v>
      </c>
      <c r="M38" s="14" t="s">
        <v>1714</v>
      </c>
      <c r="N38" s="14" t="s">
        <v>30820</v>
      </c>
      <c r="O38" s="14" t="s">
        <v>16819</v>
      </c>
      <c r="P38" s="14" t="str">
        <f>HYPERLINK("https://dexscreener.com/solana/Dvmw8Nq6SRoxFWP36PWRycuY8NfT7qHHGa7k3wPTbWWD", "View")</f>
        <v>View</v>
      </c>
    </row>
    <row r="39" spans="1:16" x14ac:dyDescent="0.25">
      <c r="A39" s="16" t="s">
        <v>702</v>
      </c>
      <c r="B39" s="17">
        <v>97436</v>
      </c>
      <c r="C39" s="17">
        <v>49497</v>
      </c>
      <c r="D39" s="17" t="s">
        <v>8721</v>
      </c>
      <c r="E39" s="17" t="s">
        <v>9553</v>
      </c>
      <c r="F39" s="17" t="s">
        <v>3912</v>
      </c>
      <c r="G39" s="22" t="s">
        <v>3765</v>
      </c>
      <c r="H39" s="22" t="s">
        <v>7750</v>
      </c>
      <c r="I39" s="17" t="s">
        <v>88</v>
      </c>
      <c r="J39" s="17">
        <v>2</v>
      </c>
      <c r="K39" s="17">
        <v>1</v>
      </c>
      <c r="L39" s="17" t="s">
        <v>30821</v>
      </c>
      <c r="M39" s="17" t="s">
        <v>937</v>
      </c>
      <c r="N39" s="17" t="s">
        <v>30822</v>
      </c>
      <c r="O39" s="17" t="s">
        <v>708</v>
      </c>
      <c r="P39" s="17" t="str">
        <f>HYPERLINK("https://dexscreener.com/solana/BoBj68cWnCvzMNUKzJyR7Jq7tLM3v76D1pYL1E8rpump", "View")</f>
        <v>View</v>
      </c>
    </row>
    <row r="40" spans="1:16" x14ac:dyDescent="0.25">
      <c r="A40" s="13" t="s">
        <v>30823</v>
      </c>
      <c r="B40" s="14">
        <v>895880</v>
      </c>
      <c r="C40" s="14">
        <v>895880</v>
      </c>
      <c r="D40" s="14" t="s">
        <v>21976</v>
      </c>
      <c r="E40" s="14" t="s">
        <v>3275</v>
      </c>
      <c r="F40" s="14" t="s">
        <v>2531</v>
      </c>
      <c r="G40" s="20" t="s">
        <v>4252</v>
      </c>
      <c r="H40" s="20" t="s">
        <v>30824</v>
      </c>
      <c r="I40" s="14" t="s">
        <v>88</v>
      </c>
      <c r="J40" s="14">
        <v>1</v>
      </c>
      <c r="K40" s="14">
        <v>1</v>
      </c>
      <c r="L40" s="14" t="s">
        <v>30825</v>
      </c>
      <c r="M40" s="14" t="s">
        <v>1434</v>
      </c>
      <c r="N40" s="14" t="s">
        <v>9679</v>
      </c>
      <c r="O40" s="14" t="s">
        <v>30826</v>
      </c>
      <c r="P40" s="14" t="str">
        <f>HYPERLINK("https://photon-sol.tinyastro.io/en/lp/DZw5sP9sKaYw7b7Qtj74qLmEidw3rBBxnsiTJbPMpump?handle=676050794bc1b1657a56b", "View")</f>
        <v>View</v>
      </c>
    </row>
    <row r="41" spans="1:16" x14ac:dyDescent="0.25">
      <c r="A41" s="16" t="s">
        <v>30827</v>
      </c>
      <c r="B41" s="17">
        <v>1134502</v>
      </c>
      <c r="C41" s="17">
        <v>1134502</v>
      </c>
      <c r="D41" s="17" t="s">
        <v>21976</v>
      </c>
      <c r="E41" s="17" t="s">
        <v>5220</v>
      </c>
      <c r="F41" s="17" t="s">
        <v>2809</v>
      </c>
      <c r="G41" s="15" t="s">
        <v>4081</v>
      </c>
      <c r="H41" s="15" t="s">
        <v>30828</v>
      </c>
      <c r="I41" s="17" t="s">
        <v>88</v>
      </c>
      <c r="J41" s="17">
        <v>1</v>
      </c>
      <c r="K41" s="17">
        <v>1</v>
      </c>
      <c r="L41" s="17" t="s">
        <v>30829</v>
      </c>
      <c r="M41" s="17" t="s">
        <v>117</v>
      </c>
      <c r="N41" s="17" t="s">
        <v>2411</v>
      </c>
      <c r="O41" s="17" t="s">
        <v>30830</v>
      </c>
      <c r="P41" s="17" t="str">
        <f>HYPERLINK("https://photon-sol.tinyastro.io/en/lp/EoANnf7Y4ESWYMUP7347N8RTVjeXL2DUeuDCwKxJpump?handle=676050794bc1b1657a56b", "View")</f>
        <v>View</v>
      </c>
    </row>
    <row r="42" spans="1:16" x14ac:dyDescent="0.25">
      <c r="A42" s="13" t="s">
        <v>30831</v>
      </c>
      <c r="B42" s="14">
        <v>1477483</v>
      </c>
      <c r="C42" s="14">
        <v>1477483</v>
      </c>
      <c r="D42" s="14" t="s">
        <v>21976</v>
      </c>
      <c r="E42" s="14" t="s">
        <v>5220</v>
      </c>
      <c r="F42" s="14" t="s">
        <v>4609</v>
      </c>
      <c r="G42" s="22" t="s">
        <v>3047</v>
      </c>
      <c r="H42" s="22" t="s">
        <v>30832</v>
      </c>
      <c r="I42" s="14" t="s">
        <v>88</v>
      </c>
      <c r="J42" s="14">
        <v>1</v>
      </c>
      <c r="K42" s="14">
        <v>1</v>
      </c>
      <c r="L42" s="14" t="s">
        <v>30833</v>
      </c>
      <c r="M42" s="14" t="s">
        <v>1526</v>
      </c>
      <c r="N42" s="14" t="s">
        <v>3816</v>
      </c>
      <c r="O42" s="14" t="s">
        <v>30834</v>
      </c>
      <c r="P42" s="14" t="str">
        <f>HYPERLINK("https://photon-sol.tinyastro.io/en/lp/36ctZjjAYJ1AFZDX3B5n5AvsKTsuetN3gPB9vNDbpump?handle=676050794bc1b1657a56b", "View")</f>
        <v>View</v>
      </c>
    </row>
    <row r="43" spans="1:16" x14ac:dyDescent="0.25">
      <c r="A43" s="16" t="s">
        <v>30835</v>
      </c>
      <c r="B43" s="17">
        <v>1158138</v>
      </c>
      <c r="C43" s="17">
        <v>1158138</v>
      </c>
      <c r="D43" s="17" t="s">
        <v>21976</v>
      </c>
      <c r="E43" s="17" t="s">
        <v>5220</v>
      </c>
      <c r="F43" s="17" t="s">
        <v>4924</v>
      </c>
      <c r="G43" s="15" t="s">
        <v>5706</v>
      </c>
      <c r="H43" s="15" t="s">
        <v>30836</v>
      </c>
      <c r="I43" s="17" t="s">
        <v>88</v>
      </c>
      <c r="J43" s="17">
        <v>1</v>
      </c>
      <c r="K43" s="17">
        <v>1</v>
      </c>
      <c r="L43" s="17" t="s">
        <v>30837</v>
      </c>
      <c r="M43" s="17" t="s">
        <v>1566</v>
      </c>
      <c r="N43" s="17" t="s">
        <v>19159</v>
      </c>
      <c r="O43" s="17" t="s">
        <v>30838</v>
      </c>
      <c r="P43" s="17" t="str">
        <f>HYPERLINK("https://photon-sol.tinyastro.io/en/lp/H3JYLKrtXYGh9o9VxmabkQgbgDao2fLmyQoykyM5pump?handle=676050794bc1b1657a56b", "View")</f>
        <v>View</v>
      </c>
    </row>
    <row r="44" spans="1:16" x14ac:dyDescent="0.25">
      <c r="A44" s="13" t="s">
        <v>30839</v>
      </c>
      <c r="B44" s="14">
        <v>52983352</v>
      </c>
      <c r="C44" s="14">
        <v>52983352</v>
      </c>
      <c r="D44" s="14" t="s">
        <v>30817</v>
      </c>
      <c r="E44" s="14" t="s">
        <v>7862</v>
      </c>
      <c r="F44" s="14" t="s">
        <v>24095</v>
      </c>
      <c r="G44" s="22" t="s">
        <v>4951</v>
      </c>
      <c r="H44" s="22" t="s">
        <v>30840</v>
      </c>
      <c r="I44" s="14" t="s">
        <v>88</v>
      </c>
      <c r="J44" s="14">
        <v>3</v>
      </c>
      <c r="K44" s="14">
        <v>2</v>
      </c>
      <c r="L44" s="14" t="s">
        <v>30841</v>
      </c>
      <c r="M44" s="14" t="s">
        <v>179</v>
      </c>
      <c r="N44" s="14" t="s">
        <v>507</v>
      </c>
      <c r="O44" s="14" t="s">
        <v>30842</v>
      </c>
      <c r="P44" s="14" t="str">
        <f>HYPERLINK("https://photon-sol.tinyastro.io/en/lp/8kugrMSq1XXTDeJ1b1GtfUi9J3DZBu1qxzj5zScJ7aM2?handle=676050794bc1b1657a56b", "View")</f>
        <v>View</v>
      </c>
    </row>
    <row r="45" spans="1:16" x14ac:dyDescent="0.25">
      <c r="A45" s="16" t="s">
        <v>30843</v>
      </c>
      <c r="B45" s="17">
        <v>333028</v>
      </c>
      <c r="C45" s="17">
        <v>333028</v>
      </c>
      <c r="D45" s="17" t="s">
        <v>21976</v>
      </c>
      <c r="E45" s="17" t="s">
        <v>8306</v>
      </c>
      <c r="F45" s="17" t="s">
        <v>2547</v>
      </c>
      <c r="G45" s="15" t="s">
        <v>4081</v>
      </c>
      <c r="H45" s="15" t="s">
        <v>30844</v>
      </c>
      <c r="I45" s="17" t="s">
        <v>88</v>
      </c>
      <c r="J45" s="17">
        <v>1</v>
      </c>
      <c r="K45" s="17">
        <v>1</v>
      </c>
      <c r="L45" s="17" t="s">
        <v>30845</v>
      </c>
      <c r="M45" s="17" t="s">
        <v>1448</v>
      </c>
      <c r="N45" s="17" t="s">
        <v>30787</v>
      </c>
      <c r="O45" s="17" t="s">
        <v>30846</v>
      </c>
      <c r="P45" s="17" t="str">
        <f>HYPERLINK("https://dexscreener.com/solana/EkJcSvtA9ysD23x2hcuQZWoD8ZMHQSZrT8a4p3Fzpump", "View")</f>
        <v>View</v>
      </c>
    </row>
    <row r="46" spans="1:16" x14ac:dyDescent="0.25">
      <c r="A46" s="13" t="s">
        <v>30847</v>
      </c>
      <c r="B46" s="14">
        <v>13044454</v>
      </c>
      <c r="C46" s="14">
        <v>13044454</v>
      </c>
      <c r="D46" s="14" t="s">
        <v>30784</v>
      </c>
      <c r="E46" s="14" t="s">
        <v>10587</v>
      </c>
      <c r="F46" s="14" t="s">
        <v>22639</v>
      </c>
      <c r="G46" s="20" t="s">
        <v>6249</v>
      </c>
      <c r="H46" s="20" t="s">
        <v>835</v>
      </c>
      <c r="I46" s="14" t="s">
        <v>88</v>
      </c>
      <c r="J46" s="14">
        <v>1</v>
      </c>
      <c r="K46" s="14">
        <v>1</v>
      </c>
      <c r="L46" s="14" t="s">
        <v>30848</v>
      </c>
      <c r="M46" s="14" t="s">
        <v>1448</v>
      </c>
      <c r="N46" s="14" t="s">
        <v>1011</v>
      </c>
      <c r="O46" s="14" t="s">
        <v>30849</v>
      </c>
      <c r="P46" s="14" t="str">
        <f>HYPERLINK("https://photon-sol.tinyastro.io/en/lp/9Ygox6RyFtueHUT3uihApDHrf64g7RAHk4ARbMFFpump?handle=676050794bc1b1657a56b", "View")</f>
        <v>View</v>
      </c>
    </row>
    <row r="47" spans="1:16" x14ac:dyDescent="0.25">
      <c r="A47" s="16" t="s">
        <v>7423</v>
      </c>
      <c r="B47" s="17">
        <v>13068511</v>
      </c>
      <c r="C47" s="17">
        <v>13068511</v>
      </c>
      <c r="D47" s="17" t="s">
        <v>19101</v>
      </c>
      <c r="E47" s="17" t="s">
        <v>24707</v>
      </c>
      <c r="F47" s="17" t="s">
        <v>11098</v>
      </c>
      <c r="G47" s="21" t="s">
        <v>3739</v>
      </c>
      <c r="H47" s="21" t="s">
        <v>20389</v>
      </c>
      <c r="I47" s="17" t="s">
        <v>88</v>
      </c>
      <c r="J47" s="17">
        <v>2</v>
      </c>
      <c r="K47" s="17">
        <v>2</v>
      </c>
      <c r="L47" s="17" t="s">
        <v>30850</v>
      </c>
      <c r="M47" s="17" t="s">
        <v>788</v>
      </c>
      <c r="N47" s="17" t="s">
        <v>8752</v>
      </c>
      <c r="O47" s="17" t="s">
        <v>30851</v>
      </c>
      <c r="P47" s="17" t="str">
        <f>HYPERLINK("https://photon-sol.tinyastro.io/en/lp/F8dweQWGrrCWPbDpiLprCum7MoqrtmascmR6Nvc4pump?handle=676050794bc1b1657a56b", "View")</f>
        <v>View</v>
      </c>
    </row>
    <row r="48" spans="1:16" x14ac:dyDescent="0.25">
      <c r="A48" s="13" t="s">
        <v>30852</v>
      </c>
      <c r="B48" s="14">
        <v>1905446</v>
      </c>
      <c r="C48" s="14">
        <v>1905446</v>
      </c>
      <c r="D48" s="14" t="s">
        <v>8721</v>
      </c>
      <c r="E48" s="14" t="s">
        <v>11534</v>
      </c>
      <c r="F48" s="14" t="s">
        <v>2699</v>
      </c>
      <c r="G48" s="22" t="s">
        <v>5024</v>
      </c>
      <c r="H48" s="22" t="s">
        <v>17834</v>
      </c>
      <c r="I48" s="14" t="s">
        <v>88</v>
      </c>
      <c r="J48" s="14">
        <v>2</v>
      </c>
      <c r="K48" s="14">
        <v>1</v>
      </c>
      <c r="L48" s="14" t="s">
        <v>30853</v>
      </c>
      <c r="M48" s="14" t="s">
        <v>1448</v>
      </c>
      <c r="N48" s="14" t="s">
        <v>507</v>
      </c>
      <c r="O48" s="14" t="s">
        <v>30854</v>
      </c>
      <c r="P48" s="14" t="str">
        <f>HYPERLINK("https://photon-sol.tinyastro.io/en/lp/BhfmJq2rMKpieEcxi7RYkUdGzW7JZenxMo3X6WJmPJ5w?handle=676050794bc1b1657a56b", "View")</f>
        <v>View</v>
      </c>
    </row>
    <row r="49" spans="1:16" x14ac:dyDescent="0.25">
      <c r="A49" s="16" t="s">
        <v>30855</v>
      </c>
      <c r="B49" s="17">
        <v>140984</v>
      </c>
      <c r="C49" s="17">
        <v>140984</v>
      </c>
      <c r="D49" s="17" t="s">
        <v>21976</v>
      </c>
      <c r="E49" s="17" t="s">
        <v>5346</v>
      </c>
      <c r="F49" s="17" t="s">
        <v>5680</v>
      </c>
      <c r="G49" s="20" t="s">
        <v>14444</v>
      </c>
      <c r="H49" s="20" t="s">
        <v>30856</v>
      </c>
      <c r="I49" s="17" t="s">
        <v>88</v>
      </c>
      <c r="J49" s="17">
        <v>1</v>
      </c>
      <c r="K49" s="17">
        <v>1</v>
      </c>
      <c r="L49" s="17" t="s">
        <v>30857</v>
      </c>
      <c r="M49" s="17" t="s">
        <v>1448</v>
      </c>
      <c r="N49" s="17" t="s">
        <v>30858</v>
      </c>
      <c r="O49" s="17" t="s">
        <v>30859</v>
      </c>
      <c r="P49" s="17" t="str">
        <f>HYPERLINK("https://dexscreener.com/solana/2dC9FjrKkETwhTKRp8JgNGV3fZFpLxf7J6gjzDKUPnUK", "View")</f>
        <v>View</v>
      </c>
    </row>
    <row r="50" spans="1:16" x14ac:dyDescent="0.25">
      <c r="A50" s="13" t="s">
        <v>30860</v>
      </c>
      <c r="B50" s="14">
        <v>17020365</v>
      </c>
      <c r="C50" s="14">
        <v>17020365</v>
      </c>
      <c r="D50" s="14" t="s">
        <v>30861</v>
      </c>
      <c r="E50" s="14" t="s">
        <v>4060</v>
      </c>
      <c r="F50" s="14" t="s">
        <v>30862</v>
      </c>
      <c r="G50" s="20" t="s">
        <v>4032</v>
      </c>
      <c r="H50" s="20" t="s">
        <v>17454</v>
      </c>
      <c r="I50" s="14" t="s">
        <v>88</v>
      </c>
      <c r="J50" s="14">
        <v>5</v>
      </c>
      <c r="K50" s="14">
        <v>1</v>
      </c>
      <c r="L50" s="14" t="s">
        <v>30863</v>
      </c>
      <c r="M50" s="14" t="s">
        <v>602</v>
      </c>
      <c r="N50" s="14" t="s">
        <v>1011</v>
      </c>
      <c r="O50" s="14" t="s">
        <v>30864</v>
      </c>
      <c r="P50" s="14" t="str">
        <f>HYPERLINK("https://photon-sol.tinyastro.io/en/lp/6TpTEnNmQ6bKJFD17W7eg5rVd8K8yJHcziky1zUbpump?handle=676050794bc1b1657a56b", "View")</f>
        <v>View</v>
      </c>
    </row>
    <row r="51" spans="1:16" x14ac:dyDescent="0.25">
      <c r="A51" s="16" t="s">
        <v>30865</v>
      </c>
      <c r="B51" s="17">
        <v>1351222</v>
      </c>
      <c r="C51" s="17">
        <v>1351222</v>
      </c>
      <c r="D51" s="17" t="s">
        <v>21976</v>
      </c>
      <c r="E51" s="17" t="s">
        <v>14402</v>
      </c>
      <c r="F51" s="17" t="s">
        <v>12272</v>
      </c>
      <c r="G51" s="20" t="s">
        <v>3023</v>
      </c>
      <c r="H51" s="20" t="s">
        <v>13541</v>
      </c>
      <c r="I51" s="17" t="s">
        <v>88</v>
      </c>
      <c r="J51" s="17">
        <v>1</v>
      </c>
      <c r="K51" s="17">
        <v>1</v>
      </c>
      <c r="L51" s="17" t="s">
        <v>30866</v>
      </c>
      <c r="M51" s="17" t="s">
        <v>3171</v>
      </c>
      <c r="N51" s="17" t="s">
        <v>3710</v>
      </c>
      <c r="O51" s="17" t="s">
        <v>30867</v>
      </c>
      <c r="P51" s="17" t="str">
        <f>HYPERLINK("https://photon-sol.tinyastro.io/en/lp/2URsUBsViebyJSA9kb1so4tHYyDh5p1A4XbWNyejpump?handle=676050794bc1b1657a56b", "View")</f>
        <v>View</v>
      </c>
    </row>
    <row r="52" spans="1:16" x14ac:dyDescent="0.25">
      <c r="A52" s="13" t="s">
        <v>636</v>
      </c>
      <c r="B52" s="14">
        <v>5635731</v>
      </c>
      <c r="C52" s="14">
        <v>5635731</v>
      </c>
      <c r="D52" s="14" t="s">
        <v>15770</v>
      </c>
      <c r="E52" s="14" t="s">
        <v>19954</v>
      </c>
      <c r="F52" s="14" t="s">
        <v>19936</v>
      </c>
      <c r="G52" s="15" t="s">
        <v>3925</v>
      </c>
      <c r="H52" s="15" t="s">
        <v>30868</v>
      </c>
      <c r="I52" s="14" t="s">
        <v>88</v>
      </c>
      <c r="J52" s="14">
        <v>1</v>
      </c>
      <c r="K52" s="14">
        <v>1</v>
      </c>
      <c r="L52" s="14" t="s">
        <v>30869</v>
      </c>
      <c r="M52" s="14" t="s">
        <v>5695</v>
      </c>
      <c r="N52" s="14" t="s">
        <v>7699</v>
      </c>
      <c r="O52" s="14" t="s">
        <v>30870</v>
      </c>
      <c r="P52" s="14" t="str">
        <f>HYPERLINK("https://photon-sol.tinyastro.io/en/lp/9iGzyLXaZbTDeexPDcxyZrLYrpxPqGKtEVVNDbiopump?handle=676050794bc1b1657a56b", "View")</f>
        <v>View</v>
      </c>
    </row>
    <row r="53" spans="1:16" x14ac:dyDescent="0.25">
      <c r="A53" s="16" t="s">
        <v>30871</v>
      </c>
      <c r="B53" s="17">
        <v>19304914</v>
      </c>
      <c r="C53" s="17">
        <v>19304914</v>
      </c>
      <c r="D53" s="17" t="s">
        <v>30872</v>
      </c>
      <c r="E53" s="17" t="s">
        <v>7957</v>
      </c>
      <c r="F53" s="17" t="s">
        <v>3828</v>
      </c>
      <c r="G53" s="22" t="s">
        <v>3481</v>
      </c>
      <c r="H53" s="22" t="s">
        <v>14403</v>
      </c>
      <c r="I53" s="17" t="s">
        <v>88</v>
      </c>
      <c r="J53" s="17">
        <v>6</v>
      </c>
      <c r="K53" s="17">
        <v>1</v>
      </c>
      <c r="L53" s="17" t="s">
        <v>30873</v>
      </c>
      <c r="M53" s="17" t="s">
        <v>1566</v>
      </c>
      <c r="N53" s="17" t="s">
        <v>2223</v>
      </c>
      <c r="O53" s="17" t="s">
        <v>30874</v>
      </c>
      <c r="P53" s="17" t="str">
        <f>HYPERLINK("https://photon-sol.tinyastro.io/en/lp/F56f7K8FV9RjaCPRoQ5Q5Dy6SFoDEF52s5uTZCR1pump?handle=676050794bc1b1657a56b", "View")</f>
        <v>View</v>
      </c>
    </row>
    <row r="54" spans="1:16" x14ac:dyDescent="0.25">
      <c r="A54" s="13" t="s">
        <v>30871</v>
      </c>
      <c r="B54" s="14">
        <v>17286655</v>
      </c>
      <c r="C54" s="14">
        <v>17286655</v>
      </c>
      <c r="D54" s="14" t="s">
        <v>30875</v>
      </c>
      <c r="E54" s="14" t="s">
        <v>30876</v>
      </c>
      <c r="F54" s="14" t="s">
        <v>2793</v>
      </c>
      <c r="G54" s="21" t="s">
        <v>20232</v>
      </c>
      <c r="H54" s="21" t="s">
        <v>30877</v>
      </c>
      <c r="I54" s="14" t="s">
        <v>88</v>
      </c>
      <c r="J54" s="14">
        <v>9</v>
      </c>
      <c r="K54" s="14">
        <v>1</v>
      </c>
      <c r="L54" s="14" t="s">
        <v>30878</v>
      </c>
      <c r="M54" s="14" t="s">
        <v>980</v>
      </c>
      <c r="N54" s="14" t="s">
        <v>30879</v>
      </c>
      <c r="O54" s="14" t="s">
        <v>30880</v>
      </c>
      <c r="P54" s="14" t="str">
        <f>HYPERLINK("https://photon-sol.tinyastro.io/en/lp/31XZBQWoR9DmbJ38jbXUkgfcxesYDzHCCa9gooL3pump?handle=676050794bc1b1657a56b", "View")</f>
        <v>View</v>
      </c>
    </row>
    <row r="55" spans="1:16" x14ac:dyDescent="0.25">
      <c r="A55" s="16" t="s">
        <v>30881</v>
      </c>
      <c r="B55" s="17">
        <v>1674217</v>
      </c>
      <c r="C55" s="17">
        <v>1674217</v>
      </c>
      <c r="D55" s="17" t="s">
        <v>21976</v>
      </c>
      <c r="E55" s="17" t="s">
        <v>3706</v>
      </c>
      <c r="F55" s="17" t="s">
        <v>5675</v>
      </c>
      <c r="G55" s="15" t="s">
        <v>17197</v>
      </c>
      <c r="H55" s="15" t="s">
        <v>30882</v>
      </c>
      <c r="I55" s="17" t="s">
        <v>88</v>
      </c>
      <c r="J55" s="17">
        <v>1</v>
      </c>
      <c r="K55" s="17">
        <v>1</v>
      </c>
      <c r="L55" s="17" t="s">
        <v>30883</v>
      </c>
      <c r="M55" s="17" t="s">
        <v>1705</v>
      </c>
      <c r="N55" s="17" t="s">
        <v>14898</v>
      </c>
      <c r="O55" s="17" t="s">
        <v>30884</v>
      </c>
      <c r="P55" s="17" t="str">
        <f>HYPERLINK("https://photon-sol.tinyastro.io/en/lp/BNPuzox3dnyhkJbX8kwscyVZVMZmCGczDgxiuRDcpump?handle=676050794bc1b1657a56b", "View")</f>
        <v>View</v>
      </c>
    </row>
    <row r="56" spans="1:16" x14ac:dyDescent="0.25">
      <c r="A56" s="13" t="s">
        <v>30885</v>
      </c>
      <c r="B56" s="14">
        <v>5091329</v>
      </c>
      <c r="C56" s="14">
        <v>5091329</v>
      </c>
      <c r="D56" s="14" t="s">
        <v>21976</v>
      </c>
      <c r="E56" s="14" t="s">
        <v>5472</v>
      </c>
      <c r="F56" s="14" t="s">
        <v>3820</v>
      </c>
      <c r="G56" s="20" t="s">
        <v>3728</v>
      </c>
      <c r="H56" s="20" t="s">
        <v>30886</v>
      </c>
      <c r="I56" s="14" t="s">
        <v>88</v>
      </c>
      <c r="J56" s="14">
        <v>1</v>
      </c>
      <c r="K56" s="14">
        <v>1</v>
      </c>
      <c r="L56" s="14" t="s">
        <v>30887</v>
      </c>
      <c r="M56" s="14" t="s">
        <v>2672</v>
      </c>
      <c r="N56" s="14" t="s">
        <v>30888</v>
      </c>
      <c r="O56" s="14" t="s">
        <v>30889</v>
      </c>
      <c r="P56" s="14" t="str">
        <f>HYPERLINK("https://photon-sol.tinyastro.io/en/lp/2QW7QcQcp1EMYhzVfSrPH8nyNTKdPznUjB3agRibpump?handle=676050794bc1b1657a56b", "View")</f>
        <v>View</v>
      </c>
    </row>
    <row r="57" spans="1:16" x14ac:dyDescent="0.25">
      <c r="A57" s="16" t="s">
        <v>26231</v>
      </c>
      <c r="B57" s="17">
        <v>559355</v>
      </c>
      <c r="C57" s="17">
        <v>292766</v>
      </c>
      <c r="D57" s="17" t="s">
        <v>30784</v>
      </c>
      <c r="E57" s="17" t="s">
        <v>5572</v>
      </c>
      <c r="F57" s="17" t="s">
        <v>2966</v>
      </c>
      <c r="G57" s="20" t="s">
        <v>4880</v>
      </c>
      <c r="H57" s="20" t="s">
        <v>30890</v>
      </c>
      <c r="I57" s="17" t="s">
        <v>88</v>
      </c>
      <c r="J57" s="17">
        <v>1</v>
      </c>
      <c r="K57" s="17">
        <v>1</v>
      </c>
      <c r="L57" s="17" t="s">
        <v>30891</v>
      </c>
      <c r="M57" s="17" t="s">
        <v>680</v>
      </c>
      <c r="N57" s="17" t="s">
        <v>30892</v>
      </c>
      <c r="O57" s="17" t="s">
        <v>26235</v>
      </c>
      <c r="P57" s="17" t="str">
        <f>HYPERLINK("https://dexscreener.com/solana/8AGrudQDbjNjnHzBsrndfVDBHgg6KBJ7RN6j3hbfq3Qh", "View")</f>
        <v>View</v>
      </c>
    </row>
    <row r="58" spans="1:16" x14ac:dyDescent="0.25">
      <c r="A58" s="13" t="s">
        <v>20701</v>
      </c>
      <c r="B58" s="14">
        <v>687138</v>
      </c>
      <c r="C58" s="14">
        <v>687138</v>
      </c>
      <c r="D58" s="14" t="s">
        <v>21976</v>
      </c>
      <c r="E58" s="14" t="s">
        <v>5572</v>
      </c>
      <c r="F58" s="14" t="s">
        <v>22103</v>
      </c>
      <c r="G58" s="22" t="s">
        <v>23088</v>
      </c>
      <c r="H58" s="22" t="s">
        <v>30893</v>
      </c>
      <c r="I58" s="14" t="s">
        <v>88</v>
      </c>
      <c r="J58" s="14">
        <v>1</v>
      </c>
      <c r="K58" s="14">
        <v>1</v>
      </c>
      <c r="L58" s="14" t="s">
        <v>30894</v>
      </c>
      <c r="M58" s="14" t="s">
        <v>179</v>
      </c>
      <c r="N58" s="14" t="s">
        <v>30895</v>
      </c>
      <c r="O58" s="14" t="s">
        <v>20705</v>
      </c>
      <c r="P58" s="14" t="str">
        <f>HYPERLINK("https://dexscreener.com/solana/FEFwYgVvKaNUMxKaUB7vpoQ9dZkoHAzfHa1p4joXEaKA", "View")</f>
        <v>View</v>
      </c>
    </row>
    <row r="59" spans="1:16" x14ac:dyDescent="0.25">
      <c r="A59" s="16" t="s">
        <v>755</v>
      </c>
      <c r="B59" s="17">
        <v>894258</v>
      </c>
      <c r="C59" s="17">
        <v>861935</v>
      </c>
      <c r="D59" s="17" t="s">
        <v>30896</v>
      </c>
      <c r="E59" s="17" t="s">
        <v>30897</v>
      </c>
      <c r="F59" s="17" t="s">
        <v>8165</v>
      </c>
      <c r="G59" s="21" t="s">
        <v>2296</v>
      </c>
      <c r="H59" s="21" t="s">
        <v>30898</v>
      </c>
      <c r="I59" s="17" t="s">
        <v>88</v>
      </c>
      <c r="J59" s="17">
        <v>3</v>
      </c>
      <c r="K59" s="17">
        <v>6</v>
      </c>
      <c r="L59" s="17" t="s">
        <v>30899</v>
      </c>
      <c r="M59" s="17" t="s">
        <v>179</v>
      </c>
      <c r="N59" s="17" t="s">
        <v>30900</v>
      </c>
      <c r="O59" s="17" t="s">
        <v>759</v>
      </c>
      <c r="P59" s="17" t="str">
        <f>HYPERLINK("https://dexscreener.com/solana/Fmc9g6bL1Y8Szhn3pFqRnoEhaopbJNXHMdcxqHsUpump", "View")</f>
        <v>View</v>
      </c>
    </row>
    <row r="60" spans="1:16" x14ac:dyDescent="0.25">
      <c r="A60" s="13" t="s">
        <v>23863</v>
      </c>
      <c r="B60" s="14">
        <v>506291</v>
      </c>
      <c r="C60" s="14">
        <v>345544</v>
      </c>
      <c r="D60" s="14" t="s">
        <v>21976</v>
      </c>
      <c r="E60" s="14" t="s">
        <v>5572</v>
      </c>
      <c r="F60" s="14" t="s">
        <v>3779</v>
      </c>
      <c r="G60" s="22" t="s">
        <v>3939</v>
      </c>
      <c r="H60" s="22" t="s">
        <v>30901</v>
      </c>
      <c r="I60" s="14" t="s">
        <v>88</v>
      </c>
      <c r="J60" s="14">
        <v>1</v>
      </c>
      <c r="K60" s="14">
        <v>1</v>
      </c>
      <c r="L60" s="14" t="s">
        <v>30902</v>
      </c>
      <c r="M60" s="14" t="s">
        <v>602</v>
      </c>
      <c r="N60" s="14" t="s">
        <v>30903</v>
      </c>
      <c r="O60" s="14" t="s">
        <v>23867</v>
      </c>
      <c r="P60" s="14" t="str">
        <f>HYPERLINK("https://dexscreener.com/solana/H52CAqEJXY9dmPJChvi86cUR3vLEobUhu7B9wBMppump", "View")</f>
        <v>View</v>
      </c>
    </row>
    <row r="61" spans="1:16" x14ac:dyDescent="0.25">
      <c r="A61" s="16" t="s">
        <v>30904</v>
      </c>
      <c r="B61" s="17">
        <v>313528</v>
      </c>
      <c r="C61" s="17">
        <v>0</v>
      </c>
      <c r="D61" s="17" t="s">
        <v>19035</v>
      </c>
      <c r="E61" s="17" t="s">
        <v>5220</v>
      </c>
      <c r="F61" s="17" t="s">
        <v>96</v>
      </c>
      <c r="G61" s="18" t="s">
        <v>3426</v>
      </c>
      <c r="H61" s="18" t="s">
        <v>98</v>
      </c>
      <c r="I61" s="17" t="s">
        <v>30905</v>
      </c>
      <c r="J61" s="17">
        <v>1</v>
      </c>
      <c r="K61" s="17">
        <v>0</v>
      </c>
      <c r="L61" s="17" t="s">
        <v>30906</v>
      </c>
      <c r="M61" s="19" t="s">
        <v>101</v>
      </c>
      <c r="N61" s="17" t="s">
        <v>30907</v>
      </c>
      <c r="O61" s="17" t="s">
        <v>30908</v>
      </c>
      <c r="P61" s="17" t="str">
        <f>HYPERLINK("https://dexscreener.com/solana/91oBzETvpZQQR6Qhs43xQVTV4Am6RMQSGDQSiJh4pump", "View")</f>
        <v>View</v>
      </c>
    </row>
    <row r="62" spans="1:16" x14ac:dyDescent="0.25">
      <c r="A62" s="13" t="s">
        <v>30909</v>
      </c>
      <c r="B62" s="14">
        <v>817918</v>
      </c>
      <c r="C62" s="14">
        <v>404051</v>
      </c>
      <c r="D62" s="14" t="s">
        <v>21976</v>
      </c>
      <c r="E62" s="14" t="s">
        <v>5573</v>
      </c>
      <c r="F62" s="14" t="s">
        <v>9188</v>
      </c>
      <c r="G62" s="22" t="s">
        <v>5588</v>
      </c>
      <c r="H62" s="22" t="s">
        <v>30910</v>
      </c>
      <c r="I62" s="14" t="s">
        <v>88</v>
      </c>
      <c r="J62" s="14">
        <v>1</v>
      </c>
      <c r="K62" s="14">
        <v>1</v>
      </c>
      <c r="L62" s="14" t="s">
        <v>30911</v>
      </c>
      <c r="M62" s="14" t="s">
        <v>2047</v>
      </c>
      <c r="N62" s="14" t="s">
        <v>30912</v>
      </c>
      <c r="O62" s="14" t="s">
        <v>30913</v>
      </c>
      <c r="P62" s="14" t="str">
        <f>HYPERLINK("https://dexscreener.com/solana/HJkdRUn3qnDSUq2LpFKgTEuoTD1wv5ug59X6PFUFj7oa", "View")</f>
        <v>View</v>
      </c>
    </row>
    <row r="63" spans="1:16" x14ac:dyDescent="0.25">
      <c r="A63" s="16" t="s">
        <v>15446</v>
      </c>
      <c r="B63" s="17">
        <v>48941</v>
      </c>
      <c r="C63" s="17">
        <v>24143</v>
      </c>
      <c r="D63" s="17" t="s">
        <v>30784</v>
      </c>
      <c r="E63" s="17" t="s">
        <v>5573</v>
      </c>
      <c r="F63" s="17" t="s">
        <v>4637</v>
      </c>
      <c r="G63" s="20" t="s">
        <v>5305</v>
      </c>
      <c r="H63" s="20" t="s">
        <v>5812</v>
      </c>
      <c r="I63" s="17" t="s">
        <v>88</v>
      </c>
      <c r="J63" s="17">
        <v>1</v>
      </c>
      <c r="K63" s="17">
        <v>1</v>
      </c>
      <c r="L63" s="17" t="s">
        <v>30914</v>
      </c>
      <c r="M63" s="17" t="s">
        <v>1566</v>
      </c>
      <c r="N63" s="17" t="s">
        <v>30915</v>
      </c>
      <c r="O63" s="17" t="s">
        <v>15454</v>
      </c>
      <c r="P63" s="17" t="str">
        <f>HYPERLINK("https://dexscreener.com/solana/34a8ALsPmbWxp7D3bQ6erERrCLz1ahr6u6o66Udmpump", "View")</f>
        <v>View</v>
      </c>
    </row>
    <row r="64" spans="1:16" x14ac:dyDescent="0.25">
      <c r="A64" s="13" t="s">
        <v>27747</v>
      </c>
      <c r="B64" s="14">
        <v>1313183</v>
      </c>
      <c r="C64" s="14">
        <v>1313183</v>
      </c>
      <c r="D64" s="14" t="s">
        <v>16942</v>
      </c>
      <c r="E64" s="14" t="s">
        <v>5346</v>
      </c>
      <c r="F64" s="14" t="s">
        <v>2809</v>
      </c>
      <c r="G64" s="15" t="s">
        <v>5031</v>
      </c>
      <c r="H64" s="15" t="s">
        <v>30916</v>
      </c>
      <c r="I64" s="14" t="s">
        <v>88</v>
      </c>
      <c r="J64" s="14">
        <v>1</v>
      </c>
      <c r="K64" s="14">
        <v>1</v>
      </c>
      <c r="L64" s="14" t="s">
        <v>30917</v>
      </c>
      <c r="M64" s="14" t="s">
        <v>538</v>
      </c>
      <c r="N64" s="14" t="s">
        <v>12453</v>
      </c>
      <c r="O64" s="14" t="s">
        <v>30918</v>
      </c>
      <c r="P64" s="14" t="str">
        <f>HYPERLINK("https://dexscreener.com/solana/G7ffSqzhHbP3FVzVp8iSt1GdwwN91bmuydhDXNvTiVtF", "View")</f>
        <v>View</v>
      </c>
    </row>
    <row r="65" spans="1:16" x14ac:dyDescent="0.25">
      <c r="A65" s="16" t="s">
        <v>1913</v>
      </c>
      <c r="B65" s="17">
        <v>117400</v>
      </c>
      <c r="C65" s="17">
        <v>117400</v>
      </c>
      <c r="D65" s="17" t="s">
        <v>30919</v>
      </c>
      <c r="E65" s="17" t="s">
        <v>4180</v>
      </c>
      <c r="F65" s="17" t="s">
        <v>24396</v>
      </c>
      <c r="G65" s="20" t="s">
        <v>28803</v>
      </c>
      <c r="H65" s="20" t="s">
        <v>30920</v>
      </c>
      <c r="I65" s="17" t="s">
        <v>88</v>
      </c>
      <c r="J65" s="17">
        <v>2</v>
      </c>
      <c r="K65" s="17">
        <v>1</v>
      </c>
      <c r="L65" s="17" t="s">
        <v>30921</v>
      </c>
      <c r="M65" s="17" t="s">
        <v>4385</v>
      </c>
      <c r="N65" s="17" t="s">
        <v>30922</v>
      </c>
      <c r="O65" s="17" t="s">
        <v>1919</v>
      </c>
      <c r="P65" s="17" t="str">
        <f>HYPERLINK("https://dexscreener.com/solana/9fgVG37Eb4Ec6G2YSHrZGMXkeXhLjNtxSKXu8P9epump", "View")</f>
        <v>View</v>
      </c>
    </row>
    <row r="66" spans="1:16" x14ac:dyDescent="0.25">
      <c r="A66" s="13" t="s">
        <v>351</v>
      </c>
      <c r="B66" s="14">
        <v>2499</v>
      </c>
      <c r="C66" s="14">
        <v>2499</v>
      </c>
      <c r="D66" s="14" t="s">
        <v>19101</v>
      </c>
      <c r="E66" s="14" t="s">
        <v>3733</v>
      </c>
      <c r="F66" s="14" t="s">
        <v>3912</v>
      </c>
      <c r="G66" s="22" t="s">
        <v>5248</v>
      </c>
      <c r="H66" s="22" t="s">
        <v>30923</v>
      </c>
      <c r="I66" s="14" t="s">
        <v>88</v>
      </c>
      <c r="J66" s="14">
        <v>2</v>
      </c>
      <c r="K66" s="14">
        <v>2</v>
      </c>
      <c r="L66" s="14" t="s">
        <v>30924</v>
      </c>
      <c r="M66" s="14" t="s">
        <v>5027</v>
      </c>
      <c r="N66" s="14" t="s">
        <v>30925</v>
      </c>
      <c r="O66" s="14" t="s">
        <v>358</v>
      </c>
      <c r="P66" s="14" t="str">
        <f>HYPERLINK("https://dexscreener.com/solana/LX2mJPsutHkUc6iXNFgumSC6LVKyc66xpy2zDTZpump", "View")</f>
        <v>View</v>
      </c>
    </row>
    <row r="67" spans="1:16" x14ac:dyDescent="0.25">
      <c r="A67" s="16" t="s">
        <v>30926</v>
      </c>
      <c r="B67" s="17">
        <v>230383</v>
      </c>
      <c r="C67" s="17">
        <v>198470</v>
      </c>
      <c r="D67" s="17" t="s">
        <v>8721</v>
      </c>
      <c r="E67" s="17" t="s">
        <v>4180</v>
      </c>
      <c r="F67" s="17" t="s">
        <v>16505</v>
      </c>
      <c r="G67" s="22" t="s">
        <v>2809</v>
      </c>
      <c r="H67" s="22" t="s">
        <v>30927</v>
      </c>
      <c r="I67" s="17" t="s">
        <v>88</v>
      </c>
      <c r="J67" s="17">
        <v>2</v>
      </c>
      <c r="K67" s="17">
        <v>1</v>
      </c>
      <c r="L67" s="17" t="s">
        <v>30928</v>
      </c>
      <c r="M67" s="17" t="s">
        <v>1434</v>
      </c>
      <c r="N67" s="17" t="s">
        <v>30929</v>
      </c>
      <c r="O67" s="17" t="s">
        <v>30930</v>
      </c>
      <c r="P67" s="17" t="str">
        <f>HYPERLINK("https://dexscreener.com/solana/BazV1p9y6EUwCrMjYQVBPiikaunD6eZpfp5kks22pump", "View")</f>
        <v>View</v>
      </c>
    </row>
    <row r="68" spans="1:16" x14ac:dyDescent="0.25">
      <c r="A68" s="13" t="s">
        <v>30931</v>
      </c>
      <c r="B68" s="14">
        <v>4055145</v>
      </c>
      <c r="C68" s="14">
        <v>4055145</v>
      </c>
      <c r="D68" s="14" t="s">
        <v>25433</v>
      </c>
      <c r="E68" s="14" t="s">
        <v>4679</v>
      </c>
      <c r="F68" s="14" t="s">
        <v>22104</v>
      </c>
      <c r="G68" s="22" t="s">
        <v>2597</v>
      </c>
      <c r="H68" s="22" t="s">
        <v>30932</v>
      </c>
      <c r="I68" s="14" t="s">
        <v>88</v>
      </c>
      <c r="J68" s="14">
        <v>1</v>
      </c>
      <c r="K68" s="14">
        <v>2</v>
      </c>
      <c r="L68" s="14" t="s">
        <v>30933</v>
      </c>
      <c r="M68" s="14" t="s">
        <v>356</v>
      </c>
      <c r="N68" s="14" t="s">
        <v>30934</v>
      </c>
      <c r="O68" s="14" t="s">
        <v>30935</v>
      </c>
      <c r="P68" s="14" t="str">
        <f>HYPERLINK("https://dexscreener.com/solana/7e8sgRNUtg9A28c7CNpfhesVv8NRY3AP7YFVcYyUsg33", "View")</f>
        <v>View</v>
      </c>
    </row>
    <row r="69" spans="1:16" x14ac:dyDescent="0.25">
      <c r="A69" s="16" t="s">
        <v>30936</v>
      </c>
      <c r="B69" s="17">
        <v>1858200</v>
      </c>
      <c r="C69" s="17">
        <v>1858200</v>
      </c>
      <c r="D69" s="17" t="s">
        <v>30937</v>
      </c>
      <c r="E69" s="17" t="s">
        <v>19811</v>
      </c>
      <c r="F69" s="17" t="s">
        <v>19760</v>
      </c>
      <c r="G69" s="20" t="s">
        <v>5031</v>
      </c>
      <c r="H69" s="20" t="s">
        <v>30938</v>
      </c>
      <c r="I69" s="17" t="s">
        <v>88</v>
      </c>
      <c r="J69" s="17">
        <v>7</v>
      </c>
      <c r="K69" s="17">
        <v>2</v>
      </c>
      <c r="L69" s="17" t="s">
        <v>30939</v>
      </c>
      <c r="M69" s="17" t="s">
        <v>1478</v>
      </c>
      <c r="N69" s="17" t="s">
        <v>30940</v>
      </c>
      <c r="O69" s="17" t="s">
        <v>30941</v>
      </c>
      <c r="P69" s="17" t="str">
        <f>HYPERLINK("https://dexscreener.com/solana/enhHTLgRH4BiDym5WGpVBGnoxHy3237v4NwpL1tpump", "View")</f>
        <v>View</v>
      </c>
    </row>
    <row r="70" spans="1:16" x14ac:dyDescent="0.25">
      <c r="A70" s="13" t="s">
        <v>30942</v>
      </c>
      <c r="B70" s="14">
        <v>3197529</v>
      </c>
      <c r="C70" s="14">
        <v>3197529</v>
      </c>
      <c r="D70" s="14" t="s">
        <v>21976</v>
      </c>
      <c r="E70" s="14" t="s">
        <v>5220</v>
      </c>
      <c r="F70" s="14" t="s">
        <v>10049</v>
      </c>
      <c r="G70" s="20" t="s">
        <v>5733</v>
      </c>
      <c r="H70" s="20" t="s">
        <v>30943</v>
      </c>
      <c r="I70" s="14" t="s">
        <v>88</v>
      </c>
      <c r="J70" s="14">
        <v>1</v>
      </c>
      <c r="K70" s="14">
        <v>1</v>
      </c>
      <c r="L70" s="14" t="s">
        <v>30944</v>
      </c>
      <c r="M70" s="14" t="s">
        <v>1448</v>
      </c>
      <c r="N70" s="14" t="s">
        <v>2585</v>
      </c>
      <c r="O70" s="14" t="s">
        <v>30945</v>
      </c>
      <c r="P70" s="14" t="str">
        <f>HYPERLINK("https://photon-sol.tinyastro.io/en/lp/G251rmuhusqN1kPoAeiN8tgYKJ9pzaZ491hCGo8Mpump?handle=676050794bc1b1657a56b", "View")</f>
        <v>View</v>
      </c>
    </row>
    <row r="71" spans="1:16" x14ac:dyDescent="0.25">
      <c r="A71" s="16" t="s">
        <v>30946</v>
      </c>
      <c r="B71" s="17">
        <v>1270880</v>
      </c>
      <c r="C71" s="17">
        <v>1270880</v>
      </c>
      <c r="D71" s="17" t="s">
        <v>21976</v>
      </c>
      <c r="E71" s="17" t="s">
        <v>4919</v>
      </c>
      <c r="F71" s="17" t="s">
        <v>4817</v>
      </c>
      <c r="G71" s="20" t="s">
        <v>4962</v>
      </c>
      <c r="H71" s="20" t="s">
        <v>30947</v>
      </c>
      <c r="I71" s="17" t="s">
        <v>88</v>
      </c>
      <c r="J71" s="17">
        <v>1</v>
      </c>
      <c r="K71" s="17">
        <v>1</v>
      </c>
      <c r="L71" s="17" t="s">
        <v>30948</v>
      </c>
      <c r="M71" s="17" t="s">
        <v>1434</v>
      </c>
      <c r="N71" s="17" t="s">
        <v>1471</v>
      </c>
      <c r="O71" s="17" t="s">
        <v>30949</v>
      </c>
      <c r="P71" s="17" t="str">
        <f>HYPERLINK("https://photon-sol.tinyastro.io/en/lp/HuT3cp8bHHZy6YvSH45aqPUKTfvzjFEefDEvNKAcpump?handle=676050794bc1b1657a56b", "View")</f>
        <v>View</v>
      </c>
    </row>
    <row r="72" spans="1:16" x14ac:dyDescent="0.25">
      <c r="A72" s="13" t="s">
        <v>26236</v>
      </c>
      <c r="B72" s="14">
        <v>364168</v>
      </c>
      <c r="C72" s="14">
        <v>364168</v>
      </c>
      <c r="D72" s="14" t="s">
        <v>19607</v>
      </c>
      <c r="E72" s="14" t="s">
        <v>5573</v>
      </c>
      <c r="F72" s="14" t="s">
        <v>3480</v>
      </c>
      <c r="G72" s="21" t="s">
        <v>16263</v>
      </c>
      <c r="H72" s="21" t="s">
        <v>30950</v>
      </c>
      <c r="I72" s="14" t="s">
        <v>88</v>
      </c>
      <c r="J72" s="14">
        <v>1</v>
      </c>
      <c r="K72" s="14">
        <v>2</v>
      </c>
      <c r="L72" s="14" t="s">
        <v>30951</v>
      </c>
      <c r="M72" s="14" t="s">
        <v>150</v>
      </c>
      <c r="N72" s="14" t="s">
        <v>30952</v>
      </c>
      <c r="O72" s="14" t="s">
        <v>26241</v>
      </c>
      <c r="P72" s="14" t="str">
        <f>HYPERLINK("https://dexscreener.com/solana/BfmftGM7W7nVicF3ccBTrGfh4RzS6xM4gQpDwJDjaZCt", "View")</f>
        <v>View</v>
      </c>
    </row>
    <row r="73" spans="1:16" x14ac:dyDescent="0.25">
      <c r="A73" s="16" t="s">
        <v>30953</v>
      </c>
      <c r="B73" s="17">
        <v>58327</v>
      </c>
      <c r="C73" s="17">
        <v>0</v>
      </c>
      <c r="D73" s="17" t="s">
        <v>864</v>
      </c>
      <c r="E73" s="17" t="s">
        <v>5346</v>
      </c>
      <c r="F73" s="17" t="s">
        <v>96</v>
      </c>
      <c r="G73" s="18" t="s">
        <v>3800</v>
      </c>
      <c r="H73" s="18" t="s">
        <v>98</v>
      </c>
      <c r="I73" s="17" t="s">
        <v>30954</v>
      </c>
      <c r="J73" s="17">
        <v>1</v>
      </c>
      <c r="K73" s="17">
        <v>0</v>
      </c>
      <c r="L73" s="17" t="s">
        <v>30955</v>
      </c>
      <c r="M73" s="19" t="s">
        <v>101</v>
      </c>
      <c r="N73" s="17" t="s">
        <v>30956</v>
      </c>
      <c r="O73" s="17" t="s">
        <v>30957</v>
      </c>
      <c r="P73" s="17" t="str">
        <f>HYPERLINK("https://dexscreener.com/solana/4XmpYUQr94sn81MbjkhWmnFwAZbA2x3XzJ7sofAmpump", "View")</f>
        <v>View</v>
      </c>
    </row>
    <row r="74" spans="1:16" x14ac:dyDescent="0.25">
      <c r="A74" s="13" t="s">
        <v>18603</v>
      </c>
      <c r="B74" s="14">
        <v>114049</v>
      </c>
      <c r="C74" s="14">
        <v>114049</v>
      </c>
      <c r="D74" s="14" t="s">
        <v>10387</v>
      </c>
      <c r="E74" s="14" t="s">
        <v>8306</v>
      </c>
      <c r="F74" s="14" t="s">
        <v>2653</v>
      </c>
      <c r="G74" s="22" t="s">
        <v>15901</v>
      </c>
      <c r="H74" s="22" t="s">
        <v>30958</v>
      </c>
      <c r="I74" s="14" t="s">
        <v>88</v>
      </c>
      <c r="J74" s="14">
        <v>1</v>
      </c>
      <c r="K74" s="14">
        <v>1</v>
      </c>
      <c r="L74" s="14" t="s">
        <v>30959</v>
      </c>
      <c r="M74" s="14" t="s">
        <v>2047</v>
      </c>
      <c r="N74" s="14" t="s">
        <v>30960</v>
      </c>
      <c r="O74" s="14" t="s">
        <v>18607</v>
      </c>
      <c r="P74" s="14" t="str">
        <f>HYPERLINK("https://dexscreener.com/solana/6SH9YZqVXfEmb1bV4ZHWtxUAaR4ua9bKjkd6z1ELpump", "View")</f>
        <v>View</v>
      </c>
    </row>
    <row r="75" spans="1:16" x14ac:dyDescent="0.25">
      <c r="A75" s="16" t="s">
        <v>30961</v>
      </c>
      <c r="B75" s="17">
        <v>11199785</v>
      </c>
      <c r="C75" s="17">
        <v>11199785</v>
      </c>
      <c r="D75" s="17" t="s">
        <v>883</v>
      </c>
      <c r="E75" s="17" t="s">
        <v>1361</v>
      </c>
      <c r="F75" s="17" t="s">
        <v>26237</v>
      </c>
      <c r="G75" s="20" t="s">
        <v>3806</v>
      </c>
      <c r="H75" s="20" t="s">
        <v>30962</v>
      </c>
      <c r="I75" s="17" t="s">
        <v>88</v>
      </c>
      <c r="J75" s="17">
        <v>1</v>
      </c>
      <c r="K75" s="17">
        <v>1</v>
      </c>
      <c r="L75" s="17" t="s">
        <v>30963</v>
      </c>
      <c r="M75" s="19" t="s">
        <v>2387</v>
      </c>
      <c r="N75" s="17" t="s">
        <v>507</v>
      </c>
      <c r="O75" s="17" t="s">
        <v>30964</v>
      </c>
      <c r="P75" s="17" t="str">
        <f>HYPERLINK("https://photon-sol.tinyastro.io/en/lp/3bE1AGHmec7PViFEw41eqEommwNm2ew7ScN2KNtvpump?handle=676050794bc1b1657a56b", "View")</f>
        <v>View</v>
      </c>
    </row>
    <row r="76" spans="1:16" x14ac:dyDescent="0.25">
      <c r="A76" s="13" t="s">
        <v>30965</v>
      </c>
      <c r="B76" s="14">
        <v>2357779</v>
      </c>
      <c r="C76" s="14">
        <v>2357779</v>
      </c>
      <c r="D76" s="14" t="s">
        <v>10387</v>
      </c>
      <c r="E76" s="14" t="s">
        <v>17610</v>
      </c>
      <c r="F76" s="14" t="s">
        <v>5608</v>
      </c>
      <c r="G76" s="15" t="s">
        <v>6131</v>
      </c>
      <c r="H76" s="15" t="s">
        <v>14580</v>
      </c>
      <c r="I76" s="14" t="s">
        <v>88</v>
      </c>
      <c r="J76" s="14">
        <v>1</v>
      </c>
      <c r="K76" s="14">
        <v>1</v>
      </c>
      <c r="L76" s="14" t="s">
        <v>30966</v>
      </c>
      <c r="M76" s="14" t="s">
        <v>179</v>
      </c>
      <c r="N76" s="14" t="s">
        <v>3908</v>
      </c>
      <c r="O76" s="14" t="s">
        <v>30967</v>
      </c>
      <c r="P76" s="14" t="str">
        <f>HYPERLINK("https://photon-sol.tinyastro.io/en/lp/H8ih2cQHZ2pQv92FFAaEsukQSsBzyLuKstDJM8eJpump?handle=676050794bc1b1657a56b", "View")</f>
        <v>View</v>
      </c>
    </row>
    <row r="77" spans="1:16" x14ac:dyDescent="0.25">
      <c r="A77" s="16" t="s">
        <v>9235</v>
      </c>
      <c r="B77" s="17">
        <v>86169</v>
      </c>
      <c r="C77" s="17">
        <v>86169</v>
      </c>
      <c r="D77" s="17" t="s">
        <v>24480</v>
      </c>
      <c r="E77" s="17" t="s">
        <v>8306</v>
      </c>
      <c r="F77" s="17" t="s">
        <v>4609</v>
      </c>
      <c r="G77" s="20" t="s">
        <v>2059</v>
      </c>
      <c r="H77" s="20" t="s">
        <v>9603</v>
      </c>
      <c r="I77" s="17" t="s">
        <v>88</v>
      </c>
      <c r="J77" s="17">
        <v>1</v>
      </c>
      <c r="K77" s="17">
        <v>1</v>
      </c>
      <c r="L77" s="17" t="s">
        <v>30968</v>
      </c>
      <c r="M77" s="17" t="s">
        <v>1448</v>
      </c>
      <c r="N77" s="17" t="s">
        <v>30969</v>
      </c>
      <c r="O77" s="17" t="s">
        <v>9242</v>
      </c>
      <c r="P77" s="17" t="str">
        <f>HYPERLINK("https://dexscreener.com/solana/3xhDkG9BgTBnwM5D3PACpJxwtmJ1Py9LzpvmkD67pump", "View")</f>
        <v>View</v>
      </c>
    </row>
    <row r="78" spans="1:16" x14ac:dyDescent="0.25">
      <c r="A78" s="13" t="s">
        <v>30970</v>
      </c>
      <c r="B78" s="14">
        <v>248272</v>
      </c>
      <c r="C78" s="14">
        <v>248272</v>
      </c>
      <c r="D78" s="14" t="s">
        <v>24480</v>
      </c>
      <c r="E78" s="14" t="s">
        <v>8306</v>
      </c>
      <c r="F78" s="14" t="s">
        <v>10049</v>
      </c>
      <c r="G78" s="20" t="s">
        <v>4610</v>
      </c>
      <c r="H78" s="20" t="s">
        <v>30971</v>
      </c>
      <c r="I78" s="14" t="s">
        <v>88</v>
      </c>
      <c r="J78" s="14">
        <v>1</v>
      </c>
      <c r="K78" s="14">
        <v>1</v>
      </c>
      <c r="L78" s="14" t="s">
        <v>30972</v>
      </c>
      <c r="M78" s="14" t="s">
        <v>1610</v>
      </c>
      <c r="N78" s="14" t="s">
        <v>507</v>
      </c>
      <c r="O78" s="14" t="s">
        <v>30973</v>
      </c>
      <c r="P78" s="14" t="str">
        <f>HYPERLINK("https://dexscreener.com/solana/F8UsNiiUvqYhb93NmwmXA1vrVjPuWp52V9r3974tpump", "View")</f>
        <v>View</v>
      </c>
    </row>
    <row r="79" spans="1:16" x14ac:dyDescent="0.25">
      <c r="A79" s="16" t="s">
        <v>5732</v>
      </c>
      <c r="B79" s="17">
        <v>125107</v>
      </c>
      <c r="C79" s="17">
        <v>125107</v>
      </c>
      <c r="D79" s="17" t="s">
        <v>24480</v>
      </c>
      <c r="E79" s="17" t="s">
        <v>8306</v>
      </c>
      <c r="F79" s="17" t="s">
        <v>2890</v>
      </c>
      <c r="G79" s="20" t="s">
        <v>4026</v>
      </c>
      <c r="H79" s="20" t="s">
        <v>30974</v>
      </c>
      <c r="I79" s="17" t="s">
        <v>88</v>
      </c>
      <c r="J79" s="17">
        <v>1</v>
      </c>
      <c r="K79" s="17">
        <v>1</v>
      </c>
      <c r="L79" s="17" t="s">
        <v>30975</v>
      </c>
      <c r="M79" s="17" t="s">
        <v>1566</v>
      </c>
      <c r="N79" s="17" t="s">
        <v>30976</v>
      </c>
      <c r="O79" s="17" t="s">
        <v>30977</v>
      </c>
      <c r="P79" s="17" t="str">
        <f>HYPERLINK("https://dexscreener.com/solana/D8X1NTFDw3Z5M1Qzxxyae8sB7RCMeEjs1evpt8yMpump", "View")</f>
        <v>View</v>
      </c>
    </row>
    <row r="80" spans="1:16" x14ac:dyDescent="0.25">
      <c r="A80" s="13" t="s">
        <v>30978</v>
      </c>
      <c r="B80" s="14">
        <v>104222</v>
      </c>
      <c r="C80" s="14">
        <v>42752</v>
      </c>
      <c r="D80" s="14" t="s">
        <v>30979</v>
      </c>
      <c r="E80" s="14" t="s">
        <v>9553</v>
      </c>
      <c r="F80" s="14" t="s">
        <v>20640</v>
      </c>
      <c r="G80" s="20" t="s">
        <v>4649</v>
      </c>
      <c r="H80" s="20" t="s">
        <v>30980</v>
      </c>
      <c r="I80" s="14" t="s">
        <v>88</v>
      </c>
      <c r="J80" s="14">
        <v>2</v>
      </c>
      <c r="K80" s="14">
        <v>1</v>
      </c>
      <c r="L80" s="14" t="s">
        <v>30981</v>
      </c>
      <c r="M80" s="14" t="s">
        <v>1526</v>
      </c>
      <c r="N80" s="14" t="s">
        <v>507</v>
      </c>
      <c r="O80" s="14" t="s">
        <v>30982</v>
      </c>
      <c r="P80" s="14" t="str">
        <f>HYPERLINK("https://dexscreener.com/solana/GfbtxQ3SWydzjgcLPpVp3WLMEMd4Cv6KLKMfducNpump", "View")</f>
        <v>View</v>
      </c>
    </row>
    <row r="81" spans="1:16" x14ac:dyDescent="0.25">
      <c r="A81" s="16" t="s">
        <v>16623</v>
      </c>
      <c r="B81" s="17">
        <v>1323529</v>
      </c>
      <c r="C81" s="17">
        <v>1323529</v>
      </c>
      <c r="D81" s="17" t="s">
        <v>9569</v>
      </c>
      <c r="E81" s="17" t="s">
        <v>5058</v>
      </c>
      <c r="F81" s="17" t="s">
        <v>15901</v>
      </c>
      <c r="G81" s="15" t="s">
        <v>11890</v>
      </c>
      <c r="H81" s="15" t="s">
        <v>30983</v>
      </c>
      <c r="I81" s="17" t="s">
        <v>88</v>
      </c>
      <c r="J81" s="17">
        <v>1</v>
      </c>
      <c r="K81" s="17">
        <v>1</v>
      </c>
      <c r="L81" s="17" t="s">
        <v>30984</v>
      </c>
      <c r="M81" s="17" t="s">
        <v>132</v>
      </c>
      <c r="N81" s="17" t="s">
        <v>407</v>
      </c>
      <c r="O81" s="17" t="s">
        <v>30985</v>
      </c>
      <c r="P81" s="17" t="str">
        <f>HYPERLINK("https://photon-sol.tinyastro.io/en/lp/GTTXH1wGjqQY4srLiipVYYhD8ZkMdC1q1nfCGKJSpump?handle=676050794bc1b1657a56b", "View")</f>
        <v>View</v>
      </c>
    </row>
    <row r="82" spans="1:16" x14ac:dyDescent="0.25">
      <c r="A82" s="13" t="s">
        <v>25656</v>
      </c>
      <c r="B82" s="14">
        <v>19575111</v>
      </c>
      <c r="C82" s="14">
        <v>1400346</v>
      </c>
      <c r="D82" s="14" t="s">
        <v>25975</v>
      </c>
      <c r="E82" s="14" t="s">
        <v>17044</v>
      </c>
      <c r="F82" s="14" t="s">
        <v>13166</v>
      </c>
      <c r="G82" s="21" t="s">
        <v>8886</v>
      </c>
      <c r="H82" s="21" t="s">
        <v>30986</v>
      </c>
      <c r="I82" s="14" t="s">
        <v>88</v>
      </c>
      <c r="J82" s="14">
        <v>2</v>
      </c>
      <c r="K82" s="14">
        <v>3</v>
      </c>
      <c r="L82" s="14" t="s">
        <v>30987</v>
      </c>
      <c r="M82" s="14" t="s">
        <v>699</v>
      </c>
      <c r="N82" s="14" t="s">
        <v>30988</v>
      </c>
      <c r="O82" s="14" t="s">
        <v>30581</v>
      </c>
      <c r="P82" s="14" t="str">
        <f>HYPERLINK("https://dexscreener.com/solana/FKFSSSk6mPQQCSt4S71m5temXzE8K2sLby7WKWsypump", "View")</f>
        <v>View</v>
      </c>
    </row>
    <row r="83" spans="1:16" x14ac:dyDescent="0.25">
      <c r="A83" s="16" t="s">
        <v>30989</v>
      </c>
      <c r="B83" s="17">
        <v>17316313</v>
      </c>
      <c r="C83" s="17">
        <v>17316313</v>
      </c>
      <c r="D83" s="17" t="s">
        <v>30990</v>
      </c>
      <c r="E83" s="17" t="s">
        <v>6576</v>
      </c>
      <c r="F83" s="17" t="s">
        <v>3985</v>
      </c>
      <c r="G83" s="20" t="s">
        <v>30991</v>
      </c>
      <c r="H83" s="20" t="s">
        <v>30992</v>
      </c>
      <c r="I83" s="17" t="s">
        <v>88</v>
      </c>
      <c r="J83" s="17">
        <v>1</v>
      </c>
      <c r="K83" s="17">
        <v>1</v>
      </c>
      <c r="L83" s="17" t="s">
        <v>30993</v>
      </c>
      <c r="M83" s="17" t="s">
        <v>680</v>
      </c>
      <c r="N83" s="17" t="s">
        <v>1980</v>
      </c>
      <c r="O83" s="17" t="s">
        <v>30994</v>
      </c>
      <c r="P83" s="17" t="str">
        <f>HYPERLINK("https://photon-sol.tinyastro.io/en/lp/7Q7aN2rT3jaBxbxMvbuyBeMowGyRzHSrskX8mXQHpump?handle=676050794bc1b1657a56b", "View")</f>
        <v>View</v>
      </c>
    </row>
    <row r="84" spans="1:16" x14ac:dyDescent="0.25">
      <c r="A84" s="13" t="s">
        <v>30995</v>
      </c>
      <c r="B84" s="14">
        <v>21644969</v>
      </c>
      <c r="C84" s="14">
        <v>21644969</v>
      </c>
      <c r="D84" s="14" t="s">
        <v>30990</v>
      </c>
      <c r="E84" s="14" t="s">
        <v>2546</v>
      </c>
      <c r="F84" s="14" t="s">
        <v>9710</v>
      </c>
      <c r="G84" s="20" t="s">
        <v>4755</v>
      </c>
      <c r="H84" s="20" t="s">
        <v>30996</v>
      </c>
      <c r="I84" s="14" t="s">
        <v>88</v>
      </c>
      <c r="J84" s="14">
        <v>1</v>
      </c>
      <c r="K84" s="14">
        <v>1</v>
      </c>
      <c r="L84" s="14" t="s">
        <v>30997</v>
      </c>
      <c r="M84" s="19" t="s">
        <v>3000</v>
      </c>
      <c r="N84" s="14" t="s">
        <v>1980</v>
      </c>
      <c r="O84" s="14" t="s">
        <v>30998</v>
      </c>
      <c r="P84" s="14" t="str">
        <f>HYPERLINK("https://photon-sol.tinyastro.io/en/lp/7XpdFjAmP4pHPVjzPTv4gyuAnBwpegUAboNTbNXDpump?handle=676050794bc1b1657a56b", "View")</f>
        <v>View</v>
      </c>
    </row>
    <row r="85" spans="1:16" x14ac:dyDescent="0.25">
      <c r="A85" s="16" t="s">
        <v>30999</v>
      </c>
      <c r="B85" s="17">
        <v>18091530</v>
      </c>
      <c r="C85" s="17">
        <v>18091530</v>
      </c>
      <c r="D85" s="17" t="s">
        <v>30990</v>
      </c>
      <c r="E85" s="17" t="s">
        <v>1936</v>
      </c>
      <c r="F85" s="17" t="s">
        <v>14268</v>
      </c>
      <c r="G85" s="22" t="s">
        <v>31000</v>
      </c>
      <c r="H85" s="22" t="s">
        <v>31001</v>
      </c>
      <c r="I85" s="17" t="s">
        <v>88</v>
      </c>
      <c r="J85" s="17">
        <v>1</v>
      </c>
      <c r="K85" s="17">
        <v>1</v>
      </c>
      <c r="L85" s="17" t="s">
        <v>31002</v>
      </c>
      <c r="M85" s="19" t="s">
        <v>3000</v>
      </c>
      <c r="N85" s="17" t="s">
        <v>8940</v>
      </c>
      <c r="O85" s="17" t="s">
        <v>31003</v>
      </c>
      <c r="P85" s="17" t="str">
        <f>HYPERLINK("https://photon-sol.tinyastro.io/en/lp/5Tfzg24hkNajwJvPxUe5H1sBCWESg4RmRXzgLgiApump?handle=676050794bc1b1657a56b", "View")</f>
        <v>View</v>
      </c>
    </row>
    <row r="86" spans="1:16" x14ac:dyDescent="0.25">
      <c r="A86" s="13" t="s">
        <v>2049</v>
      </c>
      <c r="B86" s="14">
        <v>20477662</v>
      </c>
      <c r="C86" s="14">
        <v>20477662</v>
      </c>
      <c r="D86" s="14" t="s">
        <v>30990</v>
      </c>
      <c r="E86" s="14" t="s">
        <v>22352</v>
      </c>
      <c r="F86" s="14" t="s">
        <v>2990</v>
      </c>
      <c r="G86" s="21" t="s">
        <v>6281</v>
      </c>
      <c r="H86" s="21" t="s">
        <v>31004</v>
      </c>
      <c r="I86" s="14" t="s">
        <v>88</v>
      </c>
      <c r="J86" s="14">
        <v>1</v>
      </c>
      <c r="K86" s="14">
        <v>1</v>
      </c>
      <c r="L86" s="14" t="s">
        <v>31005</v>
      </c>
      <c r="M86" s="19" t="s">
        <v>2189</v>
      </c>
      <c r="N86" s="14" t="s">
        <v>8940</v>
      </c>
      <c r="O86" s="14" t="s">
        <v>31006</v>
      </c>
      <c r="P86" s="14" t="str">
        <f>HYPERLINK("https://photon-sol.tinyastro.io/en/lp/9KNr3u4YwNB6U7X4GEP3C9q9E5QHYhjQYhK9rxrJpump?handle=676050794bc1b1657a56b", "View")</f>
        <v>View</v>
      </c>
    </row>
    <row r="87" spans="1:16" x14ac:dyDescent="0.25">
      <c r="A87" s="16" t="s">
        <v>31007</v>
      </c>
      <c r="B87" s="17">
        <v>10523020</v>
      </c>
      <c r="C87" s="17">
        <v>10523020</v>
      </c>
      <c r="D87" s="17" t="s">
        <v>21852</v>
      </c>
      <c r="E87" s="17" t="s">
        <v>3140</v>
      </c>
      <c r="F87" s="17" t="s">
        <v>31008</v>
      </c>
      <c r="G87" s="21" t="s">
        <v>28073</v>
      </c>
      <c r="H87" s="21" t="s">
        <v>31009</v>
      </c>
      <c r="I87" s="17" t="s">
        <v>88</v>
      </c>
      <c r="J87" s="17">
        <v>1</v>
      </c>
      <c r="K87" s="17">
        <v>2</v>
      </c>
      <c r="L87" s="17" t="s">
        <v>31010</v>
      </c>
      <c r="M87" s="17" t="s">
        <v>7248</v>
      </c>
      <c r="N87" s="17" t="s">
        <v>5234</v>
      </c>
      <c r="O87" s="17" t="s">
        <v>31011</v>
      </c>
      <c r="P87" s="17" t="str">
        <f>HYPERLINK("https://photon-sol.tinyastro.io/en/lp/35kC7amaXnDSbr6ufdaJMZAQ8Z1ejUGnNTegCUXUpump?handle=676050794bc1b1657a56b", "View")</f>
        <v>View</v>
      </c>
    </row>
    <row r="88" spans="1:16" x14ac:dyDescent="0.25">
      <c r="A88" s="13" t="s">
        <v>29178</v>
      </c>
      <c r="B88" s="14">
        <v>837477</v>
      </c>
      <c r="C88" s="14">
        <v>837477</v>
      </c>
      <c r="D88" s="14" t="s">
        <v>10387</v>
      </c>
      <c r="E88" s="14" t="s">
        <v>2580</v>
      </c>
      <c r="F88" s="14" t="s">
        <v>3859</v>
      </c>
      <c r="G88" s="20" t="s">
        <v>13016</v>
      </c>
      <c r="H88" s="20" t="s">
        <v>31012</v>
      </c>
      <c r="I88" s="14" t="s">
        <v>88</v>
      </c>
      <c r="J88" s="14">
        <v>1</v>
      </c>
      <c r="K88" s="14">
        <v>1</v>
      </c>
      <c r="L88" s="14" t="s">
        <v>31013</v>
      </c>
      <c r="M88" s="14" t="s">
        <v>1434</v>
      </c>
      <c r="N88" s="14" t="s">
        <v>31014</v>
      </c>
      <c r="O88" s="14" t="s">
        <v>29182</v>
      </c>
      <c r="P88" s="14" t="str">
        <f>HYPERLINK("https://photon-sol.tinyastro.io/en/lp/HS7Q3wFt22uaWA1S2SQNd6ft1kQcxDvPuBMmPYqANGps?handle=676050794bc1b1657a56b", "View")</f>
        <v>View</v>
      </c>
    </row>
    <row r="89" spans="1:16" x14ac:dyDescent="0.25">
      <c r="A89" s="16" t="s">
        <v>31015</v>
      </c>
      <c r="B89" s="17">
        <v>2379309</v>
      </c>
      <c r="C89" s="17">
        <v>2379309</v>
      </c>
      <c r="D89" s="17" t="s">
        <v>883</v>
      </c>
      <c r="E89" s="17" t="s">
        <v>4380</v>
      </c>
      <c r="F89" s="17" t="s">
        <v>4673</v>
      </c>
      <c r="G89" s="20" t="s">
        <v>3611</v>
      </c>
      <c r="H89" s="20" t="s">
        <v>2515</v>
      </c>
      <c r="I89" s="17" t="s">
        <v>88</v>
      </c>
      <c r="J89" s="17">
        <v>1</v>
      </c>
      <c r="K89" s="17">
        <v>1</v>
      </c>
      <c r="L89" s="17" t="s">
        <v>31016</v>
      </c>
      <c r="M89" s="17" t="s">
        <v>1448</v>
      </c>
      <c r="N89" s="17" t="s">
        <v>21757</v>
      </c>
      <c r="O89" s="17" t="s">
        <v>31017</v>
      </c>
      <c r="P89" s="17" t="str">
        <f>HYPERLINK("https://photon-sol.tinyastro.io/en/lp/9eFX4AnnPg6qbjGA59MuJaHuzA4SYeFuAGWvNxyGpump?handle=676050794bc1b1657a56b", "View")</f>
        <v>View</v>
      </c>
    </row>
    <row r="90" spans="1:16" x14ac:dyDescent="0.25">
      <c r="A90" s="13" t="s">
        <v>31018</v>
      </c>
      <c r="B90" s="14">
        <v>247055</v>
      </c>
      <c r="C90" s="14">
        <v>247055</v>
      </c>
      <c r="D90" s="14" t="s">
        <v>883</v>
      </c>
      <c r="E90" s="14" t="s">
        <v>8306</v>
      </c>
      <c r="F90" s="14" t="s">
        <v>4706</v>
      </c>
      <c r="G90" s="15" t="s">
        <v>5614</v>
      </c>
      <c r="H90" s="15" t="s">
        <v>19582</v>
      </c>
      <c r="I90" s="14" t="s">
        <v>88</v>
      </c>
      <c r="J90" s="14">
        <v>1</v>
      </c>
      <c r="K90" s="14">
        <v>1</v>
      </c>
      <c r="L90" s="14" t="s">
        <v>31019</v>
      </c>
      <c r="M90" s="14" t="s">
        <v>1448</v>
      </c>
      <c r="N90" s="14" t="s">
        <v>31020</v>
      </c>
      <c r="O90" s="14" t="s">
        <v>31021</v>
      </c>
      <c r="P90" s="14" t="str">
        <f>HYPERLINK("https://dexscreener.com/solana/EjA41bio7uwV4sHa1FLSm5CMPv1Et3EZTavKW53dpump", "View")</f>
        <v>View</v>
      </c>
    </row>
    <row r="91" spans="1:16" x14ac:dyDescent="0.25">
      <c r="A91" s="16" t="s">
        <v>31022</v>
      </c>
      <c r="B91" s="17">
        <v>1471181</v>
      </c>
      <c r="C91" s="17">
        <v>1471181</v>
      </c>
      <c r="D91" s="17" t="s">
        <v>883</v>
      </c>
      <c r="E91" s="17" t="s">
        <v>8306</v>
      </c>
      <c r="F91" s="17" t="s">
        <v>14402</v>
      </c>
      <c r="G91" s="22" t="s">
        <v>2554</v>
      </c>
      <c r="H91" s="22" t="s">
        <v>31023</v>
      </c>
      <c r="I91" s="17" t="s">
        <v>88</v>
      </c>
      <c r="J91" s="17">
        <v>1</v>
      </c>
      <c r="K91" s="17">
        <v>1</v>
      </c>
      <c r="L91" s="17" t="s">
        <v>31024</v>
      </c>
      <c r="M91" s="17" t="s">
        <v>1434</v>
      </c>
      <c r="N91" s="17" t="s">
        <v>31025</v>
      </c>
      <c r="O91" s="17" t="s">
        <v>31026</v>
      </c>
      <c r="P91" s="17" t="str">
        <f>HYPERLINK("https://dexscreener.com/solana/4DcoUz2NPFW7x8Jmx7AA63P1bX3t1v9odz8WGTdRpump", "View")</f>
        <v>View</v>
      </c>
    </row>
    <row r="92" spans="1:16" x14ac:dyDescent="0.25">
      <c r="A92" s="13" t="s">
        <v>17651</v>
      </c>
      <c r="B92" s="14">
        <v>905041</v>
      </c>
      <c r="C92" s="14">
        <v>880039</v>
      </c>
      <c r="D92" s="14" t="s">
        <v>22592</v>
      </c>
      <c r="E92" s="14" t="s">
        <v>4205</v>
      </c>
      <c r="F92" s="14" t="s">
        <v>14377</v>
      </c>
      <c r="G92" s="21" t="s">
        <v>13404</v>
      </c>
      <c r="H92" s="21" t="s">
        <v>31027</v>
      </c>
      <c r="I92" s="14" t="s">
        <v>88</v>
      </c>
      <c r="J92" s="14">
        <v>2</v>
      </c>
      <c r="K92" s="14">
        <v>3</v>
      </c>
      <c r="L92" s="14" t="s">
        <v>31028</v>
      </c>
      <c r="M92" s="14" t="s">
        <v>2145</v>
      </c>
      <c r="N92" s="14" t="s">
        <v>31029</v>
      </c>
      <c r="O92" s="14" t="s">
        <v>17659</v>
      </c>
      <c r="P92" s="14" t="str">
        <f>HYPERLINK("https://dexscreener.com/solana/6vVfbQVRSXcfyQamPqCzcqmA86vCzb2d7B7gmDDqpump", "View")</f>
        <v>View</v>
      </c>
    </row>
    <row r="93" spans="1:16" x14ac:dyDescent="0.25">
      <c r="A93" s="16" t="s">
        <v>31030</v>
      </c>
      <c r="B93" s="17">
        <v>721235</v>
      </c>
      <c r="C93" s="17">
        <v>721235</v>
      </c>
      <c r="D93" s="17" t="s">
        <v>883</v>
      </c>
      <c r="E93" s="17" t="s">
        <v>4458</v>
      </c>
      <c r="F93" s="17" t="s">
        <v>2369</v>
      </c>
      <c r="G93" s="22" t="s">
        <v>6137</v>
      </c>
      <c r="H93" s="22" t="s">
        <v>31031</v>
      </c>
      <c r="I93" s="17" t="s">
        <v>88</v>
      </c>
      <c r="J93" s="17">
        <v>1</v>
      </c>
      <c r="K93" s="17">
        <v>1</v>
      </c>
      <c r="L93" s="17" t="s">
        <v>31032</v>
      </c>
      <c r="M93" s="17" t="s">
        <v>1957</v>
      </c>
      <c r="N93" s="17" t="s">
        <v>31033</v>
      </c>
      <c r="O93" s="17" t="s">
        <v>31034</v>
      </c>
      <c r="P93" s="17" t="str">
        <f>HYPERLINK("https://photon-sol.tinyastro.io/en/lp/4VDscJCtQNDTcRYrfvLPYyNroEQLVkKwg8yVszwspump?handle=676050794bc1b1657a56b", "View")</f>
        <v>View</v>
      </c>
    </row>
    <row r="94" spans="1:16" x14ac:dyDescent="0.25">
      <c r="A94" s="13" t="s">
        <v>5893</v>
      </c>
      <c r="B94" s="14">
        <v>1128690</v>
      </c>
      <c r="C94" s="14">
        <v>1028686</v>
      </c>
      <c r="D94" s="14" t="s">
        <v>7289</v>
      </c>
      <c r="E94" s="14" t="s">
        <v>2890</v>
      </c>
      <c r="F94" s="14" t="s">
        <v>31035</v>
      </c>
      <c r="G94" s="21" t="s">
        <v>8312</v>
      </c>
      <c r="H94" s="21" t="s">
        <v>31036</v>
      </c>
      <c r="I94" s="14" t="s">
        <v>88</v>
      </c>
      <c r="J94" s="14">
        <v>1</v>
      </c>
      <c r="K94" s="14">
        <v>6</v>
      </c>
      <c r="L94" s="14" t="s">
        <v>31037</v>
      </c>
      <c r="M94" s="14" t="s">
        <v>680</v>
      </c>
      <c r="N94" s="14" t="s">
        <v>31038</v>
      </c>
      <c r="O94" s="14" t="s">
        <v>31039</v>
      </c>
      <c r="P94" s="14" t="str">
        <f>HYPERLINK("https://photon-sol.tinyastro.io/en/lp/6dDdaqnP5CYD3rNRRu2yq7guDh2WXJth5pgaXzX1pump?handle=676050794bc1b1657a56b", "View")</f>
        <v>View</v>
      </c>
    </row>
    <row r="95" spans="1:16" x14ac:dyDescent="0.25">
      <c r="A95" s="16" t="s">
        <v>21145</v>
      </c>
      <c r="B95" s="17">
        <v>14316190</v>
      </c>
      <c r="C95" s="17">
        <v>14316190</v>
      </c>
      <c r="D95" s="17" t="s">
        <v>883</v>
      </c>
      <c r="E95" s="17" t="s">
        <v>25030</v>
      </c>
      <c r="F95" s="17" t="s">
        <v>12903</v>
      </c>
      <c r="G95" s="21" t="s">
        <v>2669</v>
      </c>
      <c r="H95" s="21" t="s">
        <v>11499</v>
      </c>
      <c r="I95" s="17" t="s">
        <v>88</v>
      </c>
      <c r="J95" s="17">
        <v>1</v>
      </c>
      <c r="K95" s="17">
        <v>1</v>
      </c>
      <c r="L95" s="17" t="s">
        <v>31040</v>
      </c>
      <c r="M95" s="19" t="s">
        <v>3158</v>
      </c>
      <c r="N95" s="17" t="s">
        <v>31041</v>
      </c>
      <c r="O95" s="17" t="s">
        <v>31042</v>
      </c>
      <c r="P95" s="17" t="str">
        <f>HYPERLINK("https://photon-sol.tinyastro.io/en/lp/5LH1SZSnVuNAfvZ639w7zZRLCcco2mRUfRMjhnd7pump?handle=676050794bc1b1657a56b", "View")</f>
        <v>View</v>
      </c>
    </row>
    <row r="96" spans="1:16" x14ac:dyDescent="0.25">
      <c r="A96" s="13" t="s">
        <v>31043</v>
      </c>
      <c r="B96" s="14">
        <v>5241760</v>
      </c>
      <c r="C96" s="14">
        <v>5241760</v>
      </c>
      <c r="D96" s="14" t="s">
        <v>883</v>
      </c>
      <c r="E96" s="14" t="s">
        <v>29436</v>
      </c>
      <c r="F96" s="14" t="s">
        <v>31044</v>
      </c>
      <c r="G96" s="15" t="s">
        <v>3374</v>
      </c>
      <c r="H96" s="15" t="s">
        <v>31045</v>
      </c>
      <c r="I96" s="14" t="s">
        <v>88</v>
      </c>
      <c r="J96" s="14">
        <v>1</v>
      </c>
      <c r="K96" s="14">
        <v>1</v>
      </c>
      <c r="L96" s="14" t="s">
        <v>31046</v>
      </c>
      <c r="M96" s="14" t="s">
        <v>1434</v>
      </c>
      <c r="N96" s="14" t="s">
        <v>31047</v>
      </c>
      <c r="O96" s="14" t="s">
        <v>31048</v>
      </c>
      <c r="P96" s="14" t="str">
        <f>HYPERLINK("https://photon-sol.tinyastro.io/en/lp/34qnU5uGXEBVnWyhkKAXFBR2mwyQ2Ygz6kH9RvC9pump?handle=676050794bc1b1657a56b", "View")</f>
        <v>View</v>
      </c>
    </row>
    <row r="97" spans="1:16" x14ac:dyDescent="0.25">
      <c r="A97" s="16" t="s">
        <v>26065</v>
      </c>
      <c r="B97" s="17">
        <v>38664</v>
      </c>
      <c r="C97" s="17">
        <v>38664</v>
      </c>
      <c r="D97" s="17" t="s">
        <v>883</v>
      </c>
      <c r="E97" s="17" t="s">
        <v>8306</v>
      </c>
      <c r="F97" s="17" t="s">
        <v>3972</v>
      </c>
      <c r="G97" s="15" t="s">
        <v>2289</v>
      </c>
      <c r="H97" s="15" t="s">
        <v>31049</v>
      </c>
      <c r="I97" s="17" t="s">
        <v>88</v>
      </c>
      <c r="J97" s="17">
        <v>1</v>
      </c>
      <c r="K97" s="17">
        <v>1</v>
      </c>
      <c r="L97" s="17" t="s">
        <v>31050</v>
      </c>
      <c r="M97" s="17" t="s">
        <v>398</v>
      </c>
      <c r="N97" s="17" t="s">
        <v>507</v>
      </c>
      <c r="O97" s="17" t="s">
        <v>31051</v>
      </c>
      <c r="P97" s="17" t="str">
        <f>HYPERLINK("https://dexscreener.com/solana/BBhmss7WDYaBud8PWyVAL2hEpgfLmxRczsRPNaNHpump", "View")</f>
        <v>View</v>
      </c>
    </row>
    <row r="98" spans="1:16" x14ac:dyDescent="0.25">
      <c r="A98" s="13" t="s">
        <v>25656</v>
      </c>
      <c r="B98" s="14">
        <v>39022860</v>
      </c>
      <c r="C98" s="14">
        <v>39022860</v>
      </c>
      <c r="D98" s="14" t="s">
        <v>31052</v>
      </c>
      <c r="E98" s="14" t="s">
        <v>31053</v>
      </c>
      <c r="F98" s="14" t="s">
        <v>31054</v>
      </c>
      <c r="G98" s="21" t="s">
        <v>31055</v>
      </c>
      <c r="H98" s="21" t="s">
        <v>31056</v>
      </c>
      <c r="I98" s="14" t="s">
        <v>88</v>
      </c>
      <c r="J98" s="14">
        <v>1</v>
      </c>
      <c r="K98" s="14">
        <v>8</v>
      </c>
      <c r="L98" s="14" t="s">
        <v>31057</v>
      </c>
      <c r="M98" s="14" t="s">
        <v>2984</v>
      </c>
      <c r="N98" s="14" t="s">
        <v>31058</v>
      </c>
      <c r="O98" s="14" t="s">
        <v>25660</v>
      </c>
      <c r="P98" s="14" t="str">
        <f>HYPERLINK("https://photon-sol.tinyastro.io/en/lp/Awif5iQnv1J2x6RHJrh3cNyaH2ghu47DsJfRgFwSpump?handle=676050794bc1b1657a56b", "View")</f>
        <v>View</v>
      </c>
    </row>
    <row r="99" spans="1:16" x14ac:dyDescent="0.25">
      <c r="A99" s="16" t="s">
        <v>31059</v>
      </c>
      <c r="B99" s="17">
        <v>1359077</v>
      </c>
      <c r="C99" s="17">
        <v>1359077</v>
      </c>
      <c r="D99" s="17" t="s">
        <v>883</v>
      </c>
      <c r="E99" s="17" t="s">
        <v>8306</v>
      </c>
      <c r="F99" s="17" t="s">
        <v>5573</v>
      </c>
      <c r="G99" s="21" t="s">
        <v>14402</v>
      </c>
      <c r="H99" s="21" t="s">
        <v>31060</v>
      </c>
      <c r="I99" s="17" t="s">
        <v>88</v>
      </c>
      <c r="J99" s="17">
        <v>1</v>
      </c>
      <c r="K99" s="17">
        <v>1</v>
      </c>
      <c r="L99" s="17" t="s">
        <v>31061</v>
      </c>
      <c r="M99" s="17" t="s">
        <v>287</v>
      </c>
      <c r="N99" s="17" t="s">
        <v>31062</v>
      </c>
      <c r="O99" s="17" t="s">
        <v>31063</v>
      </c>
      <c r="P99" s="17" t="str">
        <f>HYPERLINK("https://dexscreener.com/solana/CZsStABB8aZKiDRyMf6hLpQFxzXpjRuJBhHMFVrBVoo3", "View")</f>
        <v>View</v>
      </c>
    </row>
    <row r="100" spans="1:16" x14ac:dyDescent="0.25">
      <c r="A100" s="13" t="s">
        <v>8249</v>
      </c>
      <c r="B100" s="14">
        <v>745037</v>
      </c>
      <c r="C100" s="14">
        <v>745037</v>
      </c>
      <c r="D100" s="14" t="s">
        <v>883</v>
      </c>
      <c r="E100" s="14" t="s">
        <v>4919</v>
      </c>
      <c r="F100" s="14" t="s">
        <v>5132</v>
      </c>
      <c r="G100" s="20" t="s">
        <v>6009</v>
      </c>
      <c r="H100" s="20" t="s">
        <v>6010</v>
      </c>
      <c r="I100" s="14" t="s">
        <v>88</v>
      </c>
      <c r="J100" s="14">
        <v>1</v>
      </c>
      <c r="K100" s="14">
        <v>1</v>
      </c>
      <c r="L100" s="14" t="s">
        <v>31064</v>
      </c>
      <c r="M100" s="14" t="s">
        <v>2047</v>
      </c>
      <c r="N100" s="14" t="s">
        <v>31065</v>
      </c>
      <c r="O100" s="14" t="s">
        <v>8256</v>
      </c>
      <c r="P100" s="14" t="str">
        <f>HYPERLINK("https://photon-sol.tinyastro.io/en/lp/5j2sn474JVJh2Emy2oUQGsaQQaBD2SVSt9GuQ69Jpump?handle=676050794bc1b1657a56b", "View")</f>
        <v>View</v>
      </c>
    </row>
    <row r="101" spans="1:16" x14ac:dyDescent="0.25">
      <c r="A101" s="16" t="s">
        <v>31066</v>
      </c>
      <c r="B101" s="17">
        <v>10808656</v>
      </c>
      <c r="C101" s="17">
        <v>10808656</v>
      </c>
      <c r="D101" s="17" t="s">
        <v>883</v>
      </c>
      <c r="E101" s="17" t="s">
        <v>24265</v>
      </c>
      <c r="F101" s="17" t="s">
        <v>11645</v>
      </c>
      <c r="G101" s="15" t="s">
        <v>31067</v>
      </c>
      <c r="H101" s="15" t="s">
        <v>31068</v>
      </c>
      <c r="I101" s="17" t="s">
        <v>88</v>
      </c>
      <c r="J101" s="17">
        <v>1</v>
      </c>
      <c r="K101" s="17">
        <v>1</v>
      </c>
      <c r="L101" s="17" t="s">
        <v>31069</v>
      </c>
      <c r="M101" s="17" t="s">
        <v>937</v>
      </c>
      <c r="N101" s="17" t="s">
        <v>15106</v>
      </c>
      <c r="O101" s="17" t="s">
        <v>31070</v>
      </c>
      <c r="P101" s="17" t="str">
        <f>HYPERLINK("https://photon-sol.tinyastro.io/en/lp/6gsh5Y7XcvKmRZYjT3tCKZwcwZrN3CfduPsqZft1pump?handle=676050794bc1b1657a56b", "View")</f>
        <v>View</v>
      </c>
    </row>
    <row r="102" spans="1:16" x14ac:dyDescent="0.25">
      <c r="A102" s="13" t="s">
        <v>31071</v>
      </c>
      <c r="B102" s="14">
        <v>105940</v>
      </c>
      <c r="C102" s="14">
        <v>0</v>
      </c>
      <c r="D102" s="14" t="s">
        <v>7100</v>
      </c>
      <c r="E102" s="14" t="s">
        <v>2554</v>
      </c>
      <c r="F102" s="14" t="s">
        <v>96</v>
      </c>
      <c r="G102" s="18" t="s">
        <v>4032</v>
      </c>
      <c r="H102" s="18" t="s">
        <v>98</v>
      </c>
      <c r="I102" s="14" t="s">
        <v>31072</v>
      </c>
      <c r="J102" s="14">
        <v>1</v>
      </c>
      <c r="K102" s="14">
        <v>0</v>
      </c>
      <c r="L102" s="14" t="s">
        <v>31073</v>
      </c>
      <c r="M102" s="19" t="s">
        <v>101</v>
      </c>
      <c r="N102" s="14" t="s">
        <v>31074</v>
      </c>
      <c r="O102" s="14" t="s">
        <v>31075</v>
      </c>
      <c r="P102" s="14" t="str">
        <f>HYPERLINK("https://dexscreener.com/solana/GBeRbFsD9trCxcXZR9SKPUDF7CV6CNM1ahoVcn44pump", "View")</f>
        <v>View</v>
      </c>
    </row>
    <row r="103" spans="1:16" x14ac:dyDescent="0.25">
      <c r="A103" s="16" t="s">
        <v>31076</v>
      </c>
      <c r="B103" s="17">
        <v>9346021</v>
      </c>
      <c r="C103" s="17">
        <v>9346021</v>
      </c>
      <c r="D103" s="17" t="s">
        <v>883</v>
      </c>
      <c r="E103" s="17" t="s">
        <v>8829</v>
      </c>
      <c r="F103" s="17" t="s">
        <v>19689</v>
      </c>
      <c r="G103" s="22" t="s">
        <v>3951</v>
      </c>
      <c r="H103" s="22" t="s">
        <v>31077</v>
      </c>
      <c r="I103" s="17" t="s">
        <v>88</v>
      </c>
      <c r="J103" s="17">
        <v>1</v>
      </c>
      <c r="K103" s="17">
        <v>1</v>
      </c>
      <c r="L103" s="17" t="s">
        <v>31078</v>
      </c>
      <c r="M103" s="19" t="s">
        <v>3158</v>
      </c>
      <c r="N103" s="17" t="s">
        <v>31079</v>
      </c>
      <c r="O103" s="17" t="s">
        <v>31080</v>
      </c>
      <c r="P103" s="17" t="str">
        <f>HYPERLINK("https://photon-sol.tinyastro.io/en/lp/rrBcrhQznDEk3RwRQV88wymvDEkW5uJJeAbFyj8pump?handle=676050794bc1b1657a56b", "View")</f>
        <v>View</v>
      </c>
    </row>
    <row r="104" spans="1:16" x14ac:dyDescent="0.25">
      <c r="A104" s="13" t="s">
        <v>31081</v>
      </c>
      <c r="B104" s="14">
        <v>2345383</v>
      </c>
      <c r="C104" s="14">
        <v>2345383</v>
      </c>
      <c r="D104" s="14" t="s">
        <v>9569</v>
      </c>
      <c r="E104" s="14" t="s">
        <v>3820</v>
      </c>
      <c r="F104" s="14" t="s">
        <v>31082</v>
      </c>
      <c r="G104" s="21" t="s">
        <v>6227</v>
      </c>
      <c r="H104" s="21" t="s">
        <v>31083</v>
      </c>
      <c r="I104" s="14" t="s">
        <v>88</v>
      </c>
      <c r="J104" s="14">
        <v>1</v>
      </c>
      <c r="K104" s="14">
        <v>1</v>
      </c>
      <c r="L104" s="14" t="s">
        <v>31084</v>
      </c>
      <c r="M104" s="14" t="s">
        <v>6235</v>
      </c>
      <c r="N104" s="14" t="s">
        <v>31085</v>
      </c>
      <c r="O104" s="14" t="s">
        <v>31086</v>
      </c>
      <c r="P104" s="14" t="str">
        <f>HYPERLINK("https://photon-sol.tinyastro.io/en/lp/EkGnsyMyBwYUqvur5NVrSjaFmuMRKJY7k1VAYEivpump?handle=676050794bc1b1657a56b", "View")</f>
        <v>View</v>
      </c>
    </row>
    <row r="105" spans="1:16" x14ac:dyDescent="0.25">
      <c r="A105" s="16" t="s">
        <v>18775</v>
      </c>
      <c r="B105" s="17">
        <v>661540</v>
      </c>
      <c r="C105" s="17">
        <v>507327</v>
      </c>
      <c r="D105" s="17" t="s">
        <v>913</v>
      </c>
      <c r="E105" s="17" t="s">
        <v>5459</v>
      </c>
      <c r="F105" s="17" t="s">
        <v>11383</v>
      </c>
      <c r="G105" s="20" t="s">
        <v>7875</v>
      </c>
      <c r="H105" s="20" t="s">
        <v>31087</v>
      </c>
      <c r="I105" s="17" t="s">
        <v>88</v>
      </c>
      <c r="J105" s="17">
        <v>2</v>
      </c>
      <c r="K105" s="17">
        <v>1</v>
      </c>
      <c r="L105" s="17" t="s">
        <v>31088</v>
      </c>
      <c r="M105" s="17" t="s">
        <v>5702</v>
      </c>
      <c r="N105" s="17" t="s">
        <v>31089</v>
      </c>
      <c r="O105" s="17" t="s">
        <v>18779</v>
      </c>
      <c r="P105" s="17" t="str">
        <f>HYPERLINK("https://dexscreener.com/solana/6j7Nz72bD6PQKLVTQ4wKH1cweQHoPvsYR7qh2capump", "View")</f>
        <v>View</v>
      </c>
    </row>
    <row r="106" spans="1:16" x14ac:dyDescent="0.25">
      <c r="A106" s="13" t="s">
        <v>31090</v>
      </c>
      <c r="B106" s="14">
        <v>12392675</v>
      </c>
      <c r="C106" s="14">
        <v>12392675</v>
      </c>
      <c r="D106" s="14" t="s">
        <v>883</v>
      </c>
      <c r="E106" s="14" t="s">
        <v>31091</v>
      </c>
      <c r="F106" s="14" t="s">
        <v>31092</v>
      </c>
      <c r="G106" s="22" t="s">
        <v>7742</v>
      </c>
      <c r="H106" s="22" t="s">
        <v>31093</v>
      </c>
      <c r="I106" s="14" t="s">
        <v>88</v>
      </c>
      <c r="J106" s="14">
        <v>1</v>
      </c>
      <c r="K106" s="14">
        <v>1</v>
      </c>
      <c r="L106" s="14" t="s">
        <v>31094</v>
      </c>
      <c r="M106" s="19" t="s">
        <v>370</v>
      </c>
      <c r="N106" s="14" t="s">
        <v>507</v>
      </c>
      <c r="O106" s="14" t="s">
        <v>31095</v>
      </c>
      <c r="P106" s="14" t="str">
        <f>HYPERLINK("https://photon-sol.tinyastro.io/en/lp/9drSqmcaPiR9nzfaA23XxozW7HJJidCDmWGVZ1Qqpump?handle=676050794bc1b1657a56b", "View")</f>
        <v>View</v>
      </c>
    </row>
    <row r="107" spans="1:16" x14ac:dyDescent="0.25">
      <c r="A107" s="16" t="s">
        <v>31096</v>
      </c>
      <c r="B107" s="17">
        <v>14356624</v>
      </c>
      <c r="C107" s="17">
        <v>14356624</v>
      </c>
      <c r="D107" s="17" t="s">
        <v>4379</v>
      </c>
      <c r="E107" s="17" t="s">
        <v>3945</v>
      </c>
      <c r="F107" s="17" t="s">
        <v>7631</v>
      </c>
      <c r="G107" s="21" t="s">
        <v>13827</v>
      </c>
      <c r="H107" s="21" t="s">
        <v>31097</v>
      </c>
      <c r="I107" s="17" t="s">
        <v>88</v>
      </c>
      <c r="J107" s="17">
        <v>1</v>
      </c>
      <c r="K107" s="17">
        <v>1</v>
      </c>
      <c r="L107" s="17" t="s">
        <v>31098</v>
      </c>
      <c r="M107" s="19" t="s">
        <v>1940</v>
      </c>
      <c r="N107" s="17" t="s">
        <v>507</v>
      </c>
      <c r="O107" s="17" t="s">
        <v>31099</v>
      </c>
      <c r="P107" s="17" t="str">
        <f>HYPERLINK("https://photon-sol.tinyastro.io/en/lp/DzLjh4aHDifnyKNLpS6pFVaawTV2St3Ji9XDH7Gfpump?handle=676050794bc1b1657a56b", "View")</f>
        <v>View</v>
      </c>
    </row>
    <row r="108" spans="1:16" x14ac:dyDescent="0.25">
      <c r="A108" s="13" t="s">
        <v>31100</v>
      </c>
      <c r="B108" s="14">
        <v>7243364</v>
      </c>
      <c r="C108" s="14">
        <v>7243364</v>
      </c>
      <c r="D108" s="14" t="s">
        <v>883</v>
      </c>
      <c r="E108" s="14" t="s">
        <v>9721</v>
      </c>
      <c r="F108" s="14" t="s">
        <v>31101</v>
      </c>
      <c r="G108" s="22" t="s">
        <v>5346</v>
      </c>
      <c r="H108" s="22" t="s">
        <v>31102</v>
      </c>
      <c r="I108" s="14" t="s">
        <v>88</v>
      </c>
      <c r="J108" s="14">
        <v>1</v>
      </c>
      <c r="K108" s="14">
        <v>1</v>
      </c>
      <c r="L108" s="14" t="s">
        <v>31103</v>
      </c>
      <c r="M108" s="19" t="s">
        <v>1760</v>
      </c>
      <c r="N108" s="14" t="s">
        <v>507</v>
      </c>
      <c r="O108" s="14" t="s">
        <v>31104</v>
      </c>
      <c r="P108" s="14" t="str">
        <f>HYPERLINK("https://photon-sol.tinyastro.io/en/lp/6R2JgYeKsFx4awnGJxQd2w3sx33SuSJ6mqZrZWPUpump?handle=676050794bc1b1657a56b", "View")</f>
        <v>View</v>
      </c>
    </row>
    <row r="109" spans="1:16" x14ac:dyDescent="0.25">
      <c r="A109" s="16" t="s">
        <v>31105</v>
      </c>
      <c r="B109" s="17">
        <v>8563356</v>
      </c>
      <c r="C109" s="17">
        <v>8563356</v>
      </c>
      <c r="D109" s="17" t="s">
        <v>4379</v>
      </c>
      <c r="E109" s="17" t="s">
        <v>10587</v>
      </c>
      <c r="F109" s="17" t="s">
        <v>12462</v>
      </c>
      <c r="G109" s="22" t="s">
        <v>2699</v>
      </c>
      <c r="H109" s="22" t="s">
        <v>31106</v>
      </c>
      <c r="I109" s="17" t="s">
        <v>88</v>
      </c>
      <c r="J109" s="17">
        <v>1</v>
      </c>
      <c r="K109" s="17">
        <v>1</v>
      </c>
      <c r="L109" s="17" t="s">
        <v>31107</v>
      </c>
      <c r="M109" s="19" t="s">
        <v>2509</v>
      </c>
      <c r="N109" s="17" t="s">
        <v>507</v>
      </c>
      <c r="O109" s="17" t="s">
        <v>31108</v>
      </c>
      <c r="P109" s="17" t="str">
        <f>HYPERLINK("https://photon-sol.tinyastro.io/en/lp/5gjdeLq969dLyeqvv7xw7bae6gPyM2WMwi5Pnm94pump?handle=676050794bc1b1657a56b", "View")</f>
        <v>View</v>
      </c>
    </row>
    <row r="110" spans="1:16" x14ac:dyDescent="0.25">
      <c r="A110" s="13" t="s">
        <v>31109</v>
      </c>
      <c r="B110" s="14">
        <v>44</v>
      </c>
      <c r="C110" s="14">
        <v>44</v>
      </c>
      <c r="D110" s="14" t="s">
        <v>31110</v>
      </c>
      <c r="E110" s="14" t="s">
        <v>4679</v>
      </c>
      <c r="F110" s="14" t="s">
        <v>5006</v>
      </c>
      <c r="G110" s="15" t="s">
        <v>7315</v>
      </c>
      <c r="H110" s="15" t="s">
        <v>31111</v>
      </c>
      <c r="I110" s="14" t="s">
        <v>88</v>
      </c>
      <c r="J110" s="14">
        <v>1</v>
      </c>
      <c r="K110" s="14">
        <v>1</v>
      </c>
      <c r="L110" s="14" t="s">
        <v>31112</v>
      </c>
      <c r="M110" s="14" t="s">
        <v>1434</v>
      </c>
      <c r="N110" s="14" t="s">
        <v>507</v>
      </c>
      <c r="O110" s="14" t="s">
        <v>31113</v>
      </c>
      <c r="P110" s="14" t="str">
        <f>HYPERLINK("https://dexscreener.com/solana/Ga6VkyPxLJdKdyofHJh5NegCzuE4QE6rEARrBYwKbzCv", "View")</f>
        <v>View</v>
      </c>
    </row>
    <row r="111" spans="1:16" x14ac:dyDescent="0.25">
      <c r="A111" s="16" t="s">
        <v>666</v>
      </c>
      <c r="B111" s="17">
        <v>366360</v>
      </c>
      <c r="C111" s="17">
        <v>340851</v>
      </c>
      <c r="D111" s="17" t="s">
        <v>31114</v>
      </c>
      <c r="E111" s="17" t="s">
        <v>4665</v>
      </c>
      <c r="F111" s="17" t="s">
        <v>31115</v>
      </c>
      <c r="G111" s="21" t="s">
        <v>20302</v>
      </c>
      <c r="H111" s="21" t="s">
        <v>31116</v>
      </c>
      <c r="I111" s="17" t="s">
        <v>88</v>
      </c>
      <c r="J111" s="17">
        <v>1</v>
      </c>
      <c r="K111" s="17">
        <v>6</v>
      </c>
      <c r="L111" s="17" t="s">
        <v>31117</v>
      </c>
      <c r="M111" s="17" t="s">
        <v>132</v>
      </c>
      <c r="N111" s="17" t="s">
        <v>31118</v>
      </c>
      <c r="O111" s="17" t="s">
        <v>674</v>
      </c>
      <c r="P111" s="17" t="str">
        <f>HYPERLINK("https://dexscreener.com/solana/BMpFQJXd7KBLJBp174fKCFcDxyrd1cTXaFvcudJLpump", "View")</f>
        <v>View</v>
      </c>
    </row>
    <row r="112" spans="1:16" x14ac:dyDescent="0.25">
      <c r="A112" s="13" t="s">
        <v>31119</v>
      </c>
      <c r="B112" s="14">
        <v>17967498</v>
      </c>
      <c r="C112" s="14">
        <v>17967498</v>
      </c>
      <c r="D112" s="14" t="s">
        <v>7061</v>
      </c>
      <c r="E112" s="14" t="s">
        <v>5459</v>
      </c>
      <c r="F112" s="14" t="s">
        <v>11761</v>
      </c>
      <c r="G112" s="22" t="s">
        <v>5065</v>
      </c>
      <c r="H112" s="22" t="s">
        <v>31120</v>
      </c>
      <c r="I112" s="14" t="s">
        <v>88</v>
      </c>
      <c r="J112" s="14">
        <v>1</v>
      </c>
      <c r="K112" s="14">
        <v>2</v>
      </c>
      <c r="L112" s="14" t="s">
        <v>31121</v>
      </c>
      <c r="M112" s="14" t="s">
        <v>7248</v>
      </c>
      <c r="N112" s="14" t="s">
        <v>507</v>
      </c>
      <c r="O112" s="14" t="s">
        <v>31122</v>
      </c>
      <c r="P112" s="14" t="str">
        <f>HYPERLINK("https://dexscreener.com/solana/7UPqY8cm9XEt9uYTF523RSvUQREpWG5DuBVoc5jiBgV8", "View")</f>
        <v>View</v>
      </c>
    </row>
    <row r="113" spans="1:16" x14ac:dyDescent="0.25">
      <c r="A113" s="16" t="s">
        <v>18783</v>
      </c>
      <c r="B113" s="17">
        <v>767283</v>
      </c>
      <c r="C113" s="17">
        <v>675384</v>
      </c>
      <c r="D113" s="17" t="s">
        <v>31123</v>
      </c>
      <c r="E113" s="17" t="s">
        <v>2341</v>
      </c>
      <c r="F113" s="17" t="s">
        <v>10636</v>
      </c>
      <c r="G113" s="20" t="s">
        <v>4962</v>
      </c>
      <c r="H113" s="20" t="s">
        <v>31124</v>
      </c>
      <c r="I113" s="17" t="s">
        <v>88</v>
      </c>
      <c r="J113" s="17">
        <v>2</v>
      </c>
      <c r="K113" s="17">
        <v>2</v>
      </c>
      <c r="L113" s="17" t="s">
        <v>31125</v>
      </c>
      <c r="M113" s="17" t="s">
        <v>231</v>
      </c>
      <c r="N113" s="17" t="s">
        <v>31126</v>
      </c>
      <c r="O113" s="17" t="s">
        <v>18787</v>
      </c>
      <c r="P113" s="17" t="str">
        <f>HYPERLINK("https://dexscreener.com/solana/2TYhhwG6zCYMue6QHmcxEHnt8tMhnyq8hbXNUbdrpump", "View")</f>
        <v>View</v>
      </c>
    </row>
    <row r="114" spans="1:16" x14ac:dyDescent="0.25">
      <c r="A114" s="13" t="s">
        <v>31127</v>
      </c>
      <c r="B114" s="14">
        <v>319244</v>
      </c>
      <c r="C114" s="14">
        <v>319244</v>
      </c>
      <c r="D114" s="14" t="s">
        <v>883</v>
      </c>
      <c r="E114" s="14" t="s">
        <v>5220</v>
      </c>
      <c r="F114" s="14" t="s">
        <v>4817</v>
      </c>
      <c r="G114" s="20" t="s">
        <v>9563</v>
      </c>
      <c r="H114" s="20" t="s">
        <v>31128</v>
      </c>
      <c r="I114" s="14" t="s">
        <v>88</v>
      </c>
      <c r="J114" s="14">
        <v>1</v>
      </c>
      <c r="K114" s="14">
        <v>1</v>
      </c>
      <c r="L114" s="14" t="s">
        <v>31129</v>
      </c>
      <c r="M114" s="14" t="s">
        <v>1957</v>
      </c>
      <c r="N114" s="14" t="s">
        <v>31130</v>
      </c>
      <c r="O114" s="14" t="s">
        <v>31131</v>
      </c>
      <c r="P114" s="14" t="str">
        <f>HYPERLINK("https://dexscreener.com/solana/46Fy12jQeqci7m7jy4CYuGbVhY1rea6mfxkD4gkMpump", "View")</f>
        <v>View</v>
      </c>
    </row>
    <row r="115" spans="1:16" x14ac:dyDescent="0.25">
      <c r="A115" s="16" t="s">
        <v>31132</v>
      </c>
      <c r="B115" s="17">
        <v>4951717</v>
      </c>
      <c r="C115" s="17">
        <v>4951717</v>
      </c>
      <c r="D115" s="17" t="s">
        <v>883</v>
      </c>
      <c r="E115" s="17" t="s">
        <v>4665</v>
      </c>
      <c r="F115" s="17" t="s">
        <v>20640</v>
      </c>
      <c r="G115" s="22" t="s">
        <v>6161</v>
      </c>
      <c r="H115" s="22" t="s">
        <v>31133</v>
      </c>
      <c r="I115" s="17" t="s">
        <v>88</v>
      </c>
      <c r="J115" s="17">
        <v>1</v>
      </c>
      <c r="K115" s="17">
        <v>1</v>
      </c>
      <c r="L115" s="17" t="s">
        <v>31134</v>
      </c>
      <c r="M115" s="17" t="s">
        <v>1705</v>
      </c>
      <c r="N115" s="17" t="s">
        <v>4634</v>
      </c>
      <c r="O115" s="17" t="s">
        <v>31135</v>
      </c>
      <c r="P115" s="17" t="str">
        <f>HYPERLINK("https://dexscreener.com/solana/BrAeCEvyNW1jSZxqKZD58MSTLzEWp8twSXAe7p8pA2GK", "View")</f>
        <v>View</v>
      </c>
    </row>
    <row r="116" spans="1:16" x14ac:dyDescent="0.25">
      <c r="A116" s="13" t="s">
        <v>31136</v>
      </c>
      <c r="B116" s="14">
        <v>1572211</v>
      </c>
      <c r="C116" s="14">
        <v>1572211</v>
      </c>
      <c r="D116" s="14" t="s">
        <v>1629</v>
      </c>
      <c r="E116" s="14" t="s">
        <v>5472</v>
      </c>
      <c r="F116" s="14" t="s">
        <v>16106</v>
      </c>
      <c r="G116" s="22" t="s">
        <v>1639</v>
      </c>
      <c r="H116" s="22" t="s">
        <v>31137</v>
      </c>
      <c r="I116" s="14" t="s">
        <v>88</v>
      </c>
      <c r="J116" s="14">
        <v>1</v>
      </c>
      <c r="K116" s="14">
        <v>2</v>
      </c>
      <c r="L116" s="14" t="s">
        <v>31138</v>
      </c>
      <c r="M116" s="14" t="s">
        <v>602</v>
      </c>
      <c r="N116" s="14" t="s">
        <v>31139</v>
      </c>
      <c r="O116" s="14" t="s">
        <v>31140</v>
      </c>
      <c r="P116" s="14" t="str">
        <f>HYPERLINK("https://photon-sol.tinyastro.io/en/lp/ARBwuAv4TFij4DCSbQAhZw2yRVDEDdAbjFZZAgwbpump?handle=676050794bc1b1657a56b", "View")</f>
        <v>View</v>
      </c>
    </row>
    <row r="117" spans="1:16" x14ac:dyDescent="0.25">
      <c r="A117" s="16" t="s">
        <v>31141</v>
      </c>
      <c r="B117" s="17">
        <v>8729126</v>
      </c>
      <c r="C117" s="17">
        <v>8352181</v>
      </c>
      <c r="D117" s="17" t="s">
        <v>27828</v>
      </c>
      <c r="E117" s="17" t="s">
        <v>28992</v>
      </c>
      <c r="F117" s="17" t="s">
        <v>31142</v>
      </c>
      <c r="G117" s="21" t="s">
        <v>6532</v>
      </c>
      <c r="H117" s="21" t="s">
        <v>31143</v>
      </c>
      <c r="I117" s="17" t="s">
        <v>88</v>
      </c>
      <c r="J117" s="17">
        <v>4</v>
      </c>
      <c r="K117" s="17">
        <v>7</v>
      </c>
      <c r="L117" s="17" t="s">
        <v>31144</v>
      </c>
      <c r="M117" s="17" t="s">
        <v>656</v>
      </c>
      <c r="N117" s="17" t="s">
        <v>31145</v>
      </c>
      <c r="O117" s="17" t="s">
        <v>31146</v>
      </c>
      <c r="P117" s="17" t="str">
        <f>HYPERLINK("https://photon-sol.tinyastro.io/en/lp/9uodGPRsn5K8CWcErxPBten4dM7ygAB2RTR1cUGNpump?handle=676050794bc1b1657a56b", "View")</f>
        <v>View</v>
      </c>
    </row>
    <row r="118" spans="1:16" x14ac:dyDescent="0.25">
      <c r="A118" s="13" t="s">
        <v>26103</v>
      </c>
      <c r="B118" s="14">
        <v>1400434</v>
      </c>
      <c r="C118" s="14">
        <v>1400434</v>
      </c>
      <c r="D118" s="14" t="s">
        <v>16345</v>
      </c>
      <c r="E118" s="14" t="s">
        <v>4679</v>
      </c>
      <c r="F118" s="14" t="s">
        <v>21315</v>
      </c>
      <c r="G118" s="21" t="s">
        <v>4048</v>
      </c>
      <c r="H118" s="21" t="s">
        <v>31147</v>
      </c>
      <c r="I118" s="14" t="s">
        <v>88</v>
      </c>
      <c r="J118" s="14">
        <v>1</v>
      </c>
      <c r="K118" s="14">
        <v>3</v>
      </c>
      <c r="L118" s="14" t="s">
        <v>31148</v>
      </c>
      <c r="M118" s="14" t="s">
        <v>699</v>
      </c>
      <c r="N118" s="14" t="s">
        <v>31149</v>
      </c>
      <c r="O118" s="14" t="s">
        <v>26107</v>
      </c>
      <c r="P118" s="14" t="str">
        <f>HYPERLINK("https://dexscreener.com/solana/EJ6r55VaTxKwaPTBWU6naLsUoSnBJ59Q3jZtE5wrpump", "View")</f>
        <v>View</v>
      </c>
    </row>
    <row r="119" spans="1:16" x14ac:dyDescent="0.25">
      <c r="A119" s="16" t="s">
        <v>31150</v>
      </c>
      <c r="B119" s="17">
        <v>6019864</v>
      </c>
      <c r="C119" s="17">
        <v>6019864</v>
      </c>
      <c r="D119" s="17" t="s">
        <v>31151</v>
      </c>
      <c r="E119" s="17" t="s">
        <v>28007</v>
      </c>
      <c r="F119" s="17" t="s">
        <v>2677</v>
      </c>
      <c r="G119" s="15" t="s">
        <v>27847</v>
      </c>
      <c r="H119" s="15" t="s">
        <v>31152</v>
      </c>
      <c r="I119" s="17" t="s">
        <v>88</v>
      </c>
      <c r="J119" s="17">
        <v>4</v>
      </c>
      <c r="K119" s="17">
        <v>1</v>
      </c>
      <c r="L119" s="17" t="s">
        <v>31153</v>
      </c>
      <c r="M119" s="17" t="s">
        <v>3180</v>
      </c>
      <c r="N119" s="17" t="s">
        <v>507</v>
      </c>
      <c r="O119" s="17" t="s">
        <v>31154</v>
      </c>
      <c r="P119" s="17" t="str">
        <f>HYPERLINK("https://photon-sol.tinyastro.io/en/lp/FV46teREK1opz2W8WSw4vzzjCQzCz22SR5bZZgHApump?handle=676050794bc1b1657a56b", "View")</f>
        <v>View</v>
      </c>
    </row>
    <row r="120" spans="1:16" x14ac:dyDescent="0.25">
      <c r="A120" s="13" t="s">
        <v>31155</v>
      </c>
      <c r="B120" s="14">
        <v>584537</v>
      </c>
      <c r="C120" s="14">
        <v>0</v>
      </c>
      <c r="D120" s="14" t="s">
        <v>17580</v>
      </c>
      <c r="E120" s="14" t="s">
        <v>5573</v>
      </c>
      <c r="F120" s="14" t="s">
        <v>96</v>
      </c>
      <c r="G120" s="18" t="s">
        <v>10198</v>
      </c>
      <c r="H120" s="18" t="s">
        <v>98</v>
      </c>
      <c r="I120" s="14" t="s">
        <v>31156</v>
      </c>
      <c r="J120" s="14">
        <v>1</v>
      </c>
      <c r="K120" s="14">
        <v>0</v>
      </c>
      <c r="L120" s="14" t="s">
        <v>31157</v>
      </c>
      <c r="M120" s="19" t="s">
        <v>101</v>
      </c>
      <c r="N120" s="14" t="s">
        <v>10182</v>
      </c>
      <c r="O120" s="14" t="s">
        <v>31158</v>
      </c>
      <c r="P120" s="14" t="str">
        <f>HYPERLINK("https://dexscreener.com/solana/43kDpYJVBx8ctbyvGPzfBdrLq57w8m4JYibd8tUfpump", "View")</f>
        <v>View</v>
      </c>
    </row>
    <row r="121" spans="1:16" x14ac:dyDescent="0.25">
      <c r="A121" s="16" t="s">
        <v>31159</v>
      </c>
      <c r="B121" s="17">
        <v>652439</v>
      </c>
      <c r="C121" s="17">
        <v>0</v>
      </c>
      <c r="D121" s="17" t="s">
        <v>864</v>
      </c>
      <c r="E121" s="17" t="s">
        <v>5346</v>
      </c>
      <c r="F121" s="17" t="s">
        <v>96</v>
      </c>
      <c r="G121" s="18" t="s">
        <v>3800</v>
      </c>
      <c r="H121" s="18" t="s">
        <v>98</v>
      </c>
      <c r="I121" s="17" t="s">
        <v>31160</v>
      </c>
      <c r="J121" s="17">
        <v>1</v>
      </c>
      <c r="K121" s="17">
        <v>0</v>
      </c>
      <c r="L121" s="17" t="s">
        <v>31161</v>
      </c>
      <c r="M121" s="19" t="s">
        <v>101</v>
      </c>
      <c r="N121" s="17" t="s">
        <v>2411</v>
      </c>
      <c r="O121" s="17" t="s">
        <v>31162</v>
      </c>
      <c r="P121" s="17" t="str">
        <f>HYPERLINK("https://dexscreener.com/solana/GnMkhejvQmjMfAwnrYfu1LN3AfheiSo6pD2WaBeRL648", "View")</f>
        <v>View</v>
      </c>
    </row>
    <row r="122" spans="1:16" x14ac:dyDescent="0.25">
      <c r="A122" s="13" t="s">
        <v>31163</v>
      </c>
      <c r="B122" s="14">
        <v>34579406</v>
      </c>
      <c r="C122" s="14">
        <v>34579406</v>
      </c>
      <c r="D122" s="14" t="s">
        <v>7054</v>
      </c>
      <c r="E122" s="14" t="s">
        <v>18370</v>
      </c>
      <c r="F122" s="14" t="s">
        <v>3292</v>
      </c>
      <c r="G122" s="20" t="s">
        <v>2590</v>
      </c>
      <c r="H122" s="20" t="s">
        <v>31164</v>
      </c>
      <c r="I122" s="14" t="s">
        <v>88</v>
      </c>
      <c r="J122" s="14">
        <v>1</v>
      </c>
      <c r="K122" s="14">
        <v>1</v>
      </c>
      <c r="L122" s="14" t="s">
        <v>31165</v>
      </c>
      <c r="M122" s="14" t="s">
        <v>602</v>
      </c>
      <c r="N122" s="14" t="s">
        <v>507</v>
      </c>
      <c r="O122" s="14" t="s">
        <v>31166</v>
      </c>
      <c r="P122" s="14" t="str">
        <f>HYPERLINK("https://photon-sol.tinyastro.io/en/lp/EhJArs6DWDbpTPcHzbEKaUvEH24sYYYMtb6NYHSHpump?handle=676050794bc1b1657a56b", "View")</f>
        <v>View</v>
      </c>
    </row>
    <row r="123" spans="1:16" x14ac:dyDescent="0.25">
      <c r="A123" s="16" t="s">
        <v>1568</v>
      </c>
      <c r="B123" s="17">
        <v>34502894</v>
      </c>
      <c r="C123" s="17">
        <v>34502894</v>
      </c>
      <c r="D123" s="17" t="s">
        <v>7054</v>
      </c>
      <c r="E123" s="17" t="s">
        <v>18370</v>
      </c>
      <c r="F123" s="17" t="s">
        <v>2773</v>
      </c>
      <c r="G123" s="20" t="s">
        <v>3453</v>
      </c>
      <c r="H123" s="20" t="s">
        <v>31167</v>
      </c>
      <c r="I123" s="17" t="s">
        <v>88</v>
      </c>
      <c r="J123" s="17">
        <v>1</v>
      </c>
      <c r="K123" s="17">
        <v>1</v>
      </c>
      <c r="L123" s="17" t="s">
        <v>31168</v>
      </c>
      <c r="M123" s="17" t="s">
        <v>602</v>
      </c>
      <c r="N123" s="17" t="s">
        <v>507</v>
      </c>
      <c r="O123" s="17" t="s">
        <v>31169</v>
      </c>
      <c r="P123" s="17" t="str">
        <f>HYPERLINK("https://photon-sol.tinyastro.io/en/lp/DeBHhUDwiSxLadtHC5a9Cw43UhmngA74M2r45wDhpump?handle=676050794bc1b1657a56b", "View")</f>
        <v>View</v>
      </c>
    </row>
    <row r="124" spans="1:16" x14ac:dyDescent="0.25">
      <c r="A124" s="13" t="s">
        <v>31170</v>
      </c>
      <c r="B124" s="14">
        <v>34579406</v>
      </c>
      <c r="C124" s="14">
        <v>34579406</v>
      </c>
      <c r="D124" s="14" t="s">
        <v>7054</v>
      </c>
      <c r="E124" s="14" t="s">
        <v>18370</v>
      </c>
      <c r="F124" s="14" t="s">
        <v>17654</v>
      </c>
      <c r="G124" s="20" t="s">
        <v>2582</v>
      </c>
      <c r="H124" s="20" t="s">
        <v>31171</v>
      </c>
      <c r="I124" s="14" t="s">
        <v>88</v>
      </c>
      <c r="J124" s="14">
        <v>1</v>
      </c>
      <c r="K124" s="14">
        <v>1</v>
      </c>
      <c r="L124" s="14" t="s">
        <v>31172</v>
      </c>
      <c r="M124" s="14" t="s">
        <v>1957</v>
      </c>
      <c r="N124" s="14" t="s">
        <v>507</v>
      </c>
      <c r="O124" s="14" t="s">
        <v>31173</v>
      </c>
      <c r="P124" s="14" t="str">
        <f>HYPERLINK("https://photon-sol.tinyastro.io/en/lp/77uM5bCx8ybvQYNuJdkxkCLieNnEe1PaTDAiUJuEpump?handle=676050794bc1b1657a56b", "View")</f>
        <v>View</v>
      </c>
    </row>
    <row r="125" spans="1:16" x14ac:dyDescent="0.25">
      <c r="A125" s="16" t="s">
        <v>31174</v>
      </c>
      <c r="B125" s="17">
        <v>24458733</v>
      </c>
      <c r="C125" s="17">
        <v>24458733</v>
      </c>
      <c r="D125" s="17" t="s">
        <v>7054</v>
      </c>
      <c r="E125" s="17" t="s">
        <v>24175</v>
      </c>
      <c r="F125" s="17" t="s">
        <v>12435</v>
      </c>
      <c r="G125" s="20" t="s">
        <v>4134</v>
      </c>
      <c r="H125" s="20" t="s">
        <v>31175</v>
      </c>
      <c r="I125" s="17" t="s">
        <v>88</v>
      </c>
      <c r="J125" s="17">
        <v>1</v>
      </c>
      <c r="K125" s="17">
        <v>1</v>
      </c>
      <c r="L125" s="17" t="s">
        <v>31176</v>
      </c>
      <c r="M125" s="17" t="s">
        <v>1566</v>
      </c>
      <c r="N125" s="17" t="s">
        <v>507</v>
      </c>
      <c r="O125" s="17" t="s">
        <v>31177</v>
      </c>
      <c r="P125" s="17" t="str">
        <f>HYPERLINK("https://photon-sol.tinyastro.io/en/lp/Enf3ScqNVSCJJHXriJSddwVZYDVNZQGG4Eukzd1Fpump?handle=676050794bc1b1657a56b", "View")</f>
        <v>View</v>
      </c>
    </row>
    <row r="126" spans="1:16" x14ac:dyDescent="0.25">
      <c r="A126" s="13" t="s">
        <v>31178</v>
      </c>
      <c r="B126" s="14">
        <v>3561231</v>
      </c>
      <c r="C126" s="14">
        <v>3561231</v>
      </c>
      <c r="D126" s="14" t="s">
        <v>7054</v>
      </c>
      <c r="E126" s="14" t="s">
        <v>3439</v>
      </c>
      <c r="F126" s="14" t="s">
        <v>3759</v>
      </c>
      <c r="G126" s="20" t="s">
        <v>13016</v>
      </c>
      <c r="H126" s="20" t="s">
        <v>31179</v>
      </c>
      <c r="I126" s="14" t="s">
        <v>88</v>
      </c>
      <c r="J126" s="14">
        <v>1</v>
      </c>
      <c r="K126" s="14">
        <v>1</v>
      </c>
      <c r="L126" s="14" t="s">
        <v>31180</v>
      </c>
      <c r="M126" s="14" t="s">
        <v>1434</v>
      </c>
      <c r="N126" s="14" t="s">
        <v>507</v>
      </c>
      <c r="O126" s="14" t="s">
        <v>31181</v>
      </c>
      <c r="P126" s="14" t="str">
        <f>HYPERLINK("https://photon-sol.tinyastro.io/en/lp/DmpHUXBYEWmRvzembkuTt4isXLch1UqyGaYqMxQ3ua6N?handle=676050794bc1b1657a56b", "View")</f>
        <v>View</v>
      </c>
    </row>
    <row r="127" spans="1:16" x14ac:dyDescent="0.25">
      <c r="A127" s="16" t="s">
        <v>31182</v>
      </c>
      <c r="B127" s="17">
        <v>2341648</v>
      </c>
      <c r="C127" s="17">
        <v>2341648</v>
      </c>
      <c r="D127" s="17" t="s">
        <v>31110</v>
      </c>
      <c r="E127" s="17" t="s">
        <v>18133</v>
      </c>
      <c r="F127" s="17" t="s">
        <v>4945</v>
      </c>
      <c r="G127" s="20" t="s">
        <v>3880</v>
      </c>
      <c r="H127" s="20" t="s">
        <v>31183</v>
      </c>
      <c r="I127" s="17" t="s">
        <v>88</v>
      </c>
      <c r="J127" s="17">
        <v>1</v>
      </c>
      <c r="K127" s="17">
        <v>1</v>
      </c>
      <c r="L127" s="17" t="s">
        <v>31184</v>
      </c>
      <c r="M127" s="17" t="s">
        <v>1610</v>
      </c>
      <c r="N127" s="17" t="s">
        <v>507</v>
      </c>
      <c r="O127" s="17" t="s">
        <v>31185</v>
      </c>
      <c r="P127" s="17" t="str">
        <f>HYPERLINK("https://photon-sol.tinyastro.io/en/lp/DsU96srevck8jWXsCbTsSMq39F1L7xV1smHu7oNepump?handle=676050794bc1b1657a56b", "View")</f>
        <v>View</v>
      </c>
    </row>
    <row r="128" spans="1:16" x14ac:dyDescent="0.25">
      <c r="A128" s="13" t="s">
        <v>31186</v>
      </c>
      <c r="B128" s="14">
        <v>510490</v>
      </c>
      <c r="C128" s="14">
        <v>510490</v>
      </c>
      <c r="D128" s="14" t="s">
        <v>31187</v>
      </c>
      <c r="E128" s="14" t="s">
        <v>9188</v>
      </c>
      <c r="F128" s="14" t="s">
        <v>3659</v>
      </c>
      <c r="G128" s="15" t="s">
        <v>20159</v>
      </c>
      <c r="H128" s="15" t="s">
        <v>31188</v>
      </c>
      <c r="I128" s="14" t="s">
        <v>88</v>
      </c>
      <c r="J128" s="14">
        <v>3</v>
      </c>
      <c r="K128" s="14">
        <v>2</v>
      </c>
      <c r="L128" s="14" t="s">
        <v>31189</v>
      </c>
      <c r="M128" s="14" t="s">
        <v>132</v>
      </c>
      <c r="N128" s="14" t="s">
        <v>31190</v>
      </c>
      <c r="O128" s="14" t="s">
        <v>31191</v>
      </c>
      <c r="P128" s="14" t="str">
        <f>HYPERLINK("https://dexscreener.com/solana/7FiAjPVMKBp5eHSicW2pZUNsmiL3XULp1w7AUvFNpump", "View")</f>
        <v>View</v>
      </c>
    </row>
    <row r="129" spans="1:16" x14ac:dyDescent="0.25">
      <c r="A129" s="16" t="s">
        <v>6195</v>
      </c>
      <c r="B129" s="17">
        <v>45753</v>
      </c>
      <c r="C129" s="17">
        <v>45753</v>
      </c>
      <c r="D129" s="17" t="s">
        <v>31110</v>
      </c>
      <c r="E129" s="17" t="s">
        <v>3773</v>
      </c>
      <c r="F129" s="17" t="s">
        <v>1970</v>
      </c>
      <c r="G129" s="15" t="s">
        <v>2582</v>
      </c>
      <c r="H129" s="15" t="s">
        <v>14729</v>
      </c>
      <c r="I129" s="17" t="s">
        <v>88</v>
      </c>
      <c r="J129" s="17">
        <v>1</v>
      </c>
      <c r="K129" s="17">
        <v>1</v>
      </c>
      <c r="L129" s="17" t="s">
        <v>31192</v>
      </c>
      <c r="M129" s="17" t="s">
        <v>3180</v>
      </c>
      <c r="N129" s="17" t="s">
        <v>31193</v>
      </c>
      <c r="O129" s="17" t="s">
        <v>26094</v>
      </c>
      <c r="P129" s="17" t="str">
        <f>HYPERLINK("https://dexscreener.com/solana/6yG3pna19rfYm1k1P7eBTDhFqyFkyrW16j5iZwMWpump", "View")</f>
        <v>View</v>
      </c>
    </row>
    <row r="130" spans="1:16" x14ac:dyDescent="0.25">
      <c r="A130" s="13" t="s">
        <v>26135</v>
      </c>
      <c r="B130" s="14">
        <v>154984</v>
      </c>
      <c r="C130" s="14">
        <v>154984</v>
      </c>
      <c r="D130" s="14" t="s">
        <v>16345</v>
      </c>
      <c r="E130" s="14" t="s">
        <v>3046</v>
      </c>
      <c r="F130" s="14" t="s">
        <v>6125</v>
      </c>
      <c r="G130" s="20" t="s">
        <v>4939</v>
      </c>
      <c r="H130" s="20" t="s">
        <v>13168</v>
      </c>
      <c r="I130" s="14" t="s">
        <v>88</v>
      </c>
      <c r="J130" s="14">
        <v>3</v>
      </c>
      <c r="K130" s="14">
        <v>1</v>
      </c>
      <c r="L130" s="14" t="s">
        <v>31194</v>
      </c>
      <c r="M130" s="14" t="s">
        <v>2403</v>
      </c>
      <c r="N130" s="14" t="s">
        <v>31195</v>
      </c>
      <c r="O130" s="14" t="s">
        <v>26139</v>
      </c>
      <c r="P130" s="14" t="str">
        <f>HYPERLINK("https://dexscreener.com/solana/ETQ1eizmor3uMnPByaRDdzqVDa67XBdxNuWB61t5pump", "View")</f>
        <v>View</v>
      </c>
    </row>
    <row r="131" spans="1:16" x14ac:dyDescent="0.25">
      <c r="A131" s="16" t="s">
        <v>31196</v>
      </c>
      <c r="B131" s="17">
        <v>1027977</v>
      </c>
      <c r="C131" s="17">
        <v>1027977</v>
      </c>
      <c r="D131" s="17" t="s">
        <v>883</v>
      </c>
      <c r="E131" s="17" t="s">
        <v>5675</v>
      </c>
      <c r="F131" s="17" t="s">
        <v>4706</v>
      </c>
      <c r="G131" s="15" t="s">
        <v>4904</v>
      </c>
      <c r="H131" s="15" t="s">
        <v>31197</v>
      </c>
      <c r="I131" s="17" t="s">
        <v>88</v>
      </c>
      <c r="J131" s="17">
        <v>1</v>
      </c>
      <c r="K131" s="17">
        <v>1</v>
      </c>
      <c r="L131" s="17" t="s">
        <v>31198</v>
      </c>
      <c r="M131" s="17" t="s">
        <v>2403</v>
      </c>
      <c r="N131" s="17" t="s">
        <v>31199</v>
      </c>
      <c r="O131" s="17" t="s">
        <v>31200</v>
      </c>
      <c r="P131" s="17" t="str">
        <f>HYPERLINK("https://photon-sol.tinyastro.io/en/lp/F15J7xrDt6Bo2a9BJRWhX2uC9fdUFrA1ENrBouUWpump?handle=676050794bc1b1657a56b", "View")</f>
        <v>View</v>
      </c>
    </row>
    <row r="132" spans="1:16" x14ac:dyDescent="0.25">
      <c r="A132" s="13" t="s">
        <v>17312</v>
      </c>
      <c r="B132" s="14">
        <v>54827</v>
      </c>
      <c r="C132" s="14">
        <v>54827</v>
      </c>
      <c r="D132" s="14" t="s">
        <v>883</v>
      </c>
      <c r="E132" s="14" t="s">
        <v>3320</v>
      </c>
      <c r="F132" s="14" t="s">
        <v>3659</v>
      </c>
      <c r="G132" s="20" t="s">
        <v>5535</v>
      </c>
      <c r="H132" s="20" t="s">
        <v>19162</v>
      </c>
      <c r="I132" s="14" t="s">
        <v>88</v>
      </c>
      <c r="J132" s="14">
        <v>1</v>
      </c>
      <c r="K132" s="14">
        <v>1</v>
      </c>
      <c r="L132" s="14" t="s">
        <v>31201</v>
      </c>
      <c r="M132" s="14" t="s">
        <v>1434</v>
      </c>
      <c r="N132" s="14" t="s">
        <v>31202</v>
      </c>
      <c r="O132" s="14" t="s">
        <v>31203</v>
      </c>
      <c r="P132" s="14" t="str">
        <f>HYPERLINK("https://dexscreener.com/solana/GWdFcYSbpQLywCe5qQkBPeojHGQHmX3L16SQM9mq9fCt", "View")</f>
        <v>View</v>
      </c>
    </row>
    <row r="133" spans="1:16" x14ac:dyDescent="0.25">
      <c r="A133" s="16" t="s">
        <v>31204</v>
      </c>
      <c r="B133" s="17">
        <v>89948</v>
      </c>
      <c r="C133" s="17">
        <v>89948</v>
      </c>
      <c r="D133" s="17" t="s">
        <v>883</v>
      </c>
      <c r="E133" s="17" t="s">
        <v>3320</v>
      </c>
      <c r="F133" s="17" t="s">
        <v>5635</v>
      </c>
      <c r="G133" s="22" t="s">
        <v>5248</v>
      </c>
      <c r="H133" s="22" t="s">
        <v>31205</v>
      </c>
      <c r="I133" s="17" t="s">
        <v>88</v>
      </c>
      <c r="J133" s="17">
        <v>1</v>
      </c>
      <c r="K133" s="17">
        <v>1</v>
      </c>
      <c r="L133" s="17" t="s">
        <v>31206</v>
      </c>
      <c r="M133" s="17" t="s">
        <v>179</v>
      </c>
      <c r="N133" s="17" t="s">
        <v>31207</v>
      </c>
      <c r="O133" s="17" t="s">
        <v>31208</v>
      </c>
      <c r="P133" s="17" t="str">
        <f>HYPERLINK("https://dexscreener.com/solana/5Bjs6U1Qih7EvZ1RWTQLyJ6c5mjJ951FZBNJRvmV1pZg", "View")</f>
        <v>View</v>
      </c>
    </row>
    <row r="134" spans="1:16" x14ac:dyDescent="0.25">
      <c r="A134" s="13" t="s">
        <v>31209</v>
      </c>
      <c r="B134" s="14">
        <v>1492071</v>
      </c>
      <c r="C134" s="14">
        <v>1492071</v>
      </c>
      <c r="D134" s="14" t="s">
        <v>31110</v>
      </c>
      <c r="E134" s="14" t="s">
        <v>3142</v>
      </c>
      <c r="F134" s="14" t="s">
        <v>2347</v>
      </c>
      <c r="G134" s="20" t="s">
        <v>3905</v>
      </c>
      <c r="H134" s="20" t="s">
        <v>31210</v>
      </c>
      <c r="I134" s="14" t="s">
        <v>88</v>
      </c>
      <c r="J134" s="14">
        <v>1</v>
      </c>
      <c r="K134" s="14">
        <v>1</v>
      </c>
      <c r="L134" s="14" t="s">
        <v>31211</v>
      </c>
      <c r="M134" s="14" t="s">
        <v>253</v>
      </c>
      <c r="N134" s="14" t="s">
        <v>507</v>
      </c>
      <c r="O134" s="14" t="s">
        <v>31212</v>
      </c>
      <c r="P134" s="14" t="str">
        <f>HYPERLINK("https://photon-sol.tinyastro.io/en/lp/3sN4cG9fwfXHaeczaxBXkqXSuRCLGLk2uowLPtz1pump?handle=676050794bc1b1657a56b", "View")</f>
        <v>View</v>
      </c>
    </row>
    <row r="135" spans="1:16" x14ac:dyDescent="0.25">
      <c r="A135" s="16" t="s">
        <v>31213</v>
      </c>
      <c r="B135" s="17">
        <v>645354</v>
      </c>
      <c r="C135" s="17">
        <v>645354</v>
      </c>
      <c r="D135" s="17" t="s">
        <v>9364</v>
      </c>
      <c r="E135" s="17" t="s">
        <v>9553</v>
      </c>
      <c r="F135" s="17" t="s">
        <v>5257</v>
      </c>
      <c r="G135" s="22" t="s">
        <v>3047</v>
      </c>
      <c r="H135" s="22" t="s">
        <v>31214</v>
      </c>
      <c r="I135" s="17" t="s">
        <v>88</v>
      </c>
      <c r="J135" s="17">
        <v>2</v>
      </c>
      <c r="K135" s="17">
        <v>3</v>
      </c>
      <c r="L135" s="17" t="s">
        <v>31215</v>
      </c>
      <c r="M135" s="17" t="s">
        <v>699</v>
      </c>
      <c r="N135" s="17" t="s">
        <v>31216</v>
      </c>
      <c r="O135" s="17" t="s">
        <v>31217</v>
      </c>
      <c r="P135" s="17" t="str">
        <f>HYPERLINK("https://dexscreener.com/solana/AkzjvPjZMB6oqLWwQhq7NwNPhHcBNn7212Jy5hTCpump", "View")</f>
        <v>View</v>
      </c>
    </row>
    <row r="136" spans="1:16" x14ac:dyDescent="0.25">
      <c r="A136" s="13" t="s">
        <v>31218</v>
      </c>
      <c r="B136" s="14">
        <v>699355</v>
      </c>
      <c r="C136" s="14">
        <v>699355</v>
      </c>
      <c r="D136" s="14" t="s">
        <v>8191</v>
      </c>
      <c r="E136" s="14" t="s">
        <v>11383</v>
      </c>
      <c r="F136" s="14" t="s">
        <v>4224</v>
      </c>
      <c r="G136" s="20" t="s">
        <v>22778</v>
      </c>
      <c r="H136" s="20" t="s">
        <v>31219</v>
      </c>
      <c r="I136" s="14" t="s">
        <v>88</v>
      </c>
      <c r="J136" s="14">
        <v>3</v>
      </c>
      <c r="K136" s="14">
        <v>2</v>
      </c>
      <c r="L136" s="14" t="s">
        <v>31220</v>
      </c>
      <c r="M136" s="14" t="s">
        <v>745</v>
      </c>
      <c r="N136" s="14" t="s">
        <v>31221</v>
      </c>
      <c r="O136" s="14" t="s">
        <v>31222</v>
      </c>
      <c r="P136" s="14" t="str">
        <f>HYPERLINK("https://dexscreener.com/solana/CC8sCXp2eZigJ7FL7kV7NVVaErfeE1TUFYVubc6opump", "View")</f>
        <v>View</v>
      </c>
    </row>
    <row r="137" spans="1:16" x14ac:dyDescent="0.25">
      <c r="A137" s="16" t="s">
        <v>17508</v>
      </c>
      <c r="B137" s="17">
        <v>274724</v>
      </c>
      <c r="C137" s="17">
        <v>274724</v>
      </c>
      <c r="D137" s="17" t="s">
        <v>31223</v>
      </c>
      <c r="E137" s="17" t="s">
        <v>5220</v>
      </c>
      <c r="F137" s="17" t="s">
        <v>27396</v>
      </c>
      <c r="G137" s="21" t="s">
        <v>28588</v>
      </c>
      <c r="H137" s="21" t="s">
        <v>3134</v>
      </c>
      <c r="I137" s="17" t="s">
        <v>88</v>
      </c>
      <c r="J137" s="17">
        <v>1</v>
      </c>
      <c r="K137" s="17">
        <v>6</v>
      </c>
      <c r="L137" s="17" t="s">
        <v>31224</v>
      </c>
      <c r="M137" s="17" t="s">
        <v>745</v>
      </c>
      <c r="N137" s="17" t="s">
        <v>31225</v>
      </c>
      <c r="O137" s="17" t="s">
        <v>17513</v>
      </c>
      <c r="P137" s="17" t="str">
        <f>HYPERLINK("https://dexscreener.com/solana/Bp2KgefjvRDhvuLGjXHsSFxmqkJEXk3ZAa1FQ4rWpump", "View")</f>
        <v>View</v>
      </c>
    </row>
    <row r="138" spans="1:16" x14ac:dyDescent="0.25">
      <c r="A138" s="13" t="s">
        <v>11951</v>
      </c>
      <c r="B138" s="14">
        <v>1</v>
      </c>
      <c r="C138" s="14">
        <v>1</v>
      </c>
      <c r="D138" s="14" t="s">
        <v>883</v>
      </c>
      <c r="E138" s="14" t="s">
        <v>3320</v>
      </c>
      <c r="F138" s="14" t="s">
        <v>4945</v>
      </c>
      <c r="G138" s="20" t="s">
        <v>5801</v>
      </c>
      <c r="H138" s="20" t="s">
        <v>31226</v>
      </c>
      <c r="I138" s="14" t="s">
        <v>88</v>
      </c>
      <c r="J138" s="14">
        <v>1</v>
      </c>
      <c r="K138" s="14">
        <v>1</v>
      </c>
      <c r="L138" s="14" t="s">
        <v>31227</v>
      </c>
      <c r="M138" s="14" t="s">
        <v>1448</v>
      </c>
      <c r="N138" s="14" t="s">
        <v>31228</v>
      </c>
      <c r="O138" s="14" t="s">
        <v>18956</v>
      </c>
      <c r="P138" s="14" t="str">
        <f>HYPERLINK("https://dexscreener.com/solana/TitsMQfY4vqqK9ZarKZz4foSVKoDPtVAP2bnYvoczp6", "View")</f>
        <v>View</v>
      </c>
    </row>
    <row r="139" spans="1:16" x14ac:dyDescent="0.25">
      <c r="A139" s="16" t="s">
        <v>31229</v>
      </c>
      <c r="B139" s="17">
        <v>6587602</v>
      </c>
      <c r="C139" s="17">
        <v>6587602</v>
      </c>
      <c r="D139" s="17" t="s">
        <v>1281</v>
      </c>
      <c r="E139" s="17" t="s">
        <v>15890</v>
      </c>
      <c r="F139" s="17" t="s">
        <v>28060</v>
      </c>
      <c r="G139" s="22" t="s">
        <v>2341</v>
      </c>
      <c r="H139" s="22" t="s">
        <v>31230</v>
      </c>
      <c r="I139" s="17" t="s">
        <v>88</v>
      </c>
      <c r="J139" s="17">
        <v>2</v>
      </c>
      <c r="K139" s="17">
        <v>2</v>
      </c>
      <c r="L139" s="17" t="s">
        <v>31231</v>
      </c>
      <c r="M139" s="17" t="s">
        <v>2695</v>
      </c>
      <c r="N139" s="17" t="s">
        <v>507</v>
      </c>
      <c r="O139" s="17" t="s">
        <v>31232</v>
      </c>
      <c r="P139" s="17" t="str">
        <f>HYPERLINK("https://photon-sol.tinyastro.io/en/lp/3rBCH9gD4PeaCo3MJcLswHsRX9aqkSdPQQZWZ24vpump?handle=676050794bc1b1657a56b", "View")</f>
        <v>View</v>
      </c>
    </row>
    <row r="140" spans="1:16" x14ac:dyDescent="0.25">
      <c r="A140" s="13" t="s">
        <v>31233</v>
      </c>
      <c r="B140" s="14">
        <v>3143570</v>
      </c>
      <c r="C140" s="14">
        <v>3143570</v>
      </c>
      <c r="D140" s="14" t="s">
        <v>883</v>
      </c>
      <c r="E140" s="14" t="s">
        <v>20083</v>
      </c>
      <c r="F140" s="14" t="s">
        <v>4660</v>
      </c>
      <c r="G140" s="20" t="s">
        <v>3388</v>
      </c>
      <c r="H140" s="20" t="s">
        <v>13468</v>
      </c>
      <c r="I140" s="14" t="s">
        <v>88</v>
      </c>
      <c r="J140" s="14">
        <v>1</v>
      </c>
      <c r="K140" s="14">
        <v>1</v>
      </c>
      <c r="L140" s="14" t="s">
        <v>31234</v>
      </c>
      <c r="M140" s="14" t="s">
        <v>1957</v>
      </c>
      <c r="N140" s="14" t="s">
        <v>507</v>
      </c>
      <c r="O140" s="14" t="s">
        <v>31235</v>
      </c>
      <c r="P140" s="14" t="str">
        <f>HYPERLINK("https://photon-sol.tinyastro.io/en/lp/9P1qfp9HndhA71L1hDyU5DanfLnPFogRmaDLiTeLpump?handle=676050794bc1b1657a56b", "View")</f>
        <v>View</v>
      </c>
    </row>
    <row r="141" spans="1:16" x14ac:dyDescent="0.25">
      <c r="A141" s="16" t="s">
        <v>31236</v>
      </c>
      <c r="B141" s="17">
        <v>2632102</v>
      </c>
      <c r="C141" s="17">
        <v>2632102</v>
      </c>
      <c r="D141" s="17" t="s">
        <v>883</v>
      </c>
      <c r="E141" s="17" t="s">
        <v>1639</v>
      </c>
      <c r="F141" s="17" t="s">
        <v>11856</v>
      </c>
      <c r="G141" s="21" t="s">
        <v>12272</v>
      </c>
      <c r="H141" s="21" t="s">
        <v>31237</v>
      </c>
      <c r="I141" s="17" t="s">
        <v>88</v>
      </c>
      <c r="J141" s="17">
        <v>1</v>
      </c>
      <c r="K141" s="17">
        <v>1</v>
      </c>
      <c r="L141" s="17" t="s">
        <v>31238</v>
      </c>
      <c r="M141" s="17" t="s">
        <v>1566</v>
      </c>
      <c r="N141" s="17" t="s">
        <v>507</v>
      </c>
      <c r="O141" s="17" t="s">
        <v>31239</v>
      </c>
      <c r="P141" s="17" t="str">
        <f>HYPERLINK("https://photon-sol.tinyastro.io/en/lp/H2UbNj5hNS1iosWL3cVMX6bzbToPSuqRxJXPpFagpump?handle=676050794bc1b1657a56b", "View")</f>
        <v>View</v>
      </c>
    </row>
    <row r="142" spans="1:16" x14ac:dyDescent="0.25">
      <c r="A142" s="13" t="s">
        <v>31240</v>
      </c>
      <c r="B142" s="14">
        <v>44167</v>
      </c>
      <c r="C142" s="14">
        <v>44167</v>
      </c>
      <c r="D142" s="14" t="s">
        <v>31110</v>
      </c>
      <c r="E142" s="14" t="s">
        <v>5220</v>
      </c>
      <c r="F142" s="14" t="s">
        <v>4919</v>
      </c>
      <c r="G142" s="20" t="s">
        <v>2059</v>
      </c>
      <c r="H142" s="20" t="s">
        <v>4067</v>
      </c>
      <c r="I142" s="14" t="s">
        <v>88</v>
      </c>
      <c r="J142" s="14">
        <v>1</v>
      </c>
      <c r="K142" s="14">
        <v>1</v>
      </c>
      <c r="L142" s="14" t="s">
        <v>31241</v>
      </c>
      <c r="M142" s="14" t="s">
        <v>1434</v>
      </c>
      <c r="N142" s="14" t="s">
        <v>507</v>
      </c>
      <c r="O142" s="14" t="s">
        <v>31242</v>
      </c>
      <c r="P142" s="14" t="str">
        <f>HYPERLINK("https://dexscreener.com/solana/3yKikSAzdbwF7vLMoyRCsU6zQNtwxKGP6MLxDcaSgLZP", "View")</f>
        <v>View</v>
      </c>
    </row>
    <row r="143" spans="1:16" x14ac:dyDescent="0.25">
      <c r="A143" s="16" t="s">
        <v>6807</v>
      </c>
      <c r="B143" s="17">
        <v>481846</v>
      </c>
      <c r="C143" s="17">
        <v>481846</v>
      </c>
      <c r="D143" s="17" t="s">
        <v>883</v>
      </c>
      <c r="E143" s="17" t="s">
        <v>5220</v>
      </c>
      <c r="F143" s="17" t="s">
        <v>4694</v>
      </c>
      <c r="G143" s="22" t="s">
        <v>2547</v>
      </c>
      <c r="H143" s="22" t="s">
        <v>16999</v>
      </c>
      <c r="I143" s="17" t="s">
        <v>88</v>
      </c>
      <c r="J143" s="17">
        <v>1</v>
      </c>
      <c r="K143" s="17">
        <v>1</v>
      </c>
      <c r="L143" s="17" t="s">
        <v>31243</v>
      </c>
      <c r="M143" s="17" t="s">
        <v>304</v>
      </c>
      <c r="N143" s="17" t="s">
        <v>31244</v>
      </c>
      <c r="O143" s="17" t="s">
        <v>31245</v>
      </c>
      <c r="P143" s="17" t="str">
        <f>HYPERLINK("https://dexscreener.com/solana/3fXFfXHNVhBRsfQQJjavCAgKSRtWK31oNCLapXM8zjif", "View")</f>
        <v>View</v>
      </c>
    </row>
    <row r="144" spans="1:16" x14ac:dyDescent="0.25">
      <c r="A144" s="13" t="s">
        <v>12040</v>
      </c>
      <c r="B144" s="14">
        <v>2595429</v>
      </c>
      <c r="C144" s="14">
        <v>2595429</v>
      </c>
      <c r="D144" s="14" t="s">
        <v>883</v>
      </c>
      <c r="E144" s="14" t="s">
        <v>20083</v>
      </c>
      <c r="F144" s="14" t="s">
        <v>23088</v>
      </c>
      <c r="G144" s="20" t="s">
        <v>3652</v>
      </c>
      <c r="H144" s="20" t="s">
        <v>31246</v>
      </c>
      <c r="I144" s="14" t="s">
        <v>88</v>
      </c>
      <c r="J144" s="14">
        <v>1</v>
      </c>
      <c r="K144" s="14">
        <v>1</v>
      </c>
      <c r="L144" s="14" t="s">
        <v>31247</v>
      </c>
      <c r="M144" s="14" t="s">
        <v>1434</v>
      </c>
      <c r="N144" s="14" t="s">
        <v>507</v>
      </c>
      <c r="O144" s="14" t="s">
        <v>31248</v>
      </c>
      <c r="P144" s="14" t="str">
        <f>HYPERLINK("https://photon-sol.tinyastro.io/en/lp/GpCjazHj3DuDibE8a6MzFmy8FDQiuEkEH4pxyokyXW4b?handle=676050794bc1b1657a56b", "View")</f>
        <v>View</v>
      </c>
    </row>
    <row r="145" spans="1:16" x14ac:dyDescent="0.25">
      <c r="A145" s="16" t="s">
        <v>31249</v>
      </c>
      <c r="B145" s="17">
        <v>1043204</v>
      </c>
      <c r="C145" s="17">
        <v>1043204</v>
      </c>
      <c r="D145" s="17" t="s">
        <v>883</v>
      </c>
      <c r="E145" s="17" t="s">
        <v>20083</v>
      </c>
      <c r="F145" s="17" t="s">
        <v>2653</v>
      </c>
      <c r="G145" s="22" t="s">
        <v>6156</v>
      </c>
      <c r="H145" s="22" t="s">
        <v>31250</v>
      </c>
      <c r="I145" s="17" t="s">
        <v>88</v>
      </c>
      <c r="J145" s="17">
        <v>1</v>
      </c>
      <c r="K145" s="17">
        <v>1</v>
      </c>
      <c r="L145" s="17" t="s">
        <v>31251</v>
      </c>
      <c r="M145" s="17" t="s">
        <v>2695</v>
      </c>
      <c r="N145" s="17" t="s">
        <v>507</v>
      </c>
      <c r="O145" s="17" t="s">
        <v>31252</v>
      </c>
      <c r="P145" s="17" t="str">
        <f>HYPERLINK("https://photon-sol.tinyastro.io/en/lp/2fDVXy8puFVuQ7e4JKykcx3eKtXfZDBcwp5okAGjpump?handle=676050794bc1b1657a56b", "View")</f>
        <v>View</v>
      </c>
    </row>
    <row r="146" spans="1:16" x14ac:dyDescent="0.25">
      <c r="A146" s="13" t="s">
        <v>22761</v>
      </c>
      <c r="B146" s="14">
        <v>44633</v>
      </c>
      <c r="C146" s="14">
        <v>44633</v>
      </c>
      <c r="D146" s="14" t="s">
        <v>31110</v>
      </c>
      <c r="E146" s="14" t="s">
        <v>5220</v>
      </c>
      <c r="F146" s="14" t="s">
        <v>3439</v>
      </c>
      <c r="G146" s="20" t="s">
        <v>6009</v>
      </c>
      <c r="H146" s="20" t="s">
        <v>31253</v>
      </c>
      <c r="I146" s="14" t="s">
        <v>88</v>
      </c>
      <c r="J146" s="14">
        <v>1</v>
      </c>
      <c r="K146" s="14">
        <v>1</v>
      </c>
      <c r="L146" s="14" t="s">
        <v>31254</v>
      </c>
      <c r="M146" s="14" t="s">
        <v>1448</v>
      </c>
      <c r="N146" s="14" t="s">
        <v>31255</v>
      </c>
      <c r="O146" s="14" t="s">
        <v>31256</v>
      </c>
      <c r="P146" s="14" t="str">
        <f>HYPERLINK("https://dexscreener.com/solana/8WQWc8DDPXJRcYn6Y7PDtiJuaXunjsDY963Yb7Ns44HX", "View")</f>
        <v>View</v>
      </c>
    </row>
    <row r="147" spans="1:16" x14ac:dyDescent="0.25">
      <c r="A147" s="16" t="s">
        <v>31257</v>
      </c>
      <c r="B147" s="17">
        <v>3526</v>
      </c>
      <c r="C147" s="17">
        <v>3526</v>
      </c>
      <c r="D147" s="17" t="s">
        <v>883</v>
      </c>
      <c r="E147" s="17" t="s">
        <v>8306</v>
      </c>
      <c r="F147" s="17" t="s">
        <v>12036</v>
      </c>
      <c r="G147" s="20" t="s">
        <v>5364</v>
      </c>
      <c r="H147" s="20" t="s">
        <v>12910</v>
      </c>
      <c r="I147" s="17" t="s">
        <v>88</v>
      </c>
      <c r="J147" s="17">
        <v>1</v>
      </c>
      <c r="K147" s="17">
        <v>1</v>
      </c>
      <c r="L147" s="17" t="s">
        <v>31258</v>
      </c>
      <c r="M147" s="17" t="s">
        <v>2695</v>
      </c>
      <c r="N147" s="17" t="s">
        <v>25939</v>
      </c>
      <c r="O147" s="17" t="s">
        <v>31259</v>
      </c>
      <c r="P147" s="17" t="str">
        <f>HYPERLINK("https://dexscreener.com/solana/AQuuQ4xktyzGBFnbKHnYsXHxsKVQetAoiPeCEG97NUJw", "View")</f>
        <v>View</v>
      </c>
    </row>
    <row r="148" spans="1:16" x14ac:dyDescent="0.25">
      <c r="A148" s="13" t="s">
        <v>6052</v>
      </c>
      <c r="B148" s="14">
        <v>428151</v>
      </c>
      <c r="C148" s="14">
        <v>186934</v>
      </c>
      <c r="D148" s="14" t="s">
        <v>15668</v>
      </c>
      <c r="E148" s="14" t="s">
        <v>4054</v>
      </c>
      <c r="F148" s="14" t="s">
        <v>4072</v>
      </c>
      <c r="G148" s="22" t="s">
        <v>3316</v>
      </c>
      <c r="H148" s="22" t="s">
        <v>31260</v>
      </c>
      <c r="I148" s="14" t="s">
        <v>88</v>
      </c>
      <c r="J148" s="14">
        <v>3</v>
      </c>
      <c r="K148" s="14">
        <v>3</v>
      </c>
      <c r="L148" s="14" t="s">
        <v>31261</v>
      </c>
      <c r="M148" s="14" t="s">
        <v>90</v>
      </c>
      <c r="N148" s="14" t="s">
        <v>31262</v>
      </c>
      <c r="O148" s="14" t="s">
        <v>31263</v>
      </c>
      <c r="P148" s="14" t="str">
        <f>HYPERLINK("https://dexscreener.com/solana/AK1ZuRHkb4aBZGDwyNWwb5KaJsCvXpiZUDQkUEsqpump", "View")</f>
        <v>View</v>
      </c>
    </row>
    <row r="149" spans="1:16" x14ac:dyDescent="0.25">
      <c r="A149" s="16" t="s">
        <v>6052</v>
      </c>
      <c r="B149" s="17">
        <v>92211</v>
      </c>
      <c r="C149" s="17">
        <v>8050</v>
      </c>
      <c r="D149" s="17" t="s">
        <v>13295</v>
      </c>
      <c r="E149" s="17" t="s">
        <v>3733</v>
      </c>
      <c r="F149" s="17" t="s">
        <v>3759</v>
      </c>
      <c r="G149" s="15" t="s">
        <v>17197</v>
      </c>
      <c r="H149" s="15" t="s">
        <v>31264</v>
      </c>
      <c r="I149" s="17" t="s">
        <v>88</v>
      </c>
      <c r="J149" s="17">
        <v>2</v>
      </c>
      <c r="K149" s="17">
        <v>1</v>
      </c>
      <c r="L149" s="17" t="s">
        <v>31265</v>
      </c>
      <c r="M149" s="17" t="s">
        <v>3304</v>
      </c>
      <c r="N149" s="17" t="s">
        <v>31266</v>
      </c>
      <c r="O149" s="17" t="s">
        <v>6056</v>
      </c>
      <c r="P149" s="17" t="str">
        <f>HYPERLINK("https://dexscreener.com/solana/DWKScU3qJvo3he2qtuULDHWq726aEhvCuuCu266opump", "View")</f>
        <v>View</v>
      </c>
    </row>
    <row r="150" spans="1:16" x14ac:dyDescent="0.25">
      <c r="A150" s="13" t="s">
        <v>31267</v>
      </c>
      <c r="B150" s="14">
        <v>239453</v>
      </c>
      <c r="C150" s="14">
        <v>239453</v>
      </c>
      <c r="D150" s="14" t="s">
        <v>31268</v>
      </c>
      <c r="E150" s="14" t="s">
        <v>5573</v>
      </c>
      <c r="F150" s="14" t="s">
        <v>5046</v>
      </c>
      <c r="G150" s="22" t="s">
        <v>4989</v>
      </c>
      <c r="H150" s="22" t="s">
        <v>31269</v>
      </c>
      <c r="I150" s="14" t="s">
        <v>88</v>
      </c>
      <c r="J150" s="14">
        <v>1</v>
      </c>
      <c r="K150" s="14">
        <v>2</v>
      </c>
      <c r="L150" s="14" t="s">
        <v>31270</v>
      </c>
      <c r="M150" s="14" t="s">
        <v>1705</v>
      </c>
      <c r="N150" s="14" t="s">
        <v>31271</v>
      </c>
      <c r="O150" s="14" t="s">
        <v>31272</v>
      </c>
      <c r="P150" s="14" t="str">
        <f>HYPERLINK("https://dexscreener.com/solana/9x22m7wJtHxcWMzQWe5x5K8sT4AiVNzsJLjqYHdupump", "View")</f>
        <v>View</v>
      </c>
    </row>
    <row r="151" spans="1:16" x14ac:dyDescent="0.25">
      <c r="A151" s="16" t="s">
        <v>31273</v>
      </c>
      <c r="B151" s="17">
        <v>466180</v>
      </c>
      <c r="C151" s="17">
        <v>466180</v>
      </c>
      <c r="D151" s="17" t="s">
        <v>883</v>
      </c>
      <c r="E151" s="17" t="s">
        <v>5220</v>
      </c>
      <c r="F151" s="17" t="s">
        <v>22820</v>
      </c>
      <c r="G151" s="21" t="s">
        <v>5346</v>
      </c>
      <c r="H151" s="21" t="s">
        <v>31274</v>
      </c>
      <c r="I151" s="17" t="s">
        <v>88</v>
      </c>
      <c r="J151" s="17">
        <v>1</v>
      </c>
      <c r="K151" s="17">
        <v>1</v>
      </c>
      <c r="L151" s="17" t="s">
        <v>31275</v>
      </c>
      <c r="M151" s="17" t="s">
        <v>745</v>
      </c>
      <c r="N151" s="17" t="s">
        <v>31276</v>
      </c>
      <c r="O151" s="17" t="s">
        <v>31277</v>
      </c>
      <c r="P151" s="17" t="str">
        <f>HYPERLINK("https://dexscreener.com/solana/whheYm7JzA2DsAofFKvXtNdJ8HhQDxa72fa52pdHaoB", "View")</f>
        <v>View</v>
      </c>
    </row>
    <row r="152" spans="1:16" x14ac:dyDescent="0.25">
      <c r="A152" s="13" t="s">
        <v>31278</v>
      </c>
      <c r="B152" s="14">
        <v>3876881</v>
      </c>
      <c r="C152" s="14">
        <v>3876881</v>
      </c>
      <c r="D152" s="14" t="s">
        <v>883</v>
      </c>
      <c r="E152" s="14" t="s">
        <v>19899</v>
      </c>
      <c r="F152" s="14" t="s">
        <v>3993</v>
      </c>
      <c r="G152" s="20" t="s">
        <v>2863</v>
      </c>
      <c r="H152" s="20" t="s">
        <v>31279</v>
      </c>
      <c r="I152" s="14" t="s">
        <v>88</v>
      </c>
      <c r="J152" s="14">
        <v>1</v>
      </c>
      <c r="K152" s="14">
        <v>1</v>
      </c>
      <c r="L152" s="14" t="s">
        <v>31280</v>
      </c>
      <c r="M152" s="19" t="s">
        <v>2239</v>
      </c>
      <c r="N152" s="14" t="s">
        <v>507</v>
      </c>
      <c r="O152" s="14" t="s">
        <v>31281</v>
      </c>
      <c r="P152" s="14" t="str">
        <f>HYPERLINK("https://photon-sol.tinyastro.io/en/lp/5U8HSXdRNH2ZqLwHvctKDFiNt72S2yGxxFuNvzhApump?handle=676050794bc1b1657a56b", "View")</f>
        <v>View</v>
      </c>
    </row>
    <row r="153" spans="1:16" x14ac:dyDescent="0.25">
      <c r="A153" s="16" t="s">
        <v>31282</v>
      </c>
      <c r="B153" s="17">
        <v>1119358</v>
      </c>
      <c r="C153" s="17">
        <v>1119358</v>
      </c>
      <c r="D153" s="17" t="s">
        <v>913</v>
      </c>
      <c r="E153" s="17" t="s">
        <v>20083</v>
      </c>
      <c r="F153" s="17" t="s">
        <v>20640</v>
      </c>
      <c r="G153" s="21" t="s">
        <v>5409</v>
      </c>
      <c r="H153" s="21" t="s">
        <v>31283</v>
      </c>
      <c r="I153" s="17" t="s">
        <v>88</v>
      </c>
      <c r="J153" s="17">
        <v>1</v>
      </c>
      <c r="K153" s="17">
        <v>2</v>
      </c>
      <c r="L153" s="17" t="s">
        <v>31284</v>
      </c>
      <c r="M153" s="17" t="s">
        <v>253</v>
      </c>
      <c r="N153" s="17" t="s">
        <v>507</v>
      </c>
      <c r="O153" s="17" t="s">
        <v>31285</v>
      </c>
      <c r="P153" s="17" t="str">
        <f>HYPERLINK("https://photon-sol.tinyastro.io/en/lp/7fiNQ2ePjm67U4Lpxq5Gd1d1y3HXGyAGC1PQ4D5Gpump?handle=676050794bc1b1657a56b", "View")</f>
        <v>View</v>
      </c>
    </row>
    <row r="154" spans="1:16" x14ac:dyDescent="0.25">
      <c r="A154" s="13" t="s">
        <v>30789</v>
      </c>
      <c r="B154" s="14">
        <v>761455</v>
      </c>
      <c r="C154" s="14">
        <v>269555</v>
      </c>
      <c r="D154" s="14" t="s">
        <v>883</v>
      </c>
      <c r="E154" s="14" t="s">
        <v>4679</v>
      </c>
      <c r="F154" s="14" t="s">
        <v>11759</v>
      </c>
      <c r="G154" s="20" t="s">
        <v>2863</v>
      </c>
      <c r="H154" s="20" t="s">
        <v>31286</v>
      </c>
      <c r="I154" s="14" t="s">
        <v>88</v>
      </c>
      <c r="J154" s="14">
        <v>1</v>
      </c>
      <c r="K154" s="14">
        <v>1</v>
      </c>
      <c r="L154" s="14" t="s">
        <v>31287</v>
      </c>
      <c r="M154" s="14" t="s">
        <v>3304</v>
      </c>
      <c r="N154" s="14" t="s">
        <v>31288</v>
      </c>
      <c r="O154" s="14" t="s">
        <v>31289</v>
      </c>
      <c r="P154" s="14" t="str">
        <f>HYPERLINK("https://dexscreener.com/solana/HJnrVW8XfjAYkpKb5RjvUHufZ6WPRFWb89DtrL1epump", "View")</f>
        <v>View</v>
      </c>
    </row>
    <row r="155" spans="1:16" x14ac:dyDescent="0.25">
      <c r="A155" s="16" t="s">
        <v>11072</v>
      </c>
      <c r="B155" s="17">
        <v>430408</v>
      </c>
      <c r="C155" s="17">
        <v>430408</v>
      </c>
      <c r="D155" s="17" t="s">
        <v>883</v>
      </c>
      <c r="E155" s="17" t="s">
        <v>5220</v>
      </c>
      <c r="F155" s="17" t="s">
        <v>4838</v>
      </c>
      <c r="G155" s="20" t="s">
        <v>6009</v>
      </c>
      <c r="H155" s="20" t="s">
        <v>10056</v>
      </c>
      <c r="I155" s="17" t="s">
        <v>88</v>
      </c>
      <c r="J155" s="17">
        <v>1</v>
      </c>
      <c r="K155" s="17">
        <v>1</v>
      </c>
      <c r="L155" s="17" t="s">
        <v>31290</v>
      </c>
      <c r="M155" s="17" t="s">
        <v>1434</v>
      </c>
      <c r="N155" s="17" t="s">
        <v>31291</v>
      </c>
      <c r="O155" s="17" t="s">
        <v>11075</v>
      </c>
      <c r="P155" s="17" t="str">
        <f>HYPERLINK("https://dexscreener.com/solana/67yCqFSCAHnSKYh8r1GRwTGA4sTpUPfwRbsxT2pLpump", "View")</f>
        <v>View</v>
      </c>
    </row>
    <row r="156" spans="1:16" x14ac:dyDescent="0.25">
      <c r="A156" s="13" t="s">
        <v>26164</v>
      </c>
      <c r="B156" s="14">
        <v>93313</v>
      </c>
      <c r="C156" s="14">
        <v>93313</v>
      </c>
      <c r="D156" s="14" t="s">
        <v>883</v>
      </c>
      <c r="E156" s="14" t="s">
        <v>5220</v>
      </c>
      <c r="F156" s="14" t="s">
        <v>14402</v>
      </c>
      <c r="G156" s="22" t="s">
        <v>5843</v>
      </c>
      <c r="H156" s="22" t="s">
        <v>31292</v>
      </c>
      <c r="I156" s="14" t="s">
        <v>88</v>
      </c>
      <c r="J156" s="14">
        <v>1</v>
      </c>
      <c r="K156" s="14">
        <v>1</v>
      </c>
      <c r="L156" s="14" t="s">
        <v>31293</v>
      </c>
      <c r="M156" s="14" t="s">
        <v>179</v>
      </c>
      <c r="N156" s="14" t="s">
        <v>507</v>
      </c>
      <c r="O156" s="14" t="s">
        <v>26167</v>
      </c>
      <c r="P156" s="14" t="str">
        <f>HYPERLINK("https://dexscreener.com/solana/C7xGvy9yE6FF2AYgJi2CCdRoUnPZLPhADRJgAQP3pump", "View")</f>
        <v>View</v>
      </c>
    </row>
    <row r="157" spans="1:16" x14ac:dyDescent="0.25">
      <c r="A157" s="16" t="s">
        <v>2875</v>
      </c>
      <c r="B157" s="17">
        <v>3402546</v>
      </c>
      <c r="C157" s="17">
        <v>3402546</v>
      </c>
      <c r="D157" s="17" t="s">
        <v>4738</v>
      </c>
      <c r="E157" s="17" t="s">
        <v>2821</v>
      </c>
      <c r="F157" s="17" t="s">
        <v>3779</v>
      </c>
      <c r="G157" s="20" t="s">
        <v>16114</v>
      </c>
      <c r="H157" s="20" t="s">
        <v>24809</v>
      </c>
      <c r="I157" s="17" t="s">
        <v>88</v>
      </c>
      <c r="J157" s="17">
        <v>5</v>
      </c>
      <c r="K157" s="17">
        <v>1</v>
      </c>
      <c r="L157" s="17" t="s">
        <v>31294</v>
      </c>
      <c r="M157" s="17" t="s">
        <v>680</v>
      </c>
      <c r="N157" s="17" t="s">
        <v>507</v>
      </c>
      <c r="O157" s="17" t="s">
        <v>31295</v>
      </c>
      <c r="P157" s="17" t="str">
        <f>HYPERLINK("https://photon-sol.tinyastro.io/en/lp/DkLuYCBYu9MErS99ZTZpKJAWhGEWUa5j3WFetuR4pump?handle=676050794bc1b1657a56b", "View")</f>
        <v>View</v>
      </c>
    </row>
    <row r="158" spans="1:16" x14ac:dyDescent="0.25">
      <c r="A158" s="13" t="s">
        <v>1371</v>
      </c>
      <c r="B158" s="14">
        <v>711157</v>
      </c>
      <c r="C158" s="14">
        <v>711157</v>
      </c>
      <c r="D158" s="14" t="s">
        <v>883</v>
      </c>
      <c r="E158" s="14" t="s">
        <v>5346</v>
      </c>
      <c r="F158" s="14" t="s">
        <v>6111</v>
      </c>
      <c r="G158" s="20" t="s">
        <v>14444</v>
      </c>
      <c r="H158" s="20" t="s">
        <v>31296</v>
      </c>
      <c r="I158" s="14" t="s">
        <v>88</v>
      </c>
      <c r="J158" s="14">
        <v>1</v>
      </c>
      <c r="K158" s="14">
        <v>1</v>
      </c>
      <c r="L158" s="14" t="s">
        <v>31297</v>
      </c>
      <c r="M158" s="14" t="s">
        <v>7248</v>
      </c>
      <c r="N158" s="14" t="s">
        <v>31298</v>
      </c>
      <c r="O158" s="14" t="s">
        <v>1378</v>
      </c>
      <c r="P158" s="14" t="str">
        <f>HYPERLINK("https://dexscreener.com/solana/4CPQVcfg4o16KTFfy1XVc2TXvNcp8Zep8QnwTHm4pump", "View")</f>
        <v>View</v>
      </c>
    </row>
    <row r="159" spans="1:16" x14ac:dyDescent="0.25">
      <c r="A159" s="16" t="s">
        <v>31299</v>
      </c>
      <c r="B159" s="17">
        <v>400042</v>
      </c>
      <c r="C159" s="17">
        <v>400042</v>
      </c>
      <c r="D159" s="17" t="s">
        <v>883</v>
      </c>
      <c r="E159" s="17" t="s">
        <v>5345</v>
      </c>
      <c r="F159" s="17" t="s">
        <v>10049</v>
      </c>
      <c r="G159" s="20" t="s">
        <v>4610</v>
      </c>
      <c r="H159" s="20" t="s">
        <v>31300</v>
      </c>
      <c r="I159" s="17" t="s">
        <v>88</v>
      </c>
      <c r="J159" s="17">
        <v>1</v>
      </c>
      <c r="K159" s="17">
        <v>1</v>
      </c>
      <c r="L159" s="17" t="s">
        <v>31301</v>
      </c>
      <c r="M159" s="17" t="s">
        <v>1610</v>
      </c>
      <c r="N159" s="17" t="s">
        <v>31302</v>
      </c>
      <c r="O159" s="17" t="s">
        <v>31303</v>
      </c>
      <c r="P159" s="17" t="str">
        <f>HYPERLINK("https://dexscreener.com/solana/5CJumoFSKr4M6MvTyFyW4VQogNVyxDgKsfRuksoepump", "View")</f>
        <v>View</v>
      </c>
    </row>
    <row r="160" spans="1:16" x14ac:dyDescent="0.25">
      <c r="A160" s="13" t="s">
        <v>8573</v>
      </c>
      <c r="B160" s="14">
        <v>7098901</v>
      </c>
      <c r="C160" s="14">
        <v>7098901</v>
      </c>
      <c r="D160" s="14" t="s">
        <v>7054</v>
      </c>
      <c r="E160" s="14" t="s">
        <v>12551</v>
      </c>
      <c r="F160" s="14" t="s">
        <v>19936</v>
      </c>
      <c r="G160" s="20" t="s">
        <v>22563</v>
      </c>
      <c r="H160" s="20" t="s">
        <v>31304</v>
      </c>
      <c r="I160" s="14" t="s">
        <v>88</v>
      </c>
      <c r="J160" s="14">
        <v>1</v>
      </c>
      <c r="K160" s="14">
        <v>1</v>
      </c>
      <c r="L160" s="14" t="s">
        <v>31305</v>
      </c>
      <c r="M160" s="19" t="s">
        <v>1688</v>
      </c>
      <c r="N160" s="14" t="s">
        <v>507</v>
      </c>
      <c r="O160" s="14" t="s">
        <v>31306</v>
      </c>
      <c r="P160" s="14" t="str">
        <f>HYPERLINK("https://photon-sol.tinyastro.io/en/lp/BKLCeQUYB8kt5wbxXYTE6z1SGwRFeGsKsWXYhW6qKofq?handle=676050794bc1b1657a56b", "View")</f>
        <v>View</v>
      </c>
    </row>
    <row r="161" spans="1:16" x14ac:dyDescent="0.25">
      <c r="A161" s="16" t="s">
        <v>31307</v>
      </c>
      <c r="B161" s="17">
        <v>1994210</v>
      </c>
      <c r="C161" s="17">
        <v>1994210</v>
      </c>
      <c r="D161" s="17" t="s">
        <v>8191</v>
      </c>
      <c r="E161" s="17" t="s">
        <v>11112</v>
      </c>
      <c r="F161" s="17" t="s">
        <v>5919</v>
      </c>
      <c r="G161" s="15" t="s">
        <v>31308</v>
      </c>
      <c r="H161" s="15" t="s">
        <v>31309</v>
      </c>
      <c r="I161" s="17" t="s">
        <v>88</v>
      </c>
      <c r="J161" s="17">
        <v>4</v>
      </c>
      <c r="K161" s="17">
        <v>1</v>
      </c>
      <c r="L161" s="17" t="s">
        <v>31310</v>
      </c>
      <c r="M161" s="17" t="s">
        <v>132</v>
      </c>
      <c r="N161" s="17" t="s">
        <v>31311</v>
      </c>
      <c r="O161" s="17" t="s">
        <v>31312</v>
      </c>
      <c r="P161" s="17" t="str">
        <f>HYPERLINK("https://dexscreener.com/solana/BHiVUHns5sR4JE9tYXagBLEeSZ9sEVsJ5Qmpyterpump", "View")</f>
        <v>View</v>
      </c>
    </row>
    <row r="162" spans="1:16" x14ac:dyDescent="0.25">
      <c r="A162" s="13" t="s">
        <v>31313</v>
      </c>
      <c r="B162" s="14">
        <v>1458950</v>
      </c>
      <c r="C162" s="14">
        <v>1458950</v>
      </c>
      <c r="D162" s="14" t="s">
        <v>31268</v>
      </c>
      <c r="E162" s="14" t="s">
        <v>5345</v>
      </c>
      <c r="F162" s="14" t="s">
        <v>4380</v>
      </c>
      <c r="G162" s="21" t="s">
        <v>10011</v>
      </c>
      <c r="H162" s="21" t="s">
        <v>31314</v>
      </c>
      <c r="I162" s="14" t="s">
        <v>88</v>
      </c>
      <c r="J162" s="14">
        <v>1</v>
      </c>
      <c r="K162" s="14">
        <v>2</v>
      </c>
      <c r="L162" s="14" t="s">
        <v>31315</v>
      </c>
      <c r="M162" s="14" t="s">
        <v>3269</v>
      </c>
      <c r="N162" s="14" t="s">
        <v>4039</v>
      </c>
      <c r="O162" s="14" t="s">
        <v>31316</v>
      </c>
      <c r="P162" s="14" t="str">
        <f>HYPERLINK("https://dexscreener.com/solana/A4afoCKXxmmYQXjSPryU3HjssEdystpY9JRSjJ5fCx8a", "View")</f>
        <v>View</v>
      </c>
    </row>
    <row r="163" spans="1:16" x14ac:dyDescent="0.25">
      <c r="A163" s="16" t="s">
        <v>31317</v>
      </c>
      <c r="B163" s="17">
        <v>13783162</v>
      </c>
      <c r="C163" s="17">
        <v>13783162</v>
      </c>
      <c r="D163" s="17" t="s">
        <v>1281</v>
      </c>
      <c r="E163" s="17" t="s">
        <v>14032</v>
      </c>
      <c r="F163" s="17" t="s">
        <v>31318</v>
      </c>
      <c r="G163" s="20" t="s">
        <v>11596</v>
      </c>
      <c r="H163" s="20" t="s">
        <v>22358</v>
      </c>
      <c r="I163" s="17" t="s">
        <v>88</v>
      </c>
      <c r="J163" s="17">
        <v>2</v>
      </c>
      <c r="K163" s="17">
        <v>2</v>
      </c>
      <c r="L163" s="17" t="s">
        <v>31319</v>
      </c>
      <c r="M163" s="17" t="s">
        <v>1448</v>
      </c>
      <c r="N163" s="17" t="s">
        <v>507</v>
      </c>
      <c r="O163" s="17" t="s">
        <v>31320</v>
      </c>
      <c r="P163" s="17" t="str">
        <f>HYPERLINK("https://photon-sol.tinyastro.io/en/lp/6J1eFhkqZBGuRiy6dLH3VMjPykz24PjuUcnYufKGpump?handle=676050794bc1b1657a56b", "View")</f>
        <v>View</v>
      </c>
    </row>
    <row r="164" spans="1:16" x14ac:dyDescent="0.25">
      <c r="A164" s="13" t="s">
        <v>31321</v>
      </c>
      <c r="B164" s="14">
        <v>528051</v>
      </c>
      <c r="C164" s="14">
        <v>528051</v>
      </c>
      <c r="D164" s="14" t="s">
        <v>883</v>
      </c>
      <c r="E164" s="14" t="s">
        <v>2347</v>
      </c>
      <c r="F164" s="14" t="s">
        <v>5024</v>
      </c>
      <c r="G164" s="15" t="s">
        <v>3433</v>
      </c>
      <c r="H164" s="15" t="s">
        <v>31322</v>
      </c>
      <c r="I164" s="14" t="s">
        <v>88</v>
      </c>
      <c r="J164" s="14">
        <v>1</v>
      </c>
      <c r="K164" s="14">
        <v>1</v>
      </c>
      <c r="L164" s="14" t="s">
        <v>31323</v>
      </c>
      <c r="M164" s="14" t="s">
        <v>1986</v>
      </c>
      <c r="N164" s="14" t="s">
        <v>507</v>
      </c>
      <c r="O164" s="14" t="s">
        <v>31324</v>
      </c>
      <c r="P164" s="14" t="str">
        <f>HYPERLINK("https://photon-sol.tinyastro.io/en/lp/3SLoQyQnXS9e4zhpGpPTDTkTrV1ZkdoPmNQaY5q2WikK?handle=676050794bc1b1657a56b", "View")</f>
        <v>View</v>
      </c>
    </row>
    <row r="165" spans="1:16" x14ac:dyDescent="0.25">
      <c r="A165" s="16" t="s">
        <v>31325</v>
      </c>
      <c r="B165" s="17">
        <v>10449830</v>
      </c>
      <c r="C165" s="17">
        <v>10449830</v>
      </c>
      <c r="D165" s="17" t="s">
        <v>883</v>
      </c>
      <c r="E165" s="17" t="s">
        <v>4006</v>
      </c>
      <c r="F165" s="17" t="s">
        <v>27014</v>
      </c>
      <c r="G165" s="22" t="s">
        <v>4869</v>
      </c>
      <c r="H165" s="22" t="s">
        <v>31326</v>
      </c>
      <c r="I165" s="17" t="s">
        <v>88</v>
      </c>
      <c r="J165" s="17">
        <v>1</v>
      </c>
      <c r="K165" s="17">
        <v>1</v>
      </c>
      <c r="L165" s="17" t="s">
        <v>31327</v>
      </c>
      <c r="M165" s="19" t="s">
        <v>1752</v>
      </c>
      <c r="N165" s="17" t="s">
        <v>507</v>
      </c>
      <c r="O165" s="17" t="s">
        <v>31328</v>
      </c>
      <c r="P165" s="17" t="str">
        <f>HYPERLINK("https://photon-sol.tinyastro.io/en/lp/3WhW7w8EqAsJtgs4TqJ1zf2EfZjATbgpaJzkhJs1pump?handle=676050794bc1b1657a56b", "View")</f>
        <v>View</v>
      </c>
    </row>
    <row r="166" spans="1:16" x14ac:dyDescent="0.25">
      <c r="A166" s="13" t="s">
        <v>31329</v>
      </c>
      <c r="B166" s="14">
        <v>11592595</v>
      </c>
      <c r="C166" s="14">
        <v>11592595</v>
      </c>
      <c r="D166" s="14" t="s">
        <v>31110</v>
      </c>
      <c r="E166" s="14" t="s">
        <v>4031</v>
      </c>
      <c r="F166" s="14" t="s">
        <v>31330</v>
      </c>
      <c r="G166" s="21" t="s">
        <v>2881</v>
      </c>
      <c r="H166" s="21" t="s">
        <v>31331</v>
      </c>
      <c r="I166" s="14" t="s">
        <v>88</v>
      </c>
      <c r="J166" s="14">
        <v>1</v>
      </c>
      <c r="K166" s="14">
        <v>1</v>
      </c>
      <c r="L166" s="14" t="s">
        <v>31332</v>
      </c>
      <c r="M166" s="19" t="s">
        <v>1940</v>
      </c>
      <c r="N166" s="14" t="s">
        <v>507</v>
      </c>
      <c r="O166" s="14" t="s">
        <v>31333</v>
      </c>
      <c r="P166" s="14" t="str">
        <f>HYPERLINK("https://photon-sol.tinyastro.io/en/lp/4yWP55x5o5ktZq8ibUEvDjrTkXk3ntUbqiwM6MsUpump?handle=676050794bc1b1657a56b", "View")</f>
        <v>View</v>
      </c>
    </row>
    <row r="167" spans="1:16" x14ac:dyDescent="0.25">
      <c r="A167" s="16" t="s">
        <v>1050</v>
      </c>
      <c r="B167" s="17">
        <v>6313854</v>
      </c>
      <c r="C167" s="17">
        <v>6313854</v>
      </c>
      <c r="D167" s="17" t="s">
        <v>883</v>
      </c>
      <c r="E167" s="17" t="s">
        <v>31334</v>
      </c>
      <c r="F167" s="17" t="s">
        <v>3281</v>
      </c>
      <c r="G167" s="21" t="s">
        <v>31335</v>
      </c>
      <c r="H167" s="21" t="s">
        <v>31336</v>
      </c>
      <c r="I167" s="17" t="s">
        <v>88</v>
      </c>
      <c r="J167" s="17">
        <v>1</v>
      </c>
      <c r="K167" s="17">
        <v>1</v>
      </c>
      <c r="L167" s="17" t="s">
        <v>31337</v>
      </c>
      <c r="M167" s="19" t="s">
        <v>2239</v>
      </c>
      <c r="N167" s="17" t="s">
        <v>507</v>
      </c>
      <c r="O167" s="17" t="s">
        <v>31338</v>
      </c>
      <c r="P167" s="17" t="str">
        <f>HYPERLINK("https://photon-sol.tinyastro.io/en/lp/2PHLKEKdy1xJ6yj5PDLpgyd5SNKetZTc6UJNi3Swpump?handle=676050794bc1b1657a56b", "View")</f>
        <v>View</v>
      </c>
    </row>
    <row r="168" spans="1:16" x14ac:dyDescent="0.25">
      <c r="A168" s="13" t="s">
        <v>31339</v>
      </c>
      <c r="B168" s="14">
        <v>1069475</v>
      </c>
      <c r="C168" s="14">
        <v>1069475</v>
      </c>
      <c r="D168" s="14" t="s">
        <v>7791</v>
      </c>
      <c r="E168" s="14" t="s">
        <v>4006</v>
      </c>
      <c r="F168" s="14" t="s">
        <v>5226</v>
      </c>
      <c r="G168" s="15" t="s">
        <v>18345</v>
      </c>
      <c r="H168" s="15" t="s">
        <v>31340</v>
      </c>
      <c r="I168" s="14" t="s">
        <v>88</v>
      </c>
      <c r="J168" s="14">
        <v>1</v>
      </c>
      <c r="K168" s="14">
        <v>1</v>
      </c>
      <c r="L168" s="14" t="s">
        <v>31341</v>
      </c>
      <c r="M168" s="14" t="s">
        <v>1566</v>
      </c>
      <c r="N168" s="14" t="s">
        <v>31342</v>
      </c>
      <c r="O168" s="14" t="s">
        <v>31343</v>
      </c>
      <c r="P168" s="14" t="str">
        <f>HYPERLINK("https://photon-sol.tinyastro.io/en/lp/6mKTaG71bioYwFZ4XR1DA8sH8iwLSTcHTZ5dr2xHpump?handle=676050794bc1b1657a56b", "View")</f>
        <v>View</v>
      </c>
    </row>
    <row r="169" spans="1:16" x14ac:dyDescent="0.25">
      <c r="A169" s="16" t="s">
        <v>31344</v>
      </c>
      <c r="B169" s="17">
        <v>9081937</v>
      </c>
      <c r="C169" s="17">
        <v>9081937</v>
      </c>
      <c r="D169" s="17" t="s">
        <v>31110</v>
      </c>
      <c r="E169" s="17" t="s">
        <v>5467</v>
      </c>
      <c r="F169" s="17" t="s">
        <v>24088</v>
      </c>
      <c r="G169" s="20" t="s">
        <v>8279</v>
      </c>
      <c r="H169" s="20" t="s">
        <v>31345</v>
      </c>
      <c r="I169" s="17" t="s">
        <v>88</v>
      </c>
      <c r="J169" s="17">
        <v>1</v>
      </c>
      <c r="K169" s="17">
        <v>1</v>
      </c>
      <c r="L169" s="17" t="s">
        <v>31346</v>
      </c>
      <c r="M169" s="17" t="s">
        <v>1434</v>
      </c>
      <c r="N169" s="17" t="s">
        <v>507</v>
      </c>
      <c r="O169" s="17" t="s">
        <v>31347</v>
      </c>
      <c r="P169" s="17" t="str">
        <f>HYPERLINK("https://photon-sol.tinyastro.io/en/lp/Ei7heWNtnEP5qUdZDAWjEBdo1xcgJP82kXaQ2p3ypump?handle=676050794bc1b1657a56b", "View")</f>
        <v>View</v>
      </c>
    </row>
    <row r="170" spans="1:16" x14ac:dyDescent="0.25">
      <c r="A170" s="13" t="s">
        <v>31348</v>
      </c>
      <c r="B170" s="14">
        <v>130550</v>
      </c>
      <c r="C170" s="14">
        <v>130550</v>
      </c>
      <c r="D170" s="14" t="s">
        <v>883</v>
      </c>
      <c r="E170" s="14" t="s">
        <v>5346</v>
      </c>
      <c r="F170" s="14" t="s">
        <v>2305</v>
      </c>
      <c r="G170" s="20" t="s">
        <v>5305</v>
      </c>
      <c r="H170" s="20" t="s">
        <v>29902</v>
      </c>
      <c r="I170" s="14" t="s">
        <v>88</v>
      </c>
      <c r="J170" s="14">
        <v>1</v>
      </c>
      <c r="K170" s="14">
        <v>1</v>
      </c>
      <c r="L170" s="14" t="s">
        <v>31349</v>
      </c>
      <c r="M170" s="14" t="s">
        <v>3304</v>
      </c>
      <c r="N170" s="14" t="s">
        <v>31350</v>
      </c>
      <c r="O170" s="14" t="s">
        <v>31351</v>
      </c>
      <c r="P170" s="14" t="str">
        <f>HYPERLINK("https://dexscreener.com/solana/CkhR7kosetTQCBVbw6jim1SNoFiMiBh4VD5NY2Jopump", "View")</f>
        <v>View</v>
      </c>
    </row>
    <row r="171" spans="1:16" x14ac:dyDescent="0.25">
      <c r="A171" s="16" t="s">
        <v>31352</v>
      </c>
      <c r="B171" s="17">
        <v>108452</v>
      </c>
      <c r="C171" s="17">
        <v>108452</v>
      </c>
      <c r="D171" s="17" t="s">
        <v>883</v>
      </c>
      <c r="E171" s="17" t="s">
        <v>5919</v>
      </c>
      <c r="F171" s="17" t="s">
        <v>5012</v>
      </c>
      <c r="G171" s="15" t="s">
        <v>5681</v>
      </c>
      <c r="H171" s="15" t="s">
        <v>16293</v>
      </c>
      <c r="I171" s="17" t="s">
        <v>88</v>
      </c>
      <c r="J171" s="17">
        <v>1</v>
      </c>
      <c r="K171" s="17">
        <v>1</v>
      </c>
      <c r="L171" s="17" t="s">
        <v>31353</v>
      </c>
      <c r="M171" s="17" t="s">
        <v>3171</v>
      </c>
      <c r="N171" s="17" t="s">
        <v>31354</v>
      </c>
      <c r="O171" s="17" t="s">
        <v>31355</v>
      </c>
      <c r="P171" s="17" t="str">
        <f>HYPERLINK("https://dexscreener.com/solana/EYFiZKBxyxPg741N2r7Vx7GiqyrXuL1M76CkQH1Apump", "View")</f>
        <v>View</v>
      </c>
    </row>
    <row r="172" spans="1:16" x14ac:dyDescent="0.25">
      <c r="A172" s="13" t="s">
        <v>31356</v>
      </c>
      <c r="B172" s="14">
        <v>2004527</v>
      </c>
      <c r="C172" s="14">
        <v>2004527</v>
      </c>
      <c r="D172" s="14" t="s">
        <v>7975</v>
      </c>
      <c r="E172" s="14" t="s">
        <v>9669</v>
      </c>
      <c r="F172" s="14" t="s">
        <v>3682</v>
      </c>
      <c r="G172" s="20" t="s">
        <v>4101</v>
      </c>
      <c r="H172" s="20" t="s">
        <v>27735</v>
      </c>
      <c r="I172" s="14" t="s">
        <v>88</v>
      </c>
      <c r="J172" s="14">
        <v>4</v>
      </c>
      <c r="K172" s="14">
        <v>3</v>
      </c>
      <c r="L172" s="14" t="s">
        <v>31357</v>
      </c>
      <c r="M172" s="14" t="s">
        <v>1159</v>
      </c>
      <c r="N172" s="14" t="s">
        <v>31358</v>
      </c>
      <c r="O172" s="14" t="s">
        <v>31359</v>
      </c>
      <c r="P172" s="14" t="str">
        <f>HYPERLINK("https://photon-sol.tinyastro.io/en/lp/JBnyMJs97EgauPSdLydkiRhT1wp8DtrBeAbMoetRpump?handle=676050794bc1b1657a56b", "View")</f>
        <v>View</v>
      </c>
    </row>
    <row r="173" spans="1:16" x14ac:dyDescent="0.25">
      <c r="A173" s="16" t="s">
        <v>15302</v>
      </c>
      <c r="B173" s="17">
        <v>17894223</v>
      </c>
      <c r="C173" s="17">
        <v>17894223</v>
      </c>
      <c r="D173" s="17" t="s">
        <v>883</v>
      </c>
      <c r="E173" s="17" t="s">
        <v>3584</v>
      </c>
      <c r="F173" s="17" t="s">
        <v>6125</v>
      </c>
      <c r="G173" s="20" t="s">
        <v>3925</v>
      </c>
      <c r="H173" s="20" t="s">
        <v>28643</v>
      </c>
      <c r="I173" s="17" t="s">
        <v>88</v>
      </c>
      <c r="J173" s="17">
        <v>1</v>
      </c>
      <c r="K173" s="17">
        <v>1</v>
      </c>
      <c r="L173" s="17" t="s">
        <v>31360</v>
      </c>
      <c r="M173" s="19" t="s">
        <v>1619</v>
      </c>
      <c r="N173" s="17" t="s">
        <v>507</v>
      </c>
      <c r="O173" s="17" t="s">
        <v>31361</v>
      </c>
      <c r="P173" s="17" t="str">
        <f>HYPERLINK("https://photon-sol.tinyastro.io/en/lp/Cxb59MtRJBGXHFpPiaTyQicUPXPdqLLi5YY2NwHLpump?handle=676050794bc1b1657a56b", "View")</f>
        <v>View</v>
      </c>
    </row>
    <row r="174" spans="1:16" x14ac:dyDescent="0.25">
      <c r="A174" s="13" t="s">
        <v>20240</v>
      </c>
      <c r="B174" s="14">
        <v>13539513</v>
      </c>
      <c r="C174" s="14">
        <v>13539513</v>
      </c>
      <c r="D174" s="14" t="s">
        <v>883</v>
      </c>
      <c r="E174" s="14" t="s">
        <v>8485</v>
      </c>
      <c r="F174" s="14" t="s">
        <v>28293</v>
      </c>
      <c r="G174" s="21" t="s">
        <v>31362</v>
      </c>
      <c r="H174" s="21" t="s">
        <v>31363</v>
      </c>
      <c r="I174" s="14" t="s">
        <v>88</v>
      </c>
      <c r="J174" s="14">
        <v>1</v>
      </c>
      <c r="K174" s="14">
        <v>1</v>
      </c>
      <c r="L174" s="14" t="s">
        <v>31364</v>
      </c>
      <c r="M174" s="19" t="s">
        <v>1760</v>
      </c>
      <c r="N174" s="14" t="s">
        <v>507</v>
      </c>
      <c r="O174" s="14" t="s">
        <v>31365</v>
      </c>
      <c r="P174" s="14" t="str">
        <f>HYPERLINK("https://photon-sol.tinyastro.io/en/lp/Fq86s5oH1hNEgfHXRJ3AZSmHsEubAncmoUMbya8xpump?handle=676050794bc1b1657a56b", "View")</f>
        <v>View</v>
      </c>
    </row>
    <row r="175" spans="1:16" x14ac:dyDescent="0.25">
      <c r="A175" s="16" t="s">
        <v>31366</v>
      </c>
      <c r="B175" s="17">
        <v>7462379</v>
      </c>
      <c r="C175" s="17">
        <v>7462379</v>
      </c>
      <c r="D175" s="17" t="s">
        <v>913</v>
      </c>
      <c r="E175" s="17" t="s">
        <v>11464</v>
      </c>
      <c r="F175" s="17" t="s">
        <v>20221</v>
      </c>
      <c r="G175" s="21" t="s">
        <v>4235</v>
      </c>
      <c r="H175" s="21" t="s">
        <v>31367</v>
      </c>
      <c r="I175" s="17" t="s">
        <v>88</v>
      </c>
      <c r="J175" s="17">
        <v>2</v>
      </c>
      <c r="K175" s="17">
        <v>1</v>
      </c>
      <c r="L175" s="17" t="s">
        <v>31368</v>
      </c>
      <c r="M175" s="19" t="s">
        <v>1721</v>
      </c>
      <c r="N175" s="17" t="s">
        <v>507</v>
      </c>
      <c r="O175" s="17" t="s">
        <v>31369</v>
      </c>
      <c r="P175" s="17" t="str">
        <f>HYPERLINK("https://photon-sol.tinyastro.io/en/lp/2oD9NucNG4jZv5BQne4LCpodUZM5d9HKGCm73h98pump?handle=676050794bc1b1657a56b", "View")</f>
        <v>View</v>
      </c>
    </row>
    <row r="176" spans="1:16" x14ac:dyDescent="0.25">
      <c r="A176" s="13" t="s">
        <v>31370</v>
      </c>
      <c r="B176" s="14">
        <v>1195148</v>
      </c>
      <c r="C176" s="14">
        <v>1195148</v>
      </c>
      <c r="D176" s="14" t="s">
        <v>13295</v>
      </c>
      <c r="E176" s="14" t="s">
        <v>4108</v>
      </c>
      <c r="F176" s="14" t="s">
        <v>5822</v>
      </c>
      <c r="G176" s="22" t="s">
        <v>5699</v>
      </c>
      <c r="H176" s="22" t="s">
        <v>31371</v>
      </c>
      <c r="I176" s="14" t="s">
        <v>88</v>
      </c>
      <c r="J176" s="14">
        <v>1</v>
      </c>
      <c r="K176" s="14">
        <v>2</v>
      </c>
      <c r="L176" s="14" t="s">
        <v>31372</v>
      </c>
      <c r="M176" s="14" t="s">
        <v>602</v>
      </c>
      <c r="N176" s="14" t="s">
        <v>507</v>
      </c>
      <c r="O176" s="14" t="s">
        <v>31373</v>
      </c>
      <c r="P176" s="14" t="str">
        <f>HYPERLINK("https://photon-sol.tinyastro.io/en/lp/9R2bSEecxrSMT5TXrvSxqgB1WyXPopPW3cLtx48fpump?handle=676050794bc1b1657a56b", "View")</f>
        <v>View</v>
      </c>
    </row>
    <row r="177" spans="1:16" x14ac:dyDescent="0.25">
      <c r="A177" s="16" t="s">
        <v>31374</v>
      </c>
      <c r="B177" s="17">
        <v>1215322</v>
      </c>
      <c r="C177" s="17">
        <v>1215322</v>
      </c>
      <c r="D177" s="17" t="s">
        <v>31375</v>
      </c>
      <c r="E177" s="17" t="s">
        <v>5472</v>
      </c>
      <c r="F177" s="17" t="s">
        <v>18164</v>
      </c>
      <c r="G177" s="21" t="s">
        <v>3236</v>
      </c>
      <c r="H177" s="21" t="s">
        <v>31376</v>
      </c>
      <c r="I177" s="17" t="s">
        <v>88</v>
      </c>
      <c r="J177" s="17">
        <v>1</v>
      </c>
      <c r="K177" s="17">
        <v>4</v>
      </c>
      <c r="L177" s="17" t="s">
        <v>31377</v>
      </c>
      <c r="M177" s="17" t="s">
        <v>179</v>
      </c>
      <c r="N177" s="17" t="s">
        <v>31378</v>
      </c>
      <c r="O177" s="17" t="s">
        <v>31379</v>
      </c>
      <c r="P177" s="17" t="str">
        <f>HYPERLINK("https://photon-sol.tinyastro.io/en/lp/BvjkVW3zVRNaeqmx9d6FKeppZaTorJjJe2qeBip5pump?handle=676050794bc1b1657a56b", "View")</f>
        <v>View</v>
      </c>
    </row>
    <row r="178" spans="1:16" x14ac:dyDescent="0.25">
      <c r="A178" s="13" t="s">
        <v>31380</v>
      </c>
      <c r="B178" s="14">
        <v>2351918</v>
      </c>
      <c r="C178" s="14">
        <v>2351918</v>
      </c>
      <c r="D178" s="14" t="s">
        <v>31268</v>
      </c>
      <c r="E178" s="14" t="s">
        <v>10061</v>
      </c>
      <c r="F178" s="14" t="s">
        <v>7742</v>
      </c>
      <c r="G178" s="22" t="s">
        <v>7291</v>
      </c>
      <c r="H178" s="22" t="s">
        <v>31381</v>
      </c>
      <c r="I178" s="14" t="s">
        <v>88</v>
      </c>
      <c r="J178" s="14">
        <v>2</v>
      </c>
      <c r="K178" s="14">
        <v>1</v>
      </c>
      <c r="L178" s="14" t="s">
        <v>31382</v>
      </c>
      <c r="M178" s="14" t="s">
        <v>602</v>
      </c>
      <c r="N178" s="14" t="s">
        <v>507</v>
      </c>
      <c r="O178" s="14" t="s">
        <v>31383</v>
      </c>
      <c r="P178" s="14" t="str">
        <f>HYPERLINK("https://photon-sol.tinyastro.io/en/lp/5Zpkgz3AvfU99YBMrJWMuW65WfpZLjsgpCUYvJ5Apump?handle=676050794bc1b1657a56b", "View")</f>
        <v>View</v>
      </c>
    </row>
    <row r="179" spans="1:16" x14ac:dyDescent="0.25">
      <c r="A179" s="16" t="s">
        <v>31384</v>
      </c>
      <c r="B179" s="17">
        <v>639021</v>
      </c>
      <c r="C179" s="17">
        <v>639021</v>
      </c>
      <c r="D179" s="17" t="s">
        <v>9364</v>
      </c>
      <c r="E179" s="17" t="s">
        <v>3563</v>
      </c>
      <c r="F179" s="17" t="s">
        <v>5914</v>
      </c>
      <c r="G179" s="20" t="s">
        <v>5733</v>
      </c>
      <c r="H179" s="20" t="s">
        <v>31385</v>
      </c>
      <c r="I179" s="17" t="s">
        <v>88</v>
      </c>
      <c r="J179" s="17">
        <v>2</v>
      </c>
      <c r="K179" s="17">
        <v>3</v>
      </c>
      <c r="L179" s="17" t="s">
        <v>31386</v>
      </c>
      <c r="M179" s="17" t="s">
        <v>823</v>
      </c>
      <c r="N179" s="17" t="s">
        <v>31387</v>
      </c>
      <c r="O179" s="17" t="s">
        <v>31388</v>
      </c>
      <c r="P179" s="17" t="str">
        <f>HYPERLINK("https://dexscreener.com/solana/orfCBLySfLwztKAFzeoWsxwx4kgGezkHMwZizN5pump", "View")</f>
        <v>View</v>
      </c>
    </row>
    <row r="180" spans="1:16" x14ac:dyDescent="0.25">
      <c r="A180" s="13" t="s">
        <v>31389</v>
      </c>
      <c r="B180" s="14">
        <v>135192</v>
      </c>
      <c r="C180" s="14">
        <v>135192</v>
      </c>
      <c r="D180" s="14" t="s">
        <v>883</v>
      </c>
      <c r="E180" s="14" t="s">
        <v>3320</v>
      </c>
      <c r="F180" s="14" t="s">
        <v>6248</v>
      </c>
      <c r="G180" s="15" t="s">
        <v>4681</v>
      </c>
      <c r="H180" s="15" t="s">
        <v>31390</v>
      </c>
      <c r="I180" s="14" t="s">
        <v>88</v>
      </c>
      <c r="J180" s="14">
        <v>1</v>
      </c>
      <c r="K180" s="14">
        <v>1</v>
      </c>
      <c r="L180" s="14" t="s">
        <v>31391</v>
      </c>
      <c r="M180" s="14" t="s">
        <v>788</v>
      </c>
      <c r="N180" s="14" t="s">
        <v>31392</v>
      </c>
      <c r="O180" s="14" t="s">
        <v>31393</v>
      </c>
      <c r="P180" s="14" t="str">
        <f>HYPERLINK("https://dexscreener.com/solana/5az1xKbBam41E5fT2tfjVVsJ8bFaM4h4F9z4BvupAJ7p", "View")</f>
        <v>View</v>
      </c>
    </row>
    <row r="181" spans="1:16" x14ac:dyDescent="0.25">
      <c r="A181" s="16" t="s">
        <v>31384</v>
      </c>
      <c r="B181" s="17">
        <v>10623762</v>
      </c>
      <c r="C181" s="17">
        <v>10623762</v>
      </c>
      <c r="D181" s="17" t="s">
        <v>883</v>
      </c>
      <c r="E181" s="17" t="s">
        <v>5472</v>
      </c>
      <c r="F181" s="17" t="s">
        <v>2029</v>
      </c>
      <c r="G181" s="20" t="s">
        <v>4880</v>
      </c>
      <c r="H181" s="20" t="s">
        <v>31394</v>
      </c>
      <c r="I181" s="17" t="s">
        <v>88</v>
      </c>
      <c r="J181" s="17">
        <v>1</v>
      </c>
      <c r="K181" s="17">
        <v>1</v>
      </c>
      <c r="L181" s="17" t="s">
        <v>31395</v>
      </c>
      <c r="M181" s="19" t="s">
        <v>2923</v>
      </c>
      <c r="N181" s="17" t="s">
        <v>507</v>
      </c>
      <c r="O181" s="17" t="s">
        <v>31396</v>
      </c>
      <c r="P181" s="17" t="str">
        <f>HYPERLINK("https://photon-sol.tinyastro.io/en/lp/Ed9HaFd7snQZnjkQT22fvTdkjgtsCsYbkhdy5y6Upump?handle=676050794bc1b1657a56b", "View")</f>
        <v>View</v>
      </c>
    </row>
    <row r="182" spans="1:16" x14ac:dyDescent="0.25">
      <c r="A182" s="13" t="s">
        <v>31397</v>
      </c>
      <c r="B182" s="14">
        <v>360698</v>
      </c>
      <c r="C182" s="14">
        <v>360698</v>
      </c>
      <c r="D182" s="14" t="s">
        <v>883</v>
      </c>
      <c r="E182" s="14" t="s">
        <v>5675</v>
      </c>
      <c r="F182" s="14" t="s">
        <v>5675</v>
      </c>
      <c r="G182" s="22" t="s">
        <v>4818</v>
      </c>
      <c r="H182" s="22" t="s">
        <v>31398</v>
      </c>
      <c r="I182" s="14" t="s">
        <v>88</v>
      </c>
      <c r="J182" s="14">
        <v>1</v>
      </c>
      <c r="K182" s="14">
        <v>1</v>
      </c>
      <c r="L182" s="14" t="s">
        <v>31399</v>
      </c>
      <c r="M182" s="14" t="s">
        <v>3180</v>
      </c>
      <c r="N182" s="14" t="s">
        <v>31400</v>
      </c>
      <c r="O182" s="14" t="s">
        <v>31401</v>
      </c>
      <c r="P182" s="14" t="str">
        <f>HYPERLINK("https://photon-sol.tinyastro.io/en/lp/35X3Z5PYKYXvXpfjrepqPYTQFAun3aAcoX7bjTBMpump?handle=676050794bc1b1657a56b", "View")</f>
        <v>View</v>
      </c>
    </row>
    <row r="183" spans="1:16" x14ac:dyDescent="0.25">
      <c r="A183" s="16" t="s">
        <v>31402</v>
      </c>
      <c r="B183" s="17">
        <v>1886903</v>
      </c>
      <c r="C183" s="17">
        <v>1886903</v>
      </c>
      <c r="D183" s="17" t="s">
        <v>13532</v>
      </c>
      <c r="E183" s="17" t="s">
        <v>2890</v>
      </c>
      <c r="F183" s="17" t="s">
        <v>18133</v>
      </c>
      <c r="G183" s="22" t="s">
        <v>17833</v>
      </c>
      <c r="H183" s="22" t="s">
        <v>19714</v>
      </c>
      <c r="I183" s="17" t="s">
        <v>88</v>
      </c>
      <c r="J183" s="17">
        <v>1</v>
      </c>
      <c r="K183" s="17">
        <v>1</v>
      </c>
      <c r="L183" s="17" t="s">
        <v>31403</v>
      </c>
      <c r="M183" s="17" t="s">
        <v>1434</v>
      </c>
      <c r="N183" s="17" t="s">
        <v>507</v>
      </c>
      <c r="O183" s="17" t="s">
        <v>31404</v>
      </c>
      <c r="P183" s="17" t="str">
        <f>HYPERLINK("https://photon-sol.tinyastro.io/en/lp/FWPEwcCQE3bFiYGJFrn1FB9u1A2Kzpjm2FsBycghpump?handle=676050794bc1b1657a56b", "View")</f>
        <v>View</v>
      </c>
    </row>
    <row r="184" spans="1:16" x14ac:dyDescent="0.25">
      <c r="A184" s="13" t="s">
        <v>31405</v>
      </c>
      <c r="B184" s="14">
        <v>3217984</v>
      </c>
      <c r="C184" s="14">
        <v>3217984</v>
      </c>
      <c r="D184" s="14" t="s">
        <v>883</v>
      </c>
      <c r="E184" s="14" t="s">
        <v>4838</v>
      </c>
      <c r="F184" s="14" t="s">
        <v>1884</v>
      </c>
      <c r="G184" s="20" t="s">
        <v>4762</v>
      </c>
      <c r="H184" s="20" t="s">
        <v>31406</v>
      </c>
      <c r="I184" s="14" t="s">
        <v>88</v>
      </c>
      <c r="J184" s="14">
        <v>1</v>
      </c>
      <c r="K184" s="14">
        <v>1</v>
      </c>
      <c r="L184" s="14" t="s">
        <v>31407</v>
      </c>
      <c r="M184" s="19" t="s">
        <v>2315</v>
      </c>
      <c r="N184" s="14" t="s">
        <v>507</v>
      </c>
      <c r="O184" s="14" t="s">
        <v>31408</v>
      </c>
      <c r="P184" s="14" t="str">
        <f>HYPERLINK("https://photon-sol.tinyastro.io/en/lp/86B9mLxwp1K3JNcyJ61Dc8JGMpjxY2WUEoouc8Acpump?handle=676050794bc1b1657a56b", "View")</f>
        <v>View</v>
      </c>
    </row>
    <row r="185" spans="1:16" x14ac:dyDescent="0.25">
      <c r="A185" s="16" t="s">
        <v>31409</v>
      </c>
      <c r="B185" s="17">
        <v>4632849</v>
      </c>
      <c r="C185" s="17">
        <v>4632849</v>
      </c>
      <c r="D185" s="17" t="s">
        <v>31410</v>
      </c>
      <c r="E185" s="17" t="s">
        <v>9395</v>
      </c>
      <c r="F185" s="17" t="s">
        <v>23635</v>
      </c>
      <c r="G185" s="21" t="s">
        <v>17354</v>
      </c>
      <c r="H185" s="21" t="s">
        <v>31411</v>
      </c>
      <c r="I185" s="17" t="s">
        <v>88</v>
      </c>
      <c r="J185" s="17">
        <v>2</v>
      </c>
      <c r="K185" s="17">
        <v>1</v>
      </c>
      <c r="L185" s="17" t="s">
        <v>31412</v>
      </c>
      <c r="M185" s="17" t="s">
        <v>2617</v>
      </c>
      <c r="N185" s="17" t="s">
        <v>507</v>
      </c>
      <c r="O185" s="17" t="s">
        <v>31413</v>
      </c>
      <c r="P185" s="17" t="str">
        <f>HYPERLINK("https://photon-sol.tinyastro.io/en/lp/3q5Hc7YocEr21BRsrJXLYyxgYKP9hV49ECXMH4HKpump?handle=676050794bc1b1657a56b", "View")</f>
        <v>View</v>
      </c>
    </row>
    <row r="186" spans="1:16" x14ac:dyDescent="0.25">
      <c r="A186" s="13" t="s">
        <v>1468</v>
      </c>
      <c r="B186" s="14">
        <v>322760</v>
      </c>
      <c r="C186" s="14">
        <v>322760</v>
      </c>
      <c r="D186" s="14" t="s">
        <v>31110</v>
      </c>
      <c r="E186" s="14" t="s">
        <v>8306</v>
      </c>
      <c r="F186" s="14" t="s">
        <v>2890</v>
      </c>
      <c r="G186" s="22" t="s">
        <v>2967</v>
      </c>
      <c r="H186" s="22" t="s">
        <v>31414</v>
      </c>
      <c r="I186" s="14" t="s">
        <v>88</v>
      </c>
      <c r="J186" s="14">
        <v>1</v>
      </c>
      <c r="K186" s="14">
        <v>1</v>
      </c>
      <c r="L186" s="14" t="s">
        <v>31415</v>
      </c>
      <c r="M186" s="14" t="s">
        <v>1957</v>
      </c>
      <c r="N186" s="14" t="s">
        <v>31416</v>
      </c>
      <c r="O186" s="14" t="s">
        <v>1472</v>
      </c>
      <c r="P186" s="14" t="str">
        <f>HYPERLINK("https://dexscreener.com/solana/GTTAHWdh7nyXR9cRHa6iscGZkWexZDLRiV9H5zyUpump", "View")</f>
        <v>View</v>
      </c>
    </row>
    <row r="187" spans="1:16" x14ac:dyDescent="0.25">
      <c r="A187" s="16" t="s">
        <v>31417</v>
      </c>
      <c r="B187" s="17">
        <v>3496552</v>
      </c>
      <c r="C187" s="17">
        <v>3496552</v>
      </c>
      <c r="D187" s="17" t="s">
        <v>883</v>
      </c>
      <c r="E187" s="17" t="s">
        <v>4609</v>
      </c>
      <c r="F187" s="17" t="s">
        <v>3845</v>
      </c>
      <c r="G187" s="20" t="s">
        <v>5692</v>
      </c>
      <c r="H187" s="20" t="s">
        <v>19037</v>
      </c>
      <c r="I187" s="17" t="s">
        <v>88</v>
      </c>
      <c r="J187" s="17">
        <v>1</v>
      </c>
      <c r="K187" s="17">
        <v>1</v>
      </c>
      <c r="L187" s="17" t="s">
        <v>31418</v>
      </c>
      <c r="M187" s="17" t="s">
        <v>1957</v>
      </c>
      <c r="N187" s="17" t="s">
        <v>507</v>
      </c>
      <c r="O187" s="17" t="s">
        <v>31419</v>
      </c>
      <c r="P187" s="17" t="str">
        <f>HYPERLINK("https://photon-sol.tinyastro.io/en/lp/D54uSZggociBDR3Lzsr5dArL3b2YQsWvuF59J4ukpump?handle=676050794bc1b1657a56b", "View")</f>
        <v>View</v>
      </c>
    </row>
    <row r="188" spans="1:16" x14ac:dyDescent="0.25">
      <c r="A188" s="13" t="s">
        <v>25065</v>
      </c>
      <c r="B188" s="14">
        <v>477310</v>
      </c>
      <c r="C188" s="14">
        <v>477310</v>
      </c>
      <c r="D188" s="14" t="s">
        <v>883</v>
      </c>
      <c r="E188" s="14" t="s">
        <v>4700</v>
      </c>
      <c r="F188" s="14" t="s">
        <v>5204</v>
      </c>
      <c r="G188" s="20" t="s">
        <v>4026</v>
      </c>
      <c r="H188" s="20" t="s">
        <v>31420</v>
      </c>
      <c r="I188" s="14" t="s">
        <v>88</v>
      </c>
      <c r="J188" s="14">
        <v>1</v>
      </c>
      <c r="K188" s="14">
        <v>1</v>
      </c>
      <c r="L188" s="14" t="s">
        <v>31421</v>
      </c>
      <c r="M188" s="14" t="s">
        <v>1448</v>
      </c>
      <c r="N188" s="14" t="s">
        <v>31422</v>
      </c>
      <c r="O188" s="14" t="s">
        <v>31423</v>
      </c>
      <c r="P188" s="14" t="str">
        <f>HYPERLINK("https://photon-sol.tinyastro.io/en/lp/7zrz3AgKDNQ6TxsfTSFU26NKjoRhFFHbPdkqhbhFpump?handle=676050794bc1b1657a56b", "View")</f>
        <v>View</v>
      </c>
    </row>
    <row r="189" spans="1:16" x14ac:dyDescent="0.25">
      <c r="A189" s="16" t="s">
        <v>31424</v>
      </c>
      <c r="B189" s="17">
        <v>3598478</v>
      </c>
      <c r="C189" s="17">
        <v>3598478</v>
      </c>
      <c r="D189" s="17" t="s">
        <v>1281</v>
      </c>
      <c r="E189" s="17" t="s">
        <v>17306</v>
      </c>
      <c r="F189" s="17" t="s">
        <v>3140</v>
      </c>
      <c r="G189" s="22" t="s">
        <v>17509</v>
      </c>
      <c r="H189" s="22" t="s">
        <v>31425</v>
      </c>
      <c r="I189" s="17" t="s">
        <v>88</v>
      </c>
      <c r="J189" s="17">
        <v>2</v>
      </c>
      <c r="K189" s="17">
        <v>2</v>
      </c>
      <c r="L189" s="17" t="s">
        <v>31426</v>
      </c>
      <c r="M189" s="17" t="s">
        <v>179</v>
      </c>
      <c r="N189" s="17" t="s">
        <v>31427</v>
      </c>
      <c r="O189" s="17" t="s">
        <v>31428</v>
      </c>
      <c r="P189" s="17" t="str">
        <f>HYPERLINK("https://dexscreener.com/solana/7bC8NmDnACyCtKBwqjjSGis4rdjRMwvRaawsu9nYpump", "View")</f>
        <v>View</v>
      </c>
    </row>
    <row r="190" spans="1:16" x14ac:dyDescent="0.25">
      <c r="A190" s="13" t="s">
        <v>31429</v>
      </c>
      <c r="B190" s="14">
        <v>3120219</v>
      </c>
      <c r="C190" s="14">
        <v>3120219</v>
      </c>
      <c r="D190" s="14" t="s">
        <v>9364</v>
      </c>
      <c r="E190" s="14" t="s">
        <v>4680</v>
      </c>
      <c r="F190" s="14" t="s">
        <v>10664</v>
      </c>
      <c r="G190" s="20" t="s">
        <v>13016</v>
      </c>
      <c r="H190" s="20" t="s">
        <v>24826</v>
      </c>
      <c r="I190" s="14" t="s">
        <v>88</v>
      </c>
      <c r="J190" s="14">
        <v>3</v>
      </c>
      <c r="K190" s="14">
        <v>2</v>
      </c>
      <c r="L190" s="14" t="s">
        <v>31430</v>
      </c>
      <c r="M190" s="14" t="s">
        <v>7381</v>
      </c>
      <c r="N190" s="14" t="s">
        <v>31431</v>
      </c>
      <c r="O190" s="14" t="s">
        <v>31432</v>
      </c>
      <c r="P190" s="14" t="str">
        <f>HYPERLINK("https://photon-sol.tinyastro.io/en/lp/4yPLBn7zumxeW3kBMaQBipRud9S4nonA3NuXCig1pump?handle=676050794bc1b1657a56b", "View")</f>
        <v>View</v>
      </c>
    </row>
    <row r="191" spans="1:16" x14ac:dyDescent="0.25">
      <c r="A191" s="16" t="s">
        <v>31433</v>
      </c>
      <c r="B191" s="17">
        <v>1758576</v>
      </c>
      <c r="C191" s="17">
        <v>1758576</v>
      </c>
      <c r="D191" s="17" t="s">
        <v>913</v>
      </c>
      <c r="E191" s="17" t="s">
        <v>2605</v>
      </c>
      <c r="F191" s="17" t="s">
        <v>17610</v>
      </c>
      <c r="G191" s="20" t="s">
        <v>4681</v>
      </c>
      <c r="H191" s="20" t="s">
        <v>31434</v>
      </c>
      <c r="I191" s="17" t="s">
        <v>88</v>
      </c>
      <c r="J191" s="17">
        <v>2</v>
      </c>
      <c r="K191" s="17">
        <v>1</v>
      </c>
      <c r="L191" s="17" t="s">
        <v>31435</v>
      </c>
      <c r="M191" s="17" t="s">
        <v>1566</v>
      </c>
      <c r="N191" s="17" t="s">
        <v>507</v>
      </c>
      <c r="O191" s="17" t="s">
        <v>31436</v>
      </c>
      <c r="P191" s="17" t="str">
        <f>HYPERLINK("https://photon-sol.tinyastro.io/en/lp/FfYhzJ7j3rrs4m4i1wKy5Bz5aYW8mKEGq2rxChU3pump?handle=676050794bc1b1657a56b", "View")</f>
        <v>View</v>
      </c>
    </row>
    <row r="192" spans="1:16" x14ac:dyDescent="0.25">
      <c r="A192" s="13" t="s">
        <v>31437</v>
      </c>
      <c r="B192" s="14">
        <v>1075849</v>
      </c>
      <c r="C192" s="14">
        <v>1075849</v>
      </c>
      <c r="D192" s="14" t="s">
        <v>31268</v>
      </c>
      <c r="E192" s="14" t="s">
        <v>4700</v>
      </c>
      <c r="F192" s="14" t="s">
        <v>2823</v>
      </c>
      <c r="G192" s="21" t="s">
        <v>2384</v>
      </c>
      <c r="H192" s="21" t="s">
        <v>31438</v>
      </c>
      <c r="I192" s="14" t="s">
        <v>88</v>
      </c>
      <c r="J192" s="14">
        <v>1</v>
      </c>
      <c r="K192" s="14">
        <v>2</v>
      </c>
      <c r="L192" s="14" t="s">
        <v>31439</v>
      </c>
      <c r="M192" s="14" t="s">
        <v>5445</v>
      </c>
      <c r="N192" s="14" t="s">
        <v>31440</v>
      </c>
      <c r="O192" s="14" t="s">
        <v>31441</v>
      </c>
      <c r="P192" s="14" t="str">
        <f>HYPERLINK("https://photon-sol.tinyastro.io/en/lp/EzvyGfA936nMt3MdLzzRFwWzBkGaHDRmz3edwcnnpump?handle=676050794bc1b1657a56b", "View")</f>
        <v>View</v>
      </c>
    </row>
    <row r="193" spans="1:16" x14ac:dyDescent="0.25">
      <c r="A193" s="16" t="s">
        <v>31442</v>
      </c>
      <c r="B193" s="17">
        <v>2222731</v>
      </c>
      <c r="C193" s="17">
        <v>2222731</v>
      </c>
      <c r="D193" s="17" t="s">
        <v>883</v>
      </c>
      <c r="E193" s="17" t="s">
        <v>14402</v>
      </c>
      <c r="F193" s="17" t="s">
        <v>17627</v>
      </c>
      <c r="G193" s="20" t="s">
        <v>5305</v>
      </c>
      <c r="H193" s="20" t="s">
        <v>31443</v>
      </c>
      <c r="I193" s="17" t="s">
        <v>88</v>
      </c>
      <c r="J193" s="17">
        <v>1</v>
      </c>
      <c r="K193" s="17">
        <v>1</v>
      </c>
      <c r="L193" s="17" t="s">
        <v>31444</v>
      </c>
      <c r="M193" s="17" t="s">
        <v>1434</v>
      </c>
      <c r="N193" s="17" t="s">
        <v>507</v>
      </c>
      <c r="O193" s="17" t="s">
        <v>31445</v>
      </c>
      <c r="P193" s="17" t="str">
        <f>HYPERLINK("https://photon-sol.tinyastro.io/en/lp/EMxWiJi6AboUDiJwiYnMPhxnbtrS52AVKKzV9VDpump?handle=676050794bc1b1657a56b", "View")</f>
        <v>View</v>
      </c>
    </row>
    <row r="194" spans="1:16" x14ac:dyDescent="0.25">
      <c r="A194" s="13" t="s">
        <v>4553</v>
      </c>
      <c r="B194" s="14">
        <v>2158</v>
      </c>
      <c r="C194" s="14">
        <v>2158</v>
      </c>
      <c r="D194" s="14" t="s">
        <v>883</v>
      </c>
      <c r="E194" s="14" t="s">
        <v>8306</v>
      </c>
      <c r="F194" s="14" t="s">
        <v>11161</v>
      </c>
      <c r="G194" s="22" t="s">
        <v>17833</v>
      </c>
      <c r="H194" s="22" t="s">
        <v>31446</v>
      </c>
      <c r="I194" s="14" t="s">
        <v>88</v>
      </c>
      <c r="J194" s="14">
        <v>1</v>
      </c>
      <c r="K194" s="14">
        <v>1</v>
      </c>
      <c r="L194" s="14" t="s">
        <v>31447</v>
      </c>
      <c r="M194" s="19" t="s">
        <v>2292</v>
      </c>
      <c r="N194" s="14" t="s">
        <v>31448</v>
      </c>
      <c r="O194" s="14" t="s">
        <v>4560</v>
      </c>
      <c r="P194" s="14" t="str">
        <f>HYPERLINK("https://dexscreener.com/solana/3BeJ9zCgQhaqKMu2HgKJ79yQBChD1Pf3hPwRX44fpump", "View")</f>
        <v>View</v>
      </c>
    </row>
    <row r="195" spans="1:16" x14ac:dyDescent="0.25">
      <c r="A195" s="16" t="s">
        <v>31449</v>
      </c>
      <c r="B195" s="17">
        <v>2165933</v>
      </c>
      <c r="C195" s="17">
        <v>0</v>
      </c>
      <c r="D195" s="17" t="s">
        <v>10436</v>
      </c>
      <c r="E195" s="17" t="s">
        <v>15317</v>
      </c>
      <c r="F195" s="17" t="s">
        <v>96</v>
      </c>
      <c r="G195" s="18" t="s">
        <v>31450</v>
      </c>
      <c r="H195" s="18" t="s">
        <v>98</v>
      </c>
      <c r="I195" s="17" t="s">
        <v>31451</v>
      </c>
      <c r="J195" s="17">
        <v>1</v>
      </c>
      <c r="K195" s="17">
        <v>0</v>
      </c>
      <c r="L195" s="17" t="s">
        <v>31452</v>
      </c>
      <c r="M195" s="19" t="s">
        <v>101</v>
      </c>
      <c r="N195" s="17" t="s">
        <v>31453</v>
      </c>
      <c r="O195" s="17" t="s">
        <v>31454</v>
      </c>
      <c r="P195" s="17" t="str">
        <f>HYPERLINK("https://dexscreener.com/solana/EjTePVtuosSxn1bPbdk97WRZL7uVx6NYKDma6iMvpump", "View")</f>
        <v>View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FC5-8A21-4ECF-9845-A4C2A3427E16}">
  <dimension ref="A1:P44"/>
  <sheetViews>
    <sheetView workbookViewId="0"/>
  </sheetViews>
  <sheetFormatPr defaultRowHeight="15" x14ac:dyDescent="0.25"/>
  <cols>
    <col min="1" max="1" width="46" style="2" customWidth="1"/>
    <col min="2" max="2" width="12" style="2" customWidth="1"/>
    <col min="3" max="3" width="13" style="2" customWidth="1"/>
    <col min="4" max="5" width="16" style="2" customWidth="1"/>
    <col min="6" max="6" width="13" style="2" customWidth="1"/>
    <col min="7" max="7" width="23" style="2" customWidth="1"/>
    <col min="8" max="8" width="14" style="2" customWidth="1"/>
    <col min="9" max="9" width="21" style="2" customWidth="1"/>
    <col min="10" max="10" width="15" style="2" customWidth="1"/>
    <col min="11" max="11" width="14" style="2" customWidth="1"/>
    <col min="12" max="12" width="21" style="2" customWidth="1"/>
    <col min="13" max="13" width="13" style="2" customWidth="1"/>
    <col min="14" max="14" width="28.5703125" style="2" customWidth="1"/>
    <col min="15" max="15" width="52.85546875" style="2" customWidth="1"/>
    <col min="16" max="16" width="10" style="2" customWidth="1"/>
    <col min="17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>HYPERLINK("https://gmgn.ai/sol/address/D1QSf63deurkfuJKuwiR1BzGjuwpYW43iZEyFmef94dq", "GMGN")</f>
        <v>GMGN</v>
      </c>
    </row>
    <row r="2" spans="1:14" x14ac:dyDescent="0.25">
      <c r="A2" s="3" t="s">
        <v>31455</v>
      </c>
      <c r="B2" s="3" t="s">
        <v>31456</v>
      </c>
      <c r="C2" s="3" t="s">
        <v>31457</v>
      </c>
      <c r="D2" s="3" t="s">
        <v>31458</v>
      </c>
      <c r="E2" s="3" t="s">
        <v>31459</v>
      </c>
      <c r="F2" s="3" t="s">
        <v>31460</v>
      </c>
      <c r="G2" s="3" t="s">
        <v>18</v>
      </c>
      <c r="H2" s="3">
        <v>25</v>
      </c>
      <c r="I2" s="3">
        <v>0</v>
      </c>
      <c r="J2" s="3" t="s">
        <v>2145</v>
      </c>
      <c r="K2" s="3" t="s">
        <v>3180</v>
      </c>
      <c r="L2" s="3">
        <v>16</v>
      </c>
      <c r="M2" s="3">
        <v>12</v>
      </c>
      <c r="N2" s="3" t="str">
        <f>HYPERLINK("https://solscan.io/account/D1QSf63deurkfuJKuwiR1BzGjuwpYW43iZEyFmef94dq", "Solscan")</f>
        <v>Solscan</v>
      </c>
    </row>
    <row r="3" spans="1:14" x14ac:dyDescent="0.25">
      <c r="A3" s="1" t="s">
        <v>21</v>
      </c>
      <c r="B3" s="23" t="s">
        <v>2555</v>
      </c>
      <c r="C3" s="3"/>
      <c r="D3" s="1" t="s">
        <v>23</v>
      </c>
      <c r="E3" s="1" t="s">
        <v>24</v>
      </c>
      <c r="F3" s="3"/>
      <c r="G3" s="3"/>
      <c r="H3" s="3"/>
      <c r="I3" s="3"/>
      <c r="J3" s="3"/>
      <c r="K3" s="3"/>
      <c r="L3" s="3"/>
      <c r="M3" s="3"/>
      <c r="N3" s="3" t="str">
        <f>HYPERLINK("https://birdeye.so/profile/D1QSf63deurkfuJKuwiR1BzGjuwpYW43iZEyFmef94dq", "Birdeye")</f>
        <v>Birdeye</v>
      </c>
    </row>
    <row r="4" spans="1:14" x14ac:dyDescent="0.25">
      <c r="A4" s="1" t="s">
        <v>25</v>
      </c>
      <c r="B4" s="3" t="s">
        <v>8323</v>
      </c>
      <c r="C4" s="3"/>
      <c r="D4" s="3" t="s">
        <v>1568</v>
      </c>
      <c r="E4" s="3" t="s">
        <v>1776</v>
      </c>
      <c r="F4" s="3"/>
      <c r="G4" s="3"/>
      <c r="H4" s="3"/>
      <c r="I4" s="1"/>
      <c r="J4" s="3"/>
      <c r="K4" s="3"/>
      <c r="L4" s="3"/>
      <c r="M4" s="3"/>
      <c r="N4" s="5" t="str">
        <f>HYPERLINK("#Summary!A1", "Back")</f>
        <v>Back</v>
      </c>
    </row>
    <row r="5" spans="1:14" x14ac:dyDescent="0.25">
      <c r="A5" s="1" t="s">
        <v>29</v>
      </c>
      <c r="B5" s="3" t="s">
        <v>12318</v>
      </c>
      <c r="C5" s="3"/>
      <c r="D5" s="3"/>
      <c r="E5" s="3"/>
      <c r="F5" s="3"/>
      <c r="G5" s="3"/>
      <c r="H5" s="3"/>
      <c r="I5" s="1"/>
      <c r="J5" s="3"/>
      <c r="K5" s="3"/>
      <c r="L5" s="3"/>
      <c r="M5" s="3"/>
      <c r="N5" s="3"/>
    </row>
    <row r="6" spans="1:14" x14ac:dyDescent="0.25">
      <c r="A6" s="1" t="s">
        <v>31</v>
      </c>
      <c r="B6" s="3" t="s">
        <v>21194</v>
      </c>
      <c r="C6" s="3"/>
      <c r="D6" s="3"/>
      <c r="E6" s="3"/>
      <c r="F6" s="3"/>
      <c r="G6" s="3"/>
      <c r="H6" s="3"/>
      <c r="I6" s="1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1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1"/>
      <c r="J8" s="3"/>
      <c r="K8" s="3"/>
      <c r="L8" s="3"/>
      <c r="M8" s="3"/>
      <c r="N8" s="3"/>
    </row>
    <row r="9" spans="1:14" x14ac:dyDescent="0.25">
      <c r="A9" s="1" t="s">
        <v>33</v>
      </c>
      <c r="B9" s="6" t="s">
        <v>34</v>
      </c>
      <c r="C9" s="7" t="s">
        <v>35</v>
      </c>
      <c r="D9" s="8" t="s">
        <v>36</v>
      </c>
      <c r="E9" s="9" t="s">
        <v>37</v>
      </c>
      <c r="F9" s="10" t="s">
        <v>38</v>
      </c>
      <c r="G9" s="11" t="s">
        <v>39</v>
      </c>
      <c r="H9" s="3"/>
      <c r="I9" s="1" t="s">
        <v>40</v>
      </c>
      <c r="J9" s="3"/>
      <c r="K9" s="3"/>
      <c r="L9" s="3"/>
      <c r="M9" s="3"/>
      <c r="N9" s="3"/>
    </row>
    <row r="10" spans="1:14" x14ac:dyDescent="0.25">
      <c r="A10" s="1" t="s">
        <v>41</v>
      </c>
      <c r="B10" s="1">
        <v>1</v>
      </c>
      <c r="C10" s="1">
        <v>3</v>
      </c>
      <c r="D10" s="1">
        <v>1</v>
      </c>
      <c r="E10" s="1">
        <v>8</v>
      </c>
      <c r="F10" s="1">
        <v>11</v>
      </c>
      <c r="G10" s="1">
        <v>1</v>
      </c>
      <c r="H10" s="3"/>
      <c r="I10" s="3" t="s">
        <v>42</v>
      </c>
      <c r="J10" s="3" t="s">
        <v>43</v>
      </c>
      <c r="K10" s="3"/>
      <c r="L10" s="3"/>
      <c r="M10" s="3"/>
      <c r="N10" s="3"/>
    </row>
    <row r="11" spans="1:14" x14ac:dyDescent="0.25">
      <c r="A11" s="1" t="s">
        <v>44</v>
      </c>
      <c r="B11" s="1" t="s">
        <v>14700</v>
      </c>
      <c r="C11" s="1" t="s">
        <v>8597</v>
      </c>
      <c r="D11" s="1" t="s">
        <v>14700</v>
      </c>
      <c r="E11" s="1" t="s">
        <v>31461</v>
      </c>
      <c r="F11" s="1" t="s">
        <v>31462</v>
      </c>
      <c r="G11" s="1" t="s">
        <v>14700</v>
      </c>
      <c r="H11" s="3"/>
      <c r="I11" s="3" t="s">
        <v>50</v>
      </c>
      <c r="J11" s="3" t="s">
        <v>19667</v>
      </c>
      <c r="K11" s="3"/>
      <c r="L11" s="3"/>
      <c r="M11" s="3"/>
      <c r="N11" s="3"/>
    </row>
    <row r="12" spans="1:14" x14ac:dyDescent="0.25">
      <c r="A12" s="1" t="s">
        <v>52</v>
      </c>
      <c r="B12" s="1" t="s">
        <v>31463</v>
      </c>
      <c r="C12" s="1" t="s">
        <v>31464</v>
      </c>
      <c r="D12" s="1" t="s">
        <v>4129</v>
      </c>
      <c r="E12" s="1" t="s">
        <v>27586</v>
      </c>
      <c r="F12" s="1" t="s">
        <v>29498</v>
      </c>
      <c r="G12" s="1" t="s">
        <v>13990</v>
      </c>
      <c r="H12" s="3"/>
      <c r="I12" s="3" t="s">
        <v>59</v>
      </c>
      <c r="J12" s="3" t="s">
        <v>1792</v>
      </c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 t="s">
        <v>61</v>
      </c>
      <c r="J13" s="3" t="s">
        <v>1792</v>
      </c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 t="s">
        <v>63</v>
      </c>
      <c r="J14" s="3" t="s">
        <v>1570</v>
      </c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1" t="s">
        <v>65</v>
      </c>
      <c r="J15" s="3" t="s">
        <v>1793</v>
      </c>
      <c r="K15" s="3"/>
      <c r="L15" s="3"/>
      <c r="M15" s="3"/>
      <c r="N15" s="3"/>
    </row>
    <row r="19" spans="1:16" x14ac:dyDescent="0.25">
      <c r="A19" s="12" t="s">
        <v>67</v>
      </c>
      <c r="B19" s="12" t="s">
        <v>68</v>
      </c>
      <c r="C19" s="12" t="s">
        <v>69</v>
      </c>
      <c r="D19" s="12" t="s">
        <v>70</v>
      </c>
      <c r="E19" s="12" t="s">
        <v>71</v>
      </c>
      <c r="F19" s="12" t="s">
        <v>72</v>
      </c>
      <c r="G19" s="12" t="s">
        <v>73</v>
      </c>
      <c r="H19" s="12" t="s">
        <v>74</v>
      </c>
      <c r="I19" s="12" t="s">
        <v>75</v>
      </c>
      <c r="J19" s="12" t="s">
        <v>76</v>
      </c>
      <c r="K19" s="12" t="s">
        <v>77</v>
      </c>
      <c r="L19" s="12" t="s">
        <v>78</v>
      </c>
      <c r="M19" s="12" t="s">
        <v>79</v>
      </c>
      <c r="N19" s="12" t="s">
        <v>80</v>
      </c>
      <c r="O19" s="12" t="s">
        <v>81</v>
      </c>
    </row>
    <row r="20" spans="1:16" x14ac:dyDescent="0.25">
      <c r="A20" s="13" t="s">
        <v>27357</v>
      </c>
      <c r="B20" s="14">
        <v>10748656</v>
      </c>
      <c r="C20" s="14">
        <v>10748656</v>
      </c>
      <c r="D20" s="14" t="s">
        <v>8469</v>
      </c>
      <c r="E20" s="14" t="s">
        <v>14564</v>
      </c>
      <c r="F20" s="14" t="s">
        <v>274</v>
      </c>
      <c r="G20" s="21" t="s">
        <v>9002</v>
      </c>
      <c r="H20" s="21" t="s">
        <v>31465</v>
      </c>
      <c r="I20" s="14" t="s">
        <v>88</v>
      </c>
      <c r="J20" s="14">
        <v>1</v>
      </c>
      <c r="K20" s="14">
        <v>1</v>
      </c>
      <c r="L20" s="14" t="s">
        <v>31466</v>
      </c>
      <c r="M20" s="14" t="s">
        <v>1957</v>
      </c>
      <c r="N20" s="14" t="s">
        <v>31467</v>
      </c>
      <c r="O20" s="14" t="s">
        <v>27363</v>
      </c>
      <c r="P20" s="14" t="str">
        <f>HYPERLINK("https://photon-sol.tinyastro.io/en/lp/Dw5ztHRA55p51qmffB64jKgh8HMT7yEpkiKmbwL6N5ie?handle=676050794bc1b1657a56b", "View")</f>
        <v>View</v>
      </c>
    </row>
    <row r="21" spans="1:16" x14ac:dyDescent="0.25">
      <c r="A21" s="16" t="s">
        <v>31468</v>
      </c>
      <c r="B21" s="17">
        <v>25683433</v>
      </c>
      <c r="C21" s="17">
        <v>25683433</v>
      </c>
      <c r="D21" s="17" t="s">
        <v>19880</v>
      </c>
      <c r="E21" s="17" t="s">
        <v>1907</v>
      </c>
      <c r="F21" s="17" t="s">
        <v>31469</v>
      </c>
      <c r="G21" s="21" t="s">
        <v>31470</v>
      </c>
      <c r="H21" s="21" t="s">
        <v>31471</v>
      </c>
      <c r="I21" s="17" t="s">
        <v>88</v>
      </c>
      <c r="J21" s="17">
        <v>1</v>
      </c>
      <c r="K21" s="17">
        <v>2</v>
      </c>
      <c r="L21" s="17" t="s">
        <v>31472</v>
      </c>
      <c r="M21" s="17" t="s">
        <v>980</v>
      </c>
      <c r="N21" s="17" t="s">
        <v>31473</v>
      </c>
      <c r="O21" s="17" t="s">
        <v>31474</v>
      </c>
      <c r="P21" s="17" t="str">
        <f>HYPERLINK("https://photon-sol.tinyastro.io/en/lp/5tF7tji18CnGksZyf9DoEioPidnEooy77qp4XrBnpump?handle=676050794bc1b1657a56b", "View")</f>
        <v>View</v>
      </c>
    </row>
    <row r="22" spans="1:16" x14ac:dyDescent="0.25">
      <c r="A22" s="13" t="s">
        <v>5399</v>
      </c>
      <c r="B22" s="14">
        <v>1955312</v>
      </c>
      <c r="C22" s="14">
        <v>1955312</v>
      </c>
      <c r="D22" s="14" t="s">
        <v>8469</v>
      </c>
      <c r="E22" s="14" t="s">
        <v>1007</v>
      </c>
      <c r="F22" s="14" t="s">
        <v>31475</v>
      </c>
      <c r="G22" s="20" t="s">
        <v>2630</v>
      </c>
      <c r="H22" s="20" t="s">
        <v>31476</v>
      </c>
      <c r="I22" s="14" t="s">
        <v>88</v>
      </c>
      <c r="J22" s="14">
        <v>1</v>
      </c>
      <c r="K22" s="14">
        <v>1</v>
      </c>
      <c r="L22" s="14" t="s">
        <v>31477</v>
      </c>
      <c r="M22" s="14" t="s">
        <v>1434</v>
      </c>
      <c r="N22" s="14" t="s">
        <v>31478</v>
      </c>
      <c r="O22" s="14" t="s">
        <v>5403</v>
      </c>
      <c r="P22" s="14" t="str">
        <f>HYPERLINK("https://dexscreener.com/solana/74Yhhcbga2N1TTw87rNb8C3p8iHxyGEUKGhjFjkgpump", "View")</f>
        <v>View</v>
      </c>
    </row>
    <row r="23" spans="1:16" x14ac:dyDescent="0.25">
      <c r="A23" s="16" t="s">
        <v>31479</v>
      </c>
      <c r="B23" s="17">
        <v>21371927</v>
      </c>
      <c r="C23" s="17">
        <v>21371927</v>
      </c>
      <c r="D23" s="17" t="s">
        <v>8469</v>
      </c>
      <c r="E23" s="17" t="s">
        <v>7823</v>
      </c>
      <c r="F23" s="17" t="s">
        <v>8886</v>
      </c>
      <c r="G23" s="20" t="s">
        <v>3829</v>
      </c>
      <c r="H23" s="20" t="s">
        <v>31480</v>
      </c>
      <c r="I23" s="17" t="s">
        <v>88</v>
      </c>
      <c r="J23" s="17">
        <v>1</v>
      </c>
      <c r="K23" s="17">
        <v>1</v>
      </c>
      <c r="L23" s="17" t="s">
        <v>31481</v>
      </c>
      <c r="M23" s="17" t="s">
        <v>1448</v>
      </c>
      <c r="N23" s="17" t="s">
        <v>2411</v>
      </c>
      <c r="O23" s="17" t="s">
        <v>31482</v>
      </c>
      <c r="P23" s="17" t="str">
        <f>HYPERLINK("https://photon-sol.tinyastro.io/en/lp/DdHhsfXQnxRyUVcE7iHC2vkZJ5dgKdM5tiNfS2Kspump?handle=676050794bc1b1657a56b", "View")</f>
        <v>View</v>
      </c>
    </row>
    <row r="24" spans="1:16" x14ac:dyDescent="0.25">
      <c r="A24" s="13" t="s">
        <v>26865</v>
      </c>
      <c r="B24" s="14">
        <v>2763305</v>
      </c>
      <c r="C24" s="14">
        <v>2763305</v>
      </c>
      <c r="D24" s="14" t="s">
        <v>23459</v>
      </c>
      <c r="E24" s="14" t="s">
        <v>1457</v>
      </c>
      <c r="F24" s="14" t="s">
        <v>27547</v>
      </c>
      <c r="G24" s="22" t="s">
        <v>5012</v>
      </c>
      <c r="H24" s="22" t="s">
        <v>2555</v>
      </c>
      <c r="I24" s="14" t="s">
        <v>88</v>
      </c>
      <c r="J24" s="14">
        <v>2</v>
      </c>
      <c r="K24" s="14">
        <v>2</v>
      </c>
      <c r="L24" s="14" t="s">
        <v>31483</v>
      </c>
      <c r="M24" s="14" t="s">
        <v>4922</v>
      </c>
      <c r="N24" s="14" t="s">
        <v>31484</v>
      </c>
      <c r="O24" s="14" t="s">
        <v>26869</v>
      </c>
      <c r="P24" s="14" t="str">
        <f>HYPERLINK("https://dexscreener.com/solana/376kKRPZf5uvVyxdjPdZ56oQtgkfhWHi2sCs9t3Hpump", "View")</f>
        <v>View</v>
      </c>
    </row>
    <row r="25" spans="1:16" x14ac:dyDescent="0.25">
      <c r="A25" s="16" t="s">
        <v>31485</v>
      </c>
      <c r="B25" s="17">
        <v>15588220</v>
      </c>
      <c r="C25" s="17">
        <v>15588220</v>
      </c>
      <c r="D25" s="17" t="s">
        <v>31486</v>
      </c>
      <c r="E25" s="17" t="s">
        <v>31487</v>
      </c>
      <c r="F25" s="17" t="s">
        <v>31488</v>
      </c>
      <c r="G25" s="22" t="s">
        <v>12425</v>
      </c>
      <c r="H25" s="22" t="s">
        <v>31489</v>
      </c>
      <c r="I25" s="17" t="s">
        <v>88</v>
      </c>
      <c r="J25" s="17">
        <v>5</v>
      </c>
      <c r="K25" s="17">
        <v>5</v>
      </c>
      <c r="L25" s="17" t="s">
        <v>31490</v>
      </c>
      <c r="M25" s="17" t="s">
        <v>7661</v>
      </c>
      <c r="N25" s="17" t="s">
        <v>31491</v>
      </c>
      <c r="O25" s="17" t="s">
        <v>31492</v>
      </c>
      <c r="P25" s="17" t="str">
        <f>HYPERLINK("https://photon-sol.tinyastro.io/en/lp/6PysD18BJ9q5usURbYH7oUEkR8V77rzFWeND86s1pump?handle=676050794bc1b1657a56b", "View")</f>
        <v>View</v>
      </c>
    </row>
    <row r="26" spans="1:16" x14ac:dyDescent="0.25">
      <c r="A26" s="13" t="s">
        <v>31493</v>
      </c>
      <c r="B26" s="14">
        <v>16913643</v>
      </c>
      <c r="C26" s="14">
        <v>16913643</v>
      </c>
      <c r="D26" s="14" t="s">
        <v>8469</v>
      </c>
      <c r="E26" s="14" t="s">
        <v>15599</v>
      </c>
      <c r="F26" s="14" t="s">
        <v>31494</v>
      </c>
      <c r="G26" s="21" t="s">
        <v>18803</v>
      </c>
      <c r="H26" s="21" t="s">
        <v>25140</v>
      </c>
      <c r="I26" s="14" t="s">
        <v>88</v>
      </c>
      <c r="J26" s="14">
        <v>1</v>
      </c>
      <c r="K26" s="14">
        <v>1</v>
      </c>
      <c r="L26" s="14" t="s">
        <v>31495</v>
      </c>
      <c r="M26" s="14" t="s">
        <v>1434</v>
      </c>
      <c r="N26" s="14" t="s">
        <v>14328</v>
      </c>
      <c r="O26" s="14" t="s">
        <v>31496</v>
      </c>
      <c r="P26" s="14" t="str">
        <f>HYPERLINK("https://photon-sol.tinyastro.io/en/lp/5kYWsRZh62DpMeukfqgNjsHw6CHutJwHM5DB8w3Lpump?handle=676050794bc1b1657a56b", "View")</f>
        <v>View</v>
      </c>
    </row>
    <row r="27" spans="1:16" x14ac:dyDescent="0.25">
      <c r="A27" s="16" t="s">
        <v>2835</v>
      </c>
      <c r="B27" s="17">
        <v>4924984</v>
      </c>
      <c r="C27" s="17">
        <v>4924984</v>
      </c>
      <c r="D27" s="17" t="s">
        <v>23459</v>
      </c>
      <c r="E27" s="17" t="s">
        <v>219</v>
      </c>
      <c r="F27" s="17" t="s">
        <v>31497</v>
      </c>
      <c r="G27" s="22" t="s">
        <v>10388</v>
      </c>
      <c r="H27" s="22" t="s">
        <v>31498</v>
      </c>
      <c r="I27" s="17" t="s">
        <v>88</v>
      </c>
      <c r="J27" s="17">
        <v>2</v>
      </c>
      <c r="K27" s="17">
        <v>2</v>
      </c>
      <c r="L27" s="17" t="s">
        <v>31499</v>
      </c>
      <c r="M27" s="17" t="s">
        <v>3180</v>
      </c>
      <c r="N27" s="17" t="s">
        <v>31500</v>
      </c>
      <c r="O27" s="17" t="s">
        <v>2841</v>
      </c>
      <c r="P27" s="17" t="str">
        <f>HYPERLINK("https://dexscreener.com/solana/7FS4iUbG1KpTA7xzG4Er7H6Nj22PZgonY8N9ERZbpump", "View")</f>
        <v>View</v>
      </c>
    </row>
    <row r="28" spans="1:16" x14ac:dyDescent="0.25">
      <c r="A28" s="13" t="s">
        <v>19830</v>
      </c>
      <c r="B28" s="14">
        <v>13866988</v>
      </c>
      <c r="C28" s="14">
        <v>13866988</v>
      </c>
      <c r="D28" s="14" t="s">
        <v>23459</v>
      </c>
      <c r="E28" s="14" t="s">
        <v>19136</v>
      </c>
      <c r="F28" s="14" t="s">
        <v>31501</v>
      </c>
      <c r="G28" s="15" t="s">
        <v>31502</v>
      </c>
      <c r="H28" s="15" t="s">
        <v>31503</v>
      </c>
      <c r="I28" s="14" t="s">
        <v>88</v>
      </c>
      <c r="J28" s="14">
        <v>2</v>
      </c>
      <c r="K28" s="14">
        <v>2</v>
      </c>
      <c r="L28" s="14" t="s">
        <v>31504</v>
      </c>
      <c r="M28" s="14" t="s">
        <v>1448</v>
      </c>
      <c r="N28" s="14" t="s">
        <v>31505</v>
      </c>
      <c r="O28" s="14" t="s">
        <v>19833</v>
      </c>
      <c r="P28" s="14" t="str">
        <f>HYPERLINK("https://photon-sol.tinyastro.io/en/lp/FT64dAkw8oY44zY16dya4RrZaCFPoTSb9KqxXVtSpump?handle=676050794bc1b1657a56b", "View")</f>
        <v>View</v>
      </c>
    </row>
    <row r="29" spans="1:16" x14ac:dyDescent="0.25">
      <c r="A29" s="16" t="s">
        <v>5496</v>
      </c>
      <c r="B29" s="17">
        <v>1244583</v>
      </c>
      <c r="C29" s="17">
        <v>1244583</v>
      </c>
      <c r="D29" s="17" t="s">
        <v>13532</v>
      </c>
      <c r="E29" s="17" t="s">
        <v>1457</v>
      </c>
      <c r="F29" s="17" t="s">
        <v>31506</v>
      </c>
      <c r="G29" s="21" t="s">
        <v>31507</v>
      </c>
      <c r="H29" s="21" t="s">
        <v>31508</v>
      </c>
      <c r="I29" s="17" t="s">
        <v>88</v>
      </c>
      <c r="J29" s="17">
        <v>2</v>
      </c>
      <c r="K29" s="17">
        <v>3</v>
      </c>
      <c r="L29" s="17" t="s">
        <v>31509</v>
      </c>
      <c r="M29" s="17" t="s">
        <v>2672</v>
      </c>
      <c r="N29" s="17" t="s">
        <v>31510</v>
      </c>
      <c r="O29" s="17" t="s">
        <v>5503</v>
      </c>
      <c r="P29" s="17" t="str">
        <f>HYPERLINK("https://dexscreener.com/solana/wpU56BR9qLyA9bxxF2uLtULERVZFvtuLtcXdL9xpump", "View")</f>
        <v>View</v>
      </c>
    </row>
    <row r="30" spans="1:16" x14ac:dyDescent="0.25">
      <c r="A30" s="13" t="s">
        <v>31511</v>
      </c>
      <c r="B30" s="14">
        <v>17807250</v>
      </c>
      <c r="C30" s="14">
        <v>17807250</v>
      </c>
      <c r="D30" s="14" t="s">
        <v>8469</v>
      </c>
      <c r="E30" s="14" t="s">
        <v>31512</v>
      </c>
      <c r="F30" s="14" t="s">
        <v>13297</v>
      </c>
      <c r="G30" s="20" t="s">
        <v>31513</v>
      </c>
      <c r="H30" s="20" t="s">
        <v>31514</v>
      </c>
      <c r="I30" s="14" t="s">
        <v>88</v>
      </c>
      <c r="J30" s="14">
        <v>1</v>
      </c>
      <c r="K30" s="14">
        <v>1</v>
      </c>
      <c r="L30" s="14" t="s">
        <v>31515</v>
      </c>
      <c r="M30" s="19" t="s">
        <v>4171</v>
      </c>
      <c r="N30" s="14" t="s">
        <v>1667</v>
      </c>
      <c r="O30" s="14" t="s">
        <v>31516</v>
      </c>
      <c r="P30" s="14" t="str">
        <f>HYPERLINK("https://photon-sol.tinyastro.io/en/lp/7K1Dy82QXNFRqbDSd9mVzeL1CWJPzDPv9ud2xNn5pump?handle=676050794bc1b1657a56b", "View")</f>
        <v>View</v>
      </c>
    </row>
    <row r="31" spans="1:16" x14ac:dyDescent="0.25">
      <c r="A31" s="16" t="s">
        <v>31517</v>
      </c>
      <c r="B31" s="17">
        <v>57042663</v>
      </c>
      <c r="C31" s="17">
        <v>57042663</v>
      </c>
      <c r="D31" s="17" t="s">
        <v>23459</v>
      </c>
      <c r="E31" s="17" t="s">
        <v>20763</v>
      </c>
      <c r="F31" s="17" t="s">
        <v>31518</v>
      </c>
      <c r="G31" s="20" t="s">
        <v>31519</v>
      </c>
      <c r="H31" s="20" t="s">
        <v>31520</v>
      </c>
      <c r="I31" s="17" t="s">
        <v>88</v>
      </c>
      <c r="J31" s="17">
        <v>2</v>
      </c>
      <c r="K31" s="17">
        <v>2</v>
      </c>
      <c r="L31" s="17" t="s">
        <v>31521</v>
      </c>
      <c r="M31" s="17" t="s">
        <v>937</v>
      </c>
      <c r="N31" s="17" t="s">
        <v>3115</v>
      </c>
      <c r="O31" s="17" t="s">
        <v>31522</v>
      </c>
      <c r="P31" s="17" t="str">
        <f>HYPERLINK("https://photon-sol.tinyastro.io/en/lp/J25ZEyuSo8voj5UYpQChFzXNdr4WQGjmkACxEVGupump?handle=676050794bc1b1657a56b", "View")</f>
        <v>View</v>
      </c>
    </row>
    <row r="32" spans="1:16" x14ac:dyDescent="0.25">
      <c r="A32" s="13" t="s">
        <v>31523</v>
      </c>
      <c r="B32" s="14">
        <v>8529503</v>
      </c>
      <c r="C32" s="14">
        <v>8529503</v>
      </c>
      <c r="D32" s="14" t="s">
        <v>18549</v>
      </c>
      <c r="E32" s="14" t="s">
        <v>31524</v>
      </c>
      <c r="F32" s="14" t="s">
        <v>8370</v>
      </c>
      <c r="G32" s="22" t="s">
        <v>12475</v>
      </c>
      <c r="H32" s="22" t="s">
        <v>31525</v>
      </c>
      <c r="I32" s="14" t="s">
        <v>88</v>
      </c>
      <c r="J32" s="14">
        <v>3</v>
      </c>
      <c r="K32" s="14">
        <v>3</v>
      </c>
      <c r="L32" s="14" t="s">
        <v>31526</v>
      </c>
      <c r="M32" s="14" t="s">
        <v>2984</v>
      </c>
      <c r="N32" s="14" t="s">
        <v>31527</v>
      </c>
      <c r="O32" s="14" t="s">
        <v>31528</v>
      </c>
      <c r="P32" s="14" t="str">
        <f>HYPERLINK("https://photon-sol.tinyastro.io/en/lp/82QWeqVodzMVLktpqp4QXt6ELb9cDQN4nuYYhoRjpump?handle=676050794bc1b1657a56b", "View")</f>
        <v>View</v>
      </c>
    </row>
    <row r="33" spans="1:16" x14ac:dyDescent="0.25">
      <c r="A33" s="16" t="s">
        <v>31529</v>
      </c>
      <c r="B33" s="17">
        <v>1290162</v>
      </c>
      <c r="C33" s="17">
        <v>1290162</v>
      </c>
      <c r="D33" s="17" t="s">
        <v>8469</v>
      </c>
      <c r="E33" s="17" t="s">
        <v>1007</v>
      </c>
      <c r="F33" s="17" t="s">
        <v>3713</v>
      </c>
      <c r="G33" s="20" t="s">
        <v>20418</v>
      </c>
      <c r="H33" s="20" t="s">
        <v>31530</v>
      </c>
      <c r="I33" s="17" t="s">
        <v>88</v>
      </c>
      <c r="J33" s="17">
        <v>1</v>
      </c>
      <c r="K33" s="17">
        <v>1</v>
      </c>
      <c r="L33" s="17" t="s">
        <v>31531</v>
      </c>
      <c r="M33" s="19" t="s">
        <v>2189</v>
      </c>
      <c r="N33" s="17" t="s">
        <v>31532</v>
      </c>
      <c r="O33" s="17" t="s">
        <v>31533</v>
      </c>
      <c r="P33" s="17" t="str">
        <f>HYPERLINK("https://dexscreener.com/solana/29SccALSuFKxeTgFodaWML74w2sMPKmiLBu69fjppump", "View")</f>
        <v>View</v>
      </c>
    </row>
    <row r="34" spans="1:16" x14ac:dyDescent="0.25">
      <c r="A34" s="13" t="s">
        <v>31534</v>
      </c>
      <c r="B34" s="14">
        <v>23068306</v>
      </c>
      <c r="C34" s="14">
        <v>23068306</v>
      </c>
      <c r="D34" s="14" t="s">
        <v>8469</v>
      </c>
      <c r="E34" s="14" t="s">
        <v>1907</v>
      </c>
      <c r="F34" s="14" t="s">
        <v>2659</v>
      </c>
      <c r="G34" s="20" t="s">
        <v>22399</v>
      </c>
      <c r="H34" s="20" t="s">
        <v>31535</v>
      </c>
      <c r="I34" s="14" t="s">
        <v>88</v>
      </c>
      <c r="J34" s="14">
        <v>1</v>
      </c>
      <c r="K34" s="14">
        <v>1</v>
      </c>
      <c r="L34" s="14" t="s">
        <v>31536</v>
      </c>
      <c r="M34" s="14" t="s">
        <v>1610</v>
      </c>
      <c r="N34" s="14" t="s">
        <v>2608</v>
      </c>
      <c r="O34" s="14" t="s">
        <v>31537</v>
      </c>
      <c r="P34" s="14" t="str">
        <f>HYPERLINK("https://photon-sol.tinyastro.io/en/lp/6KYakmUV3Y6i21efMFA4QUi7HBbsGuLcr3xddswtpump?handle=676050794bc1b1657a56b", "View")</f>
        <v>View</v>
      </c>
    </row>
    <row r="35" spans="1:16" x14ac:dyDescent="0.25">
      <c r="A35" s="16" t="s">
        <v>26815</v>
      </c>
      <c r="B35" s="17">
        <v>4571511</v>
      </c>
      <c r="C35" s="17">
        <v>4571511</v>
      </c>
      <c r="D35" s="17" t="s">
        <v>23459</v>
      </c>
      <c r="E35" s="17" t="s">
        <v>1267</v>
      </c>
      <c r="F35" s="17" t="s">
        <v>31538</v>
      </c>
      <c r="G35" s="22" t="s">
        <v>31539</v>
      </c>
      <c r="H35" s="22" t="s">
        <v>31540</v>
      </c>
      <c r="I35" s="17" t="s">
        <v>88</v>
      </c>
      <c r="J35" s="17">
        <v>3</v>
      </c>
      <c r="K35" s="17">
        <v>1</v>
      </c>
      <c r="L35" s="17" t="s">
        <v>31541</v>
      </c>
      <c r="M35" s="17" t="s">
        <v>3180</v>
      </c>
      <c r="N35" s="17" t="s">
        <v>31542</v>
      </c>
      <c r="O35" s="17" t="s">
        <v>26823</v>
      </c>
      <c r="P35" s="17" t="str">
        <f>HYPERLINK("https://dexscreener.com/solana/4FdqyFg3rYs9NRjC7shGmSH7YG4iQgAPSUyzDkWxpump", "View")</f>
        <v>View</v>
      </c>
    </row>
    <row r="36" spans="1:16" x14ac:dyDescent="0.25">
      <c r="A36" s="13" t="s">
        <v>1927</v>
      </c>
      <c r="B36" s="14">
        <v>195864</v>
      </c>
      <c r="C36" s="14">
        <v>195864</v>
      </c>
      <c r="D36" s="14" t="s">
        <v>8469</v>
      </c>
      <c r="E36" s="14" t="s">
        <v>1007</v>
      </c>
      <c r="F36" s="14" t="s">
        <v>2537</v>
      </c>
      <c r="G36" s="20" t="s">
        <v>4212</v>
      </c>
      <c r="H36" s="20" t="s">
        <v>21083</v>
      </c>
      <c r="I36" s="14" t="s">
        <v>88</v>
      </c>
      <c r="J36" s="14">
        <v>1</v>
      </c>
      <c r="K36" s="14">
        <v>1</v>
      </c>
      <c r="L36" s="14" t="s">
        <v>31543</v>
      </c>
      <c r="M36" s="14" t="s">
        <v>937</v>
      </c>
      <c r="N36" s="14" t="s">
        <v>31544</v>
      </c>
      <c r="O36" s="14" t="s">
        <v>1934</v>
      </c>
      <c r="P36" s="14" t="str">
        <f>HYPERLINK("https://dexscreener.com/solana/75vq3ZhQZmkdvZZi1a4xS3Gs8muifwf9AXn3q62Xpump", "View")</f>
        <v>View</v>
      </c>
    </row>
    <row r="37" spans="1:16" x14ac:dyDescent="0.25">
      <c r="A37" s="16" t="s">
        <v>31545</v>
      </c>
      <c r="B37" s="17">
        <v>7472728</v>
      </c>
      <c r="C37" s="17">
        <v>7472728</v>
      </c>
      <c r="D37" s="17" t="s">
        <v>18549</v>
      </c>
      <c r="E37" s="17" t="s">
        <v>2390</v>
      </c>
      <c r="F37" s="17" t="s">
        <v>3066</v>
      </c>
      <c r="G37" s="20" t="s">
        <v>31546</v>
      </c>
      <c r="H37" s="20" t="s">
        <v>31547</v>
      </c>
      <c r="I37" s="17" t="s">
        <v>88</v>
      </c>
      <c r="J37" s="17">
        <v>4</v>
      </c>
      <c r="K37" s="17">
        <v>2</v>
      </c>
      <c r="L37" s="17" t="s">
        <v>31548</v>
      </c>
      <c r="M37" s="17" t="s">
        <v>7661</v>
      </c>
      <c r="N37" s="17" t="s">
        <v>31549</v>
      </c>
      <c r="O37" s="17" t="s">
        <v>31550</v>
      </c>
      <c r="P37" s="17" t="str">
        <f>HYPERLINK("https://dexscreener.com/solana/Gsi9EcnD5BhSBHAVhp4MhXTKJ8U1SKfvH259dKTqpump", "View")</f>
        <v>View</v>
      </c>
    </row>
    <row r="38" spans="1:16" x14ac:dyDescent="0.25">
      <c r="A38" s="13" t="s">
        <v>24608</v>
      </c>
      <c r="B38" s="14">
        <v>17361236</v>
      </c>
      <c r="C38" s="14">
        <v>17361236</v>
      </c>
      <c r="D38" s="14" t="s">
        <v>23459</v>
      </c>
      <c r="E38" s="14" t="s">
        <v>2596</v>
      </c>
      <c r="F38" s="14" t="s">
        <v>31551</v>
      </c>
      <c r="G38" s="20" t="s">
        <v>31552</v>
      </c>
      <c r="H38" s="20" t="s">
        <v>9816</v>
      </c>
      <c r="I38" s="14" t="s">
        <v>88</v>
      </c>
      <c r="J38" s="14">
        <v>2</v>
      </c>
      <c r="K38" s="14">
        <v>2</v>
      </c>
      <c r="L38" s="14" t="s">
        <v>31553</v>
      </c>
      <c r="M38" s="14" t="s">
        <v>1434</v>
      </c>
      <c r="N38" s="14" t="s">
        <v>23236</v>
      </c>
      <c r="O38" s="14" t="s">
        <v>31554</v>
      </c>
      <c r="P38" s="14" t="str">
        <f>HYPERLINK("https://photon-sol.tinyastro.io/en/lp/738eph46YacWfPBkZqeHBoBB2ifhYWCSvQ4E9L6Epump?handle=676050794bc1b1657a56b", "View")</f>
        <v>View</v>
      </c>
    </row>
    <row r="39" spans="1:16" x14ac:dyDescent="0.25">
      <c r="A39" s="16" t="s">
        <v>31555</v>
      </c>
      <c r="B39" s="17">
        <v>8247854</v>
      </c>
      <c r="C39" s="17">
        <v>8247854</v>
      </c>
      <c r="D39" s="17" t="s">
        <v>8469</v>
      </c>
      <c r="E39" s="17" t="s">
        <v>1413</v>
      </c>
      <c r="F39" s="17" t="s">
        <v>2589</v>
      </c>
      <c r="G39" s="20" t="s">
        <v>3254</v>
      </c>
      <c r="H39" s="20" t="s">
        <v>14465</v>
      </c>
      <c r="I39" s="17" t="s">
        <v>88</v>
      </c>
      <c r="J39" s="17">
        <v>1</v>
      </c>
      <c r="K39" s="17">
        <v>1</v>
      </c>
      <c r="L39" s="17" t="s">
        <v>31556</v>
      </c>
      <c r="M39" s="17" t="s">
        <v>1448</v>
      </c>
      <c r="N39" s="17" t="s">
        <v>31557</v>
      </c>
      <c r="O39" s="17" t="s">
        <v>31558</v>
      </c>
      <c r="P39" s="17" t="str">
        <f>HYPERLINK("https://photon-sol.tinyastro.io/en/lp/8pc4DnHQuomXvmJGCeySxigPWCo1Ki8n9aCu9A9Xpump?handle=676050794bc1b1657a56b", "View")</f>
        <v>View</v>
      </c>
    </row>
    <row r="40" spans="1:16" x14ac:dyDescent="0.25">
      <c r="A40" s="13" t="s">
        <v>970</v>
      </c>
      <c r="B40" s="14">
        <v>10427209</v>
      </c>
      <c r="C40" s="14">
        <v>10427209</v>
      </c>
      <c r="D40" s="14" t="s">
        <v>23459</v>
      </c>
      <c r="E40" s="14" t="s">
        <v>31559</v>
      </c>
      <c r="F40" s="14" t="s">
        <v>31560</v>
      </c>
      <c r="G40" s="22" t="s">
        <v>18685</v>
      </c>
      <c r="H40" s="22" t="s">
        <v>17374</v>
      </c>
      <c r="I40" s="14" t="s">
        <v>88</v>
      </c>
      <c r="J40" s="14">
        <v>2</v>
      </c>
      <c r="K40" s="14">
        <v>2</v>
      </c>
      <c r="L40" s="14" t="s">
        <v>31561</v>
      </c>
      <c r="M40" s="14" t="s">
        <v>937</v>
      </c>
      <c r="N40" s="14" t="s">
        <v>31562</v>
      </c>
      <c r="O40" s="14" t="s">
        <v>974</v>
      </c>
      <c r="P40" s="14" t="str">
        <f>HYPERLINK("https://photon-sol.tinyastro.io/en/lp/6KzUWrE31FSZyzswENJ5yR4DXzAzkD15NKvwK7tdpump?handle=676050794bc1b1657a56b", "View")</f>
        <v>View</v>
      </c>
    </row>
    <row r="41" spans="1:16" x14ac:dyDescent="0.25">
      <c r="A41" s="16" t="s">
        <v>31563</v>
      </c>
      <c r="B41" s="17">
        <v>24485602</v>
      </c>
      <c r="C41" s="17">
        <v>24485602</v>
      </c>
      <c r="D41" s="17" t="s">
        <v>8469</v>
      </c>
      <c r="E41" s="17" t="s">
        <v>15599</v>
      </c>
      <c r="F41" s="17" t="s">
        <v>16827</v>
      </c>
      <c r="G41" s="22" t="s">
        <v>2044</v>
      </c>
      <c r="H41" s="22" t="s">
        <v>31564</v>
      </c>
      <c r="I41" s="17" t="s">
        <v>88</v>
      </c>
      <c r="J41" s="17">
        <v>1</v>
      </c>
      <c r="K41" s="17">
        <v>1</v>
      </c>
      <c r="L41" s="17" t="s">
        <v>31565</v>
      </c>
      <c r="M41" s="17" t="s">
        <v>1448</v>
      </c>
      <c r="N41" s="17" t="s">
        <v>8752</v>
      </c>
      <c r="O41" s="17" t="s">
        <v>31566</v>
      </c>
      <c r="P41" s="17" t="str">
        <f>HYPERLINK("https://photon-sol.tinyastro.io/en/lp/rLoJ1L4cSBM3Lh5fxf6mXaTwLEMxkdyrMvuWvRWpump?handle=676050794bc1b1657a56b", "View")</f>
        <v>View</v>
      </c>
    </row>
    <row r="42" spans="1:16" x14ac:dyDescent="0.25">
      <c r="A42" s="13" t="s">
        <v>906</v>
      </c>
      <c r="B42" s="14">
        <v>7399918</v>
      </c>
      <c r="C42" s="14">
        <v>7399918</v>
      </c>
      <c r="D42" s="14" t="s">
        <v>7948</v>
      </c>
      <c r="E42" s="14" t="s">
        <v>402</v>
      </c>
      <c r="F42" s="14" t="s">
        <v>31567</v>
      </c>
      <c r="G42" s="21" t="s">
        <v>31568</v>
      </c>
      <c r="H42" s="21" t="s">
        <v>31569</v>
      </c>
      <c r="I42" s="14" t="s">
        <v>88</v>
      </c>
      <c r="J42" s="14">
        <v>3</v>
      </c>
      <c r="K42" s="14">
        <v>5</v>
      </c>
      <c r="L42" s="14" t="s">
        <v>31570</v>
      </c>
      <c r="M42" s="14" t="s">
        <v>7248</v>
      </c>
      <c r="N42" s="14" t="s">
        <v>31571</v>
      </c>
      <c r="O42" s="14" t="s">
        <v>911</v>
      </c>
      <c r="P42" s="14" t="str">
        <f>HYPERLINK("https://dexscreener.com/solana/8SJHvukeqYDyGi64zdv4AM4GrktUtaB7wPMgM3EHpump", "View")</f>
        <v>View</v>
      </c>
    </row>
    <row r="43" spans="1:16" x14ac:dyDescent="0.25">
      <c r="A43" s="16" t="s">
        <v>24270</v>
      </c>
      <c r="B43" s="17">
        <v>12574318</v>
      </c>
      <c r="C43" s="17">
        <v>12574318</v>
      </c>
      <c r="D43" s="17" t="s">
        <v>8469</v>
      </c>
      <c r="E43" s="17" t="s">
        <v>2448</v>
      </c>
      <c r="F43" s="17" t="s">
        <v>31572</v>
      </c>
      <c r="G43" s="20" t="s">
        <v>9261</v>
      </c>
      <c r="H43" s="20" t="s">
        <v>31573</v>
      </c>
      <c r="I43" s="17" t="s">
        <v>88</v>
      </c>
      <c r="J43" s="17">
        <v>1</v>
      </c>
      <c r="K43" s="17">
        <v>1</v>
      </c>
      <c r="L43" s="17" t="s">
        <v>31574</v>
      </c>
      <c r="M43" s="19" t="s">
        <v>3324</v>
      </c>
      <c r="N43" s="17" t="s">
        <v>7687</v>
      </c>
      <c r="O43" s="17" t="s">
        <v>31575</v>
      </c>
      <c r="P43" s="17" t="str">
        <f>HYPERLINK("https://photon-sol.tinyastro.io/en/lp/6kS9QSCh5pkg1pPj6jd1K4x5ujU55wV6QL7y9t9Fpump?handle=676050794bc1b1657a56b", "View")</f>
        <v>View</v>
      </c>
    </row>
    <row r="44" spans="1:16" x14ac:dyDescent="0.25">
      <c r="A44" s="13" t="s">
        <v>31576</v>
      </c>
      <c r="B44" s="14">
        <v>25923710</v>
      </c>
      <c r="C44" s="14">
        <v>25923710</v>
      </c>
      <c r="D44" s="14" t="s">
        <v>23459</v>
      </c>
      <c r="E44" s="14" t="s">
        <v>31577</v>
      </c>
      <c r="F44" s="14" t="s">
        <v>31578</v>
      </c>
      <c r="G44" s="22" t="s">
        <v>17061</v>
      </c>
      <c r="H44" s="22" t="s">
        <v>31579</v>
      </c>
      <c r="I44" s="14" t="s">
        <v>88</v>
      </c>
      <c r="J44" s="14">
        <v>2</v>
      </c>
      <c r="K44" s="14">
        <v>2</v>
      </c>
      <c r="L44" s="14" t="s">
        <v>31580</v>
      </c>
      <c r="M44" s="14" t="s">
        <v>2047</v>
      </c>
      <c r="N44" s="14" t="s">
        <v>31581</v>
      </c>
      <c r="O44" s="14" t="s">
        <v>31582</v>
      </c>
      <c r="P44" s="14" t="str">
        <f>HYPERLINK("https://photon-sol.tinyastro.io/en/lp/7GXVALHLS8YD7ajHUHru4TyXTukMqd7zDku1V23ypump?handle=676050794bc1b1657a56b", "View")</f>
        <v>View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105</vt:i4>
      </vt:variant>
    </vt:vector>
  </HeadingPairs>
  <TitlesOfParts>
    <vt:vector size="105" baseType="lpstr">
      <vt:lpstr>Summary</vt:lpstr>
      <vt:lpstr>Wallet_CNudZYFg</vt:lpstr>
      <vt:lpstr>Wallet_BGGhSLga</vt:lpstr>
      <vt:lpstr>Wallet_BrPgVDyi</vt:lpstr>
      <vt:lpstr>Wallet_CtKi39VF</vt:lpstr>
      <vt:lpstr>Wallet_7MXBbfNg</vt:lpstr>
      <vt:lpstr>Wallet_AMv3pP1R</vt:lpstr>
      <vt:lpstr>Wallet_DkRs21gi</vt:lpstr>
      <vt:lpstr>Wallet_8vys1QHh</vt:lpstr>
      <vt:lpstr>Wallet_6ryJGyrR</vt:lpstr>
      <vt:lpstr>Wallet_Ds4SNt8t</vt:lpstr>
      <vt:lpstr>Wallet_FpMt3dFh</vt:lpstr>
      <vt:lpstr>Wallet_2qd2jvuz</vt:lpstr>
      <vt:lpstr>Wallet_CDby5yqd</vt:lpstr>
      <vt:lpstr>Wallet_C4Gad31E</vt:lpstr>
      <vt:lpstr>Wallet_EwmkKJ3e</vt:lpstr>
      <vt:lpstr>Wallet_H9AcEk9z</vt:lpstr>
      <vt:lpstr>Wallet_HNoTHms1</vt:lpstr>
      <vt:lpstr>Wallet_FB17KCgF</vt:lpstr>
      <vt:lpstr>Wallet_BA2Y866o</vt:lpstr>
      <vt:lpstr>Wallet_2QNiKmv1</vt:lpstr>
      <vt:lpstr>Wallet_6xuMV6W6</vt:lpstr>
      <vt:lpstr>Wallet_FejWrUC2</vt:lpstr>
      <vt:lpstr>Wallet_5Z5nDhre</vt:lpstr>
      <vt:lpstr>Wallet_8Bcagz4n</vt:lpstr>
      <vt:lpstr>Wallet_51jpGPfj</vt:lpstr>
      <vt:lpstr>Wallet_FD5t6ogA</vt:lpstr>
      <vt:lpstr>Wallet_5XSSvhmY</vt:lpstr>
      <vt:lpstr>Wallet_3rZTHyQB</vt:lpstr>
      <vt:lpstr>Wallet_JB6yZEJq</vt:lpstr>
      <vt:lpstr>Wallet_E2DpJoKu</vt:lpstr>
      <vt:lpstr>Wallet_AiY7b8nU</vt:lpstr>
      <vt:lpstr>Wallet_AgzBBqaY</vt:lpstr>
      <vt:lpstr>Wallet_4zbQaWrH</vt:lpstr>
      <vt:lpstr>Wallet_FaLrBGyP</vt:lpstr>
      <vt:lpstr>Wallet_7ZxY2EbT</vt:lpstr>
      <vt:lpstr>Wallet_8321eKJ6</vt:lpstr>
      <vt:lpstr>Wallet_5uVSrj7G</vt:lpstr>
      <vt:lpstr>Wallet_CjWGTaxJ</vt:lpstr>
      <vt:lpstr>Wallet_CdTBh3kn</vt:lpstr>
      <vt:lpstr>Wallet_DyzM5wEN</vt:lpstr>
      <vt:lpstr>Wallet_3rAXtQcR</vt:lpstr>
      <vt:lpstr>Wallet_7t7WLyaP</vt:lpstr>
      <vt:lpstr>Wallet_66VRzczw</vt:lpstr>
      <vt:lpstr>Wallet_E35DHmjC</vt:lpstr>
      <vt:lpstr>Wallet_A1HrPYkc</vt:lpstr>
      <vt:lpstr>Wallet_49SH2SQV</vt:lpstr>
      <vt:lpstr>Wallet_BSiEYXb9</vt:lpstr>
      <vt:lpstr>Wallet_49Y67vr5</vt:lpstr>
      <vt:lpstr>Wallet_2rC2M2j5</vt:lpstr>
      <vt:lpstr>Wallet_ZG9ZAFLX</vt:lpstr>
      <vt:lpstr>Wallet_7SRzu42N</vt:lpstr>
      <vt:lpstr>Wallet_6veEYFho</vt:lpstr>
      <vt:lpstr>Wallet_DAy1KPX8</vt:lpstr>
      <vt:lpstr>Wallet_3bw7vPnu</vt:lpstr>
      <vt:lpstr>Wallet_2ybKtC2B</vt:lpstr>
      <vt:lpstr>Wallet_F3CPySBR</vt:lpstr>
      <vt:lpstr>Wallet_Dp9oCL6J</vt:lpstr>
      <vt:lpstr>Wallet_BuHYNH8s</vt:lpstr>
      <vt:lpstr>Wallet_6wjPBKoZ</vt:lpstr>
      <vt:lpstr>Wallet_5GUuk4Yc</vt:lpstr>
      <vt:lpstr>Wallet_4EEzqYB1</vt:lpstr>
      <vt:lpstr>Wallet_E4aSNyoB</vt:lpstr>
      <vt:lpstr>Wallet_2XRQxY5r</vt:lpstr>
      <vt:lpstr>Wallet_J8CFQP3H</vt:lpstr>
      <vt:lpstr>Wallet_67XYw3Wn</vt:lpstr>
      <vt:lpstr>Wallet_GBUvKJp5</vt:lpstr>
      <vt:lpstr>Wallet_9QZ5gwre</vt:lpstr>
      <vt:lpstr>Wallet_GbZsEfC5</vt:lpstr>
      <vt:lpstr>Wallet_55V4hMbP</vt:lpstr>
      <vt:lpstr>Wallet_7DAMCyYS</vt:lpstr>
      <vt:lpstr>Wallet_E7Vpwi8y</vt:lpstr>
      <vt:lpstr>Wallet_5L2VdnbQ</vt:lpstr>
      <vt:lpstr>Wallet_DSsSCWgC</vt:lpstr>
      <vt:lpstr>Wallet_3p2CpeP8</vt:lpstr>
      <vt:lpstr>Wallet_EwMT7ygv</vt:lpstr>
      <vt:lpstr>Wallet_2FaNRoiX</vt:lpstr>
      <vt:lpstr>Wallet_9r7b8dnj</vt:lpstr>
      <vt:lpstr>Wallet_47KdXtjk</vt:lpstr>
      <vt:lpstr>Wallet_AP3oxFV3</vt:lpstr>
      <vt:lpstr>Wallet_8vQjS83m</vt:lpstr>
      <vt:lpstr>Wallet_dikyzV9B</vt:lpstr>
      <vt:lpstr>Wallet_D9hsi4iA</vt:lpstr>
      <vt:lpstr>Wallet_5FA9hUrw</vt:lpstr>
      <vt:lpstr>Wallet_BbS7e412</vt:lpstr>
      <vt:lpstr>Wallet_7ApjVzSa</vt:lpstr>
      <vt:lpstr>Wallet_77AeyLRL</vt:lpstr>
      <vt:lpstr>Wallet_7BJk376W</vt:lpstr>
      <vt:lpstr>Wallet_BcViwxDP</vt:lpstr>
      <vt:lpstr>Wallet_6X1jSkx7</vt:lpstr>
      <vt:lpstr>Wallet_9UHGG5A7</vt:lpstr>
      <vt:lpstr>Wallet_5Y5gmTQe</vt:lpstr>
      <vt:lpstr>Wallet_8H3xT8L4</vt:lpstr>
      <vt:lpstr>Wallet_8GC8KU7b</vt:lpstr>
      <vt:lpstr>Wallet_DAvFwQya</vt:lpstr>
      <vt:lpstr>Wallet_4DzbUe9R</vt:lpstr>
      <vt:lpstr>Wallet_4ANWddp8</vt:lpstr>
      <vt:lpstr>Wallet_D5ZZVQCL</vt:lpstr>
      <vt:lpstr>Wallet_D1QSf63d</vt:lpstr>
      <vt:lpstr>Wallet_7794TDb3</vt:lpstr>
      <vt:lpstr>Wallet_BuaCKVPQ</vt:lpstr>
      <vt:lpstr>Wallet_5mcVquZq</vt:lpstr>
      <vt:lpstr>Wallet_6WPK59Qr</vt:lpstr>
      <vt:lpstr>Wallet_2q6vC6eF</vt:lpstr>
      <vt:lpstr>Wallet_639xVN39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 Андрей</dc:creator>
  <cp:lastModifiedBy>Гаврилов Андрей</cp:lastModifiedBy>
  <dcterms:created xsi:type="dcterms:W3CDTF">2024-11-01T16:15:28Z</dcterms:created>
  <dcterms:modified xsi:type="dcterms:W3CDTF">2024-11-01T16:16:07Z</dcterms:modified>
</cp:coreProperties>
</file>